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360" windowWidth="17985" windowHeight="1170" activeTab="2"/>
  </bookViews>
  <sheets>
    <sheet name="Cover Page" sheetId="20" r:id="rId1"/>
    <sheet name="Summary of EITI report" sheetId="1" r:id="rId2"/>
    <sheet name="Country-level data" sheetId="2" r:id="rId3"/>
    <sheet name="EITI Revenues" sheetId="16" state="hidden" r:id="rId4"/>
    <sheet name="WB Data" sheetId="9" state="hidden" r:id="rId5"/>
    <sheet name="WB Data 2" sheetId="17" state="hidden" r:id="rId6"/>
    <sheet name="UNCTAD" sheetId="11" state="hidden" r:id="rId7"/>
    <sheet name="RGI" sheetId="13" state="hidden" r:id="rId8"/>
    <sheet name="WGI" sheetId="14" state="hidden" r:id="rId9"/>
    <sheet name="CPI 2014" sheetId="15" state="hidden" r:id="rId10"/>
    <sheet name="Project-level data" sheetId="3" r:id="rId11"/>
    <sheet name="Data Sources" sheetId="22" r:id="rId12"/>
  </sheets>
  <externalReferences>
    <externalReference r:id="rId13"/>
    <externalReference r:id="rId14"/>
    <externalReference r:id="rId15"/>
    <externalReference r:id="rId16"/>
    <externalReference r:id="rId17"/>
    <externalReference r:id="rId18"/>
  </externalReferences>
  <definedNames>
    <definedName name="_xlnm._FilterDatabase" localSheetId="2" hidden="1">'Country-level data'!$A$1:$AZ$2130</definedName>
    <definedName name="_xlnm._FilterDatabase" localSheetId="9" hidden="1">'CPI 2014'!$A$1:$G$178</definedName>
    <definedName name="_xlnm._FilterDatabase" localSheetId="3" hidden="1">'EITI Revenues'!$A$1:$G$1</definedName>
    <definedName name="_xlnm._FilterDatabase" localSheetId="1" hidden="1">'Summary of EITI report'!$A$1:$S$224</definedName>
    <definedName name="_xlnm._FilterDatabase" localSheetId="6" hidden="1">UNCTAD!$A$3:$V$529</definedName>
    <definedName name="_xlnm._FilterDatabase" localSheetId="4" hidden="1">'WB Data'!$A$2:$M$578</definedName>
    <definedName name="_xlnm._FilterDatabase" localSheetId="5" hidden="1">'WB Data 2'!$A$1:$K$1</definedName>
    <definedName name="_xlnm._FilterDatabase" localSheetId="8" hidden="1">WGI!$A$2:$O$478</definedName>
    <definedName name="comp">[1]Indexing!$D$2:$D$5</definedName>
    <definedName name="country">[1]Indexing!$A$3:$A$60</definedName>
    <definedName name="country3">[1]Indexing!$A$3:$A$68</definedName>
    <definedName name="country4">[2]Indexing!$Q$10:$Q$67</definedName>
    <definedName name="CPI_2012" localSheetId="11">#REF!</definedName>
    <definedName name="CPI_2012">#REF!</definedName>
    <definedName name="CPI_2013" localSheetId="11">#REF!</definedName>
    <definedName name="CPI_2013">'CPI 2014'!$B$4:$G$178</definedName>
    <definedName name="first">OFFSET('[3]Chart 1'!$A$2,0,0,COUNTA('[3]Chart 1'!$A:$A)-1,1)</definedName>
    <definedName name="luCountries">[4]tblCountries!$E$3:$E$54</definedName>
    <definedName name="Revenue_type">'[5]Dropdown options'!$J$4:$J$15</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1187" i="2" l="1"/>
  <c r="G1187" i="2"/>
  <c r="O343" i="2"/>
  <c r="O291" i="2"/>
  <c r="O282" i="2"/>
  <c r="O273" i="2"/>
  <c r="P200" i="2"/>
  <c r="O128" i="2"/>
  <c r="O153" i="2"/>
  <c r="O150" i="2"/>
  <c r="O147" i="2"/>
  <c r="P193" i="2"/>
  <c r="P192" i="2"/>
  <c r="P185" i="2"/>
  <c r="O1082" i="2"/>
  <c r="O707" i="2"/>
  <c r="O705" i="2"/>
  <c r="O706" i="2"/>
  <c r="O704" i="2"/>
  <c r="O213" i="2"/>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 i="11"/>
  <c r="C6" i="11"/>
  <c r="C7" i="11"/>
  <c r="C8" i="11"/>
  <c r="F5" i="11"/>
  <c r="F6" i="11"/>
  <c r="F7" i="11"/>
  <c r="F8" i="11"/>
  <c r="C9" i="11"/>
  <c r="F9" i="11"/>
  <c r="C10" i="11"/>
  <c r="F10" i="11"/>
  <c r="C11" i="11"/>
  <c r="F11" i="11"/>
  <c r="C12" i="11"/>
  <c r="F12" i="11"/>
  <c r="C13" i="11"/>
  <c r="F13" i="11"/>
  <c r="C14" i="11"/>
  <c r="F14" i="11"/>
  <c r="C15" i="11"/>
  <c r="F15" i="11"/>
  <c r="C16" i="11"/>
  <c r="F16" i="11"/>
  <c r="C17" i="11"/>
  <c r="F17" i="11"/>
  <c r="C18" i="11"/>
  <c r="F18" i="11"/>
  <c r="C19" i="11"/>
  <c r="F19" i="11"/>
  <c r="C20" i="11"/>
  <c r="F20" i="11"/>
  <c r="C21" i="11"/>
  <c r="F21" i="11"/>
  <c r="C22" i="11"/>
  <c r="F22" i="11"/>
  <c r="C23" i="11"/>
  <c r="F23" i="11"/>
  <c r="C24" i="11"/>
  <c r="F24" i="11"/>
  <c r="C25" i="11"/>
  <c r="F25" i="11"/>
  <c r="C26" i="11"/>
  <c r="F26" i="11"/>
  <c r="C27" i="11"/>
  <c r="F27" i="11"/>
  <c r="C28" i="11"/>
  <c r="F28" i="11"/>
  <c r="C29" i="11"/>
  <c r="F29" i="11"/>
  <c r="C30" i="11"/>
  <c r="F30" i="11"/>
  <c r="C31" i="11"/>
  <c r="F31" i="11"/>
  <c r="C32" i="11"/>
  <c r="F32" i="11"/>
  <c r="C33" i="11"/>
  <c r="F33" i="11"/>
  <c r="C34" i="11"/>
  <c r="F34" i="11"/>
  <c r="C35" i="11"/>
  <c r="F35" i="11"/>
  <c r="C36" i="11"/>
  <c r="F36" i="11"/>
  <c r="C37" i="11"/>
  <c r="F37" i="11"/>
  <c r="C38" i="11"/>
  <c r="F38" i="11"/>
  <c r="C39" i="11"/>
  <c r="F39" i="11"/>
  <c r="C40" i="11"/>
  <c r="F40" i="11"/>
  <c r="C41" i="11"/>
  <c r="F41" i="11"/>
  <c r="C42" i="11"/>
  <c r="F42" i="11"/>
  <c r="C43" i="11"/>
  <c r="F43" i="11"/>
  <c r="C44" i="11"/>
  <c r="F44" i="11"/>
  <c r="C45" i="11"/>
  <c r="F45" i="11"/>
  <c r="C46" i="11"/>
  <c r="F46" i="11"/>
  <c r="C47" i="11"/>
  <c r="F47" i="11"/>
  <c r="C48" i="11"/>
  <c r="F48" i="11"/>
  <c r="C49" i="11"/>
  <c r="F49" i="11"/>
  <c r="C50" i="11"/>
  <c r="F50" i="11"/>
  <c r="C51" i="11"/>
  <c r="F51" i="11"/>
  <c r="C52" i="11"/>
  <c r="F52" i="11"/>
  <c r="C53" i="11"/>
  <c r="F53" i="11"/>
  <c r="C54" i="11"/>
  <c r="F54" i="11"/>
  <c r="C55" i="11"/>
  <c r="F55" i="11"/>
  <c r="C56" i="11"/>
  <c r="F56" i="11"/>
  <c r="C57" i="11"/>
  <c r="F57" i="11"/>
  <c r="C58" i="11"/>
  <c r="F58" i="11"/>
  <c r="C59" i="11"/>
  <c r="F59" i="11"/>
  <c r="C60" i="11"/>
  <c r="F60" i="11"/>
  <c r="C61" i="11"/>
  <c r="F61" i="11"/>
  <c r="C62" i="11"/>
  <c r="F62" i="11"/>
  <c r="C63" i="11"/>
  <c r="F63" i="11"/>
  <c r="C64" i="11"/>
  <c r="F64" i="11"/>
  <c r="C65" i="11"/>
  <c r="F65" i="11"/>
  <c r="C66" i="11"/>
  <c r="F66" i="11"/>
  <c r="C67" i="11"/>
  <c r="F67" i="11"/>
  <c r="C68" i="11"/>
  <c r="F68" i="11"/>
  <c r="C69" i="11"/>
  <c r="F69" i="11"/>
  <c r="C70" i="11"/>
  <c r="F70" i="11"/>
  <c r="C71" i="11"/>
  <c r="F71" i="11"/>
  <c r="C72" i="11"/>
  <c r="F72" i="11"/>
  <c r="C73" i="11"/>
  <c r="F73" i="11"/>
  <c r="C74" i="11"/>
  <c r="F74" i="11"/>
  <c r="C75" i="11"/>
  <c r="F75" i="11"/>
  <c r="C76" i="11"/>
  <c r="F76" i="11"/>
  <c r="C77" i="11"/>
  <c r="F77" i="11"/>
  <c r="C78" i="11"/>
  <c r="F78" i="11"/>
  <c r="C79" i="11"/>
  <c r="F79" i="11"/>
  <c r="C80" i="11"/>
  <c r="F80" i="11"/>
  <c r="C81" i="11"/>
  <c r="F81" i="11"/>
  <c r="C82" i="11"/>
  <c r="F82" i="11"/>
  <c r="C83" i="11"/>
  <c r="F83" i="11"/>
  <c r="C84" i="11"/>
  <c r="F84" i="11"/>
  <c r="C85" i="11"/>
  <c r="F85" i="11"/>
  <c r="C86" i="11"/>
  <c r="F86" i="11"/>
  <c r="C87" i="11"/>
  <c r="F87" i="11"/>
  <c r="C88" i="11"/>
  <c r="F88" i="11"/>
  <c r="C89" i="11"/>
  <c r="F89" i="11"/>
  <c r="C90" i="11"/>
  <c r="F90" i="11"/>
  <c r="C91" i="11"/>
  <c r="F91" i="11"/>
  <c r="C92" i="11"/>
  <c r="F92" i="11"/>
  <c r="C93" i="11"/>
  <c r="F93" i="11"/>
  <c r="C94" i="11"/>
  <c r="F94" i="11"/>
  <c r="C95" i="11"/>
  <c r="F95" i="11"/>
  <c r="C96" i="11"/>
  <c r="F96" i="11"/>
  <c r="C97" i="11"/>
  <c r="F97" i="11"/>
  <c r="C98" i="11"/>
  <c r="F98" i="11"/>
  <c r="C99" i="11"/>
  <c r="F99" i="11"/>
  <c r="C100" i="11"/>
  <c r="F100" i="11"/>
  <c r="C101" i="11"/>
  <c r="F101" i="11"/>
  <c r="C102" i="11"/>
  <c r="F102" i="11"/>
  <c r="C103" i="11"/>
  <c r="F103" i="11"/>
  <c r="C104" i="11"/>
  <c r="F104" i="11"/>
  <c r="C105" i="11"/>
  <c r="F105" i="11"/>
  <c r="C106" i="11"/>
  <c r="F106" i="11"/>
  <c r="C107" i="11"/>
  <c r="F107" i="11"/>
  <c r="C108" i="11"/>
  <c r="F108" i="11"/>
  <c r="C109" i="11"/>
  <c r="F109" i="11"/>
  <c r="C110" i="11"/>
  <c r="F110" i="11"/>
  <c r="C111" i="11"/>
  <c r="F111" i="11"/>
  <c r="C112" i="11"/>
  <c r="F112" i="11"/>
  <c r="C113" i="11"/>
  <c r="F113" i="11"/>
  <c r="C114" i="11"/>
  <c r="F114" i="11"/>
  <c r="C115" i="11"/>
  <c r="F115" i="11"/>
  <c r="C116" i="11"/>
  <c r="F116" i="11"/>
  <c r="C117" i="11"/>
  <c r="F117" i="11"/>
  <c r="C118" i="11"/>
  <c r="F118" i="11"/>
  <c r="C119" i="11"/>
  <c r="F119" i="11"/>
  <c r="C120" i="11"/>
  <c r="F120" i="11"/>
  <c r="C121" i="11"/>
  <c r="F121" i="11"/>
  <c r="C122" i="11"/>
  <c r="F122" i="11"/>
  <c r="C123" i="11"/>
  <c r="F123" i="11"/>
  <c r="C124" i="11"/>
  <c r="F124" i="11"/>
  <c r="C125" i="11"/>
  <c r="F125" i="11"/>
  <c r="C126" i="11"/>
  <c r="F126" i="11"/>
  <c r="C127" i="11"/>
  <c r="F127" i="11"/>
  <c r="C128" i="11"/>
  <c r="F128" i="11"/>
  <c r="C129" i="11"/>
  <c r="F129" i="11"/>
  <c r="C130" i="11"/>
  <c r="F130" i="11"/>
  <c r="C131" i="11"/>
  <c r="F131" i="11"/>
  <c r="C132" i="11"/>
  <c r="F132" i="11"/>
  <c r="C133" i="11"/>
  <c r="F133" i="11"/>
  <c r="C134" i="11"/>
  <c r="F134" i="11"/>
  <c r="C135" i="11"/>
  <c r="F135" i="11"/>
  <c r="C136" i="11"/>
  <c r="F136" i="11"/>
  <c r="C137" i="11"/>
  <c r="F137" i="11"/>
  <c r="C138" i="11"/>
  <c r="F138" i="11"/>
  <c r="C139" i="11"/>
  <c r="F139" i="11"/>
  <c r="C140" i="11"/>
  <c r="F140" i="11"/>
  <c r="C141" i="11"/>
  <c r="F141" i="11"/>
  <c r="C142" i="11"/>
  <c r="F142" i="11"/>
  <c r="C143" i="11"/>
  <c r="F143" i="11"/>
  <c r="C144" i="11"/>
  <c r="F144" i="11"/>
  <c r="C145" i="11"/>
  <c r="F145" i="11"/>
  <c r="C146" i="11"/>
  <c r="F146" i="11"/>
  <c r="C147" i="11"/>
  <c r="F147" i="11"/>
  <c r="C148" i="11"/>
  <c r="F148" i="11"/>
  <c r="C149" i="11"/>
  <c r="F149" i="11"/>
  <c r="C150" i="11"/>
  <c r="F150" i="11"/>
  <c r="C151" i="11"/>
  <c r="F151" i="11"/>
  <c r="C152" i="11"/>
  <c r="F152" i="11"/>
  <c r="C153" i="11"/>
  <c r="F153" i="11"/>
  <c r="C154" i="11"/>
  <c r="F154" i="11"/>
  <c r="C155" i="11"/>
  <c r="F155" i="11"/>
  <c r="C156" i="11"/>
  <c r="F156" i="11"/>
  <c r="C157" i="11"/>
  <c r="F157" i="11"/>
  <c r="C158" i="11"/>
  <c r="F158" i="11"/>
  <c r="C159" i="11"/>
  <c r="F159" i="11"/>
  <c r="C160" i="11"/>
  <c r="F160" i="11"/>
  <c r="C161" i="11"/>
  <c r="F161" i="11"/>
  <c r="C162" i="11"/>
  <c r="F162" i="11"/>
  <c r="C163" i="11"/>
  <c r="F163" i="11"/>
  <c r="C164" i="11"/>
  <c r="F164" i="11"/>
  <c r="C165" i="11"/>
  <c r="F165" i="11"/>
  <c r="C166" i="11"/>
  <c r="F166" i="11"/>
  <c r="C167" i="11"/>
  <c r="F167" i="11"/>
  <c r="C168" i="11"/>
  <c r="F168" i="11"/>
  <c r="C169" i="11"/>
  <c r="F169" i="11"/>
  <c r="C170" i="11"/>
  <c r="F170" i="11"/>
  <c r="C171" i="11"/>
  <c r="F171" i="11"/>
  <c r="C172" i="11"/>
  <c r="F172" i="11"/>
  <c r="C173" i="11"/>
  <c r="F173" i="11"/>
  <c r="C174" i="11"/>
  <c r="F174" i="11"/>
  <c r="C175" i="11"/>
  <c r="F175" i="11"/>
  <c r="C176" i="11"/>
  <c r="F176" i="11"/>
  <c r="C177" i="11"/>
  <c r="F177" i="11"/>
  <c r="C178" i="11"/>
  <c r="F178" i="11"/>
  <c r="C179" i="11"/>
  <c r="F179" i="11"/>
  <c r="C180" i="11"/>
  <c r="F180" i="11"/>
  <c r="C181" i="11"/>
  <c r="F181" i="11"/>
  <c r="C182" i="11"/>
  <c r="F182" i="11"/>
  <c r="C183" i="11"/>
  <c r="F183" i="11"/>
  <c r="C184" i="11"/>
  <c r="F184" i="11"/>
  <c r="C185" i="11"/>
  <c r="F185" i="11"/>
  <c r="C186" i="11"/>
  <c r="F186" i="11"/>
  <c r="C187" i="11"/>
  <c r="F187" i="11"/>
  <c r="C188" i="11"/>
  <c r="F188" i="11"/>
  <c r="C189" i="11"/>
  <c r="F189" i="11"/>
  <c r="C190" i="11"/>
  <c r="F190" i="11"/>
  <c r="C191" i="11"/>
  <c r="F191" i="11"/>
  <c r="C192" i="11"/>
  <c r="F192" i="11"/>
  <c r="C193" i="11"/>
  <c r="F193" i="11"/>
  <c r="C194" i="11"/>
  <c r="F194" i="11"/>
  <c r="C195" i="11"/>
  <c r="F195" i="11"/>
  <c r="C196" i="11"/>
  <c r="F196" i="11"/>
  <c r="C197" i="11"/>
  <c r="F197" i="11"/>
  <c r="C198" i="11"/>
  <c r="F198" i="11"/>
  <c r="C199" i="11"/>
  <c r="F199" i="11"/>
  <c r="C200" i="11"/>
  <c r="F200" i="11"/>
  <c r="C201" i="11"/>
  <c r="F201" i="11"/>
  <c r="C202" i="11"/>
  <c r="F202" i="11"/>
  <c r="C203" i="11"/>
  <c r="F203" i="11"/>
  <c r="C204" i="11"/>
  <c r="F204" i="11"/>
  <c r="C205" i="11"/>
  <c r="F205" i="11"/>
  <c r="C206" i="11"/>
  <c r="F206" i="11"/>
  <c r="C207" i="11"/>
  <c r="F207" i="11"/>
  <c r="C208" i="11"/>
  <c r="F208" i="11"/>
  <c r="C209" i="11"/>
  <c r="F209" i="11"/>
  <c r="C210" i="11"/>
  <c r="F210" i="11"/>
  <c r="C211" i="11"/>
  <c r="F211" i="11"/>
  <c r="C212" i="11"/>
  <c r="F212" i="11"/>
  <c r="C213" i="11"/>
  <c r="F213" i="11"/>
  <c r="C214" i="11"/>
  <c r="F214" i="11"/>
  <c r="C215" i="11"/>
  <c r="F215" i="11"/>
  <c r="C216" i="11"/>
  <c r="F216" i="11"/>
  <c r="C217" i="11"/>
  <c r="F217" i="11"/>
  <c r="C218" i="11"/>
  <c r="F218" i="11"/>
  <c r="C219" i="11"/>
  <c r="F219" i="11"/>
  <c r="C220" i="11"/>
  <c r="F220" i="11"/>
  <c r="C221" i="11"/>
  <c r="F221" i="11"/>
  <c r="C222" i="11"/>
  <c r="F222" i="11"/>
  <c r="C223" i="11"/>
  <c r="F223" i="11"/>
  <c r="C224" i="11"/>
  <c r="F224" i="11"/>
  <c r="C225" i="11"/>
  <c r="F225" i="11"/>
  <c r="C226" i="11"/>
  <c r="F226" i="11"/>
  <c r="C227" i="11"/>
  <c r="F227" i="11"/>
  <c r="C228" i="11"/>
  <c r="F228" i="11"/>
  <c r="C229" i="11"/>
  <c r="F229" i="11"/>
  <c r="C230" i="11"/>
  <c r="F230" i="11"/>
  <c r="C231" i="11"/>
  <c r="F231" i="11"/>
  <c r="C232" i="11"/>
  <c r="F232" i="11"/>
  <c r="C233" i="11"/>
  <c r="F233" i="11"/>
  <c r="C234" i="11"/>
  <c r="F234" i="11"/>
  <c r="C235" i="11"/>
  <c r="F235" i="11"/>
  <c r="C236" i="11"/>
  <c r="F236" i="11"/>
  <c r="C237" i="11"/>
  <c r="F237" i="11"/>
  <c r="C238" i="11"/>
  <c r="F238" i="11"/>
  <c r="C239" i="11"/>
  <c r="F239" i="11"/>
  <c r="C240" i="11"/>
  <c r="F240" i="11"/>
  <c r="C241" i="11"/>
  <c r="F241" i="11"/>
  <c r="C242" i="11"/>
  <c r="F242" i="11"/>
  <c r="C243" i="11"/>
  <c r="F243" i="11"/>
  <c r="C244" i="11"/>
  <c r="F244" i="11"/>
  <c r="C245" i="11"/>
  <c r="F245" i="11"/>
  <c r="C246" i="11"/>
  <c r="F246" i="11"/>
  <c r="C247" i="11"/>
  <c r="F247" i="11"/>
  <c r="C248" i="11"/>
  <c r="F248" i="11"/>
  <c r="C249" i="11"/>
  <c r="F249" i="11"/>
  <c r="C250" i="11"/>
  <c r="F250" i="11"/>
  <c r="C251" i="11"/>
  <c r="F251" i="11"/>
  <c r="C252" i="11"/>
  <c r="F252" i="11"/>
  <c r="C253" i="11"/>
  <c r="F253" i="11"/>
  <c r="C254" i="11"/>
  <c r="F254" i="11"/>
  <c r="C255" i="11"/>
  <c r="F255" i="11"/>
  <c r="C256" i="11"/>
  <c r="F256" i="11"/>
  <c r="C257" i="11"/>
  <c r="F257" i="11"/>
  <c r="C258" i="11"/>
  <c r="F258" i="11"/>
  <c r="C259" i="11"/>
  <c r="F259" i="11"/>
  <c r="C260" i="11"/>
  <c r="F260" i="11"/>
  <c r="C261" i="11"/>
  <c r="F261" i="11"/>
  <c r="C262" i="11"/>
  <c r="F262" i="11"/>
  <c r="C263" i="11"/>
  <c r="F263" i="11"/>
  <c r="C264" i="11"/>
  <c r="F264" i="11"/>
  <c r="C265" i="11"/>
  <c r="F265" i="11"/>
  <c r="C266" i="11"/>
  <c r="F266" i="11"/>
  <c r="C267" i="11"/>
  <c r="F267" i="11"/>
  <c r="C268" i="11"/>
  <c r="F268" i="11"/>
  <c r="C269" i="11"/>
  <c r="F269" i="11"/>
  <c r="C270" i="11"/>
  <c r="F270" i="11"/>
  <c r="C271" i="11"/>
  <c r="F271" i="11"/>
  <c r="C272" i="11"/>
  <c r="F272" i="11"/>
  <c r="C273" i="11"/>
  <c r="F273" i="11"/>
  <c r="C274" i="11"/>
  <c r="F274" i="11"/>
  <c r="C275" i="11"/>
  <c r="F275" i="11"/>
  <c r="C276" i="11"/>
  <c r="F276" i="11"/>
  <c r="C277" i="11"/>
  <c r="F277" i="11"/>
  <c r="C278" i="11"/>
  <c r="F278" i="11"/>
  <c r="C279" i="11"/>
  <c r="F279" i="11"/>
  <c r="C280" i="11"/>
  <c r="F280" i="11"/>
  <c r="C281" i="11"/>
  <c r="F281" i="11"/>
  <c r="C282" i="11"/>
  <c r="F282" i="11"/>
  <c r="C283" i="11"/>
  <c r="F283" i="11"/>
  <c r="C284" i="11"/>
  <c r="F284" i="11"/>
  <c r="C285" i="11"/>
  <c r="F285" i="11"/>
  <c r="C286" i="11"/>
  <c r="F286" i="11"/>
  <c r="C287" i="11"/>
  <c r="F287" i="11"/>
  <c r="C288" i="11"/>
  <c r="F288" i="11"/>
  <c r="C289" i="11"/>
  <c r="F289" i="11"/>
  <c r="C290" i="11"/>
  <c r="F290" i="11"/>
  <c r="C291" i="11"/>
  <c r="F291" i="11"/>
  <c r="C292" i="11"/>
  <c r="F292" i="11"/>
  <c r="C293" i="11"/>
  <c r="F293" i="11"/>
  <c r="C294" i="11"/>
  <c r="F294" i="11"/>
  <c r="C295" i="11"/>
  <c r="F295" i="11"/>
  <c r="C296" i="11"/>
  <c r="F296" i="11"/>
  <c r="C297" i="11"/>
  <c r="F297" i="11"/>
  <c r="C298" i="11"/>
  <c r="F298" i="11"/>
  <c r="C299" i="11"/>
  <c r="F299" i="11"/>
  <c r="C300" i="11"/>
  <c r="F300" i="11"/>
  <c r="C301" i="11"/>
  <c r="F301" i="11"/>
  <c r="C302" i="11"/>
  <c r="F302" i="11"/>
  <c r="C303" i="11"/>
  <c r="F303" i="11"/>
  <c r="C304" i="11"/>
  <c r="F304" i="11"/>
  <c r="C305" i="11"/>
  <c r="F305" i="11"/>
  <c r="C306" i="11"/>
  <c r="F306" i="11"/>
  <c r="C307" i="11"/>
  <c r="F307" i="11"/>
  <c r="C308" i="11"/>
  <c r="F308" i="11"/>
  <c r="C309" i="11"/>
  <c r="F309" i="11"/>
  <c r="C310" i="11"/>
  <c r="F310" i="11"/>
  <c r="C311" i="11"/>
  <c r="F311" i="11"/>
  <c r="C312" i="11"/>
  <c r="F312" i="11"/>
  <c r="C313" i="11"/>
  <c r="F313" i="11"/>
  <c r="C314" i="11"/>
  <c r="F314" i="11"/>
  <c r="C315" i="11"/>
  <c r="F315" i="11"/>
  <c r="C316" i="11"/>
  <c r="F316" i="11"/>
  <c r="C317" i="11"/>
  <c r="F317" i="11"/>
  <c r="C318" i="11"/>
  <c r="F318" i="11"/>
  <c r="C319" i="11"/>
  <c r="F319" i="11"/>
  <c r="C320" i="11"/>
  <c r="F320" i="11"/>
  <c r="C321" i="11"/>
  <c r="F321" i="11"/>
  <c r="C322" i="11"/>
  <c r="F322" i="11"/>
  <c r="C323" i="11"/>
  <c r="F323" i="11"/>
  <c r="C324" i="11"/>
  <c r="F324" i="11"/>
  <c r="C325" i="11"/>
  <c r="F325" i="11"/>
  <c r="C326" i="11"/>
  <c r="F326" i="11"/>
  <c r="C327" i="11"/>
  <c r="F327" i="11"/>
  <c r="C328" i="11"/>
  <c r="F328" i="11"/>
  <c r="C329" i="11"/>
  <c r="F329" i="11"/>
  <c r="C330" i="11"/>
  <c r="F330" i="11"/>
  <c r="C331" i="11"/>
  <c r="F331" i="11"/>
  <c r="C332" i="11"/>
  <c r="F332" i="11"/>
  <c r="C333" i="11"/>
  <c r="F333" i="11"/>
  <c r="C334" i="11"/>
  <c r="F334" i="11"/>
  <c r="C335" i="11"/>
  <c r="F335" i="11"/>
  <c r="C336" i="11"/>
  <c r="F336" i="11"/>
  <c r="C337" i="11"/>
  <c r="F337" i="11"/>
  <c r="C338" i="11"/>
  <c r="F338" i="11"/>
  <c r="C339" i="11"/>
  <c r="F339" i="11"/>
  <c r="C340" i="11"/>
  <c r="F340" i="11"/>
  <c r="C341" i="11"/>
  <c r="F341" i="11"/>
  <c r="C342" i="11"/>
  <c r="F342" i="11"/>
  <c r="C343" i="11"/>
  <c r="F343" i="11"/>
  <c r="C344" i="11"/>
  <c r="F344" i="11"/>
  <c r="C345" i="11"/>
  <c r="F345" i="11"/>
  <c r="C346" i="11"/>
  <c r="F346" i="11"/>
  <c r="C347" i="11"/>
  <c r="F347" i="11"/>
  <c r="C348" i="11"/>
  <c r="F348" i="11"/>
  <c r="C349" i="11"/>
  <c r="F349" i="11"/>
  <c r="C350" i="11"/>
  <c r="F350" i="11"/>
  <c r="C351" i="11"/>
  <c r="F351" i="11"/>
  <c r="C352" i="11"/>
  <c r="F352" i="11"/>
  <c r="C353" i="11"/>
  <c r="F353" i="11"/>
  <c r="C354" i="11"/>
  <c r="F354" i="11"/>
  <c r="C355" i="11"/>
  <c r="F355" i="11"/>
  <c r="C356" i="11"/>
  <c r="F356" i="11"/>
  <c r="C357" i="11"/>
  <c r="F357" i="11"/>
  <c r="C358" i="11"/>
  <c r="F358" i="11"/>
  <c r="C359" i="11"/>
  <c r="F359" i="11"/>
  <c r="C360" i="11"/>
  <c r="F360" i="11"/>
  <c r="C361" i="11"/>
  <c r="F361" i="11"/>
  <c r="C362" i="11"/>
  <c r="F362" i="11"/>
  <c r="C363" i="11"/>
  <c r="F363" i="11"/>
  <c r="C364" i="11"/>
  <c r="F364" i="11"/>
  <c r="C365" i="11"/>
  <c r="F365" i="11"/>
  <c r="C366" i="11"/>
  <c r="F366" i="11"/>
  <c r="C367" i="11"/>
  <c r="F367" i="11"/>
  <c r="C368" i="11"/>
  <c r="F368" i="11"/>
  <c r="C369" i="11"/>
  <c r="F369" i="11"/>
  <c r="C370" i="11"/>
  <c r="F370" i="11"/>
  <c r="C371" i="11"/>
  <c r="F371" i="11"/>
  <c r="C372" i="11"/>
  <c r="F372" i="11"/>
  <c r="C373" i="11"/>
  <c r="F373" i="11"/>
  <c r="C374" i="11"/>
  <c r="F374" i="11"/>
  <c r="C375" i="11"/>
  <c r="F375" i="11"/>
  <c r="C376" i="11"/>
  <c r="F376" i="11"/>
  <c r="C377" i="11"/>
  <c r="F377" i="11"/>
  <c r="C378" i="11"/>
  <c r="F378" i="11"/>
  <c r="C379" i="11"/>
  <c r="F379" i="11"/>
  <c r="C380" i="11"/>
  <c r="F380" i="11"/>
  <c r="C381" i="11"/>
  <c r="F381" i="11"/>
  <c r="C382" i="11"/>
  <c r="F382" i="11"/>
  <c r="C383" i="11"/>
  <c r="F383" i="11"/>
  <c r="C384" i="11"/>
  <c r="F384" i="11"/>
  <c r="C385" i="11"/>
  <c r="F385" i="11"/>
  <c r="C386" i="11"/>
  <c r="F386" i="11"/>
  <c r="C387" i="11"/>
  <c r="F387" i="11"/>
  <c r="C388" i="11"/>
  <c r="F388" i="11"/>
  <c r="C389" i="11"/>
  <c r="F389" i="11"/>
  <c r="C390" i="11"/>
  <c r="F390" i="11"/>
  <c r="C391" i="11"/>
  <c r="F391" i="11"/>
  <c r="C392" i="11"/>
  <c r="F392" i="11"/>
  <c r="C393" i="11"/>
  <c r="F393" i="11"/>
  <c r="C394" i="11"/>
  <c r="F394" i="11"/>
  <c r="C395" i="11"/>
  <c r="F395" i="11"/>
  <c r="C396" i="11"/>
  <c r="F396" i="11"/>
  <c r="C397" i="11"/>
  <c r="F397" i="11"/>
  <c r="C398" i="11"/>
  <c r="F398" i="11"/>
  <c r="C399" i="11"/>
  <c r="F399" i="11"/>
  <c r="C400" i="11"/>
  <c r="F400" i="11"/>
  <c r="C401" i="11"/>
  <c r="F401" i="11"/>
  <c r="C402" i="11"/>
  <c r="F402" i="11"/>
  <c r="C403" i="11"/>
  <c r="F403" i="11"/>
  <c r="C404" i="11"/>
  <c r="F404" i="11"/>
  <c r="C405" i="11"/>
  <c r="F405" i="11"/>
  <c r="C406" i="11"/>
  <c r="F406" i="11"/>
  <c r="C407" i="11"/>
  <c r="F407" i="11"/>
  <c r="C408" i="11"/>
  <c r="F408" i="11"/>
  <c r="C409" i="11"/>
  <c r="F409" i="11"/>
  <c r="C410" i="11"/>
  <c r="F410" i="11"/>
  <c r="C411" i="11"/>
  <c r="F411" i="11"/>
  <c r="C412" i="11"/>
  <c r="F412" i="11"/>
  <c r="C413" i="11"/>
  <c r="F413" i="11"/>
  <c r="C414" i="11"/>
  <c r="F414" i="11"/>
  <c r="C415" i="11"/>
  <c r="F415" i="11"/>
  <c r="C416" i="11"/>
  <c r="F416" i="11"/>
  <c r="C417" i="11"/>
  <c r="F417" i="11"/>
  <c r="C418" i="11"/>
  <c r="F418" i="11"/>
  <c r="C419" i="11"/>
  <c r="F419" i="11"/>
  <c r="C420" i="11"/>
  <c r="F420" i="11"/>
  <c r="C421" i="11"/>
  <c r="F421" i="11"/>
  <c r="C422" i="11"/>
  <c r="F422" i="11"/>
  <c r="C423" i="11"/>
  <c r="F423" i="11"/>
  <c r="C424" i="11"/>
  <c r="F424" i="11"/>
  <c r="C425" i="11"/>
  <c r="F425" i="11"/>
  <c r="C426" i="11"/>
  <c r="F426" i="11"/>
  <c r="C427" i="11"/>
  <c r="F427" i="11"/>
  <c r="C428" i="11"/>
  <c r="F428" i="11"/>
  <c r="C429" i="11"/>
  <c r="F429" i="11"/>
  <c r="C430" i="11"/>
  <c r="F430" i="11"/>
  <c r="C431" i="11"/>
  <c r="F431" i="11"/>
  <c r="C432" i="11"/>
  <c r="F432" i="11"/>
  <c r="C433" i="11"/>
  <c r="F433" i="11"/>
  <c r="C434" i="11"/>
  <c r="F434" i="11"/>
  <c r="C435" i="11"/>
  <c r="F435" i="11"/>
  <c r="C436" i="11"/>
  <c r="F436" i="11"/>
  <c r="C437" i="11"/>
  <c r="F437" i="11"/>
  <c r="C438" i="11"/>
  <c r="F438" i="11"/>
  <c r="C439" i="11"/>
  <c r="F439" i="11"/>
  <c r="C440" i="11"/>
  <c r="F440" i="11"/>
  <c r="C441" i="11"/>
  <c r="F441" i="11"/>
  <c r="C442" i="11"/>
  <c r="F442" i="11"/>
  <c r="C443" i="11"/>
  <c r="F443" i="11"/>
  <c r="C444" i="11"/>
  <c r="F444" i="11"/>
  <c r="C445" i="11"/>
  <c r="F445" i="11"/>
  <c r="C446" i="11"/>
  <c r="F446" i="11"/>
  <c r="C447" i="11"/>
  <c r="F447" i="11"/>
  <c r="C448" i="11"/>
  <c r="F448" i="11"/>
  <c r="C449" i="11"/>
  <c r="F449" i="11"/>
  <c r="C450" i="11"/>
  <c r="F450" i="11"/>
  <c r="C451" i="11"/>
  <c r="F451" i="11"/>
  <c r="C452" i="11"/>
  <c r="F452" i="11"/>
  <c r="C453" i="11"/>
  <c r="F453" i="11"/>
  <c r="C454" i="11"/>
  <c r="F454" i="11"/>
  <c r="C455" i="11"/>
  <c r="F455" i="11"/>
  <c r="C456" i="11"/>
  <c r="F456" i="11"/>
  <c r="C457" i="11"/>
  <c r="F457" i="11"/>
  <c r="C458" i="11"/>
  <c r="F458" i="11"/>
  <c r="C459" i="11"/>
  <c r="F459" i="11"/>
  <c r="C460" i="11"/>
  <c r="F460" i="11"/>
  <c r="C461" i="11"/>
  <c r="F461" i="11"/>
  <c r="C462" i="11"/>
  <c r="F462" i="11"/>
  <c r="C463" i="11"/>
  <c r="F463" i="11"/>
  <c r="C464" i="11"/>
  <c r="F464" i="11"/>
  <c r="C465" i="11"/>
  <c r="F465" i="11"/>
  <c r="C466" i="11"/>
  <c r="F466" i="11"/>
  <c r="C467" i="11"/>
  <c r="F467" i="11"/>
  <c r="C468" i="11"/>
  <c r="F468" i="11"/>
  <c r="C469" i="11"/>
  <c r="F469" i="11"/>
  <c r="C470" i="11"/>
  <c r="F470" i="11"/>
  <c r="C471" i="11"/>
  <c r="F471" i="11"/>
  <c r="C472" i="11"/>
  <c r="F472" i="11"/>
  <c r="C473" i="11"/>
  <c r="F473" i="11"/>
  <c r="C474" i="11"/>
  <c r="F474" i="11"/>
  <c r="C475" i="11"/>
  <c r="F475" i="11"/>
  <c r="C476" i="11"/>
  <c r="F476" i="11"/>
  <c r="C477" i="11"/>
  <c r="F477" i="11"/>
  <c r="C478" i="11"/>
  <c r="F478" i="11"/>
  <c r="C479" i="11"/>
  <c r="F479" i="11"/>
  <c r="C480" i="11"/>
  <c r="F480" i="11"/>
  <c r="C481" i="11"/>
  <c r="F481" i="11"/>
  <c r="C482" i="11"/>
  <c r="F482" i="11"/>
  <c r="C483" i="11"/>
  <c r="F483" i="11"/>
  <c r="C484" i="11"/>
  <c r="F484" i="11"/>
  <c r="C485" i="11"/>
  <c r="F485" i="11"/>
  <c r="C486" i="11"/>
  <c r="F486" i="11"/>
  <c r="C487" i="11"/>
  <c r="F487" i="11"/>
  <c r="C488" i="11"/>
  <c r="F488" i="11"/>
  <c r="C489" i="11"/>
  <c r="F489" i="11"/>
  <c r="C490" i="11"/>
  <c r="F490" i="11"/>
  <c r="C491" i="11"/>
  <c r="F491" i="11"/>
  <c r="C492" i="11"/>
  <c r="F492" i="11"/>
  <c r="C493" i="11"/>
  <c r="F493" i="11"/>
  <c r="C494" i="11"/>
  <c r="F494" i="11"/>
  <c r="C495" i="11"/>
  <c r="F495" i="11"/>
  <c r="C496" i="11"/>
  <c r="F496" i="11"/>
  <c r="C497" i="11"/>
  <c r="F497" i="11"/>
  <c r="C498" i="11"/>
  <c r="F498" i="11"/>
  <c r="C499" i="11"/>
  <c r="F499" i="11"/>
  <c r="C500" i="11"/>
  <c r="F500" i="11"/>
  <c r="C501" i="11"/>
  <c r="F501" i="11"/>
  <c r="C502" i="11"/>
  <c r="F502" i="11"/>
  <c r="C503" i="11"/>
  <c r="F503" i="11"/>
  <c r="C504" i="11"/>
  <c r="F504" i="11"/>
  <c r="C505" i="11"/>
  <c r="F505" i="11"/>
  <c r="C506" i="11"/>
  <c r="F506" i="11"/>
  <c r="C507" i="11"/>
  <c r="F507" i="11"/>
  <c r="C508" i="11"/>
  <c r="F508" i="11"/>
  <c r="C509" i="11"/>
  <c r="F509" i="11"/>
  <c r="C510" i="11"/>
  <c r="F510" i="11"/>
  <c r="C511" i="11"/>
  <c r="F511" i="11"/>
  <c r="C512" i="11"/>
  <c r="F512" i="11"/>
  <c r="C513" i="11"/>
  <c r="F513" i="11"/>
  <c r="C514" i="11"/>
  <c r="F514" i="11"/>
  <c r="C515" i="11"/>
  <c r="F515" i="11"/>
  <c r="C516" i="11"/>
  <c r="F516" i="11"/>
  <c r="C517" i="11"/>
  <c r="F517" i="11"/>
  <c r="C518" i="11"/>
  <c r="F518" i="11"/>
  <c r="C519" i="11"/>
  <c r="F519" i="11"/>
  <c r="C520" i="11"/>
  <c r="F520" i="11"/>
  <c r="C521" i="11"/>
  <c r="F521" i="11"/>
  <c r="C522" i="11"/>
  <c r="F522" i="11"/>
  <c r="C523" i="11"/>
  <c r="F523" i="11"/>
  <c r="C524" i="11"/>
  <c r="F524" i="11"/>
  <c r="C525" i="11"/>
  <c r="F525" i="11"/>
  <c r="C526" i="11"/>
  <c r="F526" i="11"/>
  <c r="C527" i="11"/>
  <c r="F527" i="11"/>
  <c r="C528" i="11"/>
  <c r="F528" i="11"/>
  <c r="C529" i="11"/>
  <c r="F529" i="11"/>
  <c r="C2" i="17"/>
  <c r="C3" i="17"/>
  <c r="C4" i="17"/>
  <c r="C5" i="17"/>
  <c r="G2" i="17"/>
  <c r="H2" i="17"/>
  <c r="G3" i="17"/>
  <c r="H3" i="17"/>
  <c r="G4" i="17"/>
  <c r="H4" i="17"/>
  <c r="G5" i="17"/>
  <c r="H5" i="17"/>
  <c r="C6" i="17"/>
  <c r="G6" i="17"/>
  <c r="H6" i="17"/>
  <c r="C7" i="17"/>
  <c r="G7" i="17"/>
  <c r="H7" i="17"/>
  <c r="C8" i="17"/>
  <c r="G8" i="17"/>
  <c r="H8" i="17"/>
  <c r="C9" i="17"/>
  <c r="G9" i="17"/>
  <c r="H9" i="17"/>
  <c r="C10" i="17"/>
  <c r="G10" i="17"/>
  <c r="H10" i="17"/>
  <c r="C11" i="17"/>
  <c r="G11" i="17"/>
  <c r="H11" i="17"/>
  <c r="C12" i="17"/>
  <c r="G12" i="17"/>
  <c r="H12" i="17"/>
  <c r="C13" i="17"/>
  <c r="G13" i="17"/>
  <c r="H13" i="17"/>
  <c r="C14" i="17"/>
  <c r="G14" i="17"/>
  <c r="H14" i="17"/>
  <c r="C15" i="17"/>
  <c r="G15" i="17"/>
  <c r="H15" i="17"/>
  <c r="C16" i="17"/>
  <c r="G16" i="17"/>
  <c r="H16" i="17"/>
  <c r="C17" i="17"/>
  <c r="G17" i="17"/>
  <c r="H17" i="17"/>
  <c r="C18" i="17"/>
  <c r="G18" i="17"/>
  <c r="H18" i="17"/>
  <c r="C19" i="17"/>
  <c r="G19" i="17"/>
  <c r="H19" i="17"/>
  <c r="C20" i="17"/>
  <c r="G20" i="17"/>
  <c r="H20" i="17"/>
  <c r="C21" i="17"/>
  <c r="G21" i="17"/>
  <c r="H21" i="17"/>
  <c r="C22" i="17"/>
  <c r="G22" i="17"/>
  <c r="H22" i="17"/>
  <c r="C23" i="17"/>
  <c r="G23" i="17"/>
  <c r="H23" i="17"/>
  <c r="C24" i="17"/>
  <c r="G24" i="17"/>
  <c r="H24" i="17"/>
  <c r="C25" i="17"/>
  <c r="G25" i="17"/>
  <c r="H25" i="17"/>
  <c r="C26" i="17"/>
  <c r="G26" i="17"/>
  <c r="H26" i="17"/>
  <c r="C27" i="17"/>
  <c r="G27" i="17"/>
  <c r="H27" i="17"/>
  <c r="C28" i="17"/>
  <c r="G28" i="17"/>
  <c r="H28" i="17"/>
  <c r="C29" i="17"/>
  <c r="G29" i="17"/>
  <c r="H29" i="17"/>
  <c r="C30" i="17"/>
  <c r="G30" i="17"/>
  <c r="H30" i="17"/>
  <c r="C31" i="17"/>
  <c r="G31" i="17"/>
  <c r="H31" i="17"/>
  <c r="C32" i="17"/>
  <c r="G32" i="17"/>
  <c r="H32" i="17"/>
  <c r="C33" i="17"/>
  <c r="G33" i="17"/>
  <c r="H33" i="17"/>
  <c r="C34" i="17"/>
  <c r="G34" i="17"/>
  <c r="H34" i="17"/>
  <c r="C35" i="17"/>
  <c r="G35" i="17"/>
  <c r="H35" i="17"/>
  <c r="C36" i="17"/>
  <c r="G36" i="17"/>
  <c r="H36" i="17"/>
  <c r="C37" i="17"/>
  <c r="G37" i="17"/>
  <c r="H37" i="17"/>
  <c r="C38" i="17"/>
  <c r="G38" i="17"/>
  <c r="H38" i="17"/>
  <c r="C39" i="17"/>
  <c r="G39" i="17"/>
  <c r="H39" i="17"/>
  <c r="C40" i="17"/>
  <c r="G40" i="17"/>
  <c r="H40" i="17"/>
  <c r="C41" i="17"/>
  <c r="G41" i="17"/>
  <c r="H41" i="17"/>
  <c r="C42" i="17"/>
  <c r="G42" i="17"/>
  <c r="H42" i="17"/>
  <c r="C43" i="17"/>
  <c r="G43" i="17"/>
  <c r="H43" i="17"/>
  <c r="C44" i="17"/>
  <c r="G44" i="17"/>
  <c r="H44" i="17"/>
  <c r="C45" i="17"/>
  <c r="G45" i="17"/>
  <c r="H45" i="17"/>
  <c r="C46" i="17"/>
  <c r="G46" i="17"/>
  <c r="H46" i="17"/>
  <c r="C47" i="17"/>
  <c r="G47" i="17"/>
  <c r="H47" i="17"/>
  <c r="C48" i="17"/>
  <c r="G48" i="17"/>
  <c r="H48" i="17"/>
  <c r="C49" i="17"/>
  <c r="G49" i="17"/>
  <c r="H49" i="17"/>
  <c r="C50" i="17"/>
  <c r="G50" i="17"/>
  <c r="H50" i="17"/>
  <c r="C51" i="17"/>
  <c r="G51" i="17"/>
  <c r="H51" i="17"/>
  <c r="C52" i="17"/>
  <c r="G52" i="17"/>
  <c r="H52" i="17"/>
  <c r="C53" i="17"/>
  <c r="G53" i="17"/>
  <c r="H53" i="17"/>
  <c r="C54" i="17"/>
  <c r="G54" i="17"/>
  <c r="H54" i="17"/>
  <c r="C55" i="17"/>
  <c r="G55" i="17"/>
  <c r="H55" i="17"/>
  <c r="C56" i="17"/>
  <c r="G56" i="17"/>
  <c r="H56" i="17"/>
  <c r="C57" i="17"/>
  <c r="G57" i="17"/>
  <c r="H57" i="17"/>
  <c r="C58" i="17"/>
  <c r="G58" i="17"/>
  <c r="H58" i="17"/>
  <c r="C59" i="17"/>
  <c r="G59" i="17"/>
  <c r="H59" i="17"/>
  <c r="C60" i="17"/>
  <c r="G60" i="17"/>
  <c r="H60" i="17"/>
  <c r="C61" i="17"/>
  <c r="G61" i="17"/>
  <c r="H61" i="17"/>
  <c r="C62" i="17"/>
  <c r="G62" i="17"/>
  <c r="H62" i="17"/>
  <c r="C63" i="17"/>
  <c r="G63" i="17"/>
  <c r="H63" i="17"/>
  <c r="C64" i="17"/>
  <c r="G64" i="17"/>
  <c r="H64" i="17"/>
  <c r="C65" i="17"/>
  <c r="G65" i="17"/>
  <c r="H65" i="17"/>
  <c r="C66" i="17"/>
  <c r="G66" i="17"/>
  <c r="H66" i="17"/>
  <c r="C67" i="17"/>
  <c r="G67" i="17"/>
  <c r="H67" i="17"/>
  <c r="C68" i="17"/>
  <c r="G68" i="17"/>
  <c r="H68" i="17"/>
  <c r="C69" i="17"/>
  <c r="G69" i="17"/>
  <c r="H69" i="17"/>
  <c r="C70" i="17"/>
  <c r="G70" i="17"/>
  <c r="H70" i="17"/>
  <c r="C71" i="17"/>
  <c r="G71" i="17"/>
  <c r="H71" i="17"/>
  <c r="C72" i="17"/>
  <c r="G72" i="17"/>
  <c r="H72" i="17"/>
  <c r="C73" i="17"/>
  <c r="G73" i="17"/>
  <c r="H73" i="17"/>
  <c r="C74" i="17"/>
  <c r="G74" i="17"/>
  <c r="H74" i="17"/>
  <c r="C75" i="17"/>
  <c r="G75" i="17"/>
  <c r="H75" i="17"/>
  <c r="C76" i="17"/>
  <c r="G76" i="17"/>
  <c r="H76" i="17"/>
  <c r="C77" i="17"/>
  <c r="G77" i="17"/>
  <c r="H77" i="17"/>
  <c r="C78" i="17"/>
  <c r="G78" i="17"/>
  <c r="H78" i="17"/>
  <c r="C79" i="17"/>
  <c r="G79" i="17"/>
  <c r="H79" i="17"/>
  <c r="C80" i="17"/>
  <c r="G80" i="17"/>
  <c r="H80" i="17"/>
  <c r="C81" i="17"/>
  <c r="G81" i="17"/>
  <c r="H81" i="17"/>
  <c r="C82" i="17"/>
  <c r="G82" i="17"/>
  <c r="H82" i="17"/>
  <c r="C83" i="17"/>
  <c r="G83" i="17"/>
  <c r="H83" i="17"/>
  <c r="C84" i="17"/>
  <c r="G84" i="17"/>
  <c r="H84" i="17"/>
  <c r="C85" i="17"/>
  <c r="G85" i="17"/>
  <c r="H85" i="17"/>
  <c r="C86" i="17"/>
  <c r="G86" i="17"/>
  <c r="H86" i="17"/>
  <c r="C87" i="17"/>
  <c r="G87" i="17"/>
  <c r="H87" i="17"/>
  <c r="C88" i="17"/>
  <c r="G88" i="17"/>
  <c r="H88" i="17"/>
  <c r="C89" i="17"/>
  <c r="G89" i="17"/>
  <c r="H89" i="17"/>
  <c r="C90" i="17"/>
  <c r="G90" i="17"/>
  <c r="H90" i="17"/>
  <c r="C91" i="17"/>
  <c r="G91" i="17"/>
  <c r="H91" i="17"/>
  <c r="C92" i="17"/>
  <c r="G92" i="17"/>
  <c r="H92" i="17"/>
  <c r="C93" i="17"/>
  <c r="G93" i="17"/>
  <c r="H93" i="17"/>
  <c r="C94" i="17"/>
  <c r="G94" i="17"/>
  <c r="H94" i="17"/>
  <c r="C95" i="17"/>
  <c r="G95" i="17"/>
  <c r="H95" i="17"/>
  <c r="C96" i="17"/>
  <c r="G96" i="17"/>
  <c r="H96" i="17"/>
  <c r="C97" i="17"/>
  <c r="G97" i="17"/>
  <c r="H97" i="17"/>
  <c r="C98" i="17"/>
  <c r="G98" i="17"/>
  <c r="H98" i="17"/>
  <c r="C99" i="17"/>
  <c r="G99" i="17"/>
  <c r="H99" i="17"/>
  <c r="C100" i="17"/>
  <c r="G100" i="17"/>
  <c r="H100" i="17"/>
  <c r="C101" i="17"/>
  <c r="G101" i="17"/>
  <c r="H101" i="17"/>
  <c r="C102" i="17"/>
  <c r="G102" i="17"/>
  <c r="H102" i="17"/>
  <c r="C103" i="17"/>
  <c r="G103" i="17"/>
  <c r="H103" i="17"/>
  <c r="C104" i="17"/>
  <c r="G104" i="17"/>
  <c r="H104" i="17"/>
  <c r="C105" i="17"/>
  <c r="G105" i="17"/>
  <c r="H105" i="17"/>
  <c r="C106" i="17"/>
  <c r="G106" i="17"/>
  <c r="H106" i="17"/>
  <c r="C107" i="17"/>
  <c r="G107" i="17"/>
  <c r="H107" i="17"/>
  <c r="C108" i="17"/>
  <c r="G108" i="17"/>
  <c r="H108" i="17"/>
  <c r="C109" i="17"/>
  <c r="G109" i="17"/>
  <c r="H109" i="17"/>
  <c r="C110" i="17"/>
  <c r="G110" i="17"/>
  <c r="H110" i="17"/>
  <c r="C111" i="17"/>
  <c r="G111" i="17"/>
  <c r="H111" i="17"/>
  <c r="C112" i="17"/>
  <c r="G112" i="17"/>
  <c r="H112" i="17"/>
  <c r="C113" i="17"/>
  <c r="G113" i="17"/>
  <c r="H113" i="17"/>
  <c r="C114" i="17"/>
  <c r="G114" i="17"/>
  <c r="H114" i="17"/>
  <c r="C115" i="17"/>
  <c r="G115" i="17"/>
  <c r="H115" i="17"/>
  <c r="C116" i="17"/>
  <c r="G116" i="17"/>
  <c r="H116" i="17"/>
  <c r="C117" i="17"/>
  <c r="G117" i="17"/>
  <c r="H117" i="17"/>
  <c r="C118" i="17"/>
  <c r="G118" i="17"/>
  <c r="H118" i="17"/>
  <c r="C119" i="17"/>
  <c r="G119" i="17"/>
  <c r="H119" i="17"/>
  <c r="C120" i="17"/>
  <c r="G120" i="17"/>
  <c r="H120" i="17"/>
  <c r="C121" i="17"/>
  <c r="G121" i="17"/>
  <c r="H121" i="17"/>
  <c r="C122" i="17"/>
  <c r="G122" i="17"/>
  <c r="H122" i="17"/>
  <c r="C123" i="17"/>
  <c r="G123" i="17"/>
  <c r="H123" i="17"/>
  <c r="C124" i="17"/>
  <c r="G124" i="17"/>
  <c r="H124" i="17"/>
  <c r="C125" i="17"/>
  <c r="G125" i="17"/>
  <c r="H125" i="17"/>
  <c r="C126" i="17"/>
  <c r="G126" i="17"/>
  <c r="H126" i="17"/>
  <c r="C127" i="17"/>
  <c r="G127" i="17"/>
  <c r="H127" i="17"/>
  <c r="C128" i="17"/>
  <c r="G128" i="17"/>
  <c r="H128" i="17"/>
  <c r="C129" i="17"/>
  <c r="G129" i="17"/>
  <c r="H129" i="17"/>
  <c r="C130" i="17"/>
  <c r="G130" i="17"/>
  <c r="H130" i="17"/>
  <c r="C131" i="17"/>
  <c r="G131" i="17"/>
  <c r="H131" i="17"/>
  <c r="C132" i="17"/>
  <c r="G132" i="17"/>
  <c r="H132" i="17"/>
  <c r="C133" i="17"/>
  <c r="G133" i="17"/>
  <c r="H133" i="17"/>
  <c r="C134" i="17"/>
  <c r="G134" i="17"/>
  <c r="H134" i="17"/>
  <c r="C135" i="17"/>
  <c r="G135" i="17"/>
  <c r="H135" i="17"/>
  <c r="C136" i="17"/>
  <c r="G136" i="17"/>
  <c r="H136" i="17"/>
  <c r="C137" i="17"/>
  <c r="G137" i="17"/>
  <c r="H137" i="17"/>
  <c r="C138" i="17"/>
  <c r="G138" i="17"/>
  <c r="H138" i="17"/>
  <c r="C139" i="17"/>
  <c r="G139" i="17"/>
  <c r="H139" i="17"/>
  <c r="C140" i="17"/>
  <c r="G140" i="17"/>
  <c r="H140" i="17"/>
  <c r="C141" i="17"/>
  <c r="G141" i="17"/>
  <c r="H141" i="17"/>
  <c r="C142" i="17"/>
  <c r="G142" i="17"/>
  <c r="H142" i="17"/>
  <c r="C143" i="17"/>
  <c r="G143" i="17"/>
  <c r="H143" i="17"/>
  <c r="C144" i="17"/>
  <c r="G144" i="17"/>
  <c r="H144" i="17"/>
  <c r="C145" i="17"/>
  <c r="G145" i="17"/>
  <c r="H145" i="17"/>
  <c r="C146" i="17"/>
  <c r="G146" i="17"/>
  <c r="H146" i="17"/>
  <c r="C147" i="17"/>
  <c r="G147" i="17"/>
  <c r="H147" i="17"/>
  <c r="C148" i="17"/>
  <c r="G148" i="17"/>
  <c r="H148" i="17"/>
  <c r="C149" i="17"/>
  <c r="G149" i="17"/>
  <c r="H149" i="17"/>
  <c r="C150" i="17"/>
  <c r="G150" i="17"/>
  <c r="H150" i="17"/>
  <c r="C151" i="17"/>
  <c r="G151" i="17"/>
  <c r="H151" i="17"/>
  <c r="C152" i="17"/>
  <c r="G152" i="17"/>
  <c r="H152" i="17"/>
  <c r="C153" i="17"/>
  <c r="G153" i="17"/>
  <c r="H153" i="17"/>
  <c r="C154" i="17"/>
  <c r="G154" i="17"/>
  <c r="H154" i="17"/>
  <c r="C155" i="17"/>
  <c r="G155" i="17"/>
  <c r="H155" i="17"/>
  <c r="C156" i="17"/>
  <c r="G156" i="17"/>
  <c r="H156" i="17"/>
  <c r="C157" i="17"/>
  <c r="G157" i="17"/>
  <c r="H157" i="17"/>
  <c r="C158" i="17"/>
  <c r="G158" i="17"/>
  <c r="H158" i="17"/>
  <c r="C159" i="17"/>
  <c r="G159" i="17"/>
  <c r="H159" i="17"/>
  <c r="C160" i="17"/>
  <c r="G160" i="17"/>
  <c r="H160" i="17"/>
  <c r="C161" i="17"/>
  <c r="G161" i="17"/>
  <c r="H161" i="17"/>
  <c r="C162" i="17"/>
  <c r="G162" i="17"/>
  <c r="H162" i="17"/>
  <c r="C163" i="17"/>
  <c r="G163" i="17"/>
  <c r="H163" i="17"/>
  <c r="C164" i="17"/>
  <c r="G164" i="17"/>
  <c r="H164" i="17"/>
  <c r="C165" i="17"/>
  <c r="G165" i="17"/>
  <c r="H165" i="17"/>
  <c r="C166" i="17"/>
  <c r="G166" i="17"/>
  <c r="H166" i="17"/>
  <c r="C167" i="17"/>
  <c r="G167" i="17"/>
  <c r="H167" i="17"/>
  <c r="C168" i="17"/>
  <c r="G168" i="17"/>
  <c r="H168" i="17"/>
  <c r="C169" i="17"/>
  <c r="G169" i="17"/>
  <c r="H169" i="17"/>
  <c r="C170" i="17"/>
  <c r="G170" i="17"/>
  <c r="H170" i="17"/>
  <c r="C171" i="17"/>
  <c r="G171" i="17"/>
  <c r="H171" i="17"/>
  <c r="C172" i="17"/>
  <c r="G172" i="17"/>
  <c r="H172" i="17"/>
  <c r="C173" i="17"/>
  <c r="G173" i="17"/>
  <c r="H173" i="17"/>
  <c r="C174" i="17"/>
  <c r="G174" i="17"/>
  <c r="H174" i="17"/>
  <c r="C175" i="17"/>
  <c r="G175" i="17"/>
  <c r="H175" i="17"/>
  <c r="C176" i="17"/>
  <c r="G176" i="17"/>
  <c r="H176" i="17"/>
  <c r="C177" i="17"/>
  <c r="G177" i="17"/>
  <c r="H177" i="17"/>
  <c r="C178" i="17"/>
  <c r="G178" i="17"/>
  <c r="H178" i="17"/>
  <c r="C179" i="17"/>
  <c r="G179" i="17"/>
  <c r="H179" i="17"/>
  <c r="C180" i="17"/>
  <c r="G180" i="17"/>
  <c r="H180" i="17"/>
  <c r="C181" i="17"/>
  <c r="G181" i="17"/>
  <c r="H181" i="17"/>
  <c r="C182" i="17"/>
  <c r="G182" i="17"/>
  <c r="H182" i="17"/>
  <c r="C183" i="17"/>
  <c r="G183" i="17"/>
  <c r="H183" i="17"/>
  <c r="C184" i="17"/>
  <c r="G184" i="17"/>
  <c r="H184" i="17"/>
  <c r="C185" i="17"/>
  <c r="G185" i="17"/>
  <c r="H185" i="17"/>
  <c r="C186" i="17"/>
  <c r="G186" i="17"/>
  <c r="H186" i="17"/>
  <c r="C187" i="17"/>
  <c r="G187" i="17"/>
  <c r="H187" i="17"/>
  <c r="C188" i="17"/>
  <c r="G188" i="17"/>
  <c r="H188" i="17"/>
  <c r="C189" i="17"/>
  <c r="G189" i="17"/>
  <c r="H189" i="17"/>
  <c r="C190" i="17"/>
  <c r="G190" i="17"/>
  <c r="H190" i="17"/>
  <c r="C191" i="17"/>
  <c r="G191" i="17"/>
  <c r="H191" i="17"/>
  <c r="C192" i="17"/>
  <c r="G192" i="17"/>
  <c r="H192" i="17"/>
  <c r="C193" i="17"/>
  <c r="G193" i="17"/>
  <c r="H193" i="17"/>
  <c r="C194" i="17"/>
  <c r="G194" i="17"/>
  <c r="H194" i="17"/>
  <c r="C195" i="17"/>
  <c r="G195" i="17"/>
  <c r="H195" i="17"/>
  <c r="C196" i="17"/>
  <c r="G196" i="17"/>
  <c r="H196" i="17"/>
  <c r="C197" i="17"/>
  <c r="G197" i="17"/>
  <c r="H197" i="17"/>
  <c r="C198" i="17"/>
  <c r="G198" i="17"/>
  <c r="H198" i="17"/>
  <c r="C199" i="17"/>
  <c r="G199" i="17"/>
  <c r="H199" i="17"/>
  <c r="C200" i="17"/>
  <c r="G200" i="17"/>
  <c r="H200" i="17"/>
  <c r="C201" i="17"/>
  <c r="G201" i="17"/>
  <c r="H201" i="17"/>
  <c r="C202" i="17"/>
  <c r="G202" i="17"/>
  <c r="H202" i="17"/>
  <c r="C203" i="17"/>
  <c r="G203" i="17"/>
  <c r="H203" i="17"/>
  <c r="C204" i="17"/>
  <c r="G204" i="17"/>
  <c r="H204" i="17"/>
  <c r="C205" i="17"/>
  <c r="G205" i="17"/>
  <c r="H205" i="17"/>
  <c r="C206" i="17"/>
  <c r="G206" i="17"/>
  <c r="H206" i="17"/>
  <c r="C207" i="17"/>
  <c r="G207" i="17"/>
  <c r="H207" i="17"/>
  <c r="C208" i="17"/>
  <c r="G208" i="17"/>
  <c r="H208" i="17"/>
  <c r="C209" i="17"/>
  <c r="G209" i="17"/>
  <c r="H209" i="17"/>
  <c r="C210" i="17"/>
  <c r="G210" i="17"/>
  <c r="H210" i="17"/>
  <c r="C211" i="17"/>
  <c r="G211" i="17"/>
  <c r="H211" i="17"/>
  <c r="C212" i="17"/>
  <c r="G212" i="17"/>
  <c r="H212" i="17"/>
  <c r="C213" i="17"/>
  <c r="G213" i="17"/>
  <c r="H213" i="17"/>
  <c r="C214" i="17"/>
  <c r="G214" i="17"/>
  <c r="H214" i="17"/>
  <c r="C215" i="17"/>
  <c r="G215" i="17"/>
  <c r="H215" i="17"/>
  <c r="C216" i="17"/>
  <c r="G216" i="17"/>
  <c r="H216" i="17"/>
  <c r="C217" i="17"/>
  <c r="G217" i="17"/>
  <c r="H217" i="17"/>
  <c r="C218" i="17"/>
  <c r="G218" i="17"/>
  <c r="H218" i="17"/>
  <c r="C219" i="17"/>
  <c r="G219" i="17"/>
  <c r="H219" i="17"/>
  <c r="C220" i="17"/>
  <c r="G220" i="17"/>
  <c r="H220" i="17"/>
  <c r="C221" i="17"/>
  <c r="G221" i="17"/>
  <c r="H221" i="17"/>
  <c r="C222" i="17"/>
  <c r="G222" i="17"/>
  <c r="H222" i="17"/>
  <c r="C223" i="17"/>
  <c r="G223" i="17"/>
  <c r="H223" i="17"/>
  <c r="C224" i="17"/>
  <c r="G224" i="17"/>
  <c r="H224" i="17"/>
  <c r="C225" i="17"/>
  <c r="G225" i="17"/>
  <c r="H225" i="17"/>
  <c r="C226" i="17"/>
  <c r="G226" i="17"/>
  <c r="H226" i="17"/>
  <c r="C227" i="17"/>
  <c r="G227" i="17"/>
  <c r="H227" i="17"/>
  <c r="C228" i="17"/>
  <c r="G228" i="17"/>
  <c r="H228" i="17"/>
  <c r="C229" i="17"/>
  <c r="G229" i="17"/>
  <c r="H229" i="17"/>
  <c r="C230" i="17"/>
  <c r="G230" i="17"/>
  <c r="H230" i="17"/>
  <c r="C231" i="17"/>
  <c r="G231" i="17"/>
  <c r="H231" i="17"/>
  <c r="C232" i="17"/>
  <c r="G232" i="17"/>
  <c r="H232" i="17"/>
  <c r="C233" i="17"/>
  <c r="G233" i="17"/>
  <c r="H233" i="17"/>
  <c r="C234" i="17"/>
  <c r="G234" i="17"/>
  <c r="H234" i="17"/>
  <c r="C235" i="17"/>
  <c r="G235" i="17"/>
  <c r="H235" i="17"/>
  <c r="C236" i="17"/>
  <c r="G236" i="17"/>
  <c r="H236" i="17"/>
  <c r="C237" i="17"/>
  <c r="G237" i="17"/>
  <c r="H237" i="17"/>
  <c r="C238" i="17"/>
  <c r="G238" i="17"/>
  <c r="H238" i="17"/>
  <c r="C239" i="17"/>
  <c r="G239" i="17"/>
  <c r="H239" i="17"/>
  <c r="C240" i="17"/>
  <c r="G240" i="17"/>
  <c r="H240" i="17"/>
  <c r="C241" i="17"/>
  <c r="G241" i="17"/>
  <c r="H241" i="17"/>
  <c r="C242" i="17"/>
  <c r="G242" i="17"/>
  <c r="H242" i="17"/>
  <c r="C243" i="17"/>
  <c r="G243" i="17"/>
  <c r="H243" i="17"/>
  <c r="C244" i="17"/>
  <c r="G244" i="17"/>
  <c r="H244" i="17"/>
  <c r="C245" i="17"/>
  <c r="G245" i="17"/>
  <c r="H245" i="17"/>
  <c r="C246" i="17"/>
  <c r="G246" i="17"/>
  <c r="H246" i="17"/>
  <c r="C247" i="17"/>
  <c r="G247" i="17"/>
  <c r="H247" i="17"/>
  <c r="C248" i="17"/>
  <c r="G248" i="17"/>
  <c r="H248" i="17"/>
  <c r="C249" i="17"/>
  <c r="G249" i="17"/>
  <c r="H249" i="17"/>
  <c r="C250" i="17"/>
  <c r="G250" i="17"/>
  <c r="H250" i="17"/>
  <c r="C251" i="17"/>
  <c r="G251" i="17"/>
  <c r="H251" i="17"/>
  <c r="C252" i="17"/>
  <c r="G252" i="17"/>
  <c r="H252" i="17"/>
  <c r="C253" i="17"/>
  <c r="G253" i="17"/>
  <c r="H253" i="17"/>
  <c r="C254" i="17"/>
  <c r="G254" i="17"/>
  <c r="H254" i="17"/>
  <c r="C255" i="17"/>
  <c r="G255" i="17"/>
  <c r="H255" i="17"/>
  <c r="C256" i="17"/>
  <c r="G256" i="17"/>
  <c r="H256" i="17"/>
  <c r="C257" i="17"/>
  <c r="G257" i="17"/>
  <c r="H257" i="17"/>
  <c r="C258" i="17"/>
  <c r="G258" i="17"/>
  <c r="H258" i="17"/>
  <c r="C259" i="17"/>
  <c r="G259" i="17"/>
  <c r="H259" i="17"/>
  <c r="C260" i="17"/>
  <c r="G260" i="17"/>
  <c r="H260" i="17"/>
  <c r="C261" i="17"/>
  <c r="G261" i="17"/>
  <c r="H261" i="17"/>
  <c r="C262" i="17"/>
  <c r="G262" i="17"/>
  <c r="H262" i="17"/>
  <c r="C263" i="17"/>
  <c r="G263" i="17"/>
  <c r="H263" i="17"/>
  <c r="C264" i="17"/>
  <c r="G264" i="17"/>
  <c r="H264" i="17"/>
  <c r="C265" i="17"/>
  <c r="G265" i="17"/>
  <c r="H265" i="17"/>
  <c r="C266" i="17"/>
  <c r="G266" i="17"/>
  <c r="H266" i="17"/>
  <c r="C267" i="17"/>
  <c r="G267" i="17"/>
  <c r="H267" i="17"/>
  <c r="C268" i="17"/>
  <c r="G268" i="17"/>
  <c r="H268" i="17"/>
  <c r="C269" i="17"/>
  <c r="G269" i="17"/>
  <c r="H269" i="17"/>
  <c r="C270" i="17"/>
  <c r="G270" i="17"/>
  <c r="H270" i="17"/>
  <c r="C271" i="17"/>
  <c r="G271" i="17"/>
  <c r="H271" i="17"/>
  <c r="C272" i="17"/>
  <c r="G272" i="17"/>
  <c r="H272" i="17"/>
  <c r="C273" i="17"/>
  <c r="G273" i="17"/>
  <c r="H273" i="17"/>
  <c r="C274" i="17"/>
  <c r="G274" i="17"/>
  <c r="H274" i="17"/>
  <c r="C275" i="17"/>
  <c r="G275" i="17"/>
  <c r="H275" i="17"/>
  <c r="C276" i="17"/>
  <c r="G276" i="17"/>
  <c r="H276" i="17"/>
  <c r="C277" i="17"/>
  <c r="G277" i="17"/>
  <c r="H277" i="17"/>
  <c r="C278" i="17"/>
  <c r="G278" i="17"/>
  <c r="H278" i="17"/>
  <c r="C279" i="17"/>
  <c r="G279" i="17"/>
  <c r="H279" i="17"/>
  <c r="C280" i="17"/>
  <c r="G280" i="17"/>
  <c r="H280" i="17"/>
  <c r="C281" i="17"/>
  <c r="G281" i="17"/>
  <c r="H281" i="17"/>
  <c r="C282" i="17"/>
  <c r="G282" i="17"/>
  <c r="H282" i="17"/>
  <c r="C283" i="17"/>
  <c r="G283" i="17"/>
  <c r="H283" i="17"/>
  <c r="C284" i="17"/>
  <c r="G284" i="17"/>
  <c r="H284" i="17"/>
  <c r="C285" i="17"/>
  <c r="G285" i="17"/>
  <c r="H285" i="17"/>
  <c r="C286" i="17"/>
  <c r="G286" i="17"/>
  <c r="H286" i="17"/>
  <c r="C287" i="17"/>
  <c r="G287" i="17"/>
  <c r="H287" i="17"/>
  <c r="C288" i="17"/>
  <c r="G288" i="17"/>
  <c r="H288" i="17"/>
  <c r="C289" i="17"/>
  <c r="G289" i="17"/>
  <c r="H289" i="17"/>
  <c r="C290" i="17"/>
  <c r="G290" i="17"/>
  <c r="H290" i="17"/>
  <c r="C291" i="17"/>
  <c r="G291" i="17"/>
  <c r="H291" i="17"/>
  <c r="C292" i="17"/>
  <c r="G292" i="17"/>
  <c r="H292" i="17"/>
  <c r="C293" i="17"/>
  <c r="G293" i="17"/>
  <c r="H293" i="17"/>
  <c r="C294" i="17"/>
  <c r="G294" i="17"/>
  <c r="H294" i="17"/>
  <c r="C295" i="17"/>
  <c r="G295" i="17"/>
  <c r="H295" i="17"/>
  <c r="C296" i="17"/>
  <c r="G296" i="17"/>
  <c r="H296" i="17"/>
  <c r="C297" i="17"/>
  <c r="G297" i="17"/>
  <c r="H297" i="17"/>
  <c r="C298" i="17"/>
  <c r="G298" i="17"/>
  <c r="H298" i="17"/>
  <c r="C299" i="17"/>
  <c r="G299" i="17"/>
  <c r="H299" i="17"/>
  <c r="C300" i="17"/>
  <c r="G300" i="17"/>
  <c r="H300" i="17"/>
  <c r="C301" i="17"/>
  <c r="G301" i="17"/>
  <c r="H301" i="17"/>
  <c r="C302" i="17"/>
  <c r="G302" i="17"/>
  <c r="H302" i="17"/>
  <c r="C303" i="17"/>
  <c r="G303" i="17"/>
  <c r="H303" i="17"/>
  <c r="C304" i="17"/>
  <c r="G304" i="17"/>
  <c r="H304" i="17"/>
  <c r="C305" i="17"/>
  <c r="G305" i="17"/>
  <c r="H305" i="17"/>
  <c r="C306" i="17"/>
  <c r="G306" i="17"/>
  <c r="H306" i="17"/>
  <c r="C307" i="17"/>
  <c r="G307" i="17"/>
  <c r="H307" i="17"/>
  <c r="C308" i="17"/>
  <c r="G308" i="17"/>
  <c r="H308" i="17"/>
  <c r="C309" i="17"/>
  <c r="G309" i="17"/>
  <c r="H309" i="17"/>
  <c r="C310" i="17"/>
  <c r="G310" i="17"/>
  <c r="H310" i="17"/>
  <c r="C311" i="17"/>
  <c r="G311" i="17"/>
  <c r="H311" i="17"/>
  <c r="C312" i="17"/>
  <c r="G312" i="17"/>
  <c r="H312" i="17"/>
  <c r="C313" i="17"/>
  <c r="G313" i="17"/>
  <c r="H313" i="17"/>
  <c r="C314" i="17"/>
  <c r="G314" i="17"/>
  <c r="H314" i="17"/>
  <c r="C315" i="17"/>
  <c r="G315" i="17"/>
  <c r="H315" i="17"/>
  <c r="C316" i="17"/>
  <c r="G316" i="17"/>
  <c r="H316" i="17"/>
  <c r="C317" i="17"/>
  <c r="G317" i="17"/>
  <c r="H317" i="17"/>
  <c r="C318" i="17"/>
  <c r="G318" i="17"/>
  <c r="H318" i="17"/>
  <c r="C319" i="17"/>
  <c r="G319" i="17"/>
  <c r="H319" i="17"/>
  <c r="C320" i="17"/>
  <c r="G320" i="17"/>
  <c r="H320" i="17"/>
  <c r="C321" i="17"/>
  <c r="G321" i="17"/>
  <c r="H321" i="17"/>
  <c r="C322" i="17"/>
  <c r="G322" i="17"/>
  <c r="H322" i="17"/>
  <c r="C323" i="17"/>
  <c r="G323" i="17"/>
  <c r="H323" i="17"/>
  <c r="C324" i="17"/>
  <c r="G324" i="17"/>
  <c r="H324" i="17"/>
  <c r="C325" i="17"/>
  <c r="G325" i="17"/>
  <c r="H325" i="17"/>
  <c r="C326" i="17"/>
  <c r="G326" i="17"/>
  <c r="H326" i="17"/>
  <c r="C327" i="17"/>
  <c r="G327" i="17"/>
  <c r="H327" i="17"/>
  <c r="C328" i="17"/>
  <c r="G328" i="17"/>
  <c r="H328" i="17"/>
  <c r="C329" i="17"/>
  <c r="G329" i="17"/>
  <c r="H329" i="17"/>
  <c r="C330" i="17"/>
  <c r="G330" i="17"/>
  <c r="H330" i="17"/>
  <c r="C331" i="17"/>
  <c r="G331" i="17"/>
  <c r="H331" i="17"/>
  <c r="C332" i="17"/>
  <c r="G332" i="17"/>
  <c r="H332" i="17"/>
  <c r="C333" i="17"/>
  <c r="G333" i="17"/>
  <c r="H333" i="17"/>
  <c r="C334" i="17"/>
  <c r="G334" i="17"/>
  <c r="H334" i="17"/>
  <c r="C335" i="17"/>
  <c r="G335" i="17"/>
  <c r="H335" i="17"/>
  <c r="C336" i="17"/>
  <c r="G336" i="17"/>
  <c r="H336" i="17"/>
  <c r="C337" i="17"/>
  <c r="G337" i="17"/>
  <c r="H337" i="17"/>
  <c r="C338" i="17"/>
  <c r="G338" i="17"/>
  <c r="H338" i="17"/>
  <c r="C339" i="17"/>
  <c r="G339" i="17"/>
  <c r="H339" i="17"/>
  <c r="C340" i="17"/>
  <c r="G340" i="17"/>
  <c r="H340" i="17"/>
  <c r="C341" i="17"/>
  <c r="G341" i="17"/>
  <c r="H341" i="17"/>
  <c r="C342" i="17"/>
  <c r="G342" i="17"/>
  <c r="H342" i="17"/>
  <c r="C343" i="17"/>
  <c r="G343" i="17"/>
  <c r="H343" i="17"/>
  <c r="C344" i="17"/>
  <c r="G344" i="17"/>
  <c r="H344" i="17"/>
  <c r="C345" i="17"/>
  <c r="G345" i="17"/>
  <c r="H345" i="17"/>
  <c r="C346" i="17"/>
  <c r="G346" i="17"/>
  <c r="H346" i="17"/>
  <c r="C347" i="17"/>
  <c r="G347" i="17"/>
  <c r="H347" i="17"/>
  <c r="C348" i="17"/>
  <c r="G348" i="17"/>
  <c r="H348" i="17"/>
  <c r="C349" i="17"/>
  <c r="G349" i="17"/>
  <c r="H349" i="17"/>
  <c r="C350" i="17"/>
  <c r="G350" i="17"/>
  <c r="H350" i="17"/>
  <c r="C351" i="17"/>
  <c r="G351" i="17"/>
  <c r="H351" i="17"/>
  <c r="C352" i="17"/>
  <c r="G352" i="17"/>
  <c r="H352" i="17"/>
  <c r="C353" i="17"/>
  <c r="G353" i="17"/>
  <c r="H353" i="17"/>
  <c r="C354" i="17"/>
  <c r="G354" i="17"/>
  <c r="H354" i="17"/>
  <c r="C355" i="17"/>
  <c r="G355" i="17"/>
  <c r="H355" i="17"/>
  <c r="C356" i="17"/>
  <c r="G356" i="17"/>
  <c r="H356" i="17"/>
  <c r="C357" i="17"/>
  <c r="G357" i="17"/>
  <c r="H357" i="17"/>
  <c r="C358" i="17"/>
  <c r="G358" i="17"/>
  <c r="H358" i="17"/>
  <c r="C359" i="17"/>
  <c r="G359" i="17"/>
  <c r="H359" i="17"/>
  <c r="C360" i="17"/>
  <c r="G360" i="17"/>
  <c r="H360" i="17"/>
  <c r="C361" i="17"/>
  <c r="G361" i="17"/>
  <c r="H361" i="17"/>
  <c r="C362" i="17"/>
  <c r="G362" i="17"/>
  <c r="H362" i="17"/>
  <c r="C363" i="17"/>
  <c r="G363" i="17"/>
  <c r="H363" i="17"/>
  <c r="C364" i="17"/>
  <c r="G364" i="17"/>
  <c r="H364" i="17"/>
  <c r="C365" i="17"/>
  <c r="G365" i="17"/>
  <c r="H365" i="17"/>
  <c r="C366" i="17"/>
  <c r="G366" i="17"/>
  <c r="H366" i="17"/>
  <c r="C367" i="17"/>
  <c r="G367" i="17"/>
  <c r="H367" i="17"/>
  <c r="C368" i="17"/>
  <c r="G368" i="17"/>
  <c r="H368" i="17"/>
  <c r="C369" i="17"/>
  <c r="G369" i="17"/>
  <c r="H369" i="17"/>
  <c r="C370" i="17"/>
  <c r="G370" i="17"/>
  <c r="H370" i="17"/>
  <c r="C371" i="17"/>
  <c r="G371" i="17"/>
  <c r="H371" i="17"/>
  <c r="C372" i="17"/>
  <c r="G372" i="17"/>
  <c r="H372" i="17"/>
  <c r="C373" i="17"/>
  <c r="G373" i="17"/>
  <c r="H373" i="17"/>
  <c r="C374" i="17"/>
  <c r="G374" i="17"/>
  <c r="H374" i="17"/>
  <c r="C375" i="17"/>
  <c r="G375" i="17"/>
  <c r="H375" i="17"/>
  <c r="C376" i="17"/>
  <c r="G376" i="17"/>
  <c r="H376" i="17"/>
  <c r="C377" i="17"/>
  <c r="G377" i="17"/>
  <c r="H377" i="17"/>
  <c r="C378" i="17"/>
  <c r="G378" i="17"/>
  <c r="H378" i="17"/>
  <c r="C379" i="17"/>
  <c r="G379" i="17"/>
  <c r="H379" i="17"/>
  <c r="C380" i="17"/>
  <c r="G380" i="17"/>
  <c r="H380" i="17"/>
  <c r="C381" i="17"/>
  <c r="G381" i="17"/>
  <c r="H381" i="17"/>
  <c r="C382" i="17"/>
  <c r="G382" i="17"/>
  <c r="H382" i="17"/>
  <c r="C383" i="17"/>
  <c r="G383" i="17"/>
  <c r="H383" i="17"/>
  <c r="C384" i="17"/>
  <c r="G384" i="17"/>
  <c r="H384" i="17"/>
  <c r="C385" i="17"/>
  <c r="G385" i="17"/>
  <c r="H385" i="17"/>
  <c r="C386" i="17"/>
  <c r="G386" i="17"/>
  <c r="H386" i="17"/>
  <c r="C387" i="17"/>
  <c r="G387" i="17"/>
  <c r="H387" i="17"/>
  <c r="C388" i="17"/>
  <c r="G388" i="17"/>
  <c r="H388" i="17"/>
  <c r="C389" i="17"/>
  <c r="G389" i="17"/>
  <c r="H389" i="17"/>
  <c r="C390" i="17"/>
  <c r="G390" i="17"/>
  <c r="H390" i="17"/>
  <c r="C391" i="17"/>
  <c r="G391" i="17"/>
  <c r="H391" i="17"/>
  <c r="C392" i="17"/>
  <c r="G392" i="17"/>
  <c r="H392" i="17"/>
  <c r="C393" i="17"/>
  <c r="G393" i="17"/>
  <c r="H393" i="17"/>
  <c r="C394" i="17"/>
  <c r="G394" i="17"/>
  <c r="H394" i="17"/>
  <c r="C395" i="17"/>
  <c r="G395" i="17"/>
  <c r="H395" i="17"/>
  <c r="C396" i="17"/>
  <c r="G396" i="17"/>
  <c r="H396" i="17"/>
  <c r="C397" i="17"/>
  <c r="G397" i="17"/>
  <c r="H397" i="17"/>
  <c r="C398" i="17"/>
  <c r="G398" i="17"/>
  <c r="H398" i="17"/>
  <c r="C399" i="17"/>
  <c r="G399" i="17"/>
  <c r="H399" i="17"/>
  <c r="C400" i="17"/>
  <c r="G400" i="17"/>
  <c r="H400" i="17"/>
  <c r="C401" i="17"/>
  <c r="G401" i="17"/>
  <c r="H401" i="17"/>
  <c r="C402" i="17"/>
  <c r="G402" i="17"/>
  <c r="H402" i="17"/>
  <c r="C403" i="17"/>
  <c r="G403" i="17"/>
  <c r="H403" i="17"/>
  <c r="C404" i="17"/>
  <c r="G404" i="17"/>
  <c r="H404" i="17"/>
  <c r="C405" i="17"/>
  <c r="G405" i="17"/>
  <c r="H405" i="17"/>
  <c r="C406" i="17"/>
  <c r="G406" i="17"/>
  <c r="H406" i="17"/>
  <c r="C407" i="17"/>
  <c r="G407" i="17"/>
  <c r="H407" i="17"/>
  <c r="C408" i="17"/>
  <c r="G408" i="17"/>
  <c r="H408" i="17"/>
  <c r="C409" i="17"/>
  <c r="G409" i="17"/>
  <c r="H409" i="17"/>
  <c r="C410" i="17"/>
  <c r="G410" i="17"/>
  <c r="H410" i="17"/>
  <c r="C411" i="17"/>
  <c r="G411" i="17"/>
  <c r="H411" i="17"/>
  <c r="C412" i="17"/>
  <c r="G412" i="17"/>
  <c r="H412" i="17"/>
  <c r="C413" i="17"/>
  <c r="G413" i="17"/>
  <c r="H413" i="17"/>
  <c r="C414" i="17"/>
  <c r="G414" i="17"/>
  <c r="H414" i="17"/>
  <c r="C415" i="17"/>
  <c r="G415" i="17"/>
  <c r="H415" i="17"/>
  <c r="C416" i="17"/>
  <c r="G416" i="17"/>
  <c r="H416" i="17"/>
  <c r="C417" i="17"/>
  <c r="G417" i="17"/>
  <c r="H417" i="17"/>
  <c r="C418" i="17"/>
  <c r="G418" i="17"/>
  <c r="H418" i="17"/>
  <c r="C419" i="17"/>
  <c r="G419" i="17"/>
  <c r="H419" i="17"/>
  <c r="C420" i="17"/>
  <c r="G420" i="17"/>
  <c r="H420" i="17"/>
  <c r="C421" i="17"/>
  <c r="G421" i="17"/>
  <c r="H421" i="17"/>
  <c r="C422" i="17"/>
  <c r="G422" i="17"/>
  <c r="H422" i="17"/>
  <c r="C423" i="17"/>
  <c r="G423" i="17"/>
  <c r="H423" i="17"/>
  <c r="C424" i="17"/>
  <c r="G424" i="17"/>
  <c r="H424" i="17"/>
  <c r="C425" i="17"/>
  <c r="G425" i="17"/>
  <c r="H425" i="17"/>
  <c r="C426" i="17"/>
  <c r="G426" i="17"/>
  <c r="H426" i="17"/>
  <c r="C427" i="17"/>
  <c r="G427" i="17"/>
  <c r="H427" i="17"/>
  <c r="C428" i="17"/>
  <c r="G428" i="17"/>
  <c r="H428" i="17"/>
  <c r="C429" i="17"/>
  <c r="G429" i="17"/>
  <c r="H429" i="17"/>
  <c r="C430" i="17"/>
  <c r="G430" i="17"/>
  <c r="H430" i="17"/>
  <c r="C431" i="17"/>
  <c r="G431" i="17"/>
  <c r="H431" i="17"/>
  <c r="C432" i="17"/>
  <c r="G432" i="17"/>
  <c r="H432" i="17"/>
  <c r="C433" i="17"/>
  <c r="G433" i="17"/>
  <c r="H433" i="17"/>
  <c r="C434" i="17"/>
  <c r="G434" i="17"/>
  <c r="H434" i="17"/>
  <c r="C435" i="17"/>
  <c r="G435" i="17"/>
  <c r="H435" i="17"/>
  <c r="C436" i="17"/>
  <c r="G436" i="17"/>
  <c r="H436" i="17"/>
  <c r="C437" i="17"/>
  <c r="G437" i="17"/>
  <c r="H437" i="17"/>
  <c r="C438" i="17"/>
  <c r="G438" i="17"/>
  <c r="H438" i="17"/>
  <c r="C439" i="17"/>
  <c r="G439" i="17"/>
  <c r="H439" i="17"/>
  <c r="C440" i="17"/>
  <c r="G440" i="17"/>
  <c r="H440" i="17"/>
  <c r="C441" i="17"/>
  <c r="G441" i="17"/>
  <c r="H441" i="17"/>
  <c r="C442" i="17"/>
  <c r="G442" i="17"/>
  <c r="H442" i="17"/>
  <c r="C443" i="17"/>
  <c r="G443" i="17"/>
  <c r="H443" i="17"/>
  <c r="C444" i="17"/>
  <c r="G444" i="17"/>
  <c r="H444" i="17"/>
  <c r="C445" i="17"/>
  <c r="G445" i="17"/>
  <c r="H445" i="17"/>
  <c r="C446" i="17"/>
  <c r="G446" i="17"/>
  <c r="H446" i="17"/>
  <c r="C447" i="17"/>
  <c r="G447" i="17"/>
  <c r="H447" i="17"/>
  <c r="C448" i="17"/>
  <c r="G448" i="17"/>
  <c r="H448" i="17"/>
  <c r="C449" i="17"/>
  <c r="G449" i="17"/>
  <c r="H449" i="17"/>
  <c r="C450" i="17"/>
  <c r="G450" i="17"/>
  <c r="H450" i="17"/>
  <c r="C451" i="17"/>
  <c r="G451" i="17"/>
  <c r="H451" i="17"/>
  <c r="C452" i="17"/>
  <c r="G452" i="17"/>
  <c r="H452" i="17"/>
  <c r="C453" i="17"/>
  <c r="G453" i="17"/>
  <c r="H453" i="17"/>
  <c r="C454" i="17"/>
  <c r="G454" i="17"/>
  <c r="H454" i="17"/>
  <c r="C455" i="17"/>
  <c r="G455" i="17"/>
  <c r="H455" i="17"/>
  <c r="C456" i="17"/>
  <c r="G456" i="17"/>
  <c r="H456" i="17"/>
  <c r="C457" i="17"/>
  <c r="G457" i="17"/>
  <c r="H457" i="17"/>
  <c r="C458" i="17"/>
  <c r="G458" i="17"/>
  <c r="H458" i="17"/>
  <c r="C459" i="17"/>
  <c r="G459" i="17"/>
  <c r="H459" i="17"/>
  <c r="C460" i="17"/>
  <c r="G460" i="17"/>
  <c r="H460" i="17"/>
  <c r="C461" i="17"/>
  <c r="G461" i="17"/>
  <c r="H461" i="17"/>
  <c r="C462" i="17"/>
  <c r="G462" i="17"/>
  <c r="H462" i="17"/>
  <c r="C463" i="17"/>
  <c r="G463" i="17"/>
  <c r="H463" i="17"/>
  <c r="C464" i="17"/>
  <c r="G464" i="17"/>
  <c r="H464" i="17"/>
  <c r="C465" i="17"/>
  <c r="G465" i="17"/>
  <c r="H465" i="17"/>
  <c r="C466" i="17"/>
  <c r="G466" i="17"/>
  <c r="H466" i="17"/>
  <c r="C467" i="17"/>
  <c r="G467" i="17"/>
  <c r="H467" i="17"/>
  <c r="C468" i="17"/>
  <c r="G468" i="17"/>
  <c r="H468" i="17"/>
  <c r="C469" i="17"/>
  <c r="G469" i="17"/>
  <c r="H469" i="17"/>
  <c r="C470" i="17"/>
  <c r="G470" i="17"/>
  <c r="H470" i="17"/>
  <c r="C471" i="17"/>
  <c r="G471" i="17"/>
  <c r="H471" i="17"/>
  <c r="C472" i="17"/>
  <c r="G472" i="17"/>
  <c r="H472" i="17"/>
  <c r="C473" i="17"/>
  <c r="G473" i="17"/>
  <c r="H473" i="17"/>
  <c r="C474" i="17"/>
  <c r="G474" i="17"/>
  <c r="H474" i="17"/>
  <c r="C475" i="17"/>
  <c r="G475" i="17"/>
  <c r="H475" i="17"/>
  <c r="C476" i="17"/>
  <c r="G476" i="17"/>
  <c r="H476" i="17"/>
  <c r="C477" i="17"/>
  <c r="G477" i="17"/>
  <c r="H477" i="17"/>
  <c r="C478" i="17"/>
  <c r="G478" i="17"/>
  <c r="H478" i="17"/>
  <c r="C479" i="17"/>
  <c r="G479" i="17"/>
  <c r="H479" i="17"/>
  <c r="C480" i="17"/>
  <c r="G480" i="17"/>
  <c r="H480" i="17"/>
  <c r="C481" i="17"/>
  <c r="G481" i="17"/>
  <c r="H481" i="17"/>
  <c r="C482" i="17"/>
  <c r="G482" i="17"/>
  <c r="H482" i="17"/>
  <c r="C483" i="17"/>
  <c r="G483" i="17"/>
  <c r="H483" i="17"/>
  <c r="C484" i="17"/>
  <c r="G484" i="17"/>
  <c r="H484" i="17"/>
  <c r="C485" i="17"/>
  <c r="G485" i="17"/>
  <c r="H485" i="17"/>
  <c r="C486" i="17"/>
  <c r="G486" i="17"/>
  <c r="H486" i="17"/>
  <c r="C487" i="17"/>
  <c r="G487" i="17"/>
  <c r="H487" i="17"/>
  <c r="C488" i="17"/>
  <c r="G488" i="17"/>
  <c r="H488" i="17"/>
  <c r="C489" i="17"/>
  <c r="G489" i="17"/>
  <c r="H489" i="17"/>
  <c r="C490" i="17"/>
  <c r="G490" i="17"/>
  <c r="H490" i="17"/>
  <c r="C491" i="17"/>
  <c r="G491" i="17"/>
  <c r="H491" i="17"/>
  <c r="C492" i="17"/>
  <c r="G492" i="17"/>
  <c r="H492" i="17"/>
  <c r="C493" i="17"/>
  <c r="G493" i="17"/>
  <c r="H493" i="17"/>
  <c r="C494" i="17"/>
  <c r="G494" i="17"/>
  <c r="H494" i="17"/>
  <c r="C495" i="17"/>
  <c r="G495" i="17"/>
  <c r="H495" i="17"/>
  <c r="C496" i="17"/>
  <c r="G496" i="17"/>
  <c r="H496" i="17"/>
  <c r="C497" i="17"/>
  <c r="G497" i="17"/>
  <c r="H497" i="17"/>
  <c r="C498" i="17"/>
  <c r="G498" i="17"/>
  <c r="H498" i="17"/>
  <c r="C499" i="17"/>
  <c r="G499" i="17"/>
  <c r="H499" i="17"/>
  <c r="C500" i="17"/>
  <c r="G500" i="17"/>
  <c r="H500" i="17"/>
  <c r="C501" i="17"/>
  <c r="G501" i="17"/>
  <c r="H501" i="17"/>
  <c r="C502" i="17"/>
  <c r="G502" i="17"/>
  <c r="H502" i="17"/>
  <c r="C503" i="17"/>
  <c r="G503" i="17"/>
  <c r="H503" i="17"/>
  <c r="C504" i="17"/>
  <c r="G504" i="17"/>
  <c r="H504" i="17"/>
  <c r="C505" i="17"/>
  <c r="G505" i="17"/>
  <c r="H505" i="17"/>
  <c r="C506" i="17"/>
  <c r="G506" i="17"/>
  <c r="H506" i="17"/>
  <c r="C507" i="17"/>
  <c r="G507" i="17"/>
  <c r="H507" i="17"/>
  <c r="C508" i="17"/>
  <c r="G508" i="17"/>
  <c r="H508" i="17"/>
  <c r="C509" i="17"/>
  <c r="G509" i="17"/>
  <c r="H509" i="17"/>
  <c r="C510" i="17"/>
  <c r="G510" i="17"/>
  <c r="H510" i="17"/>
  <c r="C511" i="17"/>
  <c r="G511" i="17"/>
  <c r="H511" i="17"/>
  <c r="C512" i="17"/>
  <c r="G512" i="17"/>
  <c r="H512" i="17"/>
  <c r="C513" i="17"/>
  <c r="G513" i="17"/>
  <c r="H513" i="17"/>
  <c r="C514" i="17"/>
  <c r="G514" i="17"/>
  <c r="H514" i="17"/>
  <c r="C515" i="17"/>
  <c r="G515" i="17"/>
  <c r="H515" i="17"/>
  <c r="C516" i="17"/>
  <c r="G516" i="17"/>
  <c r="H516" i="17"/>
  <c r="C517" i="17"/>
  <c r="G517" i="17"/>
  <c r="H517" i="17"/>
  <c r="C518" i="17"/>
  <c r="G518" i="17"/>
  <c r="H518" i="17"/>
  <c r="C519" i="17"/>
  <c r="G519" i="17"/>
  <c r="H519" i="17"/>
  <c r="C520" i="17"/>
  <c r="G520" i="17"/>
  <c r="H520" i="17"/>
  <c r="C521" i="17"/>
  <c r="G521" i="17"/>
  <c r="H521" i="17"/>
  <c r="C522" i="17"/>
  <c r="G522" i="17"/>
  <c r="H522" i="17"/>
  <c r="C523" i="17"/>
  <c r="G523" i="17"/>
  <c r="H523" i="17"/>
  <c r="C524" i="17"/>
  <c r="G524" i="17"/>
  <c r="H524" i="17"/>
  <c r="C525" i="17"/>
  <c r="G525" i="17"/>
  <c r="H525" i="17"/>
  <c r="C526" i="17"/>
  <c r="G526" i="17"/>
  <c r="H526" i="17"/>
  <c r="C527" i="17"/>
  <c r="G527" i="17"/>
  <c r="H527" i="17"/>
  <c r="C528" i="17"/>
  <c r="G528" i="17"/>
  <c r="H528" i="17"/>
  <c r="C529" i="17"/>
  <c r="G529" i="17"/>
  <c r="H529" i="17"/>
  <c r="C530" i="17"/>
  <c r="G530" i="17"/>
  <c r="H530" i="17"/>
  <c r="C531" i="17"/>
  <c r="G531" i="17"/>
  <c r="H531" i="17"/>
  <c r="C532" i="17"/>
  <c r="G532" i="17"/>
  <c r="H532" i="17"/>
  <c r="C533" i="17"/>
  <c r="G533" i="17"/>
  <c r="H533" i="17"/>
  <c r="C534" i="17"/>
  <c r="G534" i="17"/>
  <c r="H534" i="17"/>
  <c r="C535" i="17"/>
  <c r="G535" i="17"/>
  <c r="H535" i="17"/>
  <c r="C536" i="17"/>
  <c r="G536" i="17"/>
  <c r="H536" i="17"/>
  <c r="C537" i="17"/>
  <c r="G537" i="17"/>
  <c r="H537" i="17"/>
  <c r="C538" i="17"/>
  <c r="G538" i="17"/>
  <c r="H538" i="17"/>
  <c r="C539" i="17"/>
  <c r="G539" i="17"/>
  <c r="H539" i="17"/>
  <c r="C540" i="17"/>
  <c r="G540" i="17"/>
  <c r="H540" i="17"/>
  <c r="C541" i="17"/>
  <c r="G541" i="17"/>
  <c r="H541" i="17"/>
  <c r="C542" i="17"/>
  <c r="G542" i="17"/>
  <c r="H542" i="17"/>
  <c r="C543" i="17"/>
  <c r="G543" i="17"/>
  <c r="H543" i="17"/>
  <c r="C544" i="17"/>
  <c r="G544" i="17"/>
  <c r="H544" i="17"/>
  <c r="C545" i="17"/>
  <c r="G545" i="17"/>
  <c r="H545" i="17"/>
  <c r="C2" i="16"/>
  <c r="C3" i="16"/>
  <c r="C4" i="16"/>
  <c r="C6" i="16"/>
  <c r="C5"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10" i="13"/>
  <c r="C28" i="13"/>
  <c r="C41" i="13"/>
  <c r="C27" i="13"/>
  <c r="C36" i="13"/>
  <c r="C22" i="13"/>
  <c r="C14" i="13"/>
  <c r="C8" i="13"/>
  <c r="C18" i="13"/>
  <c r="C31" i="13"/>
  <c r="C24" i="13"/>
  <c r="C3" i="13"/>
  <c r="C9" i="13"/>
  <c r="C30" i="13"/>
  <c r="C38" i="13"/>
  <c r="C13" i="13"/>
  <c r="C16" i="13"/>
  <c r="C17" i="13"/>
  <c r="C29" i="13"/>
  <c r="C2" i="13"/>
  <c r="C4" i="13"/>
  <c r="C5" i="13"/>
  <c r="C6" i="13"/>
  <c r="C7" i="13"/>
  <c r="C11" i="13"/>
  <c r="C12" i="13"/>
  <c r="C15" i="13"/>
  <c r="C19" i="13"/>
  <c r="C20" i="13"/>
  <c r="C21" i="13"/>
  <c r="C23" i="13"/>
  <c r="C25" i="13"/>
  <c r="C26" i="13"/>
  <c r="C32" i="13"/>
  <c r="C33" i="13"/>
  <c r="C34" i="13"/>
  <c r="C35" i="13"/>
  <c r="C37" i="13"/>
  <c r="C39" i="13"/>
  <c r="C40" i="13"/>
  <c r="C42" i="13"/>
  <c r="C43" i="13"/>
  <c r="N435" i="3"/>
  <c r="M435" i="3"/>
  <c r="N432" i="3"/>
  <c r="M432" i="3"/>
  <c r="H421" i="3"/>
  <c r="H418" i="3"/>
  <c r="H417" i="3"/>
  <c r="H414" i="3"/>
  <c r="H413" i="3"/>
  <c r="H402" i="3"/>
  <c r="H401" i="3"/>
  <c r="H378" i="3"/>
  <c r="H377" i="3"/>
  <c r="H321" i="3"/>
  <c r="H320" i="3"/>
  <c r="H317" i="3"/>
  <c r="H312" i="3"/>
  <c r="H310" i="3"/>
  <c r="H309" i="3"/>
  <c r="H265" i="3"/>
  <c r="H264" i="3"/>
  <c r="H256" i="3"/>
  <c r="H255" i="3"/>
  <c r="O2088" i="2"/>
  <c r="O2087" i="2"/>
  <c r="O2084" i="2"/>
  <c r="O2083" i="2"/>
  <c r="O2082" i="2"/>
  <c r="G2081" i="2"/>
  <c r="O2081" i="2"/>
  <c r="O2080" i="2"/>
  <c r="O2076" i="2"/>
  <c r="O2073" i="2"/>
  <c r="O2072" i="2"/>
  <c r="O2071" i="2"/>
  <c r="L2069" i="2"/>
  <c r="O2069" i="2"/>
  <c r="G2067" i="2"/>
  <c r="L2067" i="2"/>
  <c r="O2066" i="2"/>
  <c r="O2063" i="2"/>
  <c r="O2062" i="2"/>
  <c r="O2061" i="2"/>
  <c r="G2060" i="2"/>
  <c r="O2060" i="2"/>
  <c r="O2059" i="2"/>
  <c r="O2055" i="2"/>
  <c r="O2052" i="2"/>
  <c r="O2051" i="2"/>
  <c r="O2050" i="2"/>
  <c r="L2048" i="2"/>
  <c r="O2048" i="2"/>
  <c r="O2046" i="2"/>
  <c r="O2043" i="2"/>
  <c r="O2042" i="2"/>
  <c r="G2041" i="2"/>
  <c r="O2041" i="2"/>
  <c r="O2040" i="2"/>
  <c r="O2036" i="2"/>
  <c r="L2033" i="2"/>
  <c r="O2033" i="2"/>
  <c r="O2032" i="2"/>
  <c r="L2030" i="2"/>
  <c r="O2030" i="2"/>
  <c r="O2028" i="2"/>
  <c r="O2027" i="2"/>
  <c r="O2026" i="2"/>
  <c r="G2025" i="2"/>
  <c r="O2025" i="2"/>
  <c r="L2024" i="2"/>
  <c r="O2024" i="2"/>
  <c r="O2023" i="2"/>
  <c r="L2021" i="2"/>
  <c r="O2021" i="2"/>
  <c r="O2016" i="2"/>
  <c r="L2013" i="2"/>
  <c r="O2013" i="2"/>
  <c r="P2012" i="2"/>
  <c r="O2012" i="2"/>
  <c r="Q2012" i="2"/>
  <c r="P2010" i="2"/>
  <c r="O2010" i="2"/>
  <c r="Q2010" i="2"/>
  <c r="O2009" i="2"/>
  <c r="O2007" i="2"/>
  <c r="O2006" i="2"/>
  <c r="O2004" i="2"/>
  <c r="O2003" i="2"/>
  <c r="O2002" i="2"/>
  <c r="O2001" i="2"/>
  <c r="O2000" i="2"/>
  <c r="G1999" i="2"/>
  <c r="L1999" i="2"/>
  <c r="G1998" i="2"/>
  <c r="O1998" i="2"/>
  <c r="O1990" i="2"/>
  <c r="O1989" i="2"/>
  <c r="O1988" i="2"/>
  <c r="O1987" i="2"/>
  <c r="G1986" i="2"/>
  <c r="O1986" i="2"/>
  <c r="H1986" i="2"/>
  <c r="G1985" i="2"/>
  <c r="O1985" i="2"/>
  <c r="O1984" i="2"/>
  <c r="O1983" i="2"/>
  <c r="O1981" i="2"/>
  <c r="O1979" i="2"/>
  <c r="G1978" i="2"/>
  <c r="O1978" i="2"/>
  <c r="H1978" i="2"/>
  <c r="O1977" i="2"/>
  <c r="O1976" i="2"/>
  <c r="G1975" i="2"/>
  <c r="O1975" i="2"/>
  <c r="H1975" i="2"/>
  <c r="G1974" i="2"/>
  <c r="O1974" i="2"/>
  <c r="O1973" i="2"/>
  <c r="O1972" i="2"/>
  <c r="O1970" i="2"/>
  <c r="O1968" i="2"/>
  <c r="O1967" i="2"/>
  <c r="O1966" i="2"/>
  <c r="O1965" i="2"/>
  <c r="G1964" i="2"/>
  <c r="L1964" i="2"/>
  <c r="G1963" i="2"/>
  <c r="G1962" i="2"/>
  <c r="L1962" i="2"/>
  <c r="G1961" i="2"/>
  <c r="L1961" i="2"/>
  <c r="G1960" i="2"/>
  <c r="L1960" i="2"/>
  <c r="G1959" i="2"/>
  <c r="L1959" i="2"/>
  <c r="G1958" i="2"/>
  <c r="L1958" i="2"/>
  <c r="O1956" i="2"/>
  <c r="G1955" i="2"/>
  <c r="L1955" i="2"/>
  <c r="O1951" i="2"/>
  <c r="G1950" i="2"/>
  <c r="L1950" i="2"/>
  <c r="H1950" i="2"/>
  <c r="G1949" i="2"/>
  <c r="O1949" i="2"/>
  <c r="G1948" i="2"/>
  <c r="L1948" i="2"/>
  <c r="G1947" i="2"/>
  <c r="O1947" i="2"/>
  <c r="G1945" i="2"/>
  <c r="L1945" i="2"/>
  <c r="G1942" i="2"/>
  <c r="L1942" i="2"/>
  <c r="G1941" i="2"/>
  <c r="L1941" i="2"/>
  <c r="G1940" i="2"/>
  <c r="G1939" i="2"/>
  <c r="L1939" i="2"/>
  <c r="G1938" i="2"/>
  <c r="L1938" i="2"/>
  <c r="G1937" i="2"/>
  <c r="L1937" i="2"/>
  <c r="G1935" i="2"/>
  <c r="L1935" i="2"/>
  <c r="G1933" i="2"/>
  <c r="L1933" i="2"/>
  <c r="G1932" i="2"/>
  <c r="L1932" i="2"/>
  <c r="G1931" i="2"/>
  <c r="L1931" i="2"/>
  <c r="G1929" i="2"/>
  <c r="L1929" i="2"/>
  <c r="O1927" i="2"/>
  <c r="O1926" i="2"/>
  <c r="O1925" i="2"/>
  <c r="O1923" i="2"/>
  <c r="G1922" i="2"/>
  <c r="O1922" i="2"/>
  <c r="O1921" i="2"/>
  <c r="O1920" i="2"/>
  <c r="O1918" i="2"/>
  <c r="O1917" i="2"/>
  <c r="O1914" i="2"/>
  <c r="O1913" i="2"/>
  <c r="O1912" i="2"/>
  <c r="O1910" i="2"/>
  <c r="G1909" i="2"/>
  <c r="O1909" i="2"/>
  <c r="O1908" i="2"/>
  <c r="O1907" i="2"/>
  <c r="O1905" i="2"/>
  <c r="O1904" i="2"/>
  <c r="O1901" i="2"/>
  <c r="O1900" i="2"/>
  <c r="O1899" i="2"/>
  <c r="O1897" i="2"/>
  <c r="G1896" i="2"/>
  <c r="O1896" i="2"/>
  <c r="O1895" i="2"/>
  <c r="O1894" i="2"/>
  <c r="O1892" i="2"/>
  <c r="O1891" i="2"/>
  <c r="O1887" i="2"/>
  <c r="O1886" i="2"/>
  <c r="O1884" i="2"/>
  <c r="G1883" i="2"/>
  <c r="O1883" i="2"/>
  <c r="O1882" i="2"/>
  <c r="O1881" i="2"/>
  <c r="P1880" i="2"/>
  <c r="P1876" i="2"/>
  <c r="O1879" i="2"/>
  <c r="O1878" i="2"/>
  <c r="O1874" i="2"/>
  <c r="O1873" i="2"/>
  <c r="P1872" i="2"/>
  <c r="Q1872" i="2"/>
  <c r="Q1871" i="2"/>
  <c r="P1871" i="2"/>
  <c r="O1871" i="2"/>
  <c r="P1870" i="2"/>
  <c r="G1870" i="2"/>
  <c r="O1870" i="2"/>
  <c r="Q1870" i="2"/>
  <c r="P1869" i="2"/>
  <c r="O1869" i="2"/>
  <c r="Q1869" i="2"/>
  <c r="P1868" i="2"/>
  <c r="O1868" i="2"/>
  <c r="Q1868" i="2"/>
  <c r="O1865" i="2"/>
  <c r="O1864" i="2"/>
  <c r="P1863" i="2"/>
  <c r="Q1863" i="2"/>
  <c r="Q1862" i="2"/>
  <c r="P1862" i="2"/>
  <c r="O1862" i="2"/>
  <c r="P1861" i="2"/>
  <c r="G1861" i="2"/>
  <c r="O1861" i="2"/>
  <c r="Q1861" i="2"/>
  <c r="P1860" i="2"/>
  <c r="O1860" i="2"/>
  <c r="Q1860" i="2"/>
  <c r="P1859" i="2"/>
  <c r="O1859" i="2"/>
  <c r="Q1859" i="2"/>
  <c r="G1854" i="2"/>
  <c r="O1854" i="2"/>
  <c r="O1853" i="2"/>
  <c r="O1852" i="2"/>
  <c r="O1850" i="2"/>
  <c r="G1849" i="2"/>
  <c r="O1846" i="2"/>
  <c r="G1845" i="2"/>
  <c r="T1843" i="2"/>
  <c r="O1843" i="2"/>
  <c r="G1842" i="2"/>
  <c r="O1842" i="2"/>
  <c r="T1841" i="2"/>
  <c r="L1840" i="2"/>
  <c r="O1840" i="2"/>
  <c r="G1839" i="2"/>
  <c r="L1837" i="2"/>
  <c r="O1837" i="2"/>
  <c r="G1836" i="2"/>
  <c r="L1834" i="2"/>
  <c r="O1834" i="2"/>
  <c r="G1833" i="2"/>
  <c r="T1831" i="2"/>
  <c r="G1831" i="2"/>
  <c r="L1831" i="2"/>
  <c r="H1831" i="2"/>
  <c r="T1830" i="2"/>
  <c r="G1830" i="2"/>
  <c r="L1830" i="2"/>
  <c r="H1830" i="2"/>
  <c r="T1829" i="2"/>
  <c r="G1829" i="2"/>
  <c r="L1829" i="2"/>
  <c r="H1829" i="2"/>
  <c r="L1826" i="2"/>
  <c r="O1826" i="2"/>
  <c r="O1825" i="2"/>
  <c r="L1821" i="2"/>
  <c r="O1821" i="2"/>
  <c r="O1819" i="2"/>
  <c r="O1818" i="2"/>
  <c r="O1817" i="2"/>
  <c r="O1816" i="2"/>
  <c r="G1815" i="2"/>
  <c r="L1815" i="2"/>
  <c r="L1814" i="2"/>
  <c r="O1814" i="2"/>
  <c r="O1813" i="2"/>
  <c r="O1812" i="2"/>
  <c r="O1811" i="2"/>
  <c r="O1810" i="2"/>
  <c r="O1809" i="2"/>
  <c r="O1807" i="2"/>
  <c r="O1806" i="2"/>
  <c r="O1805" i="2"/>
  <c r="O1802" i="2"/>
  <c r="O1801" i="2"/>
  <c r="O1800" i="2"/>
  <c r="O1799" i="2"/>
  <c r="O1798" i="2"/>
  <c r="G1797" i="2"/>
  <c r="O1797" i="2"/>
  <c r="O1796" i="2"/>
  <c r="O1795" i="2"/>
  <c r="O1791" i="2"/>
  <c r="O1790" i="2"/>
  <c r="O1789" i="2"/>
  <c r="O1787" i="2"/>
  <c r="L1786" i="2"/>
  <c r="O1786" i="2"/>
  <c r="O1785" i="2"/>
  <c r="O1784" i="2"/>
  <c r="O1783" i="2"/>
  <c r="O1782" i="2"/>
  <c r="O1781" i="2"/>
  <c r="O1780" i="2"/>
  <c r="O1778" i="2"/>
  <c r="O1777" i="2"/>
  <c r="L1772" i="2"/>
  <c r="O1772" i="2"/>
  <c r="O1771" i="2"/>
  <c r="L1767" i="2"/>
  <c r="O1767" i="2"/>
  <c r="O1766" i="2"/>
  <c r="O1765" i="2"/>
  <c r="O1761" i="2"/>
  <c r="O1760" i="2"/>
  <c r="O1759" i="2"/>
  <c r="G1758" i="2"/>
  <c r="L1758" i="2"/>
  <c r="O1757" i="2"/>
  <c r="L1756" i="2"/>
  <c r="O1756" i="2"/>
  <c r="O1755" i="2"/>
  <c r="O1754" i="2"/>
  <c r="O1753" i="2"/>
  <c r="O1751" i="2"/>
  <c r="O1749" i="2"/>
  <c r="O1748" i="2"/>
  <c r="O1747" i="2"/>
  <c r="O1746" i="2"/>
  <c r="O1745" i="2"/>
  <c r="O1744" i="2"/>
  <c r="O1741" i="2"/>
  <c r="O1740" i="2"/>
  <c r="O1739" i="2"/>
  <c r="O1738" i="2"/>
  <c r="O1737" i="2"/>
  <c r="O1736" i="2"/>
  <c r="G1735" i="2"/>
  <c r="O1735" i="2"/>
  <c r="O1733" i="2"/>
  <c r="O1732" i="2"/>
  <c r="O1731" i="2"/>
  <c r="O1730" i="2"/>
  <c r="O1726" i="2"/>
  <c r="O1725" i="2"/>
  <c r="O1724" i="2"/>
  <c r="O1723" i="2"/>
  <c r="O1722" i="2"/>
  <c r="L1721" i="2"/>
  <c r="O1721" i="2"/>
  <c r="O1720" i="2"/>
  <c r="O1719" i="2"/>
  <c r="O1718" i="2"/>
  <c r="O1717" i="2"/>
  <c r="O1716" i="2"/>
  <c r="O1715" i="2"/>
  <c r="O1713" i="2"/>
  <c r="O1712" i="2"/>
  <c r="O1656" i="2"/>
  <c r="O1600" i="2"/>
  <c r="O1546" i="2"/>
  <c r="L1543" i="2"/>
  <c r="O1543" i="2"/>
  <c r="L1540" i="2"/>
  <c r="O1540" i="2"/>
  <c r="O1539" i="2"/>
  <c r="G1536" i="2"/>
  <c r="L1536" i="2"/>
  <c r="O1535" i="2"/>
  <c r="L1534" i="2"/>
  <c r="O1534" i="2"/>
  <c r="O1530" i="2"/>
  <c r="O1529" i="2"/>
  <c r="O1528" i="2"/>
  <c r="G1527" i="2"/>
  <c r="O1527" i="2"/>
  <c r="O1523" i="2"/>
  <c r="L1522" i="2"/>
  <c r="O1522" i="2"/>
  <c r="O1520" i="2"/>
  <c r="O1519" i="2"/>
  <c r="L1514" i="2"/>
  <c r="O1514" i="2"/>
  <c r="L1511" i="2"/>
  <c r="O1511" i="2"/>
  <c r="O1510" i="2"/>
  <c r="G1507" i="2"/>
  <c r="L1507" i="2"/>
  <c r="L1506" i="2"/>
  <c r="O1506" i="2"/>
  <c r="O1502" i="2"/>
  <c r="O1501" i="2"/>
  <c r="O1500" i="2"/>
  <c r="G1499" i="2"/>
  <c r="O1499" i="2"/>
  <c r="O1495" i="2"/>
  <c r="L1494" i="2"/>
  <c r="O1494" i="2"/>
  <c r="O1492" i="2"/>
  <c r="O1491" i="2"/>
  <c r="L1486" i="2"/>
  <c r="O1486" i="2"/>
  <c r="L1483" i="2"/>
  <c r="O1483" i="2"/>
  <c r="O1482" i="2"/>
  <c r="G1479" i="2"/>
  <c r="L1479" i="2"/>
  <c r="L1478" i="2"/>
  <c r="O1478" i="2"/>
  <c r="O1474" i="2"/>
  <c r="O1473" i="2"/>
  <c r="O1472" i="2"/>
  <c r="G1471" i="2"/>
  <c r="O1471" i="2"/>
  <c r="O1467" i="2"/>
  <c r="L1466" i="2"/>
  <c r="O1466" i="2"/>
  <c r="O1464" i="2"/>
  <c r="O1463" i="2"/>
  <c r="L1458" i="2"/>
  <c r="O1458" i="2"/>
  <c r="L1455" i="2"/>
  <c r="O1455" i="2"/>
  <c r="O1454" i="2"/>
  <c r="G1451" i="2"/>
  <c r="L1451" i="2"/>
  <c r="L1450" i="2"/>
  <c r="O1450" i="2"/>
  <c r="O1446" i="2"/>
  <c r="O1445" i="2"/>
  <c r="O1444" i="2"/>
  <c r="G1443" i="2"/>
  <c r="O1443" i="2"/>
  <c r="O1439" i="2"/>
  <c r="L1438" i="2"/>
  <c r="O1438" i="2"/>
  <c r="O1436" i="2"/>
  <c r="O1435" i="2"/>
  <c r="O1432" i="2"/>
  <c r="O1431" i="2"/>
  <c r="O1429" i="2"/>
  <c r="O1428" i="2"/>
  <c r="O1426" i="2"/>
  <c r="O1425" i="2"/>
  <c r="O1423" i="2"/>
  <c r="O1422" i="2"/>
  <c r="O1420" i="2"/>
  <c r="O1419" i="2"/>
  <c r="L1404" i="2"/>
  <c r="L1403" i="2"/>
  <c r="O1403" i="2"/>
  <c r="O1400" i="2"/>
  <c r="O1397" i="2"/>
  <c r="O1395" i="2"/>
  <c r="O1394" i="2"/>
  <c r="O1392" i="2"/>
  <c r="O1389" i="2"/>
  <c r="O1388" i="2"/>
  <c r="O1387" i="2"/>
  <c r="G1386" i="2"/>
  <c r="O1386" i="2"/>
  <c r="O1385" i="2"/>
  <c r="L1382" i="2"/>
  <c r="O1382" i="2"/>
  <c r="O1381" i="2"/>
  <c r="G1378" i="2"/>
  <c r="O1378" i="2"/>
  <c r="O1377" i="2"/>
  <c r="O1375" i="2"/>
  <c r="O1374" i="2"/>
  <c r="O1371" i="2"/>
  <c r="O1370" i="2"/>
  <c r="O1368" i="2"/>
  <c r="O1367" i="2"/>
  <c r="O1365" i="2"/>
  <c r="O1364" i="2"/>
  <c r="O1362" i="2"/>
  <c r="O1361" i="2"/>
  <c r="O1359" i="2"/>
  <c r="O1358" i="2"/>
  <c r="O1356" i="2"/>
  <c r="O1355" i="2"/>
  <c r="O1353" i="2"/>
  <c r="O1352" i="2"/>
  <c r="O1350" i="2"/>
  <c r="O1349" i="2"/>
  <c r="O1347" i="2"/>
  <c r="O1346" i="2"/>
  <c r="O1344" i="2"/>
  <c r="O1343" i="2"/>
  <c r="O1341" i="2"/>
  <c r="O1340" i="2"/>
  <c r="O1338" i="2"/>
  <c r="O1337" i="2"/>
  <c r="O1330" i="2"/>
  <c r="G1329" i="2"/>
  <c r="O1329" i="2"/>
  <c r="O1328" i="2"/>
  <c r="O1326" i="2"/>
  <c r="T1325" i="2"/>
  <c r="O1323" i="2"/>
  <c r="G1322" i="2"/>
  <c r="O1322" i="2"/>
  <c r="O1321" i="2"/>
  <c r="O1318" i="2"/>
  <c r="G1317" i="2"/>
  <c r="O1317" i="2"/>
  <c r="O1316" i="2"/>
  <c r="O1313" i="2"/>
  <c r="G1312" i="2"/>
  <c r="O1312" i="2"/>
  <c r="O1311" i="2"/>
  <c r="O1308" i="2"/>
  <c r="G1307" i="2"/>
  <c r="O1307" i="2"/>
  <c r="O1306" i="2"/>
  <c r="O1303" i="2"/>
  <c r="G1302" i="2"/>
  <c r="O1302" i="2"/>
  <c r="O1301" i="2"/>
  <c r="O1298" i="2"/>
  <c r="G1297" i="2"/>
  <c r="O1297" i="2"/>
  <c r="O1296" i="2"/>
  <c r="O1294" i="2"/>
  <c r="O1293" i="2"/>
  <c r="O1292" i="2"/>
  <c r="O1291" i="2"/>
  <c r="O1290" i="2"/>
  <c r="G1289" i="2"/>
  <c r="O1289" i="2"/>
  <c r="L1288" i="2"/>
  <c r="O1288" i="2"/>
  <c r="O1287" i="2"/>
  <c r="G1284" i="2"/>
  <c r="O1284" i="2"/>
  <c r="P1283" i="2"/>
  <c r="Q1283" i="2"/>
  <c r="G1282" i="2"/>
  <c r="O1282" i="2"/>
  <c r="H1282" i="2"/>
  <c r="O1280" i="2"/>
  <c r="O1279" i="2"/>
  <c r="O1278" i="2"/>
  <c r="O1277" i="2"/>
  <c r="O1276" i="2"/>
  <c r="G1275" i="2"/>
  <c r="O1275" i="2"/>
  <c r="L1274" i="2"/>
  <c r="O1274" i="2"/>
  <c r="O1273" i="2"/>
  <c r="G1270" i="2"/>
  <c r="O1270" i="2"/>
  <c r="P1268" i="2"/>
  <c r="G1268" i="2"/>
  <c r="O1268" i="2"/>
  <c r="P1267" i="2"/>
  <c r="O1265" i="2"/>
  <c r="O1264" i="2"/>
  <c r="O1263" i="2"/>
  <c r="G1261" i="2"/>
  <c r="O1261" i="2"/>
  <c r="G1260" i="2"/>
  <c r="O1260" i="2"/>
  <c r="G1259" i="2"/>
  <c r="O1259" i="2"/>
  <c r="O1257" i="2"/>
  <c r="O1256" i="2"/>
  <c r="G1255" i="2"/>
  <c r="O1255" i="2"/>
  <c r="L1254" i="2"/>
  <c r="O1254" i="2"/>
  <c r="O1253" i="2"/>
  <c r="G1250" i="2"/>
  <c r="O1250" i="2"/>
  <c r="P1248" i="2"/>
  <c r="G1248" i="2"/>
  <c r="O1248" i="2"/>
  <c r="P1247" i="2"/>
  <c r="O1246" i="2"/>
  <c r="H1246" i="2"/>
  <c r="O1245" i="2"/>
  <c r="H1245" i="2"/>
  <c r="O1244" i="2"/>
  <c r="H1244" i="2"/>
  <c r="G1242" i="2"/>
  <c r="O1242" i="2"/>
  <c r="L1241" i="2"/>
  <c r="O1241" i="2"/>
  <c r="O1240" i="2"/>
  <c r="G1237" i="2"/>
  <c r="O1237" i="2"/>
  <c r="P1235" i="2"/>
  <c r="H1235" i="2"/>
  <c r="O1235" i="2"/>
  <c r="G1235" i="2"/>
  <c r="P1234" i="2"/>
  <c r="G1221" i="2"/>
  <c r="O1221" i="2"/>
  <c r="H1221" i="2"/>
  <c r="O1220" i="2"/>
  <c r="G1219" i="2"/>
  <c r="O1219" i="2"/>
  <c r="G1218" i="2"/>
  <c r="O1218" i="2"/>
  <c r="H1218" i="2"/>
  <c r="G1217" i="2"/>
  <c r="O1217" i="2"/>
  <c r="H1217" i="2"/>
  <c r="G1216" i="2"/>
  <c r="L1216" i="2"/>
  <c r="H1216" i="2"/>
  <c r="G1215" i="2"/>
  <c r="O1215" i="2"/>
  <c r="H1215" i="2"/>
  <c r="G1214" i="2"/>
  <c r="O1214" i="2"/>
  <c r="H1214" i="2"/>
  <c r="G1213" i="2"/>
  <c r="O1213" i="2"/>
  <c r="H1213" i="2"/>
  <c r="O1211" i="2"/>
  <c r="G1209" i="2"/>
  <c r="O1209" i="2"/>
  <c r="H1209" i="2"/>
  <c r="O1207" i="2"/>
  <c r="G1206" i="2"/>
  <c r="L1206" i="2"/>
  <c r="G1205" i="2"/>
  <c r="O1205" i="2"/>
  <c r="H1205" i="2"/>
  <c r="G1203" i="2"/>
  <c r="O1203" i="2"/>
  <c r="H1203" i="2"/>
  <c r="G1202" i="2"/>
  <c r="L1202" i="2"/>
  <c r="H1202" i="2"/>
  <c r="G1201" i="2"/>
  <c r="O1201" i="2"/>
  <c r="H1201" i="2"/>
  <c r="G1200" i="2"/>
  <c r="O1200" i="2"/>
  <c r="H1200" i="2"/>
  <c r="G1199" i="2"/>
  <c r="O1199" i="2"/>
  <c r="H1199" i="2"/>
  <c r="O1197" i="2"/>
  <c r="G1195" i="2"/>
  <c r="O1195" i="2"/>
  <c r="H1195" i="2"/>
  <c r="O1193" i="2"/>
  <c r="G1191" i="2"/>
  <c r="L1191" i="2"/>
  <c r="G1190" i="2"/>
  <c r="O1190" i="2"/>
  <c r="H1190" i="2"/>
  <c r="G1189" i="2"/>
  <c r="O1189" i="2"/>
  <c r="H1189" i="2"/>
  <c r="G1188" i="2"/>
  <c r="L1188" i="2"/>
  <c r="H1188" i="2"/>
  <c r="O1187" i="2"/>
  <c r="G1186" i="2"/>
  <c r="O1186" i="2"/>
  <c r="H1186" i="2"/>
  <c r="G1185" i="2"/>
  <c r="O1185" i="2"/>
  <c r="H1185" i="2"/>
  <c r="O1183" i="2"/>
  <c r="G1181" i="2"/>
  <c r="O1181" i="2"/>
  <c r="H1181" i="2"/>
  <c r="O1179" i="2"/>
  <c r="G1178" i="2"/>
  <c r="L1178" i="2"/>
  <c r="O1177" i="2"/>
  <c r="G1176" i="2"/>
  <c r="O1176" i="2"/>
  <c r="H1176" i="2"/>
  <c r="G1175" i="2"/>
  <c r="O1175" i="2"/>
  <c r="H1175" i="2"/>
  <c r="G1174" i="2"/>
  <c r="L1174" i="2"/>
  <c r="H1174" i="2"/>
  <c r="G1173" i="2"/>
  <c r="O1173" i="2"/>
  <c r="H1173" i="2"/>
  <c r="G1172" i="2"/>
  <c r="O1172" i="2"/>
  <c r="H1172" i="2"/>
  <c r="G1171" i="2"/>
  <c r="O1171" i="2"/>
  <c r="H1171" i="2"/>
  <c r="O1169" i="2"/>
  <c r="G1167" i="2"/>
  <c r="L1167" i="2"/>
  <c r="H1167" i="2"/>
  <c r="O1166" i="2"/>
  <c r="G1165" i="2"/>
  <c r="L1165" i="2"/>
  <c r="H1165" i="2"/>
  <c r="G1163" i="2"/>
  <c r="L1163" i="2"/>
  <c r="G1162" i="2"/>
  <c r="L1162" i="2"/>
  <c r="H1162" i="2"/>
  <c r="G1161" i="2"/>
  <c r="L1161" i="2"/>
  <c r="H1161" i="2"/>
  <c r="G1160" i="2"/>
  <c r="L1160" i="2"/>
  <c r="H1160" i="2"/>
  <c r="G1159" i="2"/>
  <c r="L1159" i="2"/>
  <c r="H1159" i="2"/>
  <c r="G1158" i="2"/>
  <c r="L1158" i="2"/>
  <c r="H1158" i="2"/>
  <c r="L1156" i="2"/>
  <c r="O1156" i="2"/>
  <c r="L1154" i="2"/>
  <c r="O1154" i="2"/>
  <c r="O1153" i="2"/>
  <c r="L1152" i="2"/>
  <c r="O1152" i="2"/>
  <c r="G1151" i="2"/>
  <c r="L1151" i="2"/>
  <c r="L1150" i="2"/>
  <c r="O1150" i="2"/>
  <c r="G1149" i="2"/>
  <c r="L1149" i="2"/>
  <c r="H1149" i="2"/>
  <c r="G1148" i="2"/>
  <c r="L1148" i="2"/>
  <c r="H1148" i="2"/>
  <c r="G1147" i="2"/>
  <c r="L1147" i="2"/>
  <c r="H1147" i="2"/>
  <c r="G1146" i="2"/>
  <c r="L1146" i="2"/>
  <c r="H1146" i="2"/>
  <c r="G1145" i="2"/>
  <c r="L1145" i="2"/>
  <c r="H1145" i="2"/>
  <c r="O1143" i="2"/>
  <c r="G1141" i="2"/>
  <c r="L1141" i="2"/>
  <c r="H1141" i="2"/>
  <c r="O1140" i="2"/>
  <c r="G1139" i="2"/>
  <c r="L1139" i="2"/>
  <c r="G1138" i="2"/>
  <c r="L1138" i="2"/>
  <c r="H1138" i="2"/>
  <c r="G1137" i="2"/>
  <c r="L1137" i="2"/>
  <c r="H1137" i="2"/>
  <c r="G1136" i="2"/>
  <c r="L1136" i="2"/>
  <c r="H1136" i="2"/>
  <c r="G1135" i="2"/>
  <c r="L1135" i="2"/>
  <c r="H1135" i="2"/>
  <c r="G1134" i="2"/>
  <c r="L1134" i="2"/>
  <c r="H1134" i="2"/>
  <c r="O1132" i="2"/>
  <c r="L1123" i="2"/>
  <c r="O1123" i="2"/>
  <c r="G1122" i="2"/>
  <c r="L1122" i="2"/>
  <c r="L1121" i="2"/>
  <c r="O1121" i="2"/>
  <c r="O1119" i="2"/>
  <c r="T1118" i="2"/>
  <c r="O1117" i="2"/>
  <c r="G1116" i="2"/>
  <c r="O1116" i="2"/>
  <c r="O1115" i="2"/>
  <c r="O1114" i="2"/>
  <c r="O1112" i="2"/>
  <c r="T1111" i="2"/>
  <c r="L1110" i="2"/>
  <c r="O1110" i="2"/>
  <c r="G1109" i="2"/>
  <c r="L1109" i="2"/>
  <c r="L1108" i="2"/>
  <c r="O1108" i="2"/>
  <c r="L1106" i="2"/>
  <c r="O1106" i="2"/>
  <c r="T1105" i="2"/>
  <c r="L1104" i="2"/>
  <c r="O1104" i="2"/>
  <c r="G1103" i="2"/>
  <c r="L1103" i="2"/>
  <c r="L1102" i="2"/>
  <c r="O1102" i="2"/>
  <c r="L1100" i="2"/>
  <c r="O1100" i="2"/>
  <c r="L1098" i="2"/>
  <c r="O1098" i="2"/>
  <c r="G1097" i="2"/>
  <c r="L1097" i="2"/>
  <c r="L1096" i="2"/>
  <c r="O1096" i="2"/>
  <c r="L1094" i="2"/>
  <c r="O1094" i="2"/>
  <c r="L1092" i="2"/>
  <c r="O1092" i="2"/>
  <c r="G1091" i="2"/>
  <c r="L1091" i="2"/>
  <c r="L1090" i="2"/>
  <c r="O1090" i="2"/>
  <c r="L1088" i="2"/>
  <c r="O1088" i="2"/>
  <c r="L1086" i="2"/>
  <c r="O1086" i="2"/>
  <c r="O1085" i="2"/>
  <c r="H1081" i="2"/>
  <c r="G1080" i="2"/>
  <c r="L1080" i="2"/>
  <c r="G1079" i="2"/>
  <c r="O1079" i="2"/>
  <c r="H1079" i="2"/>
  <c r="G1078" i="2"/>
  <c r="L1078" i="2"/>
  <c r="H1078" i="2"/>
  <c r="G1077" i="2"/>
  <c r="L1077" i="2"/>
  <c r="G1076" i="2"/>
  <c r="L1076" i="2"/>
  <c r="L1075" i="2"/>
  <c r="O1075" i="2"/>
  <c r="G1075" i="2"/>
  <c r="O1074" i="2"/>
  <c r="H1074" i="2"/>
  <c r="O1073" i="2"/>
  <c r="H1072" i="2"/>
  <c r="O1071" i="2"/>
  <c r="H1071" i="2"/>
  <c r="O1070" i="2"/>
  <c r="G1069" i="2"/>
  <c r="O1069" i="2"/>
  <c r="L1068" i="2"/>
  <c r="O1068" i="2"/>
  <c r="O1067" i="2"/>
  <c r="H1067" i="2"/>
  <c r="O1066" i="2"/>
  <c r="O1064" i="2"/>
  <c r="O1063" i="2"/>
  <c r="O1062" i="2"/>
  <c r="G1061" i="2"/>
  <c r="O1061" i="2"/>
  <c r="L1060" i="2"/>
  <c r="O1060" i="2"/>
  <c r="O1059" i="2"/>
  <c r="O1058" i="2"/>
  <c r="O1056" i="2"/>
  <c r="O1055" i="2"/>
  <c r="O1053" i="2"/>
  <c r="O1052" i="2"/>
  <c r="O1051" i="2"/>
  <c r="O1050" i="2"/>
  <c r="G1041" i="2"/>
  <c r="O1041" i="2"/>
  <c r="G1040" i="2"/>
  <c r="O1040" i="2"/>
  <c r="G1039" i="2"/>
  <c r="L1039" i="2"/>
  <c r="G1038" i="2"/>
  <c r="L1038" i="2"/>
  <c r="G1037" i="2"/>
  <c r="O1037" i="2"/>
  <c r="G1036" i="2"/>
  <c r="L1036" i="2"/>
  <c r="O1034" i="2"/>
  <c r="G1030" i="2"/>
  <c r="O1030" i="2"/>
  <c r="G1029" i="2"/>
  <c r="O1029" i="2"/>
  <c r="G1028" i="2"/>
  <c r="L1028" i="2"/>
  <c r="G1027" i="2"/>
  <c r="L1027" i="2"/>
  <c r="G1026" i="2"/>
  <c r="L1026" i="2"/>
  <c r="G1025" i="2"/>
  <c r="L1025" i="2"/>
  <c r="O1023" i="2"/>
  <c r="G1019" i="2"/>
  <c r="O1019" i="2"/>
  <c r="G1018" i="2"/>
  <c r="O1018" i="2"/>
  <c r="G1017" i="2"/>
  <c r="L1017" i="2"/>
  <c r="G1016" i="2"/>
  <c r="L1016" i="2"/>
  <c r="G1015" i="2"/>
  <c r="L1015" i="2"/>
  <c r="O1013" i="2"/>
  <c r="G1009" i="2"/>
  <c r="O1009" i="2"/>
  <c r="G1008" i="2"/>
  <c r="O1008" i="2"/>
  <c r="G1007" i="2"/>
  <c r="L1007" i="2"/>
  <c r="G1006" i="2"/>
  <c r="L1006" i="2"/>
  <c r="G1005" i="2"/>
  <c r="L1005" i="2"/>
  <c r="O1003" i="2"/>
  <c r="W993" i="2"/>
  <c r="Q995" i="2"/>
  <c r="G1000" i="2"/>
  <c r="O1000" i="2"/>
  <c r="G999" i="2"/>
  <c r="O999" i="2"/>
  <c r="G998" i="2"/>
  <c r="L998" i="2"/>
  <c r="G997" i="2"/>
  <c r="L997" i="2"/>
  <c r="G996" i="2"/>
  <c r="L996" i="2"/>
  <c r="O994" i="2"/>
  <c r="L989" i="2"/>
  <c r="O989" i="2"/>
  <c r="O988" i="2"/>
  <c r="L985" i="2"/>
  <c r="O985" i="2"/>
  <c r="G983" i="2"/>
  <c r="O983" i="2"/>
  <c r="G982" i="2"/>
  <c r="O982" i="2"/>
  <c r="O981" i="2"/>
  <c r="O979" i="2"/>
  <c r="O978" i="2"/>
  <c r="O976" i="2"/>
  <c r="O974" i="2"/>
  <c r="O973" i="2"/>
  <c r="L967" i="2"/>
  <c r="O967" i="2"/>
  <c r="L964" i="2"/>
  <c r="O964" i="2"/>
  <c r="G962" i="2"/>
  <c r="O962" i="2"/>
  <c r="G961" i="2"/>
  <c r="O961" i="2"/>
  <c r="O960" i="2"/>
  <c r="O959" i="2"/>
  <c r="O958" i="2"/>
  <c r="O956" i="2"/>
  <c r="P955" i="2"/>
  <c r="Q955" i="2"/>
  <c r="O954" i="2"/>
  <c r="O953" i="2"/>
  <c r="L947" i="2"/>
  <c r="O947" i="2"/>
  <c r="L944" i="2"/>
  <c r="O944" i="2"/>
  <c r="P942" i="2"/>
  <c r="P935" i="2"/>
  <c r="G942" i="2"/>
  <c r="O942" i="2"/>
  <c r="Q942" i="2"/>
  <c r="Q935" i="2"/>
  <c r="G941" i="2"/>
  <c r="O941" i="2"/>
  <c r="O940" i="2"/>
  <c r="O939" i="2"/>
  <c r="O938" i="2"/>
  <c r="O936" i="2"/>
  <c r="O934" i="2"/>
  <c r="O933" i="2"/>
  <c r="L927" i="2"/>
  <c r="O927" i="2"/>
  <c r="L924" i="2"/>
  <c r="O924" i="2"/>
  <c r="G922" i="2"/>
  <c r="O922" i="2"/>
  <c r="G921" i="2"/>
  <c r="O921" i="2"/>
  <c r="O920" i="2"/>
  <c r="O919" i="2"/>
  <c r="O918" i="2"/>
  <c r="O916" i="2"/>
  <c r="O914" i="2"/>
  <c r="O913" i="2"/>
  <c r="L906" i="2"/>
  <c r="O906" i="2"/>
  <c r="G904" i="2"/>
  <c r="O904" i="2"/>
  <c r="G903" i="2"/>
  <c r="O903" i="2"/>
  <c r="O900" i="2"/>
  <c r="O898" i="2"/>
  <c r="O896" i="2"/>
  <c r="O894" i="2"/>
  <c r="O892" i="2"/>
  <c r="O891" i="2"/>
  <c r="G888" i="2"/>
  <c r="O888" i="2"/>
  <c r="O887" i="2"/>
  <c r="L886" i="2"/>
  <c r="O886" i="2"/>
  <c r="O885" i="2"/>
  <c r="O884" i="2"/>
  <c r="G882" i="2"/>
  <c r="O882" i="2"/>
  <c r="O881" i="2"/>
  <c r="G879" i="2"/>
  <c r="O879" i="2"/>
  <c r="O878" i="2"/>
  <c r="L877" i="2"/>
  <c r="O877" i="2"/>
  <c r="O876" i="2"/>
  <c r="O875" i="2"/>
  <c r="G874" i="2"/>
  <c r="O874" i="2"/>
  <c r="O873" i="2"/>
  <c r="G871" i="2"/>
  <c r="O871" i="2"/>
  <c r="O870" i="2"/>
  <c r="L869" i="2"/>
  <c r="O869" i="2"/>
  <c r="O868" i="2"/>
  <c r="O867" i="2"/>
  <c r="G866" i="2"/>
  <c r="O866" i="2"/>
  <c r="O865" i="2"/>
  <c r="G863" i="2"/>
  <c r="O863" i="2"/>
  <c r="G862" i="2"/>
  <c r="O862" i="2"/>
  <c r="O861" i="2"/>
  <c r="L860" i="2"/>
  <c r="O860" i="2"/>
  <c r="O859" i="2"/>
  <c r="O858" i="2"/>
  <c r="O857" i="2"/>
  <c r="O856" i="2"/>
  <c r="G855" i="2"/>
  <c r="O855" i="2"/>
  <c r="O854" i="2"/>
  <c r="L821" i="2"/>
  <c r="O821" i="2"/>
  <c r="O817" i="2"/>
  <c r="L816" i="2"/>
  <c r="O816" i="2"/>
  <c r="O814" i="2"/>
  <c r="O813" i="2"/>
  <c r="O810" i="2"/>
  <c r="O809" i="2"/>
  <c r="O808" i="2"/>
  <c r="G807" i="2"/>
  <c r="O807" i="2"/>
  <c r="L805" i="2"/>
  <c r="O805" i="2"/>
  <c r="L803" i="2"/>
  <c r="O803" i="2"/>
  <c r="O799" i="2"/>
  <c r="O798" i="2"/>
  <c r="O797" i="2"/>
  <c r="O796" i="2"/>
  <c r="O795" i="2"/>
  <c r="O792" i="2"/>
  <c r="O791" i="2"/>
  <c r="O789" i="2"/>
  <c r="O788" i="2"/>
  <c r="L783" i="2"/>
  <c r="O783" i="2"/>
  <c r="O780" i="2"/>
  <c r="L779" i="2"/>
  <c r="O779" i="2"/>
  <c r="O777" i="2"/>
  <c r="O776" i="2"/>
  <c r="O773" i="2"/>
  <c r="O772" i="2"/>
  <c r="O771" i="2"/>
  <c r="G770" i="2"/>
  <c r="O770" i="2"/>
  <c r="L768" i="2"/>
  <c r="O768" i="2"/>
  <c r="L766" i="2"/>
  <c r="O766" i="2"/>
  <c r="O762" i="2"/>
  <c r="O761" i="2"/>
  <c r="O760" i="2"/>
  <c r="O759" i="2"/>
  <c r="O756" i="2"/>
  <c r="O755" i="2"/>
  <c r="O753" i="2"/>
  <c r="O752" i="2"/>
  <c r="L747" i="2"/>
  <c r="O747" i="2"/>
  <c r="O746" i="2"/>
  <c r="O744" i="2"/>
  <c r="O743" i="2"/>
  <c r="O740" i="2"/>
  <c r="O739" i="2"/>
  <c r="O738" i="2"/>
  <c r="G737" i="2"/>
  <c r="O737" i="2"/>
  <c r="L735" i="2"/>
  <c r="O735" i="2"/>
  <c r="L733" i="2"/>
  <c r="O733" i="2"/>
  <c r="O729" i="2"/>
  <c r="O728" i="2"/>
  <c r="O727" i="2"/>
  <c r="O724" i="2"/>
  <c r="O723" i="2"/>
  <c r="O721" i="2"/>
  <c r="O720" i="2"/>
  <c r="O717" i="2"/>
  <c r="O716" i="2"/>
  <c r="O714" i="2"/>
  <c r="O713" i="2"/>
  <c r="O711" i="2"/>
  <c r="O710" i="2"/>
  <c r="O708" i="2"/>
  <c r="L701" i="2"/>
  <c r="O701" i="2"/>
  <c r="G700" i="2"/>
  <c r="L700" i="2"/>
  <c r="O696" i="2"/>
  <c r="G695" i="2"/>
  <c r="O695" i="2"/>
  <c r="O691" i="2"/>
  <c r="O690" i="2"/>
  <c r="O689" i="2"/>
  <c r="O687" i="2"/>
  <c r="O686" i="2"/>
  <c r="P684" i="2"/>
  <c r="Q684" i="2"/>
  <c r="L681" i="2"/>
  <c r="O681" i="2"/>
  <c r="G680" i="2"/>
  <c r="L680" i="2"/>
  <c r="O676" i="2"/>
  <c r="G675" i="2"/>
  <c r="O675" i="2"/>
  <c r="O671" i="2"/>
  <c r="O670" i="2"/>
  <c r="O669" i="2"/>
  <c r="O667" i="2"/>
  <c r="O666" i="2"/>
  <c r="P664" i="2"/>
  <c r="Q664" i="2"/>
  <c r="L661" i="2"/>
  <c r="O661" i="2"/>
  <c r="G660" i="2"/>
  <c r="L660" i="2"/>
  <c r="O656" i="2"/>
  <c r="G655" i="2"/>
  <c r="O655" i="2"/>
  <c r="O651" i="2"/>
  <c r="O650" i="2"/>
  <c r="O649" i="2"/>
  <c r="L647" i="2"/>
  <c r="O647" i="2"/>
  <c r="O646" i="2"/>
  <c r="O643" i="2"/>
  <c r="G642" i="2"/>
  <c r="O642" i="2"/>
  <c r="H642" i="2"/>
  <c r="G641" i="2"/>
  <c r="O641" i="2"/>
  <c r="H641" i="2"/>
  <c r="L640" i="2"/>
  <c r="O640" i="2"/>
  <c r="U637" i="2"/>
  <c r="G637" i="2"/>
  <c r="O637" i="2"/>
  <c r="O636" i="2"/>
  <c r="U635" i="2"/>
  <c r="O635" i="2"/>
  <c r="G632" i="2"/>
  <c r="L632" i="2"/>
  <c r="O631" i="2"/>
  <c r="L630" i="2"/>
  <c r="O630" i="2"/>
  <c r="G628" i="2"/>
  <c r="L628" i="2"/>
  <c r="O627" i="2"/>
  <c r="L626" i="2"/>
  <c r="O626" i="2"/>
  <c r="G624" i="2"/>
  <c r="L624" i="2"/>
  <c r="O623" i="2"/>
  <c r="L622" i="2"/>
  <c r="O622" i="2"/>
  <c r="G620" i="2"/>
  <c r="L620" i="2"/>
  <c r="O619" i="2"/>
  <c r="L618" i="2"/>
  <c r="O618" i="2"/>
  <c r="G616" i="2"/>
  <c r="L616" i="2"/>
  <c r="L614" i="2"/>
  <c r="O614" i="2"/>
  <c r="G612" i="2"/>
  <c r="L612" i="2"/>
  <c r="O611" i="2"/>
  <c r="L610" i="2"/>
  <c r="O610" i="2"/>
  <c r="O607" i="2"/>
  <c r="O606" i="2"/>
  <c r="G605" i="2"/>
  <c r="O605" i="2"/>
  <c r="G604" i="2"/>
  <c r="L604" i="2"/>
  <c r="G603" i="2"/>
  <c r="O603" i="2"/>
  <c r="O602" i="2"/>
  <c r="G600" i="2"/>
  <c r="O600" i="2"/>
  <c r="G599" i="2"/>
  <c r="O599" i="2"/>
  <c r="O598" i="2"/>
  <c r="O597" i="2"/>
  <c r="O595" i="2"/>
  <c r="O594" i="2"/>
  <c r="O593" i="2"/>
  <c r="G592" i="2"/>
  <c r="O592" i="2"/>
  <c r="O590" i="2"/>
  <c r="O589" i="2"/>
  <c r="G588" i="2"/>
  <c r="O588" i="2"/>
  <c r="O587" i="2"/>
  <c r="O586" i="2"/>
  <c r="O585" i="2"/>
  <c r="O583" i="2"/>
  <c r="O582" i="2"/>
  <c r="O578" i="2"/>
  <c r="O577" i="2"/>
  <c r="G576" i="2"/>
  <c r="O576" i="2"/>
  <c r="G575" i="2"/>
  <c r="L575" i="2"/>
  <c r="G574" i="2"/>
  <c r="O574" i="2"/>
  <c r="O573" i="2"/>
  <c r="G571" i="2"/>
  <c r="O571" i="2"/>
  <c r="G570" i="2"/>
  <c r="O570" i="2"/>
  <c r="G569" i="2"/>
  <c r="O569" i="2"/>
  <c r="O568" i="2"/>
  <c r="O567" i="2"/>
  <c r="O565" i="2"/>
  <c r="O564" i="2"/>
  <c r="O563" i="2"/>
  <c r="G562" i="2"/>
  <c r="O562" i="2"/>
  <c r="O560" i="2"/>
  <c r="O559" i="2"/>
  <c r="G558" i="2"/>
  <c r="O558" i="2"/>
  <c r="O557" i="2"/>
  <c r="O556" i="2"/>
  <c r="O555" i="2"/>
  <c r="O552" i="2"/>
  <c r="O551" i="2"/>
  <c r="P531" i="2"/>
  <c r="G531" i="2"/>
  <c r="L531" i="2"/>
  <c r="Q531" i="2"/>
  <c r="L520" i="2"/>
  <c r="H531" i="2"/>
  <c r="O530" i="2"/>
  <c r="O527" i="2"/>
  <c r="G526" i="2"/>
  <c r="O526" i="2"/>
  <c r="G520" i="2"/>
  <c r="H520" i="2"/>
  <c r="O519" i="2"/>
  <c r="O516" i="2"/>
  <c r="G515" i="2"/>
  <c r="O515" i="2"/>
  <c r="G512" i="2"/>
  <c r="L512" i="2"/>
  <c r="O511" i="2"/>
  <c r="G507" i="2"/>
  <c r="L507" i="2"/>
  <c r="O506" i="2"/>
  <c r="G503" i="2"/>
  <c r="L503" i="2"/>
  <c r="O502" i="2"/>
  <c r="G498" i="2"/>
  <c r="L498" i="2"/>
  <c r="O497" i="2"/>
  <c r="G494" i="2"/>
  <c r="L494" i="2"/>
  <c r="O493" i="2"/>
  <c r="G489" i="2"/>
  <c r="L489" i="2"/>
  <c r="O488" i="2"/>
  <c r="O487" i="2"/>
  <c r="G485" i="2"/>
  <c r="L485" i="2"/>
  <c r="O484" i="2"/>
  <c r="G480" i="2"/>
  <c r="L480" i="2"/>
  <c r="O479" i="2"/>
  <c r="G476" i="2"/>
  <c r="L476" i="2"/>
  <c r="O475" i="2"/>
  <c r="G471" i="2"/>
  <c r="L471" i="2"/>
  <c r="O470" i="2"/>
  <c r="G467" i="2"/>
  <c r="L467" i="2"/>
  <c r="O466" i="2"/>
  <c r="G462" i="2"/>
  <c r="L462" i="2"/>
  <c r="O461" i="2"/>
  <c r="O456" i="2"/>
  <c r="G455" i="2"/>
  <c r="O455" i="2"/>
  <c r="O454" i="2"/>
  <c r="O453" i="2"/>
  <c r="O451" i="2"/>
  <c r="O447" i="2"/>
  <c r="G446" i="2"/>
  <c r="O446" i="2"/>
  <c r="O445" i="2"/>
  <c r="O444" i="2"/>
  <c r="O442" i="2"/>
  <c r="O440" i="2"/>
  <c r="O439" i="2"/>
  <c r="G438" i="2"/>
  <c r="O438" i="2"/>
  <c r="O436" i="2"/>
  <c r="G435" i="2"/>
  <c r="O435" i="2"/>
  <c r="L422" i="2"/>
  <c r="O422" i="2"/>
  <c r="O419" i="2"/>
  <c r="L416" i="2"/>
  <c r="O416" i="2"/>
  <c r="G415" i="2"/>
  <c r="O415" i="2"/>
  <c r="O414" i="2"/>
  <c r="L411" i="2"/>
  <c r="O411" i="2"/>
  <c r="L410" i="2"/>
  <c r="O410" i="2"/>
  <c r="O409" i="2"/>
  <c r="L404" i="2"/>
  <c r="O404" i="2"/>
  <c r="O403" i="2"/>
  <c r="O401" i="2"/>
  <c r="L399" i="2"/>
  <c r="O399" i="2"/>
  <c r="O396" i="2"/>
  <c r="L393" i="2"/>
  <c r="O393" i="2"/>
  <c r="G392" i="2"/>
  <c r="O392" i="2"/>
  <c r="O391" i="2"/>
  <c r="L388" i="2"/>
  <c r="O388" i="2"/>
  <c r="L387" i="2"/>
  <c r="O387" i="2"/>
  <c r="O386" i="2"/>
  <c r="L381" i="2"/>
  <c r="O381" i="2"/>
  <c r="O379" i="2"/>
  <c r="L377" i="2"/>
  <c r="O377" i="2"/>
  <c r="O374" i="2"/>
  <c r="L371" i="2"/>
  <c r="O371" i="2"/>
  <c r="O370" i="2"/>
  <c r="G368" i="2"/>
  <c r="O368" i="2"/>
  <c r="O367" i="2"/>
  <c r="L364" i="2"/>
  <c r="O364" i="2"/>
  <c r="L363" i="2"/>
  <c r="O363" i="2"/>
  <c r="O362" i="2"/>
  <c r="L357" i="2"/>
  <c r="O357" i="2"/>
  <c r="O355" i="2"/>
  <c r="L353" i="2"/>
  <c r="O353" i="2"/>
  <c r="O350" i="2"/>
  <c r="L347" i="2"/>
  <c r="O347" i="2"/>
  <c r="O346" i="2"/>
  <c r="G344" i="2"/>
  <c r="O344" i="2"/>
  <c r="L340" i="2"/>
  <c r="O340" i="2"/>
  <c r="L339" i="2"/>
  <c r="O339" i="2"/>
  <c r="O338" i="2"/>
  <c r="L333" i="2"/>
  <c r="O333" i="2"/>
  <c r="O331" i="2"/>
  <c r="L329" i="2"/>
  <c r="O329" i="2"/>
  <c r="O326" i="2"/>
  <c r="L323" i="2"/>
  <c r="O323" i="2"/>
  <c r="G322" i="2"/>
  <c r="O322" i="2"/>
  <c r="O321" i="2"/>
  <c r="L318" i="2"/>
  <c r="O318" i="2"/>
  <c r="L317" i="2"/>
  <c r="O317" i="2"/>
  <c r="O316" i="2"/>
  <c r="L311" i="2"/>
  <c r="O311" i="2"/>
  <c r="O309" i="2"/>
  <c r="O300" i="2"/>
  <c r="G299" i="2"/>
  <c r="O299" i="2"/>
  <c r="O297" i="2"/>
  <c r="G296" i="2"/>
  <c r="O296" i="2"/>
  <c r="O290" i="2"/>
  <c r="G290" i="2"/>
  <c r="S288" i="2"/>
  <c r="O288" i="2"/>
  <c r="S287" i="2"/>
  <c r="G287" i="2"/>
  <c r="O287" i="2"/>
  <c r="O281" i="2"/>
  <c r="G281" i="2"/>
  <c r="O279" i="2"/>
  <c r="G278" i="2"/>
  <c r="O278" i="2"/>
  <c r="O272" i="2"/>
  <c r="G272" i="2"/>
  <c r="S270" i="2"/>
  <c r="O270" i="2"/>
  <c r="S269" i="2"/>
  <c r="G269" i="2"/>
  <c r="O269" i="2"/>
  <c r="O266" i="2"/>
  <c r="G265" i="2"/>
  <c r="O265" i="2"/>
  <c r="O263" i="2"/>
  <c r="G262" i="2"/>
  <c r="Q260" i="2"/>
  <c r="O259" i="2"/>
  <c r="O258" i="2"/>
  <c r="O256" i="2"/>
  <c r="O253" i="2"/>
  <c r="O250" i="2"/>
  <c r="O247" i="2"/>
  <c r="O244" i="2"/>
  <c r="G242" i="2"/>
  <c r="O242" i="2"/>
  <c r="O241" i="2"/>
  <c r="G239" i="2"/>
  <c r="O239" i="2"/>
  <c r="O238" i="2"/>
  <c r="G236" i="2"/>
  <c r="O236" i="2"/>
  <c r="O235" i="2"/>
  <c r="G233" i="2"/>
  <c r="O233" i="2"/>
  <c r="O232" i="2"/>
  <c r="G230" i="2"/>
  <c r="O230" i="2"/>
  <c r="O229" i="2"/>
  <c r="H211" i="2"/>
  <c r="O211" i="2"/>
  <c r="H210" i="2"/>
  <c r="O210" i="2"/>
  <c r="H209" i="2"/>
  <c r="O209" i="2"/>
  <c r="H208" i="2"/>
  <c r="O208" i="2"/>
  <c r="H207" i="2"/>
  <c r="O207" i="2"/>
  <c r="H206" i="2"/>
  <c r="O206" i="2"/>
  <c r="G206" i="2"/>
  <c r="H205" i="2"/>
  <c r="O205" i="2"/>
  <c r="L203" i="2"/>
  <c r="O203" i="2"/>
  <c r="G202" i="2"/>
  <c r="Q200" i="2"/>
  <c r="L199" i="2"/>
  <c r="O199" i="2"/>
  <c r="O198" i="2"/>
  <c r="L197" i="2"/>
  <c r="O197" i="2"/>
  <c r="O196" i="2"/>
  <c r="G196" i="2"/>
  <c r="L195" i="2"/>
  <c r="O195" i="2"/>
  <c r="L193" i="2"/>
  <c r="O193" i="2"/>
  <c r="L191" i="2"/>
  <c r="O191" i="2"/>
  <c r="O190" i="2"/>
  <c r="L189" i="2"/>
  <c r="O189" i="2"/>
  <c r="O188" i="2"/>
  <c r="G188" i="2"/>
  <c r="L187" i="2"/>
  <c r="O187" i="2"/>
  <c r="L185" i="2"/>
  <c r="O185" i="2"/>
  <c r="L183" i="2"/>
  <c r="O183" i="2"/>
  <c r="O182" i="2"/>
  <c r="L181" i="2"/>
  <c r="O181" i="2"/>
  <c r="G180" i="2"/>
  <c r="L179" i="2"/>
  <c r="O179" i="2"/>
  <c r="P178" i="2"/>
  <c r="Q178" i="2"/>
  <c r="L177" i="2"/>
  <c r="O177" i="2"/>
  <c r="G176" i="2"/>
  <c r="P175" i="2"/>
  <c r="P174" i="2"/>
  <c r="L173" i="2"/>
  <c r="O173" i="2"/>
  <c r="O172" i="2"/>
  <c r="L171" i="2"/>
  <c r="O171" i="2"/>
  <c r="G170" i="2"/>
  <c r="L169" i="2"/>
  <c r="O169" i="2"/>
  <c r="L167" i="2"/>
  <c r="O167" i="2"/>
  <c r="G166" i="2"/>
  <c r="P165" i="2"/>
  <c r="P164" i="2"/>
  <c r="L163" i="2"/>
  <c r="O163" i="2"/>
  <c r="O162" i="2"/>
  <c r="L161" i="2"/>
  <c r="O161" i="2"/>
  <c r="G160" i="2"/>
  <c r="L159" i="2"/>
  <c r="O159" i="2"/>
  <c r="L157" i="2"/>
  <c r="O157" i="2"/>
  <c r="G156" i="2"/>
  <c r="O156" i="2"/>
  <c r="P155" i="2"/>
  <c r="P154" i="2"/>
  <c r="G152" i="2"/>
  <c r="G149" i="2"/>
  <c r="O149" i="2"/>
  <c r="O148" i="2"/>
  <c r="G146" i="2"/>
  <c r="H144" i="2"/>
  <c r="O144" i="2"/>
  <c r="G143" i="2"/>
  <c r="L141" i="2"/>
  <c r="H141" i="2"/>
  <c r="G140" i="2"/>
  <c r="H138" i="2"/>
  <c r="O134" i="2"/>
  <c r="O133" i="2"/>
  <c r="G133" i="2"/>
  <c r="T132" i="2"/>
  <c r="O127" i="2"/>
  <c r="G127" i="2"/>
  <c r="H125" i="2"/>
  <c r="O125" i="2"/>
  <c r="P124" i="2"/>
  <c r="O124" i="2"/>
  <c r="G123" i="2"/>
  <c r="L123" i="2"/>
  <c r="G122" i="2"/>
  <c r="O122" i="2"/>
  <c r="T121" i="2"/>
  <c r="T117" i="2"/>
  <c r="O120" i="2"/>
  <c r="O119" i="2"/>
  <c r="G116" i="2"/>
  <c r="L116" i="2"/>
  <c r="G115" i="2"/>
  <c r="O115" i="2"/>
  <c r="T114" i="2"/>
  <c r="Q110" i="2"/>
  <c r="O113" i="2"/>
  <c r="O112" i="2"/>
  <c r="T111" i="2"/>
  <c r="G109" i="2"/>
  <c r="L109" i="2"/>
  <c r="G108" i="2"/>
  <c r="O108" i="2"/>
  <c r="T107" i="2"/>
  <c r="T106" i="2"/>
  <c r="O106" i="2"/>
  <c r="T105" i="2"/>
  <c r="O105" i="2"/>
  <c r="G102" i="2"/>
  <c r="O102" i="2"/>
  <c r="O101" i="2"/>
  <c r="T101" i="2"/>
  <c r="T100" i="2"/>
  <c r="O100" i="2"/>
  <c r="T99" i="2"/>
  <c r="O99" i="2"/>
  <c r="T96" i="2"/>
  <c r="O96" i="2"/>
  <c r="T95" i="2"/>
  <c r="O95" i="2"/>
  <c r="T93" i="2"/>
  <c r="O93" i="2"/>
  <c r="T92" i="2"/>
  <c r="O92" i="2"/>
  <c r="T90" i="2"/>
  <c r="O90" i="2"/>
  <c r="T89" i="2"/>
  <c r="O89" i="2"/>
  <c r="T87" i="2"/>
  <c r="O87" i="2"/>
  <c r="T86" i="2"/>
  <c r="O86" i="2"/>
  <c r="Q85" i="2"/>
  <c r="T84" i="2"/>
  <c r="O84" i="2"/>
  <c r="T83" i="2"/>
  <c r="O83" i="2"/>
  <c r="T81" i="2"/>
  <c r="O81" i="2"/>
  <c r="T80" i="2"/>
  <c r="O80" i="2"/>
  <c r="O69" i="2"/>
  <c r="G62" i="2"/>
  <c r="L62" i="2"/>
  <c r="H62" i="2"/>
  <c r="O58" i="2"/>
  <c r="G57" i="2"/>
  <c r="O57" i="2"/>
  <c r="O54" i="2"/>
  <c r="O53" i="2"/>
  <c r="L51" i="2"/>
  <c r="O51" i="2"/>
  <c r="O47" i="2"/>
  <c r="O44" i="2"/>
  <c r="O43" i="2"/>
  <c r="P42" i="2"/>
  <c r="Q42" i="2"/>
  <c r="L41" i="2"/>
  <c r="O41" i="2"/>
  <c r="L39" i="2"/>
  <c r="O39" i="2"/>
  <c r="G38" i="2"/>
  <c r="L38" i="2"/>
  <c r="G37" i="2"/>
  <c r="L37" i="2"/>
  <c r="G36" i="2"/>
  <c r="O36" i="2"/>
  <c r="O35" i="2"/>
  <c r="G33" i="2"/>
  <c r="L33" i="2"/>
  <c r="G32" i="2"/>
  <c r="L32" i="2"/>
  <c r="G31" i="2"/>
  <c r="L31" i="2"/>
  <c r="P30" i="2"/>
  <c r="Q30" i="2"/>
  <c r="O29" i="2"/>
  <c r="G28" i="2"/>
  <c r="L28" i="2"/>
  <c r="L25" i="2"/>
  <c r="O25" i="2"/>
  <c r="G24" i="2"/>
  <c r="L24" i="2"/>
  <c r="H24" i="2"/>
  <c r="G23" i="2"/>
  <c r="L23" i="2"/>
  <c r="O22" i="2"/>
  <c r="G21" i="2"/>
  <c r="L21" i="2"/>
  <c r="G20" i="2"/>
  <c r="L20" i="2"/>
  <c r="G19" i="2"/>
  <c r="L19" i="2"/>
  <c r="L17" i="2"/>
  <c r="O17" i="2"/>
  <c r="G16" i="2"/>
  <c r="L16" i="2"/>
  <c r="H16" i="2"/>
  <c r="G15" i="2"/>
  <c r="L15" i="2"/>
  <c r="O14" i="2"/>
  <c r="G13" i="2"/>
  <c r="L13" i="2"/>
  <c r="G12" i="2"/>
  <c r="L12" i="2"/>
  <c r="G11" i="2"/>
  <c r="L11" i="2"/>
  <c r="L9" i="2"/>
  <c r="O9" i="2"/>
  <c r="G8" i="2"/>
  <c r="L8" i="2"/>
  <c r="H8" i="2"/>
  <c r="G7" i="2"/>
  <c r="L7" i="2"/>
  <c r="Q6" i="2"/>
  <c r="P6" i="2"/>
  <c r="O6" i="2"/>
  <c r="G5" i="2"/>
  <c r="L5" i="2"/>
  <c r="G4" i="2"/>
  <c r="L4" i="2"/>
  <c r="G3" i="2"/>
  <c r="L3" i="2"/>
  <c r="O1890" i="2"/>
  <c r="O1916" i="2"/>
  <c r="O1885" i="2"/>
  <c r="O1880" i="2"/>
  <c r="O1711" i="2"/>
  <c r="O1898" i="2"/>
  <c r="O1924" i="2"/>
  <c r="O1863" i="2"/>
  <c r="O1858" i="2"/>
  <c r="O2008" i="2"/>
  <c r="O1373" i="2"/>
  <c r="O1243" i="2"/>
  <c r="O1339" i="2"/>
  <c r="O1351" i="2"/>
  <c r="O1357" i="2"/>
  <c r="O1363" i="2"/>
  <c r="O1369" i="2"/>
  <c r="O1354" i="2"/>
  <c r="O1776" i="2"/>
  <c r="O2020" i="2"/>
  <c r="O2011" i="2"/>
  <c r="O1430" i="2"/>
  <c r="O1076" i="2"/>
  <c r="O1421" i="2"/>
  <c r="T110" i="2"/>
  <c r="O1872" i="2"/>
  <c r="O1867" i="2"/>
  <c r="O1258" i="2"/>
  <c r="O1427" i="2"/>
  <c r="O1877" i="2"/>
  <c r="O1345" i="2"/>
  <c r="O1315" i="2"/>
  <c r="O1327" i="2"/>
  <c r="O1325" i="2"/>
  <c r="O1490" i="2"/>
  <c r="O2005" i="2"/>
  <c r="O202" i="2"/>
  <c r="O201" i="2"/>
  <c r="O503" i="2"/>
  <c r="O1083" i="2"/>
  <c r="O1518" i="2"/>
  <c r="O166" i="2"/>
  <c r="O165" i="2"/>
  <c r="O1054" i="2"/>
  <c r="O1320" i="2"/>
  <c r="O1360" i="2"/>
  <c r="O1418" i="2"/>
  <c r="O665" i="2"/>
  <c r="O12" i="2"/>
  <c r="O16" i="2"/>
  <c r="O952" i="2"/>
  <c r="O1238" i="2"/>
  <c r="O1262" i="2"/>
  <c r="O1300" i="2"/>
  <c r="O1113" i="2"/>
  <c r="T104" i="2"/>
  <c r="T103" i="2"/>
  <c r="P110" i="2"/>
  <c r="O52" i="2"/>
  <c r="O240" i="2"/>
  <c r="O264" i="2"/>
  <c r="O634" i="2"/>
  <c r="O268" i="2"/>
  <c r="O286" i="2"/>
  <c r="O271" i="2"/>
  <c r="O289" i="2"/>
  <c r="O298" i="2"/>
  <c r="O1462" i="2"/>
  <c r="O932" i="2"/>
  <c r="O277" i="2"/>
  <c r="O295" i="2"/>
  <c r="O550" i="2"/>
  <c r="O252" i="2"/>
  <c r="O715" i="2"/>
  <c r="O3" i="2"/>
  <c r="O5" i="2"/>
  <c r="O85" i="2"/>
  <c r="T94" i="2"/>
  <c r="O98" i="2"/>
  <c r="O97" i="2"/>
  <c r="O79" i="2"/>
  <c r="T79" i="2"/>
  <c r="T85" i="2"/>
  <c r="P85" i="2"/>
  <c r="O88" i="2"/>
  <c r="T98" i="2"/>
  <c r="T97" i="2"/>
  <c r="O332" i="2"/>
  <c r="O581" i="2"/>
  <c r="O624" i="2"/>
  <c r="O118" i="2"/>
  <c r="O1283" i="2"/>
  <c r="O1281" i="2"/>
  <c r="O1937" i="2"/>
  <c r="P993" i="2"/>
  <c r="O639" i="2"/>
  <c r="O645" i="2"/>
  <c r="O709" i="2"/>
  <c r="O1849" i="2"/>
  <c r="O1848" i="2"/>
  <c r="O38" i="2"/>
  <c r="O42" i="2"/>
  <c r="O40" i="2"/>
  <c r="T82" i="2"/>
  <c r="O94" i="2"/>
  <c r="O104" i="2"/>
  <c r="O123" i="2"/>
  <c r="O121" i="2"/>
  <c r="O1251" i="2"/>
  <c r="O864" i="2"/>
  <c r="O893" i="2"/>
  <c r="O923" i="2"/>
  <c r="O937" i="2"/>
  <c r="O957" i="2"/>
  <c r="O963" i="2"/>
  <c r="O972" i="2"/>
  <c r="O1158" i="2"/>
  <c r="O262" i="2"/>
  <c r="O261" i="2"/>
  <c r="O155" i="2"/>
  <c r="O158" i="2"/>
  <c r="O890" i="2"/>
  <c r="O1295" i="2"/>
  <c r="O1451" i="2"/>
  <c r="O1437" i="2"/>
  <c r="O228" i="2"/>
  <c r="O514" i="2"/>
  <c r="O525" i="2"/>
  <c r="O787" i="2"/>
  <c r="O1026" i="2"/>
  <c r="O1038" i="2"/>
  <c r="O1174" i="2"/>
  <c r="O1202" i="2"/>
  <c r="O1971" i="2"/>
  <c r="O132" i="2"/>
  <c r="T91" i="2"/>
  <c r="O249" i="2"/>
  <c r="O168" i="2"/>
  <c r="O178" i="2"/>
  <c r="O186" i="2"/>
  <c r="O184" i="2"/>
  <c r="O628" i="2"/>
  <c r="O660" i="2"/>
  <c r="O648" i="2"/>
  <c r="O977" i="2"/>
  <c r="O1269" i="2"/>
  <c r="O1841" i="2"/>
  <c r="O1945" i="2"/>
  <c r="T88" i="2"/>
  <c r="O111" i="2"/>
  <c r="O194" i="2"/>
  <c r="O204" i="2"/>
  <c r="O237" i="2"/>
  <c r="O872" i="2"/>
  <c r="O880" i="2"/>
  <c r="O1005" i="2"/>
  <c r="O1049" i="2"/>
  <c r="O1122" i="2"/>
  <c r="O1120" i="2"/>
  <c r="O1139" i="2"/>
  <c r="O1159" i="2"/>
  <c r="O1336" i="2"/>
  <c r="O1342" i="2"/>
  <c r="O1348" i="2"/>
  <c r="O1424" i="2"/>
  <c r="O1830" i="2"/>
  <c r="O1933" i="2"/>
  <c r="O255" i="2"/>
  <c r="O243" i="2"/>
  <c r="O82" i="2"/>
  <c r="O91" i="2"/>
  <c r="O143" i="2"/>
  <c r="O142" i="2"/>
  <c r="O28" i="2"/>
  <c r="P117" i="2"/>
  <c r="Q117" i="2"/>
  <c r="O751" i="2"/>
  <c r="Q993" i="2"/>
  <c r="P1001" i="2"/>
  <c r="P994" i="2"/>
  <c r="O1057" i="2"/>
  <c r="O1305" i="2"/>
  <c r="O1366" i="2"/>
  <c r="O1434" i="2"/>
  <c r="O912" i="2"/>
  <c r="O467" i="2"/>
  <c r="O1078" i="2"/>
  <c r="O1833" i="2"/>
  <c r="O1832" i="2"/>
  <c r="O11" i="2"/>
  <c r="O15" i="2"/>
  <c r="O20" i="2"/>
  <c r="O141" i="2"/>
  <c r="O998" i="2"/>
  <c r="O1136" i="2"/>
  <c r="O1137" i="2"/>
  <c r="O1831" i="2"/>
  <c r="O2029" i="2"/>
  <c r="O7" i="2"/>
  <c r="O62" i="2"/>
  <c r="O61" i="2"/>
  <c r="O116" i="2"/>
  <c r="O114" i="2"/>
  <c r="O719" i="2"/>
  <c r="O997" i="2"/>
  <c r="O1036" i="2"/>
  <c r="O1147" i="2"/>
  <c r="O1919" i="2"/>
  <c r="O176" i="2"/>
  <c r="O175" i="2"/>
  <c r="O31" i="2"/>
  <c r="O33" i="2"/>
  <c r="O37" i="2"/>
  <c r="O8" i="2"/>
  <c r="O13" i="2"/>
  <c r="O23" i="2"/>
  <c r="O24" i="2"/>
  <c r="O498" i="2"/>
  <c r="O1138" i="2"/>
  <c r="O1950" i="2"/>
  <c r="O434" i="2"/>
  <c r="O485" i="2"/>
  <c r="O612" i="2"/>
  <c r="O609" i="2"/>
  <c r="O616" i="2"/>
  <c r="O620" i="2"/>
  <c r="O996" i="2"/>
  <c r="O1103" i="2"/>
  <c r="O1101" i="2"/>
  <c r="O1134" i="2"/>
  <c r="O1149" i="2"/>
  <c r="O1160" i="2"/>
  <c r="O1931" i="2"/>
  <c r="O4" i="2"/>
  <c r="O19" i="2"/>
  <c r="O21" i="2"/>
  <c r="O32" i="2"/>
  <c r="O109" i="2"/>
  <c r="O107" i="2"/>
  <c r="O437" i="2"/>
  <c r="O462" i="2"/>
  <c r="O489" i="2"/>
  <c r="O494" i="2"/>
  <c r="O507" i="2"/>
  <c r="O512" i="2"/>
  <c r="O575" i="2"/>
  <c r="O553" i="2"/>
  <c r="O613" i="2"/>
  <c r="O632" i="2"/>
  <c r="O685" i="2"/>
  <c r="O1007" i="2"/>
  <c r="O1027" i="2"/>
  <c r="O1039" i="2"/>
  <c r="O1097" i="2"/>
  <c r="O1095" i="2"/>
  <c r="O1161" i="2"/>
  <c r="O1162" i="2"/>
  <c r="O1167" i="2"/>
  <c r="O1178" i="2"/>
  <c r="O1191" i="2"/>
  <c r="O1932" i="2"/>
  <c r="O1959" i="2"/>
  <c r="O1963" i="2"/>
  <c r="O712" i="2"/>
  <c r="O722" i="2"/>
  <c r="O853" i="2"/>
  <c r="O1065" i="2"/>
  <c r="O443" i="2"/>
  <c r="O754" i="2"/>
  <c r="O790" i="2"/>
  <c r="O984" i="2"/>
  <c r="O1310" i="2"/>
  <c r="O380" i="2"/>
  <c r="O402" i="2"/>
  <c r="O943" i="2"/>
  <c r="O1851" i="2"/>
  <c r="O231" i="2"/>
  <c r="O234" i="2"/>
  <c r="O280" i="2"/>
  <c r="O310" i="2"/>
  <c r="O308" i="2"/>
  <c r="O356" i="2"/>
  <c r="O354" i="2"/>
  <c r="O452" i="2"/>
  <c r="O917" i="2"/>
  <c r="O1376" i="2"/>
  <c r="O1903" i="2"/>
  <c r="O1911" i="2"/>
  <c r="O1982" i="2"/>
  <c r="O1980" i="2"/>
  <c r="O2068" i="2"/>
  <c r="O126" i="2"/>
  <c r="O246" i="2"/>
  <c r="O1893" i="2"/>
  <c r="O140" i="2"/>
  <c r="O146" i="2"/>
  <c r="O152" i="2"/>
  <c r="O471" i="2"/>
  <c r="O480" i="2"/>
  <c r="O1006" i="2"/>
  <c r="O1028" i="2"/>
  <c r="O1141" i="2"/>
  <c r="O1148" i="2"/>
  <c r="O1216" i="2"/>
  <c r="O1212" i="2"/>
  <c r="O1836" i="2"/>
  <c r="O1835" i="2"/>
  <c r="O1839" i="2"/>
  <c r="O1838" i="2"/>
  <c r="O1941" i="2"/>
  <c r="O1942" i="2"/>
  <c r="O1962" i="2"/>
  <c r="O520" i="2"/>
  <c r="O604" i="2"/>
  <c r="O584" i="2"/>
  <c r="O700" i="2"/>
  <c r="O688" i="2"/>
  <c r="O1017" i="2"/>
  <c r="O1091" i="2"/>
  <c r="O1089" i="2"/>
  <c r="O1109" i="2"/>
  <c r="O1107" i="2"/>
  <c r="O1151" i="2"/>
  <c r="O1188" i="2"/>
  <c r="O1507" i="2"/>
  <c r="O1493" i="2"/>
  <c r="O1929" i="2"/>
  <c r="O1077" i="2"/>
  <c r="O1145" i="2"/>
  <c r="O1165" i="2"/>
  <c r="O1479" i="2"/>
  <c r="O1465" i="2"/>
  <c r="O1536" i="2"/>
  <c r="O1521" i="2"/>
  <c r="O1938" i="2"/>
  <c r="O2067" i="2"/>
  <c r="O2047" i="2"/>
  <c r="O1958" i="2"/>
  <c r="O1961" i="2"/>
  <c r="O1964" i="2"/>
  <c r="O1999" i="2"/>
  <c r="O1997" i="2"/>
  <c r="O1758" i="2"/>
  <c r="O1714" i="2"/>
  <c r="O1939" i="2"/>
  <c r="O1960" i="2"/>
  <c r="O476" i="2"/>
  <c r="O1015" i="2"/>
  <c r="U531" i="2"/>
  <c r="O531" i="2"/>
  <c r="O680" i="2"/>
  <c r="O668" i="2"/>
  <c r="O1163" i="2"/>
  <c r="O1206" i="2"/>
  <c r="O1935" i="2"/>
  <c r="O1940" i="2"/>
  <c r="O1845" i="2"/>
  <c r="O1844" i="2"/>
  <c r="Q1001" i="2"/>
  <c r="P995" i="2"/>
  <c r="O1016" i="2"/>
  <c r="O1025" i="2"/>
  <c r="O1080" i="2"/>
  <c r="O1135" i="2"/>
  <c r="O1146" i="2"/>
  <c r="O1829" i="2"/>
  <c r="O1948" i="2"/>
  <c r="O1815" i="2"/>
  <c r="O1779" i="2"/>
  <c r="O1955" i="2"/>
  <c r="O1954" i="2"/>
  <c r="O1710" i="2"/>
  <c r="O1775" i="2"/>
  <c r="O889" i="2"/>
  <c r="O117" i="2"/>
  <c r="O1111" i="2"/>
  <c r="O110" i="2"/>
  <c r="O1236" i="2"/>
  <c r="O1489" i="2"/>
  <c r="O1118" i="2"/>
  <c r="O50" i="2"/>
  <c r="O294" i="2"/>
  <c r="O1433" i="2"/>
  <c r="O1198" i="2"/>
  <c r="O1196" i="2"/>
  <c r="O285" i="2"/>
  <c r="O580" i="2"/>
  <c r="O1461" i="2"/>
  <c r="O549" i="2"/>
  <c r="O955" i="2"/>
  <c r="O267" i="2"/>
  <c r="O154" i="2"/>
  <c r="O621" i="2"/>
  <c r="O1249" i="2"/>
  <c r="O915" i="2"/>
  <c r="O330" i="2"/>
  <c r="O192" i="2"/>
  <c r="O10" i="2"/>
  <c r="O1915" i="2"/>
  <c r="O103" i="2"/>
  <c r="O200" i="2"/>
  <c r="O625" i="2"/>
  <c r="O644" i="2"/>
  <c r="O786" i="2"/>
  <c r="O718" i="2"/>
  <c r="O1969" i="2"/>
  <c r="O30" i="2"/>
  <c r="O1876" i="2"/>
  <c r="O1170" i="2"/>
  <c r="O1168" i="2"/>
  <c r="O2" i="2"/>
  <c r="O1035" i="2"/>
  <c r="O459" i="2"/>
  <c r="O1144" i="2"/>
  <c r="O1157" i="2"/>
  <c r="O450" i="2"/>
  <c r="O504" i="2"/>
  <c r="O468" i="2"/>
  <c r="O1267" i="2"/>
  <c r="O1099" i="2"/>
  <c r="O1847" i="2"/>
  <c r="O27" i="2"/>
  <c r="O1024" i="2"/>
  <c r="O1004" i="2"/>
  <c r="O276" i="2"/>
  <c r="O1930" i="2"/>
  <c r="O617" i="2"/>
  <c r="O1234" i="2"/>
  <c r="O1133" i="2"/>
  <c r="O1131" i="2"/>
  <c r="O629" i="2"/>
  <c r="O995" i="2"/>
  <c r="O993" i="2"/>
  <c r="O18" i="2"/>
  <c r="O486" i="2"/>
  <c r="O174" i="2"/>
  <c r="O495" i="2"/>
  <c r="O1093" i="2"/>
  <c r="O400" i="2"/>
  <c r="O1906" i="2"/>
  <c r="O378" i="2"/>
  <c r="O750" i="2"/>
  <c r="O1372" i="2"/>
  <c r="O935" i="2"/>
  <c r="O975" i="2"/>
  <c r="O441" i="2"/>
  <c r="O1889" i="2"/>
  <c r="O1928" i="2"/>
  <c r="O1184" i="2"/>
  <c r="O684" i="2"/>
  <c r="O151" i="2"/>
  <c r="O139" i="2"/>
  <c r="O1957" i="2"/>
  <c r="O1105" i="2"/>
  <c r="O1210" i="2"/>
  <c r="O164" i="2"/>
  <c r="O1517" i="2"/>
  <c r="O1087" i="2"/>
  <c r="O517" i="2"/>
  <c r="O477" i="2"/>
  <c r="O145" i="2"/>
  <c r="O1014" i="2"/>
  <c r="O1936" i="2"/>
  <c r="O664" i="2"/>
  <c r="O1946" i="2"/>
  <c r="O528" i="2"/>
  <c r="O1934" i="2"/>
  <c r="O1247" i="2"/>
  <c r="O1953" i="2"/>
  <c r="O951" i="2"/>
  <c r="O1002" i="2"/>
  <c r="O911" i="2"/>
  <c r="O1033" i="2"/>
  <c r="O1155" i="2"/>
  <c r="O1142" i="2"/>
  <c r="O1022" i="2"/>
  <c r="O26" i="2"/>
  <c r="O931" i="2"/>
  <c r="O971" i="2"/>
  <c r="O1902" i="2"/>
  <c r="O513" i="2"/>
  <c r="O1182" i="2"/>
  <c r="O524" i="2"/>
  <c r="O1944" i="2"/>
  <c r="O1012" i="2"/>
</calcChain>
</file>

<file path=xl/comments1.xml><?xml version="1.0" encoding="utf-8"?>
<comments xmlns="http://schemas.openxmlformats.org/spreadsheetml/2006/main">
  <authors>
    <author>TScurfield2</author>
    <author>David Gionet-Landry</author>
  </authors>
  <commentList>
    <comment ref="O993" authorId="0">
      <text>
        <r>
          <rPr>
            <b/>
            <sz val="9"/>
            <color indexed="81"/>
            <rFont val="Tahoma"/>
            <family val="2"/>
          </rPr>
          <t xml:space="preserve">Tscurfield:
</t>
        </r>
        <r>
          <rPr>
            <sz val="9"/>
            <color indexed="81"/>
            <rFont val="Tahoma"/>
            <family val="2"/>
          </rPr>
          <t>Doesn't include production value of forestry sector</t>
        </r>
      </text>
    </comment>
    <comment ref="W1082" authorId="1">
      <text>
        <r>
          <rPr>
            <b/>
            <sz val="9"/>
            <color indexed="81"/>
            <rFont val="Calibri"/>
            <family val="2"/>
          </rPr>
          <t>DLandry:
Not in report</t>
        </r>
        <r>
          <rPr>
            <sz val="9"/>
            <color indexed="81"/>
            <rFont val="Calibri"/>
            <family val="2"/>
          </rPr>
          <t xml:space="preserve">
</t>
        </r>
      </text>
    </comment>
  </commentList>
</comments>
</file>

<file path=xl/comments2.xml><?xml version="1.0" encoding="utf-8"?>
<comments xmlns="http://schemas.openxmlformats.org/spreadsheetml/2006/main">
  <authors>
    <author>TScurfield2</author>
  </authors>
  <commentList>
    <comment ref="G10" authorId="0">
      <text>
        <r>
          <rPr>
            <b/>
            <sz val="9"/>
            <color indexed="81"/>
            <rFont val="Tahoma"/>
            <family val="2"/>
          </rPr>
          <t>TScurfield2:</t>
        </r>
        <r>
          <rPr>
            <sz val="9"/>
            <color indexed="81"/>
            <rFont val="Tahoma"/>
            <family val="2"/>
          </rPr>
          <t xml:space="preserve">
No exchange rate was given in the report or on www.eiti.org so this was taken from the WB after conversion from old to new local currency. Also government figure includes payments in-kind, which www.eiti.org does not. </t>
        </r>
      </text>
    </comment>
    <comment ref="G11" authorId="0">
      <text>
        <r>
          <rPr>
            <b/>
            <sz val="9"/>
            <color indexed="81"/>
            <rFont val="Tahoma"/>
            <family val="2"/>
          </rPr>
          <t>TScurfield2:</t>
        </r>
        <r>
          <rPr>
            <sz val="9"/>
            <color indexed="81"/>
            <rFont val="Tahoma"/>
            <family val="2"/>
          </rPr>
          <t xml:space="preserve">
No exchange rate was given in the report or on www.eiti.org so this was taken from the WB after conversion from old to new local currency. Also government figure includes payments in-kind, which www.eiti.org does not. </t>
        </r>
      </text>
    </comment>
    <comment ref="G12" authorId="0">
      <text>
        <r>
          <rPr>
            <b/>
            <sz val="9"/>
            <color indexed="81"/>
            <rFont val="Tahoma"/>
            <family val="2"/>
          </rPr>
          <t>TScurfield2:</t>
        </r>
        <r>
          <rPr>
            <sz val="9"/>
            <color indexed="81"/>
            <rFont val="Tahoma"/>
            <family val="2"/>
          </rPr>
          <t xml:space="preserve">
Clearly something significantly wrong with this but can't work out what??</t>
        </r>
      </text>
    </comment>
    <comment ref="G13" authorId="0">
      <text>
        <r>
          <rPr>
            <b/>
            <sz val="9"/>
            <color indexed="81"/>
            <rFont val="Tahoma"/>
            <family val="2"/>
          </rPr>
          <t>TScurfield2:</t>
        </r>
        <r>
          <rPr>
            <sz val="9"/>
            <color indexed="81"/>
            <rFont val="Tahoma"/>
            <family val="2"/>
          </rPr>
          <t xml:space="preserve">
Resolved discrepancies were not included in the report's figures so these were adjusted retrospectively. Also, government figure includes payments in-kind, which www.eiti.org does not.
</t>
        </r>
      </text>
    </comment>
    <comment ref="G14" authorId="0">
      <text>
        <r>
          <rPr>
            <b/>
            <sz val="9"/>
            <color indexed="81"/>
            <rFont val="Tahoma"/>
            <family val="2"/>
          </rPr>
          <t>TScurfield2:</t>
        </r>
        <r>
          <rPr>
            <sz val="9"/>
            <color indexed="81"/>
            <rFont val="Tahoma"/>
            <family val="2"/>
          </rPr>
          <t xml:space="preserve">
Resolved discrepancies were not included in the report's figures so these were adjusted retrospectively. Also, government figure includes payments in-kind, which www.eiti.org does not.
</t>
        </r>
      </text>
    </comment>
    <comment ref="G15" authorId="0">
      <text>
        <r>
          <rPr>
            <b/>
            <sz val="9"/>
            <color indexed="81"/>
            <rFont val="Tahoma"/>
            <family val="2"/>
          </rPr>
          <t>TScurfield2:</t>
        </r>
        <r>
          <rPr>
            <sz val="9"/>
            <color indexed="81"/>
            <rFont val="Tahoma"/>
            <family val="2"/>
          </rPr>
          <t xml:space="preserve">
Resolved discrepancies were not included in the report's figures so these were adjusted retrospectively. Also, government figure includes payments in-kind, which www.eiti.org does not.
</t>
        </r>
      </text>
    </comment>
    <comment ref="G16" authorId="0">
      <text>
        <r>
          <rPr>
            <b/>
            <sz val="9"/>
            <color indexed="81"/>
            <rFont val="Tahoma"/>
            <family val="2"/>
          </rPr>
          <t>TScurfield2:</t>
        </r>
        <r>
          <rPr>
            <sz val="9"/>
            <color indexed="81"/>
            <rFont val="Tahoma"/>
            <family val="2"/>
          </rPr>
          <t xml:space="preserve">
Resolved discrepancies were not included in the report's figures so these were adjusted retrospectively. Also, government figure includes payments in-kind, which www.eiti.org does not.</t>
        </r>
      </text>
    </comment>
    <comment ref="G17" authorId="0">
      <text>
        <r>
          <rPr>
            <b/>
            <sz val="9"/>
            <color indexed="81"/>
            <rFont val="Tahoma"/>
            <family val="2"/>
          </rPr>
          <t>TScurfield2:</t>
        </r>
        <r>
          <rPr>
            <sz val="9"/>
            <color indexed="81"/>
            <rFont val="Tahoma"/>
            <family val="2"/>
          </rPr>
          <t xml:space="preserve">
Resolved discrepancies were not included in the report's figures so these were adjusted retrospectively. Also, government figure includes payments in-kind, which www.eiti.org does not.</t>
        </r>
      </text>
    </comment>
    <comment ref="G18" authorId="0">
      <text>
        <r>
          <rPr>
            <b/>
            <sz val="9"/>
            <color indexed="81"/>
            <rFont val="Tahoma"/>
            <family val="2"/>
          </rPr>
          <t>TScurfield2:</t>
        </r>
        <r>
          <rPr>
            <sz val="9"/>
            <color indexed="81"/>
            <rFont val="Tahoma"/>
            <family val="2"/>
          </rPr>
          <t xml:space="preserve">
The sum of the values of payments in-kind is incorrect on www.eiti.org, and the figures for the cash payments are also slightly different.</t>
        </r>
      </text>
    </comment>
    <comment ref="G25" authorId="0">
      <text>
        <r>
          <rPr>
            <b/>
            <sz val="9"/>
            <color indexed="81"/>
            <rFont val="Tahoma"/>
            <family val="2"/>
          </rPr>
          <t>TScurfield2:</t>
        </r>
        <r>
          <rPr>
            <sz val="9"/>
            <color indexed="81"/>
            <rFont val="Tahoma"/>
            <family val="2"/>
          </rPr>
          <t xml:space="preserve">
Includes payments in-kind, which www.eiti.org does not.</t>
        </r>
      </text>
    </comment>
    <comment ref="G26" authorId="0">
      <text>
        <r>
          <rPr>
            <b/>
            <sz val="9"/>
            <color indexed="81"/>
            <rFont val="Tahoma"/>
            <family val="2"/>
          </rPr>
          <t>TScurfield2:</t>
        </r>
        <r>
          <rPr>
            <sz val="9"/>
            <color indexed="81"/>
            <rFont val="Tahoma"/>
            <family val="2"/>
          </rPr>
          <t xml:space="preserve">
Includes payments in-kind, which www.eiti.org does not.</t>
        </r>
      </text>
    </comment>
    <comment ref="G27" authorId="0">
      <text>
        <r>
          <rPr>
            <b/>
            <sz val="9"/>
            <color indexed="81"/>
            <rFont val="Tahoma"/>
            <family val="2"/>
          </rPr>
          <t>TScurfield2:</t>
        </r>
        <r>
          <rPr>
            <sz val="9"/>
            <color indexed="81"/>
            <rFont val="Tahoma"/>
            <family val="2"/>
          </rPr>
          <t xml:space="preserve">
Includes payments in-kind, which www.eiti.org does not.</t>
        </r>
      </text>
    </comment>
    <comment ref="G28" authorId="0">
      <text>
        <r>
          <rPr>
            <b/>
            <sz val="9"/>
            <color indexed="81"/>
            <rFont val="Tahoma"/>
            <family val="2"/>
          </rPr>
          <t>TScurfield2:</t>
        </r>
        <r>
          <rPr>
            <sz val="9"/>
            <color indexed="81"/>
            <rFont val="Tahoma"/>
            <family val="2"/>
          </rPr>
          <t xml:space="preserve">
Includes payments in-kind, which www.eiti.org does not.</t>
        </r>
      </text>
    </comment>
    <comment ref="G29" authorId="0">
      <text>
        <r>
          <rPr>
            <b/>
            <sz val="9"/>
            <color indexed="81"/>
            <rFont val="Tahoma"/>
            <family val="2"/>
          </rPr>
          <t>TScurfield2:</t>
        </r>
        <r>
          <rPr>
            <sz val="9"/>
            <color indexed="81"/>
            <rFont val="Tahoma"/>
            <family val="2"/>
          </rPr>
          <t xml:space="preserve">
Includes payments in-kind, which www.eiti.org does not.</t>
        </r>
      </text>
    </comment>
    <comment ref="G30" authorId="0">
      <text>
        <r>
          <rPr>
            <b/>
            <sz val="9"/>
            <color indexed="81"/>
            <rFont val="Tahoma"/>
            <family val="2"/>
          </rPr>
          <t>TScurfield2:</t>
        </r>
        <r>
          <rPr>
            <sz val="9"/>
            <color indexed="81"/>
            <rFont val="Tahoma"/>
            <family val="2"/>
          </rPr>
          <t xml:space="preserve">
The oil subsidy is netted on www.eiti.org, but it is not here. Also, the government figure includes payments in-kind, which www.eiti.org does not.</t>
        </r>
      </text>
    </comment>
    <comment ref="G31" authorId="0">
      <text>
        <r>
          <rPr>
            <b/>
            <sz val="9"/>
            <color indexed="81"/>
            <rFont val="Tahoma"/>
            <family val="2"/>
          </rPr>
          <t>TScurfield2:</t>
        </r>
        <r>
          <rPr>
            <sz val="9"/>
            <color indexed="81"/>
            <rFont val="Tahoma"/>
            <family val="2"/>
          </rPr>
          <t xml:space="preserve">
The oil subsidy is netted on www.eiti.org, but it is not here. Also, the government figure includes payments in-kind, which www.eiti.org does not.</t>
        </r>
      </text>
    </comment>
    <comment ref="G32" authorId="0">
      <text>
        <r>
          <rPr>
            <b/>
            <sz val="9"/>
            <color indexed="81"/>
            <rFont val="Tahoma"/>
            <family val="2"/>
          </rPr>
          <t>TScurfield2:</t>
        </r>
        <r>
          <rPr>
            <sz val="9"/>
            <color indexed="81"/>
            <rFont val="Tahoma"/>
            <family val="2"/>
          </rPr>
          <t xml:space="preserve">
The oil subsidy is netted on www.eiti.org, but it is not here. Also, the government figure includes payments in-kind, which www.eiti.org does not.</t>
        </r>
      </text>
    </comment>
    <comment ref="G35" authorId="0">
      <text>
        <r>
          <rPr>
            <b/>
            <sz val="9"/>
            <color indexed="81"/>
            <rFont val="Tahoma"/>
            <family val="2"/>
          </rPr>
          <t>TScurfield2:</t>
        </r>
        <r>
          <rPr>
            <sz val="9"/>
            <color indexed="81"/>
            <rFont val="Tahoma"/>
            <family val="2"/>
          </rPr>
          <t xml:space="preserve">
The oil subsidy is netted on www.eiti.org, but it is not here.  But, irrespective of this, there is still a small difference.</t>
        </r>
      </text>
    </comment>
    <comment ref="G68" authorId="0">
      <text>
        <r>
          <rPr>
            <b/>
            <sz val="9"/>
            <color indexed="81"/>
            <rFont val="Tahoma"/>
            <family val="2"/>
          </rPr>
          <t>TScurfield2:</t>
        </r>
        <r>
          <rPr>
            <sz val="9"/>
            <color indexed="81"/>
            <rFont val="Tahoma"/>
            <family val="2"/>
          </rPr>
          <t xml:space="preserve">
Figures are the wrong way round in the EITI summary</t>
        </r>
      </text>
    </comment>
    <comment ref="G71" authorId="0">
      <text>
        <r>
          <rPr>
            <b/>
            <sz val="9"/>
            <color indexed="81"/>
            <rFont val="Tahoma"/>
            <family val="2"/>
          </rPr>
          <t>TScurfield2:</t>
        </r>
        <r>
          <rPr>
            <sz val="9"/>
            <color indexed="81"/>
            <rFont val="Tahoma"/>
            <family val="2"/>
          </rPr>
          <t xml:space="preserve">
Resolved discrepancies were not included in the report's figures so these were adjusted retrospectively. But, irrespective of this, there is still a difference.</t>
        </r>
      </text>
    </comment>
    <comment ref="G86" authorId="0">
      <text>
        <r>
          <rPr>
            <b/>
            <sz val="9"/>
            <color indexed="81"/>
            <rFont val="Tahoma"/>
            <family val="2"/>
          </rPr>
          <t>TScurfield2:</t>
        </r>
        <r>
          <rPr>
            <sz val="9"/>
            <color indexed="81"/>
            <rFont val="Tahoma"/>
            <family val="2"/>
          </rPr>
          <t xml:space="preserve">
DMO fees are netted on www.eiti.org, but are not here. </t>
        </r>
      </text>
    </comment>
    <comment ref="G87" authorId="0">
      <text>
        <r>
          <rPr>
            <b/>
            <sz val="9"/>
            <color indexed="81"/>
            <rFont val="Tahoma"/>
            <family val="2"/>
          </rPr>
          <t>TScurfield2:</t>
        </r>
        <r>
          <rPr>
            <sz val="9"/>
            <color indexed="81"/>
            <rFont val="Tahoma"/>
            <family val="2"/>
          </rPr>
          <t xml:space="preserve">
DMO fees are netted on www.eiti.org, but are not here. Although irespective of this, there is still a difference.</t>
        </r>
      </text>
    </comment>
    <comment ref="G88" authorId="0">
      <text>
        <r>
          <rPr>
            <b/>
            <sz val="9"/>
            <color indexed="81"/>
            <rFont val="Tahoma"/>
            <family val="2"/>
          </rPr>
          <t>TScurfield2:</t>
        </r>
        <r>
          <rPr>
            <sz val="9"/>
            <color indexed="81"/>
            <rFont val="Tahoma"/>
            <family val="2"/>
          </rPr>
          <t xml:space="preserve">
DMO fees are netted on www.eiti.org, but are not here. Although irespective of this, there is still a difference.</t>
        </r>
      </text>
    </comment>
    <comment ref="G89" authorId="0">
      <text>
        <r>
          <rPr>
            <b/>
            <sz val="9"/>
            <color indexed="81"/>
            <rFont val="Tahoma"/>
            <family val="2"/>
          </rPr>
          <t>TScurfield2:</t>
        </r>
        <r>
          <rPr>
            <sz val="9"/>
            <color indexed="81"/>
            <rFont val="Tahoma"/>
            <family val="2"/>
          </rPr>
          <t xml:space="preserve">
Possibly just slightly inaccurate rounding on www.eiti.org.</t>
        </r>
      </text>
    </comment>
    <comment ref="G90" authorId="0">
      <text>
        <r>
          <rPr>
            <b/>
            <sz val="9"/>
            <color indexed="81"/>
            <rFont val="Tahoma"/>
            <family val="2"/>
          </rPr>
          <t>TScurfield2:</t>
        </r>
        <r>
          <rPr>
            <sz val="9"/>
            <color indexed="81"/>
            <rFont val="Tahoma"/>
            <family val="2"/>
          </rPr>
          <t xml:space="preserve">
Signature bonuses from IOCs are not included on www.eiti.org, but they are here.
</t>
        </r>
      </text>
    </comment>
    <comment ref="G91" authorId="0">
      <text>
        <r>
          <rPr>
            <b/>
            <sz val="9"/>
            <color indexed="81"/>
            <rFont val="Tahoma"/>
            <family val="2"/>
          </rPr>
          <t>TScurfield2:</t>
        </r>
        <r>
          <rPr>
            <sz val="9"/>
            <color indexed="81"/>
            <rFont val="Tahoma"/>
            <family val="2"/>
          </rPr>
          <t xml:space="preserve">
Cost recovery and remuneration fees may have been included on www.eiti.org, whilst they are not here. Although, even accounting for this, there is still a difference.</t>
        </r>
      </text>
    </comment>
    <comment ref="G95" authorId="0">
      <text>
        <r>
          <rPr>
            <b/>
            <sz val="9"/>
            <color indexed="81"/>
            <rFont val="Tahoma"/>
            <family val="2"/>
          </rPr>
          <t>TScurfield2:</t>
        </r>
        <r>
          <rPr>
            <sz val="9"/>
            <color indexed="81"/>
            <rFont val="Tahoma"/>
            <family val="2"/>
          </rPr>
          <t xml:space="preserve">
Assumes that US$ payments have been accounted for in the total reported in local currency but this should be confirmed. This does not appear to be assumed on www.eiti.org.</t>
        </r>
      </text>
    </comment>
    <comment ref="G96" authorId="0">
      <text>
        <r>
          <rPr>
            <b/>
            <sz val="9"/>
            <color indexed="81"/>
            <rFont val="Tahoma"/>
            <family val="2"/>
          </rPr>
          <t>TScurfield2:</t>
        </r>
        <r>
          <rPr>
            <sz val="9"/>
            <color indexed="81"/>
            <rFont val="Tahoma"/>
            <family val="2"/>
          </rPr>
          <t xml:space="preserve">
Assumes that US$ payments have been accounted for in the total reported in local currency but this should be confirmed. This does not appear to be assumed on www.eiti.org.</t>
        </r>
      </text>
    </comment>
    <comment ref="G99" authorId="0">
      <text>
        <r>
          <rPr>
            <b/>
            <sz val="9"/>
            <color indexed="81"/>
            <rFont val="Tahoma"/>
            <family val="2"/>
          </rPr>
          <t>TScurfield2:</t>
        </r>
        <r>
          <rPr>
            <sz val="9"/>
            <color indexed="81"/>
            <rFont val="Tahoma"/>
            <family val="2"/>
          </rPr>
          <t xml:space="preserve">
Assumes that US$ payments have been accounted for in the total reported in local currency but this should be confirmed. This does not appear to be assumed on www.eiti.org.</t>
        </r>
      </text>
    </comment>
    <comment ref="G141" authorId="0">
      <text>
        <r>
          <rPr>
            <b/>
            <sz val="9"/>
            <color indexed="81"/>
            <rFont val="Tahoma"/>
            <family val="2"/>
          </rPr>
          <t>TScurfield2:</t>
        </r>
        <r>
          <rPr>
            <sz val="9"/>
            <color indexed="81"/>
            <rFont val="Tahoma"/>
            <family val="2"/>
          </rPr>
          <t xml:space="preserve">
Figures are the wrong way round on www.eiti.org.</t>
        </r>
      </text>
    </comment>
    <comment ref="G144" authorId="0">
      <text>
        <r>
          <rPr>
            <b/>
            <sz val="9"/>
            <color indexed="81"/>
            <rFont val="Tahoma"/>
            <family val="2"/>
          </rPr>
          <t>TScurfield2:</t>
        </r>
        <r>
          <rPr>
            <sz val="9"/>
            <color indexed="81"/>
            <rFont val="Tahoma"/>
            <family val="2"/>
          </rPr>
          <t xml:space="preserve">
Includes payments in-kind, which www.eiti.org does not. </t>
        </r>
      </text>
    </comment>
    <comment ref="G145" authorId="0">
      <text>
        <r>
          <rPr>
            <b/>
            <sz val="9"/>
            <color indexed="81"/>
            <rFont val="Tahoma"/>
            <family val="2"/>
          </rPr>
          <t>TScurfield2:</t>
        </r>
        <r>
          <rPr>
            <sz val="9"/>
            <color indexed="81"/>
            <rFont val="Tahoma"/>
            <family val="2"/>
          </rPr>
          <t xml:space="preserve">
No usable exchange rate was given in the report or on www.eiti.org so this was taken from the WB. Also, government figure includes payments in-kind, which www.eiti.org does not. </t>
        </r>
      </text>
    </comment>
    <comment ref="G146" authorId="0">
      <text>
        <r>
          <rPr>
            <b/>
            <sz val="9"/>
            <color indexed="81"/>
            <rFont val="Tahoma"/>
            <family val="2"/>
          </rPr>
          <t>TScurfield2:</t>
        </r>
        <r>
          <rPr>
            <sz val="9"/>
            <color indexed="81"/>
            <rFont val="Tahoma"/>
            <family val="2"/>
          </rPr>
          <t xml:space="preserve">
Includes payments in-kind, which www.eiti.org does not.</t>
        </r>
      </text>
    </comment>
    <comment ref="G147" authorId="0">
      <text>
        <r>
          <rPr>
            <b/>
            <sz val="9"/>
            <color indexed="81"/>
            <rFont val="Tahoma"/>
            <family val="2"/>
          </rPr>
          <t>TScurfield2:</t>
        </r>
        <r>
          <rPr>
            <sz val="9"/>
            <color indexed="81"/>
            <rFont val="Tahoma"/>
            <family val="2"/>
          </rPr>
          <t xml:space="preserve">
No usable exchange rate was given in the report or on www.eiti.org so this was taken from the WB. Also, government figure includes payments in-kind, which www.eiti.org does not. </t>
        </r>
      </text>
    </comment>
    <comment ref="G162" authorId="0">
      <text>
        <r>
          <rPr>
            <b/>
            <sz val="9"/>
            <color indexed="81"/>
            <rFont val="Tahoma"/>
            <family val="2"/>
          </rPr>
          <t>TScurfield2:</t>
        </r>
        <r>
          <rPr>
            <sz val="9"/>
            <color indexed="81"/>
            <rFont val="Tahoma"/>
            <family val="2"/>
          </rPr>
          <t xml:space="preserve">
Financing of joint ventures is netted on www.eiti.org, but it is not here. Also, these figures include payments to the NDDC, which www.eiti.org does not. But the largest difference results from www.eiti.org not accounting for local currency payments.</t>
        </r>
      </text>
    </comment>
    <comment ref="G184" authorId="0">
      <text>
        <r>
          <rPr>
            <b/>
            <sz val="9"/>
            <color indexed="81"/>
            <rFont val="Tahoma"/>
            <family val="2"/>
          </rPr>
          <t>TScurfield2:</t>
        </r>
        <r>
          <rPr>
            <sz val="9"/>
            <color indexed="81"/>
            <rFont val="Tahoma"/>
            <family val="2"/>
          </rPr>
          <t xml:space="preserve">
EITI Report does not provide sufficient information to calculate total figures with any confidence. As a result, www.eiti.org does not provide these</t>
        </r>
      </text>
    </comment>
    <comment ref="G185" authorId="0">
      <text>
        <r>
          <rPr>
            <b/>
            <sz val="9"/>
            <color indexed="81"/>
            <rFont val="Tahoma"/>
            <family val="2"/>
          </rPr>
          <t>TScurfield2:</t>
        </r>
        <r>
          <rPr>
            <sz val="9"/>
            <color indexed="81"/>
            <rFont val="Tahoma"/>
            <family val="2"/>
          </rPr>
          <t xml:space="preserve">
EITI Report does not provide sufficient information to calculate total figures with any confidence. As a result, www.eiti.org does not provide these</t>
        </r>
      </text>
    </comment>
    <comment ref="G186" authorId="0">
      <text>
        <r>
          <rPr>
            <b/>
            <sz val="9"/>
            <color indexed="81"/>
            <rFont val="Tahoma"/>
            <family val="2"/>
          </rPr>
          <t>TScurfield2:</t>
        </r>
        <r>
          <rPr>
            <sz val="9"/>
            <color indexed="81"/>
            <rFont val="Tahoma"/>
            <family val="2"/>
          </rPr>
          <t xml:space="preserve">
EITI Report does not provide sufficient information to calculate total figures with any confidence. As a result, www.eiti.org does not provide these.</t>
        </r>
      </text>
    </comment>
    <comment ref="G187" authorId="0">
      <text>
        <r>
          <rPr>
            <b/>
            <sz val="9"/>
            <color indexed="81"/>
            <rFont val="Tahoma"/>
            <family val="2"/>
          </rPr>
          <t>TScurfield2:</t>
        </r>
        <r>
          <rPr>
            <sz val="9"/>
            <color indexed="81"/>
            <rFont val="Tahoma"/>
            <family val="2"/>
          </rPr>
          <t xml:space="preserve">
Figures are the worng way round on www.eiti.org.</t>
        </r>
      </text>
    </comment>
    <comment ref="G188" authorId="0">
      <text>
        <r>
          <rPr>
            <b/>
            <sz val="9"/>
            <color indexed="81"/>
            <rFont val="Tahoma"/>
            <family val="2"/>
          </rPr>
          <t>TScurfield2:</t>
        </r>
        <r>
          <rPr>
            <sz val="9"/>
            <color indexed="81"/>
            <rFont val="Tahoma"/>
            <family val="2"/>
          </rPr>
          <t xml:space="preserve">
Figures are the worng way round on www.eiti.org.</t>
        </r>
      </text>
    </comment>
    <comment ref="G189" authorId="0">
      <text>
        <r>
          <rPr>
            <b/>
            <sz val="9"/>
            <color indexed="81"/>
            <rFont val="Tahoma"/>
            <family val="2"/>
          </rPr>
          <t>TScurfield2:</t>
        </r>
        <r>
          <rPr>
            <sz val="9"/>
            <color indexed="81"/>
            <rFont val="Tahoma"/>
            <family val="2"/>
          </rPr>
          <t xml:space="preserve">
Figures are the worng way round on www.eiti.org.</t>
        </r>
      </text>
    </comment>
    <comment ref="G194" authorId="0">
      <text>
        <r>
          <rPr>
            <b/>
            <sz val="9"/>
            <color indexed="81"/>
            <rFont val="Tahoma"/>
            <family val="2"/>
          </rPr>
          <t>TScurfield2:</t>
        </r>
        <r>
          <rPr>
            <sz val="9"/>
            <color indexed="81"/>
            <rFont val="Tahoma"/>
            <family val="2"/>
          </rPr>
          <t xml:space="preserve">
Possibly just slightly inaccurate rounding on www.eiti.org.</t>
        </r>
      </text>
    </comment>
    <comment ref="G196" authorId="0">
      <text>
        <r>
          <rPr>
            <b/>
            <sz val="9"/>
            <color indexed="81"/>
            <rFont val="Tahoma"/>
            <family val="2"/>
          </rPr>
          <t>TScurfield2:</t>
        </r>
        <r>
          <rPr>
            <sz val="9"/>
            <color indexed="81"/>
            <rFont val="Tahoma"/>
            <family val="2"/>
          </rPr>
          <t xml:space="preserve">
The sum across companies (reported here) is different to the sum reported across revenue streams (reported on www.eiti.org).</t>
        </r>
      </text>
    </comment>
    <comment ref="G221" authorId="0">
      <text>
        <r>
          <rPr>
            <b/>
            <sz val="9"/>
            <color indexed="81"/>
            <rFont val="Tahoma"/>
            <family val="2"/>
          </rPr>
          <t>TScurfield2:</t>
        </r>
        <r>
          <rPr>
            <sz val="9"/>
            <color indexed="81"/>
            <rFont val="Tahoma"/>
            <family val="2"/>
          </rPr>
          <t xml:space="preserve">
Figures are the wrong way round on www.eiti.org.</t>
        </r>
      </text>
    </comment>
  </commentList>
</comments>
</file>

<file path=xl/comments3.xml><?xml version="1.0" encoding="utf-8"?>
<comments xmlns="http://schemas.openxmlformats.org/spreadsheetml/2006/main">
  <authors>
    <author>Dr. Johann Graf Lambsdorff</author>
  </authors>
  <commentList>
    <comment ref="C2" authorId="0">
      <text>
        <r>
          <rPr>
            <b/>
            <sz val="8"/>
            <color indexed="81"/>
            <rFont val="Tahoma"/>
            <family val="2"/>
          </rPr>
          <t xml:space="preserve">CPI 2014 Score -  </t>
        </r>
        <r>
          <rPr>
            <sz val="8"/>
            <color indexed="81"/>
            <rFont val="Tahoma"/>
            <family val="2"/>
          </rPr>
          <t>R</t>
        </r>
        <r>
          <rPr>
            <sz val="8"/>
            <color indexed="81"/>
            <rFont val="Tahoma"/>
            <family val="2"/>
          </rPr>
          <t>elates to the degree to which corruption is perceived to exist among public officials and politicians by business people and country analysts. Score ranges between 100 (highly clean) and 0 (highly corrupt).</t>
        </r>
      </text>
    </comment>
    <comment ref="D2" authorId="0">
      <text>
        <r>
          <rPr>
            <b/>
            <sz val="8"/>
            <color indexed="81"/>
            <rFont val="Tahoma"/>
            <family val="2"/>
          </rPr>
          <t xml:space="preserve">Surveys Used -  </t>
        </r>
        <r>
          <rPr>
            <sz val="8"/>
            <color indexed="81"/>
            <rFont val="Tahoma"/>
            <family val="2"/>
          </rPr>
          <t>Reflects the number of surveys or assessments used to calculate the CPI score for each country. In 2014 there were 12 surveys and expert assessments used and at least 3 were required for a country to be included in the CPI.</t>
        </r>
      </text>
    </comment>
    <comment ref="E2" authorId="0">
      <text>
        <r>
          <rPr>
            <b/>
            <sz val="8"/>
            <color indexed="81"/>
            <rFont val="Tahoma"/>
            <family val="2"/>
          </rPr>
          <t xml:space="preserve">Standard Error - </t>
        </r>
        <r>
          <rPr>
            <sz val="8"/>
            <color indexed="81"/>
            <rFont val="Tahoma"/>
            <family val="2"/>
          </rPr>
          <t>I</t>
        </r>
        <r>
          <rPr>
            <sz val="8"/>
            <color indexed="81"/>
            <rFont val="Tahoma"/>
            <family val="2"/>
          </rPr>
          <t>ndicates differences in the values of the sources. The smaller the Standard Error the greater the agreement in the valuation of the sources.</t>
        </r>
      </text>
    </comment>
  </commentList>
</comments>
</file>

<file path=xl/sharedStrings.xml><?xml version="1.0" encoding="utf-8"?>
<sst xmlns="http://schemas.openxmlformats.org/spreadsheetml/2006/main" count="40755" uniqueCount="3800">
  <si>
    <t>Report ID</t>
  </si>
  <si>
    <t>Period Covered</t>
  </si>
  <si>
    <t>Country</t>
  </si>
  <si>
    <t>Region</t>
  </si>
  <si>
    <t>Publication Date</t>
  </si>
  <si>
    <t>Sector</t>
  </si>
  <si>
    <t>Government Revenues (US$)</t>
  </si>
  <si>
    <t>Number of Companies Reporting</t>
  </si>
  <si>
    <t>Link to Report</t>
  </si>
  <si>
    <t>By Company</t>
  </si>
  <si>
    <t>By Commodity</t>
  </si>
  <si>
    <t>By Revenue Stream</t>
  </si>
  <si>
    <t>By Rev Stream &amp; Commodity</t>
  </si>
  <si>
    <t>By Rev Stream &amp; Company</t>
  </si>
  <si>
    <t>By Project</t>
  </si>
  <si>
    <t>Afghanistan2008</t>
  </si>
  <si>
    <t>Afghanistan</t>
  </si>
  <si>
    <t>South Asia</t>
  </si>
  <si>
    <t>August 2012</t>
  </si>
  <si>
    <t>Mining</t>
  </si>
  <si>
    <t>http://eiti.org/files/Afghanistan-2008-2009-EITI-Report.pdf</t>
  </si>
  <si>
    <t>x</t>
  </si>
  <si>
    <t>yes</t>
  </si>
  <si>
    <t>no</t>
  </si>
  <si>
    <t>Afghanistan2009</t>
  </si>
  <si>
    <t>Afghanistan2010</t>
  </si>
  <si>
    <t>October 2012</t>
  </si>
  <si>
    <t>http://eiti.org/files/Afghanistan-2010-2011-EITI-Report.pdf</t>
  </si>
  <si>
    <t>Afghanistan2011</t>
  </si>
  <si>
    <t>September 2014</t>
  </si>
  <si>
    <t>Oil, Gas, Mining</t>
  </si>
  <si>
    <t>http://eiti.org/files/Afghanistan_2011_EITI_Report.pdf</t>
  </si>
  <si>
    <t>Albania2009</t>
  </si>
  <si>
    <t>Albania</t>
  </si>
  <si>
    <t>Europe and Central Asia</t>
  </si>
  <si>
    <t>March 2011</t>
  </si>
  <si>
    <t>Oil, Mining</t>
  </si>
  <si>
    <t>http://eiti.org/files/Albania-2009-EITI-Report.pdf</t>
  </si>
  <si>
    <t>Albania2010</t>
  </si>
  <si>
    <t>December 2012</t>
  </si>
  <si>
    <t>http://eiti.org/files/Albania-2010-EITI-Report.pdf</t>
  </si>
  <si>
    <t>Albania2011</t>
  </si>
  <si>
    <t>June 2014</t>
  </si>
  <si>
    <t>http://eiti.org/files/20140701090023_eiti_report_2011_english_0.pdf</t>
  </si>
  <si>
    <t>Albania2012</t>
  </si>
  <si>
    <t>December 2014</t>
  </si>
  <si>
    <t>https://eiti.org/files/EITI%20Report%202012_English_SITE.pdf</t>
  </si>
  <si>
    <t>Azerbaijan2003</t>
  </si>
  <si>
    <t>Azerbaijan</t>
  </si>
  <si>
    <t>February 2005</t>
  </si>
  <si>
    <t>Oil, Gas</t>
  </si>
  <si>
    <t>http://eiti.org/files/Azerbaijan-2003-EITI-Report.pdf</t>
  </si>
  <si>
    <t>Azerbaijan2004</t>
  </si>
  <si>
    <t>June 2005</t>
  </si>
  <si>
    <t>http://eiti.org/files/Azerbaijan-2004-EITI-Report.pdf</t>
  </si>
  <si>
    <t>Azerbaijan2005</t>
  </si>
  <si>
    <t>June 2006</t>
  </si>
  <si>
    <t>http://eiti.org/files/Azerbaijan-2005-EITI-Report.pdf</t>
  </si>
  <si>
    <t>Azerbaijan2006</t>
  </si>
  <si>
    <t>July 2007</t>
  </si>
  <si>
    <t>http://eiti.org/files/Azerbaijan-2006-EITI-Report.pdf</t>
  </si>
  <si>
    <t>Azerbaijan2007</t>
  </si>
  <si>
    <t>May 2008</t>
  </si>
  <si>
    <t>http://eiti.org/files/Azerbaijan-2007-EITI-Report.pdf</t>
  </si>
  <si>
    <t>Azerbaijan2008</t>
  </si>
  <si>
    <t>May 2009</t>
  </si>
  <si>
    <t>http://eiti.org/files/Azerbaijan-2008-EITI-Report.pdf</t>
  </si>
  <si>
    <t>Azerbaijan2009</t>
  </si>
  <si>
    <t>April 2010</t>
  </si>
  <si>
    <t>http://eiti.org/files/Azarbaijan%202009%20EITI%20Report.pdf</t>
  </si>
  <si>
    <t>Azerbaijan2010</t>
  </si>
  <si>
    <t>May 2011</t>
  </si>
  <si>
    <t>http://eiti.org/files/Azerbaijan-2010-EITI-Report_1.pdf</t>
  </si>
  <si>
    <t>Azerbaijan2011</t>
  </si>
  <si>
    <t>June 2012</t>
  </si>
  <si>
    <t>http://eiti.org/files/Azerbaijan-2011-EITI-Report.pdf</t>
  </si>
  <si>
    <t>Azerbaijan2012</t>
  </si>
  <si>
    <t>June 2013</t>
  </si>
  <si>
    <t>http://eiti.org/files/Azerbaijan-2012-EITI-Report.pdf</t>
  </si>
  <si>
    <t>BurkinaFaso2008</t>
  </si>
  <si>
    <t xml:space="preserve">Burkina Faso </t>
  </si>
  <si>
    <t>Africa</t>
  </si>
  <si>
    <t>April 2011</t>
  </si>
  <si>
    <t>https://eiti.org/files/Burkina-Faso-2008-2009-EITI-Report_0.pdf</t>
  </si>
  <si>
    <t>BurkinaFaso2009</t>
  </si>
  <si>
    <t>https://eiti.org/files/Burkina-Faso-2008-2009-EITI-Report.pdf</t>
  </si>
  <si>
    <t>BurkinaFaso2010</t>
  </si>
  <si>
    <t>July 2012</t>
  </si>
  <si>
    <t>https://eiti.org/files/Burkina-Faso-2010-EITI-Report.pdf</t>
  </si>
  <si>
    <t>BurkinaFaso2011</t>
  </si>
  <si>
    <t>December 2013</t>
  </si>
  <si>
    <t>https://eiti.org/files/Burkina-Faso-2011-EITI-Report_FR.pdf</t>
  </si>
  <si>
    <t>BurkinaFaso2012</t>
  </si>
  <si>
    <t>Burkina Faso</t>
  </si>
  <si>
    <t>https://eiti.org/files/2012%20Burkina%20Faso%20EITI%20Report%20Final.pdf</t>
  </si>
  <si>
    <t>Cameroon2001</t>
  </si>
  <si>
    <t>Cameroon</t>
  </si>
  <si>
    <t>October 2006</t>
  </si>
  <si>
    <t>Oil</t>
  </si>
  <si>
    <t>http://eiti.org/files/Cameroon%202001-2002-2003-2004%20EITI%20Report_0.pdf</t>
  </si>
  <si>
    <t>Cameroon2002</t>
  </si>
  <si>
    <t>Cameroon2003</t>
  </si>
  <si>
    <t>Cameroon2004</t>
  </si>
  <si>
    <t>Cameroon2005</t>
  </si>
  <si>
    <t>February 2007</t>
  </si>
  <si>
    <t>http://eiti.org/files/Cameroon-2005-EITI-Report.pdf</t>
  </si>
  <si>
    <t>Cameroon2006</t>
  </si>
  <si>
    <t>June 2010</t>
  </si>
  <si>
    <t>http://eiti.org/files/Cameroon-2006-2007-2008-EITI-Report_1.pdf</t>
  </si>
  <si>
    <t>Cameroon2007</t>
  </si>
  <si>
    <t>Cameroon2008</t>
  </si>
  <si>
    <t>Cameroon2009</t>
  </si>
  <si>
    <t>April 2013</t>
  </si>
  <si>
    <t>https://eiti.org/files/Cameroon-2009-EITI-Report-French.pdf</t>
  </si>
  <si>
    <t>Cameroon2010</t>
  </si>
  <si>
    <t>https://eiti.org/files/Cameroon-2010-EITI-Report-French.pdf</t>
  </si>
  <si>
    <t>Cameroon2011</t>
  </si>
  <si>
    <t>August 2013</t>
  </si>
  <si>
    <t>https://eiti.org/files/Cameroon-2011-EITI-Report-English.pdf</t>
  </si>
  <si>
    <t>Cameroon2012</t>
  </si>
  <si>
    <t>https://eiti.org/files/Rapport%20-%20Conciliation%20ITIE%20Cameroon%202012%20Final_0.pdf</t>
  </si>
  <si>
    <t>CentralAfricanRepublic2006</t>
  </si>
  <si>
    <t>Central African Republic</t>
  </si>
  <si>
    <t>February 2009</t>
  </si>
  <si>
    <t>https://eiti.org/files/Central%20African%20Republic%202006%20EITI%20Report.pdf</t>
  </si>
  <si>
    <t>CentralAfricanRepublic2007</t>
  </si>
  <si>
    <t>July 2010</t>
  </si>
  <si>
    <t>https://eiti.org/files/Central%20African%20Republic%202007-2009%20EITI%20Report_1.pdf</t>
  </si>
  <si>
    <t>CentralAfricanRepublic2008</t>
  </si>
  <si>
    <t>CentralAfricanRepublic2009</t>
  </si>
  <si>
    <t>CentralAfricanRepublic2010</t>
  </si>
  <si>
    <t>https://eiti.org/files/Central-African-Republic-2010-EITI-Report.pdf</t>
  </si>
  <si>
    <t>Chad2007</t>
  </si>
  <si>
    <t>Chad</t>
  </si>
  <si>
    <t>http://eiti.org/files/Chad-2007-EITI-Report.pdf</t>
  </si>
  <si>
    <t>Chad2008</t>
  </si>
  <si>
    <t>http://eiti.org/files/Chad-2008-EITI-Report.pdf</t>
  </si>
  <si>
    <t>Chad2009</t>
  </si>
  <si>
    <t>http://eiti.org/files/Chad-2009-EITI-Report.pdf</t>
  </si>
  <si>
    <t>Chad2010</t>
  </si>
  <si>
    <t>May 2013</t>
  </si>
  <si>
    <t>http://eiti.org/files/Chad-2010-EITI-Report.pdf</t>
  </si>
  <si>
    <t>Chad2011</t>
  </si>
  <si>
    <t>http://eiti.org/files/Chad-2011-EITI-Report.pdf</t>
  </si>
  <si>
    <t>Chad2012</t>
  </si>
  <si>
    <t>March 2014</t>
  </si>
  <si>
    <t>http://eiti.org/files/Tchad%20EITI%20Report%202012%20RAPPORT%20DE%20RECONCILIATION%20VFIN%20DEFINITIVE%20%205%203%2014_0.pdf</t>
  </si>
  <si>
    <t>Coted'Ivoire2006</t>
  </si>
  <si>
    <t>Cote d'Ivoire</t>
  </si>
  <si>
    <t>January 2010</t>
  </si>
  <si>
    <t>http://eiti.org/files/Cote%20dIvoire%202006-2007%20EITI%20Report.pdf</t>
  </si>
  <si>
    <t>Coted'Ivoire2007</t>
  </si>
  <si>
    <t>http://eiti.org/files/Cote%20dIvoire%202006-2007%20EITI%20Report_0.pdf</t>
  </si>
  <si>
    <t>Coted'Ivoire2008</t>
  </si>
  <si>
    <t>May 2012</t>
  </si>
  <si>
    <t>http://eiti.org/files/Cote-dIvoire-2008-EITI-Report.pdf</t>
  </si>
  <si>
    <t>Coted'Ivoire2009</t>
  </si>
  <si>
    <t>http://eiti.org/files/Cote-dIvoire-2009-EITI-Report.pdf</t>
  </si>
  <si>
    <t>Coted'Ivoire2010</t>
  </si>
  <si>
    <t>http://eiti.org/files/Cote-dIvoire-2010-EITI-Report.pdf</t>
  </si>
  <si>
    <t>Coted'Ivoire2011</t>
  </si>
  <si>
    <t>http://eiti.org/files/Cote-dIvoire-2011-EITI-Report-FR.pdf</t>
  </si>
  <si>
    <t>Coted'Ivoire2012</t>
  </si>
  <si>
    <t>https://eiti.org/files/CDI%202012%20EITI%20Report%20Final%20MS.pdf</t>
  </si>
  <si>
    <t>DemocraticRepublicofCongo2007</t>
  </si>
  <si>
    <t>Democratic Republic of Congo</t>
  </si>
  <si>
    <t>November 2009</t>
  </si>
  <si>
    <t>http://eiti.org/files/DRC%202007%20EITI%20Report.pdf</t>
  </si>
  <si>
    <t>DemocraticRepublicofCongo2008</t>
  </si>
  <si>
    <t>January 2012</t>
  </si>
  <si>
    <t>http://eiti.org/files/DRC%202008-2009%20EITI%20Report.pdf</t>
  </si>
  <si>
    <t>DemocraticRepublicofCongo2009</t>
  </si>
  <si>
    <t>http://eiti.org/files/DRC%202008-2009%20EITI%20Report_0.pdf</t>
  </si>
  <si>
    <t>DemocraticRepublicofCongo2010</t>
  </si>
  <si>
    <t>January 2013</t>
  </si>
  <si>
    <t>http://eiti.org/files/Congo-DRC-2010-EITI-Report-ENG_0.pdf</t>
  </si>
  <si>
    <t>DemocraticRepublicofCongo2011</t>
  </si>
  <si>
    <t>http://www.itierdc.com/Publication_et_rapport/Rapport%20Complementaire%20ITIE-RDC%202011%20-%20version%20anglaise%20%28english%29.pdf</t>
  </si>
  <si>
    <t>DemocraticRepublicofCongo2012</t>
  </si>
  <si>
    <t>Congo</t>
  </si>
  <si>
    <t>https://eiti.org/files/Rapport%20de%20Conciliation%20ITIE%20RDC%202012.pdf</t>
  </si>
  <si>
    <t>EquatorialGuinea2007</t>
  </si>
  <si>
    <t>Equatorial Guinea</t>
  </si>
  <si>
    <t>EquatorialGuinea2008</t>
  </si>
  <si>
    <t>Gabon2004</t>
  </si>
  <si>
    <t>Gabon</t>
  </si>
  <si>
    <t>Gabon2005</t>
  </si>
  <si>
    <t>Gabon2006</t>
  </si>
  <si>
    <t>Ghana2004</t>
  </si>
  <si>
    <t>Ghana</t>
  </si>
  <si>
    <t>September 2007</t>
  </si>
  <si>
    <t>http://eiti.org/files/Ghana%202004-2008%20EITI%20Report_0.pdf</t>
  </si>
  <si>
    <t>Ghana2005</t>
  </si>
  <si>
    <t>March 2008</t>
  </si>
  <si>
    <t>http://eiti.org/files/Ghana%202005%20EITI%20Report.pdf</t>
  </si>
  <si>
    <t>Ghana2006</t>
  </si>
  <si>
    <t>August 2010</t>
  </si>
  <si>
    <t>http://eiti.org/files/Ghana%202006%20EITI%20Report.pdf</t>
  </si>
  <si>
    <t>Ghana2007</t>
  </si>
  <si>
    <t>http://eiti.org/files/Ghana%202007%20EITI%20Report.pdf</t>
  </si>
  <si>
    <t>Ghana2008</t>
  </si>
  <si>
    <t>http://eiti.org/files/Ghana%202008%20EITI%20Report.pdf</t>
  </si>
  <si>
    <t>Ghana2009</t>
  </si>
  <si>
    <t>August 2011</t>
  </si>
  <si>
    <t>http://eiti.org/files/Ghana%202009%20EITI%20Report.pdf</t>
  </si>
  <si>
    <t>Ghana2010</t>
  </si>
  <si>
    <t>February 2013</t>
  </si>
  <si>
    <t>http://eiti.org/files/Ghana-2010-2011-EITI-Report.pdf; http://eiti.org/files/Ghana-2010-2011-Oil%26Gas-EITI-Report.pdf</t>
  </si>
  <si>
    <t>Ghana2011</t>
  </si>
  <si>
    <t>Ghana2012</t>
  </si>
  <si>
    <t>https://eiti.org/files/2012-2013_Final_Oil_and_Gas_Sector_Report_0.pdf</t>
  </si>
  <si>
    <t>Ghana2013</t>
  </si>
  <si>
    <t>Guatemala2010</t>
  </si>
  <si>
    <t>Guatemala</t>
  </si>
  <si>
    <t>Latin America and Caribbean</t>
  </si>
  <si>
    <t>http://eiti.org/files/Guatemala-2010-2011-EITI-Report-Spanish_0.pdf</t>
  </si>
  <si>
    <t>Guatemala2011</t>
  </si>
  <si>
    <t>http://eiti.org/files/Guatemala-2010-2011-EITI-Report.pdf</t>
  </si>
  <si>
    <t>Guinea2005</t>
  </si>
  <si>
    <t xml:space="preserve">Guinea </t>
  </si>
  <si>
    <t>http://eiti.org/files/Guinea%202005%20EITI%20Report.pdf</t>
  </si>
  <si>
    <t>Guinea2006</t>
  </si>
  <si>
    <t>March 2012</t>
  </si>
  <si>
    <t>http://eiti.org/files/Guinea-2006-EITI-Report.pdf</t>
  </si>
  <si>
    <t>Guinea2007</t>
  </si>
  <si>
    <t>http://eiti.org/files/Guinea-2007-EITI-Report.pdf</t>
  </si>
  <si>
    <t>Guinea2008</t>
  </si>
  <si>
    <t>http://eiti.org/files/Guinea-2008-EITI-Report.pdf</t>
  </si>
  <si>
    <t>Guinea2009</t>
  </si>
  <si>
    <t>http://eiti.org/files/Guinea-2009-EITI-Report.pdf</t>
  </si>
  <si>
    <t>Guinea2010</t>
  </si>
  <si>
    <t>http://eiti.org/files/Guinea-2010-EITI-Report.pdf</t>
  </si>
  <si>
    <t>Guinea2011</t>
  </si>
  <si>
    <t>http://eiti.org/files/Guinea-2011-EITI-Report-FR.pdf</t>
  </si>
  <si>
    <t>Guinea2012</t>
  </si>
  <si>
    <t>http://eiti.org/files/Guinea-2012-EITI-Report-FR.pdf</t>
  </si>
  <si>
    <t>Indonesia2009</t>
  </si>
  <si>
    <t>Indonesia</t>
  </si>
  <si>
    <t>East Asia and Pacific</t>
  </si>
  <si>
    <t>http://eiti.org/files/Indonesia_2009_EITI_Report.pdf</t>
  </si>
  <si>
    <t>Indonesia2010</t>
  </si>
  <si>
    <t>May 2014</t>
  </si>
  <si>
    <t>http://eiti.org/files/EITI-2010-2011-oil-final.pdf; http://eiti.ekon.go.id/en/laporan-eiti-2010-2011-minerba/?aid=604&amp;sa=1</t>
  </si>
  <si>
    <t>Indonesia2011</t>
  </si>
  <si>
    <t>Iraq2009</t>
  </si>
  <si>
    <t>Iraq</t>
  </si>
  <si>
    <t>Middle East and North Africa</t>
  </si>
  <si>
    <t>November 2011</t>
  </si>
  <si>
    <t>http://eiti.org/files/Iraq%202009%20EITI%20Report.pdf</t>
  </si>
  <si>
    <t>Iraq2010</t>
  </si>
  <si>
    <t>http://eiti.org/files/IEITI%202010%20English%20Final%20Report%20%2815%20May%202013%29.pdf</t>
  </si>
  <si>
    <t>Iraq2011</t>
  </si>
  <si>
    <t>http://eiti.org/files/Iraq-2011-EITI-Report.pdf</t>
  </si>
  <si>
    <t>Iraq2012</t>
  </si>
  <si>
    <t>https://eiti.org/files/IEITI%20Final%20Report%202012%20%20English.pdf</t>
  </si>
  <si>
    <t>Kazakhstan2005</t>
  </si>
  <si>
    <t>November 2007</t>
  </si>
  <si>
    <t>https://eiti.org/files/Kazakhstan%202005%20EITI%20Report.pdf</t>
  </si>
  <si>
    <t>not specified</t>
  </si>
  <si>
    <t>Kazakhstan2006</t>
  </si>
  <si>
    <t>November 2008</t>
  </si>
  <si>
    <t>https://eiti.org/files/Kazakhstan%202006%20EITI%20Report.pdf</t>
  </si>
  <si>
    <t>Kazakhstan2007</t>
  </si>
  <si>
    <t>https://eiti.org/files/Kazakhstan%202007%20EITI%20Report.pdf</t>
  </si>
  <si>
    <t>Kazakhstan2008</t>
  </si>
  <si>
    <t>https://eiti.org/files/Kazakhstan%202008%20EITI%20Report.pdf</t>
  </si>
  <si>
    <t>Kazakhstan2009</t>
  </si>
  <si>
    <t>https://eiti.org/files/Kazakhstan%202009%20EITI%20Report.pdf</t>
  </si>
  <si>
    <t>Kazakhstan2010</t>
  </si>
  <si>
    <t>https://eiti.org/files/Kazakhstan-2010-EITI-Report.pdf</t>
  </si>
  <si>
    <t>Kazakhstan2011</t>
  </si>
  <si>
    <t>https://eiti.org/files/Kazakhstan-2011-EITI-Report.pdf</t>
  </si>
  <si>
    <t>Kazakhstan2012</t>
  </si>
  <si>
    <t>Kazakhstan</t>
  </si>
  <si>
    <t>https://eiti.org/files/EITI-Report-2012-Kazakhstan%20ANNEX.pdf</t>
  </si>
  <si>
    <t>Kazakhstan2013</t>
  </si>
  <si>
    <t>https://eiti.org/files/EITI-2013-Report-Kazakhstan_Annex.pdf</t>
  </si>
  <si>
    <t>KyrgyzRepublic2004</t>
  </si>
  <si>
    <t>Kyrgyz Republic</t>
  </si>
  <si>
    <t>http://eiti.org/files/Kyrgyz%20Republic%202008%20EITI%20Report_0.pdf</t>
  </si>
  <si>
    <t>KyrgyzRepublic2005</t>
  </si>
  <si>
    <t>KyrgyzRepublic2006</t>
  </si>
  <si>
    <t>KyrgyzRepublic2007</t>
  </si>
  <si>
    <t>KyrgyzRepublic2008</t>
  </si>
  <si>
    <t>KyrgyzRepublic2009</t>
  </si>
  <si>
    <t>July 2011</t>
  </si>
  <si>
    <t>http://eiti.org/files/Kyrgyz%20Republic%202009%20EITI%20Report.pdf</t>
  </si>
  <si>
    <t>KyrgyzRepublic2010</t>
  </si>
  <si>
    <t>KyrgyzRepublic2011</t>
  </si>
  <si>
    <t>http://eiti.org/files/Kyrgyzstan-2011-EITI-Report-2.pdf</t>
  </si>
  <si>
    <t>KyrgyzRepublic2012</t>
  </si>
  <si>
    <t>April 2014</t>
  </si>
  <si>
    <t>http://eiti.org/files/Kyrgyzstan-2012-EITI-Report.pdf</t>
  </si>
  <si>
    <t>Liberia2008</t>
  </si>
  <si>
    <t>Liberia</t>
  </si>
  <si>
    <t>January 2009</t>
  </si>
  <si>
    <t>Oil, Mining, Forestry</t>
  </si>
  <si>
    <t>http://eiti.org/files/Liberia%20Jul%202007%20-%20Jun%202008%20EITI%20Report.pdf</t>
  </si>
  <si>
    <t>Liberia2009</t>
  </si>
  <si>
    <t>Oil, Mining, Forestry, Agriculture</t>
  </si>
  <si>
    <t>http://eiti.org/files/Liberia%20Jul%202008%20-%20Jun%202009%20EITI%20Report.pdf</t>
  </si>
  <si>
    <t>Liberia2010</t>
  </si>
  <si>
    <t>January 2011</t>
  </si>
  <si>
    <t>http://eiti.org/files/Liberia%20Jul%202009%20-%20Jun%202010%20EITI%20Report.pdf</t>
  </si>
  <si>
    <t>Liberia2011</t>
  </si>
  <si>
    <t>http://eiti.org/files/Liberia-2011-EITI-Report.pdf</t>
  </si>
  <si>
    <t>Liberia2012</t>
  </si>
  <si>
    <t>http://eiti.org/files/EITI_Report_Liberia_2011-12.pdf</t>
  </si>
  <si>
    <t>Madagascar2007</t>
  </si>
  <si>
    <t>Madagascar</t>
  </si>
  <si>
    <t>http://eiti.org/files/Madagascar%202007-2008-2009-%28Jan-June2010%29%20EITI%20Report.pdf</t>
  </si>
  <si>
    <t>Madagascar2008</t>
  </si>
  <si>
    <t>http://eiti.org/files/Madagascar%202007-2008-2009-%28Jan-June2010%29%20EITI%20Report_0.pdf</t>
  </si>
  <si>
    <t>Madagascar2009</t>
  </si>
  <si>
    <t>http://eiti.org/files/Madagascar%202007-2008-2009-%28Jan-June2010%29%20EITI%20Report_1.pdf</t>
  </si>
  <si>
    <t>Madagascar2010</t>
  </si>
  <si>
    <t>September 2012</t>
  </si>
  <si>
    <t>http://eiti.org/files/Madagascar-2010-EITI-Report.pdf</t>
  </si>
  <si>
    <t>Madagascar2011</t>
  </si>
  <si>
    <t>September 2013</t>
  </si>
  <si>
    <t>http://eiti.org/files/Rapport%20FINAL%20EITI%20Madagascar%20-%20Exercice%202011%20-%20FR_0.pdf</t>
  </si>
  <si>
    <t>Mali2006</t>
  </si>
  <si>
    <t>Mali</t>
  </si>
  <si>
    <t>http://eiti.org/files/Mali%202006%20EITI%20Report.pdf</t>
  </si>
  <si>
    <t>Mali2007</t>
  </si>
  <si>
    <t>http://eiti.org/files/Mali%202007-2008%20EITI%20Report.pdf</t>
  </si>
  <si>
    <t>Mali2008</t>
  </si>
  <si>
    <t>http://eiti.org/files/Mali%202007-2008%20EITI%20Report_0.pdf</t>
  </si>
  <si>
    <t>Mali2009</t>
  </si>
  <si>
    <t>Mining, Oil</t>
  </si>
  <si>
    <t>http://eiti.org/files/Mali%202009%20EITI%20Report.pdf</t>
  </si>
  <si>
    <t>Mali2010</t>
  </si>
  <si>
    <t>http://eiti.org/files/Mali-2010-EITI-Report.pdf</t>
  </si>
  <si>
    <t>Mali2011</t>
  </si>
  <si>
    <t>http://eiti.org/files/Mali-2011-EITI-Report-FR.pdf</t>
  </si>
  <si>
    <t>Mali2012</t>
  </si>
  <si>
    <t>https://eiti.org/files/Rapport%20Final%20de%20Conciliation%20ITIE%20Mali%202012.pdf</t>
  </si>
  <si>
    <t>Mauritania2005</t>
  </si>
  <si>
    <t>Mauritania</t>
  </si>
  <si>
    <t>http://eiti.org/files/Mauritania%202005%20EITI%20Report.pdf</t>
  </si>
  <si>
    <t>Mauritania2006</t>
  </si>
  <si>
    <t>June 2007</t>
  </si>
  <si>
    <t>http://eiti.org/files/Mauritania%202006%20EITI%20Report.pdf</t>
  </si>
  <si>
    <t>Mauritania2007</t>
  </si>
  <si>
    <t>June 2011</t>
  </si>
  <si>
    <t>http://eiti.org/files/Mauritania%202007%20EITI%20Report.pdf</t>
  </si>
  <si>
    <t>Mauritania2008</t>
  </si>
  <si>
    <t>Mauritania2009</t>
  </si>
  <si>
    <t>September 2011</t>
  </si>
  <si>
    <t>http://eiti.org/files/Mauritania%202009%20EITI%20Report.pdf</t>
  </si>
  <si>
    <t>Mauritania2010</t>
  </si>
  <si>
    <t>http://eiti.org/files/Mauritania-2010-EITI-Report.pdf</t>
  </si>
  <si>
    <t>Mauritania2011</t>
  </si>
  <si>
    <t>http://eiti.org/files/Mauritania-2011-EITI-Report.pdf</t>
  </si>
  <si>
    <t>Mauritania2012</t>
  </si>
  <si>
    <t>https://eiti.org/files/Rapport%20final%20-%20Conciliation%20ITIE%20Mauritanie%202012.pdf</t>
  </si>
  <si>
    <t>Mongolia2006</t>
  </si>
  <si>
    <t>Mongolia</t>
  </si>
  <si>
    <t>December 2007</t>
  </si>
  <si>
    <t>http://eiti.org/files/Mongolia%202006%20EITI%20Report.pdf</t>
  </si>
  <si>
    <t>Mongolia2007</t>
  </si>
  <si>
    <t>October 2009</t>
  </si>
  <si>
    <t>http://eiti.org/files/Mongolia%202007%20EITI%20Report.pdf</t>
  </si>
  <si>
    <t>Mongolia2008</t>
  </si>
  <si>
    <t>May 2010</t>
  </si>
  <si>
    <t>http://eiti.org/files/Mongolia%202008%20EITI%20Report.pdf</t>
  </si>
  <si>
    <t>Mongolia2009</t>
  </si>
  <si>
    <t>http://eiti.org/files/Mongolia%202009%20EITI%20Report.pdf</t>
  </si>
  <si>
    <t>Mongolia2010</t>
  </si>
  <si>
    <t>http://eiti.org/files/Mongolia-2010-EITI-Report-FULL.pdf</t>
  </si>
  <si>
    <t>Mongolia2011</t>
  </si>
  <si>
    <t>November 2012</t>
  </si>
  <si>
    <t>http://eiti.org/files/Mongolia-2011-EITI-Report-PartI.pdf</t>
  </si>
  <si>
    <t>Mongolia2012</t>
  </si>
  <si>
    <t>http://eiti.org/files/Mongolia-2012-EITI-Report.pdf</t>
  </si>
  <si>
    <t>Mongolia2013</t>
  </si>
  <si>
    <t>https://eiti.org/files/Shorter%20PDF%20MEITI%20Report-English%20Master_final_2013.pdf</t>
  </si>
  <si>
    <t>Mozambique2008</t>
  </si>
  <si>
    <t>Mozambique</t>
  </si>
  <si>
    <t>Gas, Mining</t>
  </si>
  <si>
    <t>http://eiti.org/files/Mozambique%202008%20EITI%20Report.pdf</t>
  </si>
  <si>
    <t>Mozambique2009</t>
  </si>
  <si>
    <t>http://eiti.org/files/Mozambique-2009-EITI-Report.pdf</t>
  </si>
  <si>
    <t>http://eiti.org/files/Mozambique-2011-EITI-Report.pdf</t>
  </si>
  <si>
    <t>Mozambique2010</t>
  </si>
  <si>
    <t>http://eiti.org/files/Mozambique-2010-EITI-Report.pdf</t>
  </si>
  <si>
    <t>Niger2005</t>
  </si>
  <si>
    <t>Niger</t>
  </si>
  <si>
    <t>September 2009</t>
  </si>
  <si>
    <t>http://eiti.org/files/Niger%202005-2006%20EITI%20Report.pdf</t>
  </si>
  <si>
    <t>Niger2006</t>
  </si>
  <si>
    <t>http://eiti.org/files/Niger%202005-2006%20EITI%20Report_0.pdf</t>
  </si>
  <si>
    <t>Niger2007</t>
  </si>
  <si>
    <t>December 2010</t>
  </si>
  <si>
    <t>http://eiti.org/files/Niger%202007-2008-2009%20EITI%20Report_1.pdf</t>
  </si>
  <si>
    <t>Niger2008</t>
  </si>
  <si>
    <t>http://eiti.org/files/Niger%202007-2008-2009%20EITI%20Report_0.pdf</t>
  </si>
  <si>
    <t>Niger2009</t>
  </si>
  <si>
    <t>http://eiti.org/files/Niger%202007-2008-2009%20EITI%20Report.pdf</t>
  </si>
  <si>
    <t>Niger2010</t>
  </si>
  <si>
    <t>http://eiti.org/files/Niger-2010-EITI-Report.pdf</t>
  </si>
  <si>
    <t>Niger2011</t>
  </si>
  <si>
    <t>http://eiti.org/files/4eme_rapport_itie_niger_2011_0.pdf</t>
  </si>
  <si>
    <t>Niger2012</t>
  </si>
  <si>
    <t>https://eiti.org/files/Rapport%20du00E9finitif%20collecte%202012.pdf</t>
  </si>
  <si>
    <t>Nigeria1999</t>
  </si>
  <si>
    <t>Nigeria</t>
  </si>
  <si>
    <t>https://eiti.org/files/Nigeria%201999-%202004%20EITI%20Report_4.pdf</t>
  </si>
  <si>
    <t>Nigeria2000</t>
  </si>
  <si>
    <t>Nigeria2001</t>
  </si>
  <si>
    <t>Nigeria2002</t>
  </si>
  <si>
    <t>Nigeria2003</t>
  </si>
  <si>
    <t>Nigeria2004</t>
  </si>
  <si>
    <t>Nigeria2005</t>
  </si>
  <si>
    <t>September 2008</t>
  </si>
  <si>
    <t>https://eiti.org/files/Nigeria%202005%20EITI%20Report.pdf</t>
  </si>
  <si>
    <t>Nigeria2006</t>
  </si>
  <si>
    <t>https://eiti.org/files/Nigeria%202006-2007-2008%20EITI%20Report.pdf</t>
  </si>
  <si>
    <t>Nigeria2007</t>
  </si>
  <si>
    <t>Nigeria2008</t>
  </si>
  <si>
    <t>Nigeria2009</t>
  </si>
  <si>
    <t>https://eiti.org/files/NEITI-EITI-Core-Audit-Report-Oil-Gas-2009-2011-310113-New_0.pdf</t>
  </si>
  <si>
    <t>Nigeria2010</t>
  </si>
  <si>
    <t>Nigeria2011</t>
  </si>
  <si>
    <t>January 2013 (oil &amp; gas report); May 2014 (mining report)</t>
  </si>
  <si>
    <t>https://eiti.org/files/NEITI-EITI-Core-Audit-Report-Oil-Gas-2009-2011-310113-New_0.pdf; http://eiti.org/files/2011%20SMA%20FINAL%20CORE%20EITI%20REPORT.pdf</t>
  </si>
  <si>
    <t>Nigeria2012</t>
  </si>
  <si>
    <t>https://eiti.org/files/Nigeria-SMA-Report-2012_0.pdf</t>
  </si>
  <si>
    <t>Norway2008</t>
  </si>
  <si>
    <t>Norway</t>
  </si>
  <si>
    <t>http://eiti.org/files/Norway%202008%20EITI%20Report.pdf</t>
  </si>
  <si>
    <t>Norway2009</t>
  </si>
  <si>
    <t>October 2010</t>
  </si>
  <si>
    <t>http://eiti.org/files/Norway-2009-EITI-Report.pdf</t>
  </si>
  <si>
    <t>Norway2010</t>
  </si>
  <si>
    <t>April 2012</t>
  </si>
  <si>
    <t>http://eiti.org/files/Norway-2010-EITI-Report-Norwegian.pdf</t>
  </si>
  <si>
    <t>Norway2011</t>
  </si>
  <si>
    <t>http://www.regjeringen.no/upload/OED/pdf%20filer/EITI/1269981599_670670_EITIrapport_2012_engelsk.pdf</t>
  </si>
  <si>
    <t>Norway2012</t>
  </si>
  <si>
    <t>http://eiti.org/files/Norway-2012-EITI-report.pdf</t>
  </si>
  <si>
    <t>Peru2004</t>
  </si>
  <si>
    <t>Peru</t>
  </si>
  <si>
    <t>http://eiti.org/files/Peru%202004-2007%20EITI%20Report.pdf</t>
  </si>
  <si>
    <t>Peru2005</t>
  </si>
  <si>
    <t>Peru2006</t>
  </si>
  <si>
    <t>Peru2007</t>
  </si>
  <si>
    <t>Peru2008</t>
  </si>
  <si>
    <t>December 2011</t>
  </si>
  <si>
    <t>http://eiti.org/files/Peru%202008-2010%20EITI%20Report.pdf</t>
  </si>
  <si>
    <t>Peru2009</t>
  </si>
  <si>
    <t>Peru2010</t>
  </si>
  <si>
    <t>Peru2011</t>
  </si>
  <si>
    <t>February 2014</t>
  </si>
  <si>
    <t>http://eiti.org/files/Peru-2011-2012-EITI-Report.pdf</t>
  </si>
  <si>
    <t>Peru2012</t>
  </si>
  <si>
    <t>http://eiti.org/files/Peru-2011-2012-EITI-Report_0.pdf</t>
  </si>
  <si>
    <t>RepublicOfTheCongo2004</t>
  </si>
  <si>
    <t>Republic of the Congo</t>
  </si>
  <si>
    <t>August 2008</t>
  </si>
  <si>
    <t>http://eiti.org/files/Congo-Rep-2004-2005-2006-EITI-Report.pdf</t>
  </si>
  <si>
    <t>RepublicOfTheCongo2005</t>
  </si>
  <si>
    <t>August 2009</t>
  </si>
  <si>
    <t>http://eiti.org/files/Congo-Rep-2004-2005-2006-EITI-Report_0.pdf</t>
  </si>
  <si>
    <t>RepublicOfTheCongo2006</t>
  </si>
  <si>
    <t>http://eiti.org/files/Congo-Rep-2004-2005-2006-EITI-Report_1.pdf</t>
  </si>
  <si>
    <t>RepublicOfTheCongo2007</t>
  </si>
  <si>
    <t>http://eiti.org/files/Republic%20of%20Congo%202007-2008-2009%20EITI%20Report.pdf</t>
  </si>
  <si>
    <t>RepublicOfTheCongo2008</t>
  </si>
  <si>
    <t>http://eiti.org/files/Republic%20of%20Congo%202007-2008-2009%20EITI%20Report_0.pdf</t>
  </si>
  <si>
    <t>RepublicOfTheCongo2009</t>
  </si>
  <si>
    <t>http://eiti.org/files/Republic%20of%20Congo%202007-2008-2009%20EITI%20Report_1.pdf</t>
  </si>
  <si>
    <t>RepublicOfTheCongo2010</t>
  </si>
  <si>
    <t>http://eiti.org/files/Republic%20of%20Congo%202010%20EITI%20Report.pdf</t>
  </si>
  <si>
    <t>RepublicOfTheCongo2011</t>
  </si>
  <si>
    <t>http://eiti.org/files/Congo-Rep-2011-EITI-Report-2.pdf</t>
  </si>
  <si>
    <t>RepublicOfTheCongo2012</t>
  </si>
  <si>
    <t>http://eiti.org/files/EITI%20REPORT%202012-CONGO%20B..pdf</t>
  </si>
  <si>
    <t>RepublicOfTheCongo2013</t>
  </si>
  <si>
    <t>https://eiti.org/files/Fair%20Links%20-%20Congo%20-%20ITIE%202013%20-%20Rapport%20ITIE%202013.pdf</t>
  </si>
  <si>
    <t>Sierra Leone2006</t>
  </si>
  <si>
    <t>Sierra Leone</t>
  </si>
  <si>
    <t>February 2010</t>
  </si>
  <si>
    <t>http://eiti.org/files/Sierra%20Leone%202006-2007%20EITI%20Report.pdf</t>
  </si>
  <si>
    <t>Sierra Leone2007</t>
  </si>
  <si>
    <t>Sierra Leone2008</t>
  </si>
  <si>
    <t>http://eiti.org/files/Sierra-Leone-2008-2010-EITI-Report_1.pdf</t>
  </si>
  <si>
    <t>Sierra Leone2009</t>
  </si>
  <si>
    <t>Sierra Leone2010</t>
  </si>
  <si>
    <t>Sierra Leone2011</t>
  </si>
  <si>
    <t>http://eiti.org/files/SLEITI%20Reconciliation%20Report%202011%20-%20Final.pdf</t>
  </si>
  <si>
    <t>Tanzania2009</t>
  </si>
  <si>
    <t>Tanzania</t>
  </si>
  <si>
    <t>http://eiti.org/files/Tanzania%20Jul%202008-%20Jun%202009%20EITI%20Report.pdf</t>
  </si>
  <si>
    <t>Tanzania2010</t>
  </si>
  <si>
    <t>http://eiti.org/files/Tanzania-2010-EITI-Report.pdf</t>
  </si>
  <si>
    <t>Tanzania2011</t>
  </si>
  <si>
    <t>http://eiti.org/files/Tanzania-2011-EITI-Report.pdf</t>
  </si>
  <si>
    <t>Tanzania2012</t>
  </si>
  <si>
    <t>http://eiti.org/files/Tanzania_2012_EITI_Report.pdf</t>
  </si>
  <si>
    <t>TimorLeste2008</t>
  </si>
  <si>
    <t>Timor Leste</t>
  </si>
  <si>
    <t>http://eiti.org/files/Timor-Leste%20EITI%202008%20report_0.pdf</t>
  </si>
  <si>
    <t>TimorLeste2009</t>
  </si>
  <si>
    <t>February 2011</t>
  </si>
  <si>
    <t>http://eiti.org/files/Timor-Leste%202009%20EITI%20Report.pdf</t>
  </si>
  <si>
    <t>TimorLeste2010</t>
  </si>
  <si>
    <t>TimorLeste2011</t>
  </si>
  <si>
    <t>http://eiti.org/files/Timor-Leste-2011-EITI-Report.pdf</t>
  </si>
  <si>
    <t>Togo2010</t>
  </si>
  <si>
    <t>Togo</t>
  </si>
  <si>
    <t>February 2012</t>
  </si>
  <si>
    <t>Oil, Mining, Other</t>
  </si>
  <si>
    <t>http://eiti.org/files/Togo-2010-EITI-Report.pdf</t>
  </si>
  <si>
    <t>Togo2011</t>
  </si>
  <si>
    <t>http://eiti.org/files/Togo-2011-EITI-Report-FR.pdf</t>
  </si>
  <si>
    <t>Togo2012</t>
  </si>
  <si>
    <t>https://eiti.org/files/2012%20Togo%20EITI%20Report%20Moore%20Stephens.pdf</t>
  </si>
  <si>
    <t>Trinidad&amp;Tobago2011</t>
  </si>
  <si>
    <t>Trinidad &amp; Tobago</t>
  </si>
  <si>
    <t>http://eiti.org/files/FINAL-TTEITI-reconciliation-report-2011.pdf</t>
  </si>
  <si>
    <t>Yemen2005</t>
  </si>
  <si>
    <t>Yemen</t>
  </si>
  <si>
    <t>September 2010</t>
  </si>
  <si>
    <t>http://eiti.org/files/Yemen%202005-2006-2007%20EITI%20Report.pdf</t>
  </si>
  <si>
    <t>Yemen2006</t>
  </si>
  <si>
    <t>Yemen2007</t>
  </si>
  <si>
    <t>Yemen2008</t>
  </si>
  <si>
    <t>http://eiti.org/files/Yemen-2008-2009-2010-EITI-Report_1.pdf; http://www.yemeneiti.org/english/wp-content/uploads/2013/09/APPENDICES_Final-Edition.pdf</t>
  </si>
  <si>
    <t>Yemen2009</t>
  </si>
  <si>
    <t>Yemen2010</t>
  </si>
  <si>
    <t>Yemen2011</t>
  </si>
  <si>
    <t>http://eiti.org/files/YEM3_11_apr_2014.pdf</t>
  </si>
  <si>
    <t>Zambia2008</t>
  </si>
  <si>
    <t>Zambia</t>
  </si>
  <si>
    <t>http://eiti.org/files/Zambia%202008%20EITI%20Report.pdf</t>
  </si>
  <si>
    <t>Zambia2009</t>
  </si>
  <si>
    <t>http://eiti.org/files/Zambia-2009-EITI-Report.pdf</t>
  </si>
  <si>
    <t>Zambia2010</t>
  </si>
  <si>
    <t>http://eiti.org/files/Zambia-2010-EITI-Report.pdf; http://eiti.org/files/zambia/Zambia-EITI-2010-Report-Annexes.pdf</t>
  </si>
  <si>
    <t>Zambia2011</t>
  </si>
  <si>
    <t>http://eiti.org/files/Zambia-2011-EITI-Report.pdf</t>
  </si>
  <si>
    <t>Zambia2012</t>
  </si>
  <si>
    <t>November 2014</t>
  </si>
  <si>
    <t>https://eiti.org/files/zeiti_2012_reconciliation_final_report_18_12_14.pdf</t>
  </si>
  <si>
    <t>Zambia2013</t>
  </si>
  <si>
    <t>https://eiti.org/files/zeiti_2013_reconciliation_final_report_18_12_14%20%281%29%20%282%29.pdf</t>
  </si>
  <si>
    <t>On EITI website for each country:</t>
  </si>
  <si>
    <t>http://eiti.org/countries/reports</t>
  </si>
  <si>
    <t>For example:</t>
  </si>
  <si>
    <t>http://eiti.org/Nigeria</t>
  </si>
  <si>
    <t>Country Name</t>
  </si>
  <si>
    <t>Gas</t>
  </si>
  <si>
    <t>Commodity</t>
  </si>
  <si>
    <t>Price</t>
  </si>
  <si>
    <t>Per Unit</t>
  </si>
  <si>
    <t>Payments Made by Covered Companies (US$)</t>
  </si>
  <si>
    <t>Comments</t>
  </si>
  <si>
    <t>http://aeiti.af/</t>
  </si>
  <si>
    <t>Total Mining</t>
  </si>
  <si>
    <t>Profits/Taxes, Royalties, Bonuses, Licenses and concessions, Other significant benefits to government</t>
  </si>
  <si>
    <t>-</t>
  </si>
  <si>
    <t>Afghanistan Afghani</t>
  </si>
  <si>
    <t>Afghan Investment Company (AIC), Brotheran Khoshak (Khoshak Brothers), MJAM MCC-JCL Aynak Minerals Company Ltd, North Coal Enterprise (NCE), Wens Logistics</t>
  </si>
  <si>
    <t>Moore Stephens</t>
  </si>
  <si>
    <t>The report covers the fiscal period 1387 (21 March 2008 – 20 March 2009). Materiality threshold: All mining companies, regardless of whether they are state owned or private or whether they pay non-tax or tax or both, whose annual payments to the Government equal or exceed 7.5 million Afghanis should be reconciled. Disaggregation by commodity is only indirect through disaggregation by company, and therefore limited. Unilateral declarations are not included in the figures. Resolved discrepancies are not included in the final figures, but there is insufficent information to add these retrospectively. The North Coal Enterprise (NCE) is a SOC.</t>
  </si>
  <si>
    <t>Cement</t>
  </si>
  <si>
    <t>t</t>
  </si>
  <si>
    <t>US$/t</t>
  </si>
  <si>
    <t>Volume from USGS Mineral Yearbook 2012, adjusted to account for the fiscal year. Price from USGS Mineral Commodity Summary 2010, and is the average mill price for cement in the US, adjusted to account for the fiscal year.</t>
  </si>
  <si>
    <t>Afghan investment company (AIC)</t>
  </si>
  <si>
    <t>Chromite</t>
  </si>
  <si>
    <t>Volume from USGS Mineral Yearbook 2012, adjusted to account for the fiscal year. Price from USGS Mineral Commodity Summary 2012, and is the price in the US for the gross mass of chromite ore, adjusted to account for the fiscal year.</t>
  </si>
  <si>
    <t>Coal</t>
  </si>
  <si>
    <t>Volume from EIA, adjusted to account for the fiscal year. Price from BPSR 2014, and is an average of the American Central Appalachian, Asian and Northwest Europe marker/spot prices, adjusted to account for the fiscal year.</t>
  </si>
  <si>
    <t>Afghan Investment Company (AIC), Brotheran Khoshak (Khoshak Brothers), North Coal Enterprise (NCE)</t>
  </si>
  <si>
    <t>Copper</t>
  </si>
  <si>
    <t>Volume from USGS Mineral Yearbook 2012, adjusted to account for the fiscal year</t>
  </si>
  <si>
    <t>MJAM MCC-JCL Aynak Minerals Company Ltd</t>
  </si>
  <si>
    <t>Gypsum</t>
  </si>
  <si>
    <t>Volume from USGS Mineral Yearbook 2012, adjusted to account for the fiscal year. Price from USGS Mineral Commodity Summary 2013, and is the average f.o.b. price for crude and calcined products, adjusted to account for the fiscal year.</t>
  </si>
  <si>
    <t>Salt (rock)</t>
  </si>
  <si>
    <t>Volume from USGS Mineral Yearbook 2012, adjusted to account for the fiscal year. Price from USGS Mineral Commodity Summary 2013, and is the average f.o.b. mine and plant price for bulk, pellets and packaged rock salt, adjusted to account for the fiscal year.</t>
  </si>
  <si>
    <t>Wens Logistics</t>
  </si>
  <si>
    <t>Talc</t>
  </si>
  <si>
    <t>Volume from USGS Mineral Yearbook 2012, adjusted to account for the fiscal year. Price from USGS Mineral Commodity Summary 2013, and is the price for the processed product in the US, adjusted to account for the fiscal year.</t>
  </si>
  <si>
    <t>Afghan Investment Company (AIC), Brotheran Khoshak (Khoshak Brothers), Mesaq Sharq, MJAM MCC-JCL Aynak Minerals Company Ltd, North Coal Enterprise (NCE), Wens Logistics</t>
  </si>
  <si>
    <t>The report covers the fiscal period 1388 (21 March 2009 – 20 March 2010). Materiality threshold: All mining companies, regardless of whether they are state owned or private or whether they pay non-tax or tax or both, whose annual payments to the Government equal or exceed 7.5 million Afghanis should be reconciled. Disaggregation by commodity is only indirect through disaggregation by company, and therefore limited. Unilateral declarations are not included in the figures. Resolved discerpancies are not included in the final figures, but there is insufficent information to add these retrospectively. The North Coal Enterprise (NCE) is a SOC.</t>
  </si>
  <si>
    <t>Volume from USGS Mineral Yearbook 2012, adjusted to account for the fiscal year. Price from USGS Mineral Commodity Summary 2014, and is the average mill price for cement in the US, adjusted to account for the fiscal year.</t>
  </si>
  <si>
    <t>Volume from USGS Mineral Yearbook 2012, adjusted to account for the fiscal year. Price from USGS Mineral Commodity Summary 2013, and is the price in the US for the gross mass of chromite ore, adjusted to account for the fiscal year.</t>
  </si>
  <si>
    <t>Profits/Taxes, Royalties, Licenses and concessions, Other significant benefits to government</t>
  </si>
  <si>
    <t>The report covers the fiscal period 1389 (21 March 2010 – 20 March 2011). Materiality threshold: All mining companies, regardless of whether they are state owned or private or whether they pay non-tax or tax or both, whose annual payments to the Government equal or exceed 7.5 million Afghanis should be reconciled. Disaggregation by commodity is only indirect through disaggregation by company, and therefore limited. Unilateral declarations are not included in the figures. Resolved discerpancies are not included in the final figures, but there is insufficent information to add these retrospectively. The North Coal Enterprise (NCE) is a SOC.</t>
  </si>
  <si>
    <t>Afghan Investment Company (AIC), Brotheran Khoshak (Khoshak Brothers), Mesaq Sharq, North Coal Enterprise (NCE)</t>
  </si>
  <si>
    <t>Total Oil, Gas, Mining</t>
  </si>
  <si>
    <t>Profits/Taxes, Royalties, Bonuses</t>
  </si>
  <si>
    <t>Northern Coal Enterprise, Afghan Gas Enterprise, MCC-JCL Aynak Minerals Company, Afghan Investment Company, Technologist Company, Korea Road Construction Company, 
Hewadwal Road Construction Company, Khushak Brothers Company, Meesaq Sharq Company, West Land General Trading, Salim Karwan, Kod Barq, China National Petroleum Company CNPCI-W, Equity Capital Group</t>
  </si>
  <si>
    <t>The report covers the fiscal period 1390 (21 March 2011 – 20 March 2012).  Materiality threshold: companies which have made payments of at least 2 million Afghanis should be reconciled. Disaggregation by commodity is only indirect through disaggregation by company, and therefore limited. The North Coal Enterprise (NCE) and two gas companies, Afghan Gas Enterprise and Kod-e-Barq, are SOCs.</t>
  </si>
  <si>
    <t>Total Oil &amp; Gas</t>
  </si>
  <si>
    <t>Afghan Gas Enterprise, Kod Barq, China National Petroleum Company CNPCI-W</t>
  </si>
  <si>
    <t>m³</t>
  </si>
  <si>
    <t>US$/m³</t>
  </si>
  <si>
    <t>Volume from EIA, adjusted to account for the fiscal year. Price from BPSR 2014, and is an average of the UK, US and Canada Indices for natural gas, adjusted to account for the fiscal year.</t>
  </si>
  <si>
    <t xml:space="preserve">Afghan Gas Enterprise, Kod Barq </t>
  </si>
  <si>
    <t>bbl</t>
  </si>
  <si>
    <t>Volume from EIA, adjusted to account for the fiscal year</t>
  </si>
  <si>
    <t>China National Petroleum Company CNPCI-W</t>
  </si>
  <si>
    <t>Northern Coal Enterprise, Afghan Investment Company (AIC), Khushak Brothers Company, Meesaq Sharq Company, Technologist Company, Korea Road Construction Company, Hewadwal Road Construction Company, Salim Karwan, MCC-JCL Aynak Minerals Company, Equity Capital Group</t>
  </si>
  <si>
    <t>Afghan Investment Company (AIC)</t>
  </si>
  <si>
    <t xml:space="preserve">Northern Coal Enterprise, Afghan Investment Company (AIC), Khushak Brothers Company, Meesaq Sharq Company, </t>
  </si>
  <si>
    <t>Construction stone</t>
  </si>
  <si>
    <t>Technologist Company, Korea Road Construction Company, Hewadwal Road Construction Company, Salim Karwan</t>
  </si>
  <si>
    <t>These commodities are not mentioned in the USGS Mineral Yearbook 2012.</t>
  </si>
  <si>
    <t>MCC-JCL Aynak Minerals Company</t>
  </si>
  <si>
    <t>Marble</t>
  </si>
  <si>
    <t>Volume from USGS Mineral Yearbook 2012, adjusted to account for the fiscal year. Price from USGS Mineral Yearbook 2012, and is the price in the US for crushed marble, adjusted to account for the fiscal year.</t>
  </si>
  <si>
    <t>Equity Capital Group</t>
  </si>
  <si>
    <t>http://www.albeiti.org/</t>
  </si>
  <si>
    <t>Total Oil, Mining</t>
  </si>
  <si>
    <t>Host government's production entitlement, Royalties</t>
  </si>
  <si>
    <t>No</t>
  </si>
  <si>
    <t>United States Dollar and Albanian Lek</t>
  </si>
  <si>
    <t>Unknown quantity of bbl of oil - only the value is given in report</t>
  </si>
  <si>
    <t>Albpetrol, Bankers Petroleum, Capricorn Albania, IEC Visoka, Island International Exploration, Manas Adriatic, Sherwood Internationl, Sky Petroleum, Stream Oil and Gas, ACR/Albanian Chrome, Alb-Canaj, Alba-Co, Alfa Nikel, Ateani, Balkan Resources, Ber Alb, Bledi, Egi-K, Empire Mining Albania, Fabirka e Pasurimit te Kromit, Geri Trevi, Herbi, 11 Heronjte e Batres, Isaku, Jab Resources, K-12, Klosi, Koka, Krypi, L.B.M., Neli, Prodhime Karbonike, Ral, Rej, Shkalla, Mineral Tadri, Tirex Exploration, Xhireton, Ylberi, YZO, Zguri, Dollar Oil, Gentari, Geri's 2002, Klervibris, Shkembi</t>
  </si>
  <si>
    <t>Fair Links</t>
  </si>
  <si>
    <t>15-16</t>
  </si>
  <si>
    <t>The report uses US dollars for oil payments, and the local currency, the Albanian Lek, for mining payments. Materiality threshold: All active oil &amp; gas companies should be reconciled; Mining companies should be reconciled depending on their level of production. The report doesn't distinguish between oil and gas companies.  It is unclear whether unilateral declarations are included in the figures. Payments made to Albpetrol, a SOC, accounted for 44% of total revenues. The 2010 Report gives total mining sector revenues for 2009, but this figure is actually less than the revenues reconciled in the 2009 Report. It is therefore assumed that the reconciled revenues account for all mining revenues in 2009.</t>
  </si>
  <si>
    <t>US$/bbl</t>
  </si>
  <si>
    <t>Volume from EITI Report. Price from BPSR 2014, and is an average of the spot prices for Brent, Dubai, Nigerian Forcados and West Texas Intermediate crude oil, adjusted to account for the price given in the 2011 EITI Report being 65.35% of this in 2011.</t>
  </si>
  <si>
    <t>Albpetrol, Bankers Petroleum, Capricorn Albania, IEC Visoka, Island International Exploration, Manas Adriatic, Sherwood Internationl, Sky Petroleum, Stream Oil and Gas</t>
  </si>
  <si>
    <t>4, 15</t>
  </si>
  <si>
    <t>ACR/Albanian Chrome, Alb-Canaj, Alba-Co, Alfa Nikel, Ateani, Balkan Resources, Ber Alb, Bledi, Egi-K, Empire Mining Albania, Fabirka e Pasurimit te Kromit,Geri Trevi, Herbi, 11 Heronjte e Batres, Isaku, Jab Resources, K-12, Klosi, Koka, Krypi, L.B.M., Neli, Prodhime Karbonike, Ral, Rej, Shkalla, Mineral Tadri, Tirex Exploration, Xhireton, Ylberi, YZO, Zguri, Dollar Oil, Gentari, Geri's 2002, Klervibris, Shkembi</t>
  </si>
  <si>
    <t>Volume from USGS Mineral Yearbook 2012. Price from USGS Mineral Commodity Summary 2013, and is the price in the US for the gross mass of chromite ore.</t>
  </si>
  <si>
    <t>ACR/Albanian Chrome, Alb-Canaj, Alba-Co, Ateani, Bledi, Egi-K, Empire Mining Albania, Fabirka e Pasurimit te Kromit, Geri Trevi, Herbi, 11 Heronjte e Batres, Isaku, Jab Resources, Klosi, Koka, Krypi, L.B.M., Neli, Ral, Shkalla, Mineral Tadri, Xhireton, Ylberi, Zguri, Gentari, Geri's 2002, Klervibris, Shkembi</t>
  </si>
  <si>
    <t>Price from World Bank (Global Economic Monitor (GEM) Commodities database), and is defined as: Copper (LME), grade A, minimum 99.9935% purity, cathodes and wire bar shapes, settlement price.</t>
  </si>
  <si>
    <t>Ber Alb, Tirex Exploration, Balkan Resorces</t>
  </si>
  <si>
    <t>o/w Copper ore</t>
  </si>
  <si>
    <t>Volume from USGS Mineral Yearbook 2012</t>
  </si>
  <si>
    <t>o/w Copper content of ore</t>
  </si>
  <si>
    <t>Nickel</t>
  </si>
  <si>
    <t>Price from World Bank (Global Economic Monitor (GEM) Commodities database), and is defined as: Nickel (LME), cathodes, minimum 99.8% purity, settlement price beginning 2005; previously cash price.</t>
  </si>
  <si>
    <t>Alfa Nikel, Dollar Oil, K-12, Prodhime Karbonike, Rej, YZO, Balkan Resources</t>
  </si>
  <si>
    <t>o/w Iron-nickel and nickel-silicate ore</t>
  </si>
  <si>
    <t>o/w Nickel content of ores</t>
  </si>
  <si>
    <t>State-owned company production entitlement, Profits/Taxes, Royalties, Dividends, Bonuses, Other significant benefits to government</t>
  </si>
  <si>
    <t>Bankers Petroleum, Stream Oil &amp; Gas, IEC Visoka, Capricorn Albania (subsidiary of Cairn), Island International Exploration (subsidiary of San Leon Energy plc), Manas Adriatic (subsidiary of DWM then Petromanas Energy Inc.), Sherwood International Petroleum Ltd (subsidiary of Bankers Petroleum), Sky Petroleum, Albpetrol, Albanian Chrome shpk, BerAlba shpk, Empire Mining, Jab Resources, Balkan Resources, Cougar Mining, Tirex Exploration, Afrimi-k, Alb-Canaj, Algej shpk, Ateani shpk, Bytyci, Egi-K, Elidon - 06, Ernisi shpk, Fabrika e Pasurimit te Kromit, Florida shpk, Gentari, Gjoni shpk, Herbi, Info Metal Plast al shpk, Klervibris shpk, Klosi shpk, Koka shpk, Aren 2003, Alb Xhoi, Koxheri shpk, Krasta shpk, Kromex Import Export, Lahaze, Lamnica shpk, Leshnica, Marei shpk, Mineral - Invest shpk, Miniera e kromit katjel, Neli, Ral shpk, Runja, Shkalla shpk, Shkembi shpk, Tadri shpk, Tollja, Vellazeria shpk, Ylberi shpk, Selenice Bitumi sha, Alb Tiefbau, Antea cement, Babasi coo shpk, F. Kruja cement factory, Makaresh shpk, Salillari shpk, Shkodra intert, Stone Production, Vellezerit Llupo shpk, B &amp; b Stone, Dks Group shpk, Albitoil shpk, Prodhime Karbonike sha, Arsi shpk, Klervibris shpk</t>
  </si>
  <si>
    <t>14-15</t>
  </si>
  <si>
    <t xml:space="preserve">The report uses US dollars for oil payments, and the local currency, the Albanian Lek, for mining payments.  Materiality threshold: All active oil &amp; gas companies should be reconciled;  All large-scale mining companies, and all other mining companies with a turnover greater than 50 million Leks, should be reconciled. The report doesn't distinguish between oil and gas companies. It is unclear whether unilateral declarations are included in the figures. Payments made to Albpetrol, a SOC, accounted for 39% of total revenues. </t>
  </si>
  <si>
    <t>Bankers Petroleum, Stream Oil &amp; Gas, IEC Visoka, Capricorn Albania (subsidiary of Cairn), Island International Exploration (subsidiary of San Leon Energy plc), Manas Adriatic (subsidiary of DWM then Petromanas Energy Inc.), Sherwood International Petroleum Ltd (subsidiary of Bankers Petroleum), Sky Petroleum, Albpetrol</t>
  </si>
  <si>
    <t>7, 14</t>
  </si>
  <si>
    <t>Albanian Chrome shpk, BerAlba shpk, Empire Mining, Jab Resources, Balkan Resources, Cougar Mining, Tirex Exploration, Afrimi-k, Alb-Canaj, Algej shpk, Ateani shpk, Bytyci, Egi-K, Elidon - 06, Ernisi shpk, Fabrika e Pasurimit te Kromit, Florida shpk, Gentari, Gjoni shpk, Herbi, Info Metal Plast al shpk, Klervibris shpk, Klosi shpk, Koka shpk, Aren 2003, Alb Xhoi, Koxheri shpk, Krasta shpk, Kromex Import Export, Lahaze, Lamnica shpk, Leshnica, Marei shpk, Mineral - Invest shpk, Miniera e kromit katjel, Neli, Ral shpk, Runja, Shkalla shpk, Shkembi shpk, Tadri shpk, Tollja, Vellazeria shpk, Ylberi shpk, Selenice Bitumi sha, Alb Tiefbau, Antea cement, Babasi coo shpk, F. Kruja cement factory, Makaresh shpk, Salillari shpk, Shkodra intert, Stone Production, Vellezerit Llupo shpk, B &amp; b Stone, Dks Group shpk, Albitoil shpk, Prodhime Karbonike sha, Arsi shpk, Klervibris shpk</t>
  </si>
  <si>
    <t>Albanian Chrome shpk, Empire Mining, Jab Resources, Afrimi-k, Alb-Canaj, Algej shpk, Ateani shpk, Bytyci, Egi-K, Elidon - 06, Ernisi shpk, Fabrika e Pasurimit te Kromit, Florida shpk, Gentari, Gjoni shpk, Herbi, Info Metal Plast al shpk, Klervibris shpk, Klosi shpk, Koka shpk, Koxheri shpk, Krasta shpk, Kromex Import Export, Lahaze, Lamnica shpk, Leshnica, Marei shpk, Mineral - Invest shpk, Miniera e kromit katjel, Neli, Ral shpk, Runja, Shkalla shpk, Shkembi shpk, Tadri shpk, Tollja, Vellazeria shpk, Ylberi shpk</t>
  </si>
  <si>
    <t>BerAlba shpk, Balkan Resources, Cougar Mining, Tirex Exploration</t>
  </si>
  <si>
    <t>o/w Copper content</t>
  </si>
  <si>
    <t>Limestone</t>
  </si>
  <si>
    <t>Volume from USGS Mineral Yearbook 2012. Price from USGS Mineral Yearbook 2010, and is the price in the US for crushed limestone.</t>
  </si>
  <si>
    <t>Alb Tiefbau, Antea cement, Babasi coo shpk, Makaresh shpk, Salillari shpk, Shkodra intert, Stone Production, Vellezerit Llupo shpk</t>
  </si>
  <si>
    <t>The EITI report a production volume of 2.3 million m3 for the limestone.</t>
  </si>
  <si>
    <t>Balkan Resources, Aren 2003, Alb xhoi</t>
  </si>
  <si>
    <t>o/w Nickel content</t>
  </si>
  <si>
    <t>Total</t>
  </si>
  <si>
    <t>Profits/Taxes, Royalties, Dividends, Bonuses</t>
  </si>
  <si>
    <t>Bankers Petroleum Albania Ltd, Dega Ne Shqiperi E Stream Oil &amp; Gas Ltd, Petromanas Albania GmbH, San Leon Durressi B.V., Sky Petroleum - Albanian Branch, Albpetrol, Beralb Sh.A., Albchrome Sh.p.k., Salillari Sh.p.k., Egi-K Sh.p.k., Miniera E Kromit Katjel Sh.p.k., Shkalla Sh.p.k., Fabrika E Pasurmit Te Kromit Bulqize Sh.p.k., Ernisi Sh.p.k., Fushe Kruja Cement Factory Sh.p.k., Gentari Sh.p.k., Kromex Sh.p.k., Koka Sh.p.k., Herbi Sh.p.k., Heidorn &amp; Binjaku Sh.p.k., Antea Cement Sh.A., Stone Production Sh.p.k., Alb-Canaj Sh.p.k., 11 Heronjte Bater Sh.p.k., Drini Bulqize Sh.p.k., Gjoni Sh.p.k., Shpresa - Al Sh.p.k., Isaku Sh.p.k., Favina Sh.p.k., Klosi Sh.p.k., Bytyci Sh.p.k., Rej Sh.A., Vellazeria Sh.p.k., Gerold Sh.p.k., Ral Sh.p.k., Rier Sh.p.k., Prodhme Karbonike Sh.a., United Quarries Sh.p.k., Alb-Xhoi Sh.p.k., Kuarci Blace Sh.p.k., Runja Sh.p.k., Babasi Coo Sh.p.k., Feni Korca Sh.A., Neli Sh.p.k., Ervin Sh.p.k., Aris Albania Sh.p.k., Leshnica Sh.p.k., Krasta Sh.p.k., Lubima Sh.p.k., Ra Krom - Tirana Sh.k.p., Koxheri Sh.p.k., Lamnia Sh.p.k., Latomia Tirana Sh.A., Elidon - 06 Sh.p.k., Jab Resoucres Sh.p.k., Bakan Resources Sh.p.k., Tirex Explorations Sh.p.., Knauf - Tirana Sh.p.k., Other entities</t>
  </si>
  <si>
    <t>Deloitte</t>
  </si>
  <si>
    <t>3, 4</t>
  </si>
  <si>
    <t xml:space="preserve">The report uses US dollars for oil payments, and the local currency, the Albanian Lek, for mining payments.  Materiality threshold: All active oil &amp; gas companies should be reconciled; All mining companies with a revenue of at least US$750,000, and all other mining companies that produce a mineral-specific volume, should be reconciled. The report notes that 67 companies were asked to report, but only 58 are named. The report doesn't distinguish between oil and gas companies, or between mining companies producing different commodities. Unilateral declarations are included in the figures. Oil and gas revenues reported account for 100% of the cashflows contributed by the sector for the selcted revenue streams. Mining revenues reported account for 50% of the cashflows contributed by the sector for the selected revenue streams, but the mining companies covered account for 71.4% of the production value of the sector in 2011, which is given in the report as US$217,469,880. Given the production value of the mining sector is given in the report, production information for individual mining commodities has not been collected. Payments made to Albpetrol, a SOC, accounted for 39% of total revenues. </t>
  </si>
  <si>
    <t>Volume and price from EITI Report. Price is based on the reported volume and value of production (and is 65.35% of the average of the spot prices for Brent, Dubai, Nigerian Forcados and West Texas Intermediate crude oil).</t>
  </si>
  <si>
    <t>Bankers Petroleum Albania Ltd, Dega Ne Shqiperi E Stream Oil &amp; Gas Ltd, Petromanas Albania GmbH, San Leon Durressi B.V., Sky Petroleum - Albanian Branch, Albpetrol</t>
  </si>
  <si>
    <t>3, 4, 11</t>
  </si>
  <si>
    <t>Bitumen</t>
  </si>
  <si>
    <t xml:space="preserve">Chromium production value given in EITI report (p. 10). The report also includes the % contribution of each mineral to total production value. </t>
  </si>
  <si>
    <t>Profits/Taxes, Royalties, Dividends</t>
  </si>
  <si>
    <t>Albanian Lek</t>
  </si>
  <si>
    <t xml:space="preserve">Bankers Petroleum Albania Ltd., Dega në Shqipëri e Stream Oil &amp; Gas Ltd., Sherwood International Petroleum Ltd., Transoil Group - Dega në Shqipëri, Petromanas Albania GmbH, Capricorn Albania Limited, San Leon Durrësi B.V., Emanuelle Adriatic Energy Ltd., Fushe Kruja Cement Factory Sh.p.k., Antea Cement Sh.a., Babasi COO Sh.p.k., Beralb Sh.a., United Quarries, Sh.p.k., Gerold Sh.p.k., Miniera e Kromit Katjel Sh.p.k., Bytyçi Sh.p.k., Ernisi Sh.p.k., Vëllazëria Sh.p.k., Cahani Sh.p.k., Leshnica Sh.p.k., Nika BL Sh.p.k., Lamnica Sh.p.k., Albchrome Sh.p.k., Koka Sh.p.k., Egi - K Sh.p.k., Zasha Sh.p.k., Runja Sh.p.k., Gjoni Sh.p.k., Gentari Sh.p.k., Fabrika e Pasurimit të Kromit Bulqizë Sh.p.k., Isaku Sh.p.k., Rier Sh.p.k., Alb - Canaj Sh.p.k., Herbi Sh.p.k., Klosi Sh.p.k., Krasta Sh.p.k., Koxheri Sh.p.k., Kuarci Blace Sh.p.k., Neli Sh.p.k., Lubima Sh.p.k., Favina Sh.p.k., Ral Sh.p.k. 
Shkalla Sh.p.k., Bledi Sh.p.k., Aliaj Group Sh.p.k. Romes Sh.p.k., Tili Inert Sh.p.k., Grenast Sh.p.k., Minex Sh.p.k., Brisel Sh.p.k., Albanisa - Krypi Sh.p.k., Ylberi, Sh.p.k., Ylberi Sh.p.k., Mineral Invest Sh.p.k., Kurti Sh.p.k. 
Arkev Sh.p.k., Lita Brothers Construction Sh.p.k., Geri's 2002 Sh.p.k., Info Metal Plast - Al Sh.p.k., Ateani Sh.p.k., Yzo Sh.p.k., Platinium ALB Sh.p.k. 
Vëllezërit Llupo Sh.p.k., Heidorn &amp; Binjaku Sh.p.k., Kromex Sh.p.k., Aris Albania Sh.p.k., Drini Bulqizë Sh.p.k., Prodhime Karbonike Sh.a., Salillari Sh.p.k., Stone Production Sh.p.k., 11 Heronjtë Bater Sh.p.k., Rej Sh.a., KNAUF - Tirana Sh.p.k., Pula - X Sh.p.k. </t>
  </si>
  <si>
    <t>Total production value (and certain commodity production values) missing but calculated here adding the oil and mining values. Payment values differ from EITI website (Website may have double counted)</t>
  </si>
  <si>
    <t>Volume from EITI Report</t>
  </si>
  <si>
    <t>Chromium</t>
  </si>
  <si>
    <t>Iron-Nickel &amp; Nickel-Silicate</t>
  </si>
  <si>
    <t>Clay</t>
  </si>
  <si>
    <t>http://www.eiti.az</t>
  </si>
  <si>
    <t>Host government's production entitlement, State-owned company production entitlement, Royalties, Other significant benefits to government</t>
  </si>
  <si>
    <t xml:space="preserve">United States Dollar and Azerbaijani Manat (converted from the </t>
  </si>
  <si>
    <t>6,600,000 bbl of oil; 1,052,200 thousand cubic metres of gas</t>
  </si>
  <si>
    <t>BP Exploration (Caspian Sea) Limited, State Oil Company of the Republic of Azerbaijan, Total E&amp;P Azerbaijan B.V., ITOCHU Oil Exploration (Azerbaijan) Inc., Statoil, Turkish Petroleum A.O., Commonwealth Oil and Gas, Exxon Azerbaijan Limited, ConocoPhillips, Amerada Hess (ACG) Limited, Devon Energy Caspian Corporation, Lukoil Overseas, Unocal Khazar, Shengli Oil, Salyan Oil Limited, Karasu Operating Company, Shell Azerbaijan Exploration and Production, Middle East Petroleum, Anshad Petrol JV, Shirvan Oil JV, Azgerneft JV</t>
  </si>
  <si>
    <t>2-3</t>
  </si>
  <si>
    <t>The report uses US dollars for payments by foreign companies, and the local currency, the Old Azerbaijani Manat (AZM), for payments by local companies. An exchange rate is not provided to convert the latter. The local currency has since changed to the New Old Azerbijani Manat (AZN) at the rate 5000AZM=1AZN. This is used to convert the local currency payments to AZN and then the exchange rate for US$:AZN of the World Bank is used (http://data.worldbank.org/indicator/PA.NUS.FCRF). Materiality threshold: Not given. The report doesn't distinguish between oil and gas producers. The report gives the volumes but not values for the payments in kind. The values are calculated using the relevant commodity prices from the BPSR 2014 (detailed below). Resolved discerpancies are not included in the final figures, but these have been added retrospectively. Unilateral declarations are included in the figures. Five companies were not asked to report, but are reported on by government.</t>
  </si>
  <si>
    <t>Volume and price from BPSR 2014. Price is an average of the UK, US and Canada Indices for natural gas.</t>
  </si>
  <si>
    <t>1,052,200,000 cubic metres of gas</t>
  </si>
  <si>
    <t>Volume and price from BPSR 2014. Price is an average of the spot prices for Brent, Dubai, Nigerian Forcados and West Texas Intermediate crude oil.</t>
  </si>
  <si>
    <t>6,600,000 bbl</t>
  </si>
  <si>
    <t>Host government's production entitlement, State-owned company production entitlement, Profits/Taxes, Royalties, Dividends, Other significant benefits to government</t>
  </si>
  <si>
    <t>United States Dollar and Azerbaijani Manat</t>
  </si>
  <si>
    <t>6,700,000 bbl of oil; 1,050,000 thousand cubic metres of gas</t>
  </si>
  <si>
    <t>2-4</t>
  </si>
  <si>
    <t>The report uses US dollars for payments by foreign companies, and the local currency, the Old Azerbaijani Manat (AZM), for payments by local companies. An exchange rate is not provided to convert the latter. The local currency has since changed to the New Old Azerbijani Manat (AZN) at the rate 5000AZM=1AZN. This is used to convert the local currency payments to AZN and then the exchange rate for US$:AZN of the World Bank is used (http://data.worldbank.org/indicator/PA.NUS.FCRF). Materiality threshold: Not given. The report doesn't distinguish between oil and gas producers. The report gives the volumes but not values for the payments in kind. The values are calculated using the relevant commodity prices from the BPSR 2014 (detailed below). Resolved discerpancies (mainly caused by accrual v cash reporting) are not included in the final figures, but these have been added retrospectively. Unilateral declarations are included in the figures. Five companies were not asked to report, but are reported on by government.</t>
  </si>
  <si>
    <t>1,050,000,000 thousand cubic metres of gas</t>
  </si>
  <si>
    <t>6,700,000 bbl of oil</t>
  </si>
  <si>
    <t>Host government's production entitlement, State-owned company production entitlement, Profits/Taxes, Bonuses, Other significant benefits to government</t>
  </si>
  <si>
    <t>14,300,000 bbl of oil; 1,919,709,000 cubic metres of gas</t>
  </si>
  <si>
    <t>BP Exploration (Caspian Sea) Limited, State Oil Company of the Republic of Azerbaijan, Total E&amp;P Azerbaijan B.V., ITOCHU Oil Exploration (Azerbaijan) Inc., Statoil, Turkish Petroleum A.O., Commonwealth Oil and Gas, Exxon Azerbaijan Limited, ConocoPhillips, Amerada Hess (ACG) Limited, Devon Energy Caspian Corporation, Lukoil Overseas, Shengli Oil, Salyan Oil Limited, Karasu Operating Company, Shell Azerbaijan Exploration and Production, Middle East Petroleum, Anshad Petrol JV, Shirvan Oil JV, Azgerneft JV, Inpex, Chevron Overseas Petroleum Azerbaijan Limited</t>
  </si>
  <si>
    <t>The report uses US dollars for payments by foreign companies, and the local currency, the Old Azerbaijani Manat (AZM), for payments by local companies. An exchange rate is not provided to convert the latter as the local currency has since changed to the New Old Azerbijani Manat (AZN) at the rate 5000AZM=1AZN. This is used to convert the local currency payments to AZN and then the exchange rate provided in the report for US$:AZN is used. Materiality threshold: Not given. The report doesn't distinguish between oil and gas producers. The report gives the volumes but not values for the payments in kind. The values are calculated using the relevant commodity prices from the BPSR 2014 (detailed below). Resolved discerpancies (mainly caused by accrual v cash reporting) are not included in the final figures, but these have been added retrospectively. Unilateral declarations are included in the figures. Three companies were not asked to report, but are reported on by government.</t>
  </si>
  <si>
    <t>1,919,709,000 cubic metres of gas</t>
  </si>
  <si>
    <t>14,300,000 bbl of oil</t>
  </si>
  <si>
    <t>Host government's production entitlement, State-owned company production entitlement, Profits/Taxes, Royalties, Bonuses, Other significant benefits to government</t>
  </si>
  <si>
    <t>19,000,000 bbl of oil; 2,395,468,900 thousand cubic metres of gas</t>
  </si>
  <si>
    <t>BP Exploration (Caspian Sea) Limited, State Oil Company of the Republic of Azerbaijan, Total E&amp;ampP Azerbaijan B..,V ITOCHU Oil Exploration (Azerbaijan) Inc., Statoil, Turkish Petroleum A.O., Commonwealth Oil and Gas, Exxon Azerbaijan Limited, ConocoPhillips, Amerada Hess (ACG) Limited, Devon Energy Caspian Corporation, Lukoil Overseas, Shengli Oil, Salyan Oil Limited, Karasu Operating Company, Shell Azerbaijan Exploration and Production, Middle East Petroleum, Anshad Petrol JV, Shirvan Oil JV, Azgerneft JV, Inpex, Chevron Overseas Petroleum Azerbaijan Limited, Binegedi Oil Operating Company, Royal Association of Finance Investors, Naftiran Intergrade Co Ltd, The Baku-Tbilisi-Ceyhan Pipeline Company, Azerbaijan International Operating Company</t>
  </si>
  <si>
    <t>5-10</t>
  </si>
  <si>
    <t>The report uses US dollars for payments by foreign companies, and the local currency, the Azerbaijani Manat, for payments by local companies. An exchange rate is not provided to convert the latter. Materiality threshold: Not given. The report doesn't distinguish between oil and gas producers. The report gives the volumes but not values for the payments in kind. The values are calculated using the relevant commodity prices from the BPSR 2014 (detailed below). Resolved discerpancies (mainly caused by accrual v cash reporting) are not included in the final figures, but these have been added retrospectively. Unilateral declarations are included in the figures. Two companies were not asked to report, but are reported on by government.</t>
  </si>
  <si>
    <t>2,395,468,900 cubic metres of gas</t>
  </si>
  <si>
    <t>19,000,000 bbl of oil</t>
  </si>
  <si>
    <t>30,300,000 bbl of oil; 2,423,507,200 cubic metres of gas</t>
  </si>
  <si>
    <t>BP Exploration (Caspian Sea) Limited, State Oil Company of the Republic of Azerbaijan, Total E&amp;P Azerbaijan B.V., ITOCHU Oil Exploration (Azerbaijan) Inc., Statoil, Turkish Petroleum A.O., Commonwealth Oil and Gas, Exxon Azerbaijan Limited, Amerada Hess (ACG) Limited, Devon Energy Caspian Corporation, Lukoil Overseas, Shengli Oil, Salyan Oil Limited, Karasu Operating Company, Shell Azerbaijan Exploration and Production, Middle East Petroleum, Anshad Petrol JV, Shirvan Oil JV, Azgerneft JV, Inpex, Chevron Overseas Petroleum Azerbaijan Limited, Binagadi Oil Operating Company Rafi Oil F.Z.E., Naftiran Intertrade Co. (NICO) Limited, Absheron Investments Ltd</t>
  </si>
  <si>
    <t>4-9</t>
  </si>
  <si>
    <t>The report uses US dollars for payments by foreign companies, and the local currency, the Azerbaijani Manat, for payments by local companies. An exchange rate is not provided to convert the latter. Materiality threshold: Not given. The report doesn't distinguish between oil and gas producers. The report gives the volumes but not values for the payments in kind. The values are calculated using the relevant commodity prices from the BPSR 2014 (detailed below). Resolved discerpancies (mainly caused by accrual v cash reporting and mistaken omissions by companies) are not included in the final figures, but these have been added retrospectively. Unilateral declarations are not included in the figures.</t>
  </si>
  <si>
    <t>2,423,507,200 cubic metres of gas</t>
  </si>
  <si>
    <t>30,300,000 bbl of oil</t>
  </si>
  <si>
    <t>150,200,000 bbl of oil; 2,139,058,000 cubic metres of gas</t>
  </si>
  <si>
    <t>BP Exploration (Caspian Sea) Limited, State Oil Company of the Republic of Azerbaijan, Total E&amp;P Azerbaijan B.V., ITOCHU Oil Exploration (Azerbaijan) Inc., Statoil, Turkish Petroleum A.O., Commonwealth Oil and Gas, Exxon Azerbaijan Limited, ConocoPhilips, Amerada Hess (ACG) Limited, Devon Energy Caspian Corporation, Lukoil Overseas, Chevron, Petro-Hongkong-Piesaat Oil Ltd, Salyan Oil, Karasu Operating Company, Shell Azerbaijan Exploration and Production, Middle East Petroleum, Anshad Petrol JV, Shirvan Oil JV, Azgerneft JV, Inpex, Binagadi Oil Operating Company, Rafi Oil F.Z.E., Naftiran Intertrade Co. (NICO) Limited, Absheron Investments Ltd</t>
  </si>
  <si>
    <t>2-7</t>
  </si>
  <si>
    <t>The report uses US dollars for payments by foreign companies, and the local currency, the Azerbaijani Manat, for payments by local companies. An exchange rate is not provided to convert the latter. Materiality threshold: Not given. The report doesn't distinguish between oil and gas producers. The report gives the volumes but not values for the payments in kind. The values are calculated using the relevant commodity prices from the BPSR 2014 (detailed below). Resolved discerpancies (mainly caused by accrual v cash reporting and mistaken omissions by companies) are not included in the final figures, but these have been added retrospectively. Unilateral declarations are included in the figures.</t>
  </si>
  <si>
    <t>2,139,058,000 cubic metres of gas</t>
  </si>
  <si>
    <t>150,200,000 bbl of oil</t>
  </si>
  <si>
    <t>Host government's production entitlement, State-owned company production entitlement, Profits/Taxes, Royalties, Dividends, Bonuses, Other significant benefits to government</t>
  </si>
  <si>
    <t>192,600,000 bbl of oil; 3,938,027,100 cubic metres of gas; 1,400 ounces of gold; 500 ounces of silver</t>
  </si>
  <si>
    <t>BP Exploration (Caspian Sea) Limited, State Oil Company of the Republic of Azerbaijan, Total E&amp;P Azerbaijan B.V., ITOCHU Oil Exploration (Azerbaijan) Inc., Statoil, Turkish Petroleum A.O., Commonwealth Oil and Gas, Exxon Azerbaijan Limited, ConocoPhilips, Hess (ACG) Limited, Devon Energy Caspian Corporation, Lukoil Overseas, Chevron Khazar, Shell Azerbaijan Exploration and Production, GDF Suez Exploration Caspian B.V., Middle East Petroleum, Arshad Petrol J.V., Shirvan Oil J.V., Azgemeft J.V., Binagadi Oil Operating Company, Rafi Oil F.Z.E., Naftiran Intertrade Co. (NICO) Limited, Absheron Investments Ltd, Shirvan Operating Company Limited, Netchala Operating Company Limited, Azerbaijan International Mining Company Azerbaijan (AIMC), Azerbaijan International Operating Company</t>
  </si>
  <si>
    <t>5-13</t>
  </si>
  <si>
    <t>The report uses US dollars for payments by foreign companies, and the local currency, the Azerbaijani Manat, for payments by local companies. An exchange rate is not provided to convert the latter. Materiality threshold: Not given. The report doesn't distinguish between oil, gas and mining companies. The report gives the volumes but not values for the payments in kind. The values are calculated using the relevant commodity prices from the BPSR 2014 and World Bank (detailed below). Resolved discerpancies (mainly caused by accrual v cash reporting and mistaken omissions by companies) are not included in the final figures, but these have been added retrospectively. Unilateral declarations are included in the figures.</t>
  </si>
  <si>
    <t>192,600,000 bbl of oil; 3,938,027,100 cubic metres of gas</t>
  </si>
  <si>
    <t>3,938,027,100 cubic metres of gas</t>
  </si>
  <si>
    <t>192,600,000 bbl of oil</t>
  </si>
  <si>
    <t>1,400 ounces of gold; 500 ounces of silver</t>
  </si>
  <si>
    <t>Gold</t>
  </si>
  <si>
    <t>toz</t>
  </si>
  <si>
    <t>US$/toz</t>
  </si>
  <si>
    <t>Volume from USGS Mineral Yearbook 2012. Price from World Bank (Global Economic Monitor (GEM) Commodities database), and is defined as: Gold (UK), 99.5% fine, London afternoon fixing, average of daily rates.</t>
  </si>
  <si>
    <t>1,400 ounces (1,276 toz)</t>
  </si>
  <si>
    <t>Silver</t>
  </si>
  <si>
    <t>215,400,000 bbl of oil; 3,484,870,400 cubic metres of gas; 8,400 ounces of gold; 5,400 ounces of silver</t>
  </si>
  <si>
    <t>BP Exploration (Caspian Sea) Limited, State Oil Company of the Republic of Azerbaijan, Total E&amp;P Azerbaijan B.V., ITOCHU Oil Exploration (Azerbaijan) Inc., Statoil, Turkish Petroleum A.O., Commonwealth Oil and Gas, Exxon Azerbaijan Limited, ConocoPhilips, Hess (ACG) Limited, Devon Energy Caspian Corporation, Lukoil Overseas, Chevron Khazar, Petro-HongKong-Pirsaat Oil Limited, Salyan Oil Limited, Karasu Operating Company, Shell Azerbaijan Exploration and Production, GDF Suez Exploration Caspian B.V., Middle East Petroleum, Arshad Petrol J.V., Shirvan Oil J.V., Azgemeft J.V., Inpex, Binagadi Oil Operating Company, Rafi Oil F.Z.E., Naftiran Intertrade Co. (NICO) Limited, Apsheron Investments Ltd, Shirvan Operating Company Limited, Netchala Operating Company Limited, Azerbaijan International Mining Company Azerbaijan (AIMC), Bahar Energy</t>
  </si>
  <si>
    <t>5-12</t>
  </si>
  <si>
    <t>215,400,000 bbl of oil; 3,484,870,400 cubic metres of gas</t>
  </si>
  <si>
    <t>3,484,870,400 cubic metres of gas</t>
  </si>
  <si>
    <t>215,400,000 bbl of oil</t>
  </si>
  <si>
    <t>8,400 ounces of gold; 5,400 ounces of silver</t>
  </si>
  <si>
    <t>8,400 ounces (7,656 toz)</t>
  </si>
  <si>
    <t>Volume from USGS Mineral Yearbook 2012. Price from World Bank (Global Economic Monitor (GEM) Commodities database), and is defined as: Silver (Handy &amp; Harman), 99.9% grade refined, New York.</t>
  </si>
  <si>
    <t>5,400 ounces (4,921 toz)</t>
  </si>
  <si>
    <t>Host government's production entitlement, State-owned company production entitlement, Profits/Taxes, Royalties, Bonuses, Licenses and concessions, Other significant benefits to government</t>
  </si>
  <si>
    <t>181,100,000 bbl of oil; 3,413,226,300 cubic metres of gas; 7,000 ounces of gold; 5,000 ounces of silver</t>
  </si>
  <si>
    <t>BP Exploration (Caspian Sea) Limited, State Oil Company of the Republic of Azerbaijan, Total E&amp;P Azerbaijan B.V., ITOCHU Oil Exploration (Azerbaijan) Inc., Statoil, Turkish Petroleum A.O., Commonwealth Oil and Gas, Exxon Azerbaijan Limited, ConocoPhilips, Hess (ACG) Limited, Devon Energy Caspian Corporation, Lukoil Overseas, Chevron Khazar, Petro-HongKong-Pirsaat Oil Limited, Salyan Oil Limited, Karasu Operating Company, Shell Azerbaijan Exploration and Production, GDF Suez Exploration Caspian B.V., Middle East Petroleum, Arshad Petrol J.V., Shirvan Oil J.V., Azgemeft J.V., Inpex, Binagadi Oil Operating Company, Rafi Oil F.Z.E., Naftiran Intertrade Co. (NICO) Limited, Apsheron Investments Ltd, Shirvan Operating Company Limited, Neftchala Operating Company Limited, Azerbaijan International Mining Company Azerbaijan (AIMC), Bahar Energy</t>
  </si>
  <si>
    <t>40-41</t>
  </si>
  <si>
    <t xml:space="preserve">The report uses US dollars for payments by foreign companies, and the local currency, the Azerbaijani Manat, for payments by local companies. Materiality threshold: All companies that made a payment for one or more of the covered revenue streams should be reconciled. The covered revenue streams make up 99.99% of total government revenues from the extractive industries. The report doesn't distinguish between oil, gas and mining companies. Values for payments in kind are not given in the report, but the International Secretariat calculate these for oil and gas separately (though the sum of these appear incorrect) (http://eiti.org/news-events/azerbaijan-kind-payments-larger-cash). These were based on the following assumptions: associated and natural gas is equivalent to 22,185,917 bbl of oil (1,000,000 cubic meters equals 6,500 bbl of oil equivalent); a referential oil price of $111.20; and gas prices are 25% of the oil price. </t>
  </si>
  <si>
    <t>181,100,000 bbl of oil; 3,413,226,300 cubic metres of gas</t>
  </si>
  <si>
    <t>Volume from BPSR 2014. Price from EITI International Secretariat (http://eiti.org/news-events/azerbaijan-kind-payments-larger-cash).</t>
  </si>
  <si>
    <t>3,413,226,300 cubic metres of gas</t>
  </si>
  <si>
    <t>181,100,000 bbl</t>
  </si>
  <si>
    <t>74,000 ounces gold; 5,000 ounces silver</t>
  </si>
  <si>
    <t>74,000 ounces (67,448 toz)</t>
  </si>
  <si>
    <t>5,000 ounces (4,557 toz)</t>
  </si>
  <si>
    <t>160,800,000 bbl of oil; 3,519,627,000 cubic metres of gas; 6,100 ounces of golds; 6,400 ounces of silver</t>
  </si>
  <si>
    <t>BP Exploration (Caspian Sea) Limited, State Oil Company of the Republic of Azerbaijan, Total E&amp;P Azerbaijan B.V., ITOCHU Oil Exploration (Azerbaijan) Inc., Statoil, Turkish Petroleum A.O., Commonwealth Gobustan, Exxon Azerbaijan Limited, Hess (ACG) Limited, Lukoil Overseas, Chevron Khazar, Petro-HongKong-Pirsaat Oil Limited, Salyan Oil Limited, Karasu Operating Company, GDF Suez Exploration Caspian B.V., Azgemeft J.V., Inpex, Binagadi Oil Operating Company, Rafi Oil F.Z.E., Naftiran Intertrade Co. (NICO) Limited, Apsheron Investments Ltd, Shirvan Operating Company Limited, Neftchala Operating Company Limited, Azerbaijan International Mining Company Azerbaijan (AIMC), Bahar Energy, Uge-Lancer PTE. Ltd</t>
  </si>
  <si>
    <t>21</t>
  </si>
  <si>
    <t xml:space="preserve">The report uses US dollars for payments by foreign companies, and the local currency, the Azerbaijani Manat, for payments by local companies. Materiality threshold: All companies that made a payment for one or more of the covered revenue streams should be reconciled. The covered revenue streams make up 99.99% of total government revenues from the extractive industries. The report doesn't distinguish between oil, gas and mining companies. Values for payments in kind are not given in the report, but the International Secretariat calculate these for oil and gas separately. These were based on the following assumptions: associated and natural gas is equivalent to 22,877,576 bbl of oil (1,000,000 cubic meters equals 6,500 bbl of oil equivalent); a referential oil price of $112.21; and gas prices are 25% of the oil price. </t>
  </si>
  <si>
    <t>160,800,000 bbl of oil; 3,519,627,000 cubic metres of gas</t>
  </si>
  <si>
    <t>Volume from BPSR 2014. Price from EITI International Secretariat (https://eiti.org/report/azerbaijan/2012).</t>
  </si>
  <si>
    <t>3,519,627,000 cubic metres</t>
  </si>
  <si>
    <t>160,800,000 bbl</t>
  </si>
  <si>
    <t>6,100 ounces gold; 6,400 ounces silver</t>
  </si>
  <si>
    <t>6,100 ounces (5,560 toz)</t>
  </si>
  <si>
    <t>6,400 ounces (5833 toz)</t>
  </si>
  <si>
    <t>http://www.itie-bf.gov.bf/spip.php</t>
  </si>
  <si>
    <t>Volume and price from EITI 2008 report</t>
  </si>
  <si>
    <t>Profits/Taxes, Royalties, Other significant benefits to government</t>
  </si>
  <si>
    <t>SOMITA</t>
  </si>
  <si>
    <t>KPMG</t>
  </si>
  <si>
    <t>Only production of gold was included in the EITI report, and only one company, SOMITA, reported.</t>
  </si>
  <si>
    <t>Volume and price from EITI 2009 report</t>
  </si>
  <si>
    <t>SOMITA, BMC, Kalsaka, SEMAFO</t>
  </si>
  <si>
    <t>Profits/Taxes, Royalties, Dividends, Other significant benefits to government</t>
  </si>
  <si>
    <t>West African CFA Franc</t>
  </si>
  <si>
    <t>Burkina Mining Company (BMC), Kalsaka Mining SA, Société des Mines de Taparko (SOMITA), Société d’Exploitation Minière d’Afrique de l’Ouest (SEMAFO), Essakane SA, Société des Mines de Belahouro (SMB), Burkina Manganèse SA, Nantou Mining, Stremco</t>
  </si>
  <si>
    <t>Moore Stephens LLP</t>
  </si>
  <si>
    <t>Each company appears to produce just one mineral, allowing revenues to be disaggregated by commodity.</t>
  </si>
  <si>
    <t>Volume from USGS Mineral Yearbook 2011. Price from World Bank (Global Economic Monitor (GEM) Commodities database), and is defined as: Gold (UK), 99.5% fine, London afternoon fixing, average of daily rates.</t>
  </si>
  <si>
    <t>The gold volume reported in the EITI report is 21082kg, which was converted to Troy ounces here.</t>
  </si>
  <si>
    <t>Manganese</t>
  </si>
  <si>
    <t xml:space="preserve">Price from USGS Mineral Commodity Summary 2013, and is the c.i.f. price at US ports for metallurgical ore with 46-48% manganese content. </t>
  </si>
  <si>
    <t>The EITI Report covers one manganese company (Burkia Manganese SA).</t>
  </si>
  <si>
    <t>o/w Manganese ore (processed)</t>
  </si>
  <si>
    <t>Volume from USGS Mineral Yearbook 2011</t>
  </si>
  <si>
    <t>o/w Manganese content</t>
  </si>
  <si>
    <t>Zinc</t>
  </si>
  <si>
    <t>The EITI Report covers one zinc company (Nantou Mining) that has not yet begun production.</t>
  </si>
  <si>
    <t>Not given (in-kind social payments made in the form of infrastructure projects, etc)</t>
  </si>
  <si>
    <t xml:space="preserve">IAM Gold Essakane SA, Semafo Burkina Faso, Société des Mines de Taparko (SOMITA), Société des Mines de Belahouro (SMB), Kalsaka Mining, Burkina Mining Company (BMC), Société Ampella Mining Gold, BISSA Gold, Nantou Mining SA, Orezone Inc. SARL, AMPELLA Mining, Gryphon Minerals Burkina Faso, Goldbelt Resources, Mana Minerals, High River Gold Mines (WA), Kiaka Gold, GEP Mines, Jilbey Burkina SARL </t>
  </si>
  <si>
    <t xml:space="preserve"> Moore Stephens LLP</t>
  </si>
  <si>
    <t>36, 50, 51</t>
  </si>
  <si>
    <t>Each company appears to produce just one mineral, allowing total revenues to be disaggregated by commodity. Payment/revenue totals from eiti.org do not include social payments (made in both cash and kind, with cash values for the latter reported unilaterally by company (p.50)) or subnational transfers (made in cash to local governments, reported unilaterally by the Government (p.51)). The value of social payments has been added to Total Payments by Companies; subnational transfers has been added to Total Received by Government.</t>
  </si>
  <si>
    <t>Total Company Payments includes social payments reported unilaterally by gold companies; Total Government Revenues does not include subnational transfers reported unilaterally by the Government because these revenues were not disaggregated by company/commodity. Gold production volumes converted from kg (31210.34 kg) to ounces.</t>
  </si>
  <si>
    <t xml:space="preserve">The EITI Report covers one zinc company (Nantou Mining) that has not yet begun production. </t>
  </si>
  <si>
    <t>Volume and Price from EITI Report</t>
  </si>
  <si>
    <t>IAM Gold Essakane SA, Orezone Inc. SARL., Semafo Burkina Faso, AMPELLA Mining, Société des Mines de Belahouro (SMB), Gryphon Minerals Burkina Faso, Société des Mines de Taparko (SOMITA), Goldbelt Resources Kalsaka Mining, Mana Minerals, Burkina Mining Company (BMC), High River Gold Mines (WA), Société ampella Mining Gold, Kiaka Gold, BISSA Gold, Jilbey Burkina SARL, Nantou Mining SA, Riverstone Resources, Riverstone Resources, Roxgold Burkina Faso, Stremco SA, Pinsapo Gold, Essakane Exploration SARL, Pan African Burkina Ltd (PAB), GEP Mines, SAV’OR</t>
  </si>
  <si>
    <t>http://www.eiticameroon.org/index.php/home</t>
  </si>
  <si>
    <t>United States Dollar</t>
  </si>
  <si>
    <t/>
  </si>
  <si>
    <t>24,965,343 bbl of oil</t>
  </si>
  <si>
    <t>Total Exploration &amp; Production (E&amp;P) Cameroon, Pecten Cameroon, Perenco Cameroon, ExxonMobil Cameroon, NHC Functioning</t>
  </si>
  <si>
    <t>Hart Group/Mazars Cameroon</t>
  </si>
  <si>
    <t>The report covers the fiscal period of 1 July 2001 – 30 June 2002. Materiality threshold: All oil companies involved in production and exploration should be reconciled. Unilateral declarations do not appear to be included in the figures. The actual volumes allocated to NHC Functioning, a SOC, as payment in-kind are not provided by the report, but it notes that NHC Functioning received around 65% of production. The value of this payment in kind is not given in the report, but has been calculated using the official sales price given in the report, which is determined by a commission comprising of the NHC and the oil companies. This was $23.39 over the fiscal year.</t>
  </si>
  <si>
    <t>Volume from EIA, adjusted to acount for the fiscal year. Price from BPSR 2014, and is an average of the UK, US and Canada Indices for natural gas, adjusted to account for the fiscal year.</t>
  </si>
  <si>
    <t>Volume and price from EITI Report, adjusted to account for the fiscal year</t>
  </si>
  <si>
    <t>14, 26</t>
  </si>
  <si>
    <t>24,310,000 bbl of oil</t>
  </si>
  <si>
    <t>The report covers the fiscal period of 1 July 2002 – 31 December 2002. Materiality threshold: All oil companies involved in production and exploration should be reconciled. Unilateral declarations do not appear to be included in the figures. The production volume has been adjusted to account for the fiscal year. The actual volumes allocated to NHC Functioning, a SOC, as payment in-kind are not provided by the report, but it notes that NHC Functioning received around 65% of production. The value of this payment in kind is not given in the report, but has been calculated using the official sales price given in the report, which is determined by a commission comprising of the NHC and the oil companies. This was $23.74 in 2002.</t>
  </si>
  <si>
    <t>23,140,000 bbl of oil</t>
  </si>
  <si>
    <t>Hart group/Mazars Cameroon</t>
  </si>
  <si>
    <t>Materiality threshold: All oil companies involved in production and exploration should be reconciled. Unilateral declarations do not appear to be included in the figures. The actual volumes allocated to NHC Functioning, a SOC, as payment in-kind are not provided by the report, but it notes that NHC Functioning received around 65% of production. The value of this payment in kind is not given in the report, but has been calculated using the official sales price given in the report, which is determined by a commission comprising of the NHC and the oil companies. This was $27.12 in 2003.</t>
  </si>
  <si>
    <t>Volume from EIA. Price from BPSR 2014, and is an average of the UK, US and Canada Indices for natural gas.</t>
  </si>
  <si>
    <t>Volume and price from EITI Report</t>
  </si>
  <si>
    <t>21,190,000 bbl of oil</t>
  </si>
  <si>
    <t>Materiality threshold: All oil companies involved in production and exploration should be reconciled. Unilateral declarations do not appear to be included in the figures. The actual volumes allocated to NHC Functioning, a SOC, as payment in-kind are not provided by the report, but it notes that NHC Functioning received around 65% of production. The value of this payment in kind is not given in the report, but has been calculated using the official sales price given in the report, which is determined by a commission comprising of the NHC and the oil companies. This was $37.29 in 2004.</t>
  </si>
  <si>
    <t>Host government's production entitlement, Profits/Taxes, Royalties, Dividends, Bonuses</t>
  </si>
  <si>
    <t>19,553,950 bbl of oil</t>
  </si>
  <si>
    <t>Total Exploration &amp; Production (E&amp;P) Cameroon, Pecten Cameroon, Perenco Cameroon, ExxonMobil Cameroon, NHC Functioning, Euroil Ltd, Addax Petroleum Cameroon Ltd, Noble, Turnberry Resource Inc, Tullow Cameroon Ltd, Sterling Cameroon Ltd, RSM Production Corporation, Sonara</t>
  </si>
  <si>
    <t>Materiality threshold: All oil companies involved in production and exploration should be reconciled. Unilateral declarations do not appear to be included in the figures. The actual volumes allocated to NHC Functioning, a SOC, as payment in-kind are not provided by the report, but it notes that NHC Functioning received around 63% of production. The value of this payment in kind is not given in the report, but has been calculated using the official sales price given in the report, which is determined by a commission comprising of the NHC and the oil companies. This was $50.35 in 2005.</t>
  </si>
  <si>
    <t>13, 25, 50</t>
  </si>
  <si>
    <t>Profits/Taxes, Royalties, Dividends, Bonuses, Other significant benefits to government</t>
  </si>
  <si>
    <t>United States Dollar and Central African CFA Franc</t>
  </si>
  <si>
    <t>20,996,780 bbl of oil</t>
  </si>
  <si>
    <t>Total Exploration &amp; Production (E&amp;P) Cameroon, Pecten Cameroon, Perenco Cameroon, Mobil Producing Cameroon Inc., Euroil Ltd, Addax Petroleum Cameroon Ltd, Noble Energy Cameroon Ltd, Sterling Energy, Rodeo Development Ltd, Kosmos Energy, Glencore Exploration Cameroon, Societe Nationale de Raffinage (SONARA), African Aura Resources, Sinosteel CAM SA, Cam Iron SA, Mega Urnaium Corporation Cameroon Plc, Hydrmine Inc., Free Mining Company, Ets Rocaglia, Cimencam, Geovic</t>
  </si>
  <si>
    <t>15,16, 19</t>
  </si>
  <si>
    <t>The report uses US dollars for payments by oil companies, and the local currency, the Central African Franc, for payments by mining companies. Materiality threshold: Not given. Unilateral declarations do not appear to be included in the figures. The report does not specify what minerals are mined. The actual volumes allocated to NHC Functioning, a SOC, as payment in-kind are not provided by the report, but it notes that NHC Functioning received around 65.8% of production. The value of this payment in kind is not given in the report, but has been calculated using the relevant commodity prices from the BPSR 2014 (detailed below). The revenue stream 'proportional mining royalty' is the amount that permits every partner in the process of oil production to benefit from a guaranteed percentage on the annual rent according to the terms of the contract, and can be a positive or negative payment to Government. When it is negative, it represents the amount due by the Government to the oil companies. In 2006 it was negative and has therefore been classified as a subsidy.</t>
  </si>
  <si>
    <t>Total Exploration &amp; Production (E&amp;P) Cameroon, Pecten Cameroon, Perenco Cameroon, Mobil Producing Cameroon Inc., Euroil Ltd, Addax Petroleum Cameroon Ltd, Noble Energy Cameroon Ltd, Sterling Energy, Rodeo Development Ltd, Kosmos Energy, Glencore Exploration Cameroon, Societe Nationale de Raffinage (SONARA)</t>
  </si>
  <si>
    <t>Volume from EITI Report. Price from BPSR 2014, and is an average of the spot prices for Brent, Dubai, Nigerian Forcados and West Texas Intermediate crude oil, adjusted to account for the prices given in the 2001-2005 EITI Reports being an average 94.97% of this in 2001-2005.</t>
  </si>
  <si>
    <t>African Aura Resources, Sinosteel CAM SA, Cam Iron SA, Mega Urnaium Corporation Cameroon Plc, Hydrmine Inc., Free Mining Company, Ets Rocaglia, Cimencam, Geovic</t>
  </si>
  <si>
    <t>16</t>
  </si>
  <si>
    <t>Volume from USGS Mineral Yearbook 2008. Price from USGS Mineral Commodity Summary 2009, and is the price for common clay in the US, adjusted to account for the price given in the 2011 EITI Report being 14.17% of this in 2011.</t>
  </si>
  <si>
    <t>Volume from USGS Mineral Yearbook 2008. Price from World Bank (Global Economic Monitor (GEM) Commodities database), and is defined as: Gold (UK), 99.5% fine, London afternoon fixing, average of daily rates.</t>
  </si>
  <si>
    <t>Years after report production volumes of gold dust that are minimal compared to the production volume listed by the USGS. Better to not consider the gold value in the total productio value.</t>
  </si>
  <si>
    <t>Volume from USGS Mineral Yearbook 2008. Price from USGS Mineral Yearbook 2007, and is the price in the US for crushed limestone, adjusted to account for the price given in the 2011 EITI Report being 184.33% of this in 2011.</t>
  </si>
  <si>
    <t>Pozzolana</t>
  </si>
  <si>
    <t>Volume from USGS Mineral Yearbook 2008. Price from 2011 EITI Report, and is based on the reported volume and value of exports in 2011 (the price for this year is not given in the EITI Report or by USGS).</t>
  </si>
  <si>
    <t>Sand and gravel</t>
  </si>
  <si>
    <t>Volume from USGS Mineral Yearbook 2008. Price from USGS Mineral Yearbook 2007, and is the price in the US for construction sand and gravel, adjusted to account for the price given in the 2011 EITI Report being 19.49% of this in 2011.</t>
  </si>
  <si>
    <t>20,743,360 bbl of oil</t>
  </si>
  <si>
    <t>The report uses US dollars for payments by oil companies, and the local currency, the Central African Franc, for payments by mining companies. Materiality threshold: Not given. Unilateral declarations do not appear to be included in the figures. The report does not specify what minerals are mined. The actual volumes allocated to NHC Functioning, a SOC, as payment in-kind are not provided by the report, but it notes that NHC Functioning received around 66.4% of production. The value of this payment in kind is not given in the report, but has been calculated using the relevant commodity prices from the BPSR 2014 (detailed below). The revenue stream 'proportional mining royalty' is the amount that permits every partner in the process of oil production to benefit from a guaranteed percentage on the annual rent according to the terms of the contract, and can be a positive or negative payment to Government. When it is negative, it represents the amount due by the Government to the oil companies. In 2007 it was negative and has therefore been classified as a subsidy.</t>
  </si>
  <si>
    <t>Volume from USGS Mineral Yearbook 2008. Price from USGS Mineral Yearbook 2007, and is the price crushed limestone in the US, adjusted to account for the price given in the 2011 EITI Report being 184.33% of this in 2011.</t>
  </si>
  <si>
    <t>20,507,600 bbl of oil</t>
  </si>
  <si>
    <t>The report uses US dollars for payments by oil companies, and the local currency, the Central African Franc, for payments by mining companies. Materiality threshold: Not given. Unilateral declarations do not appear to be included in the figures. The report does not specify what minerals are mined. The actual volumes allocated to NHC Functioning, a SOC, as payment in-kind are not provided by the report, but it notes that NHC Functioning received around 66.8% of production. The value of this payment in kind is not given in the report, but has been calculated using the relevant commodity prices from the BPSR 2014 (detailed below). The revenue stream 'proportional mining royalty' is the amount that permits every partner in the process of oil production to benefit from a guaranteed percentage on the annual rent according to the terms of the contract, and can be a positive or negative payment to Government. When it is negative, it represents the amount due by the Government to the oil companies. In 2008 it was negative and has therefore been classified as a subsidy.</t>
  </si>
  <si>
    <t>Volume from USGS Mineral Yearbook 2011. Price from USGS Mineral Commodity Summary 2009, and is the price for common clay in the US, adjusted to account for the price given in the 2011 EITI Report being 14.17% of this in 2011.</t>
  </si>
  <si>
    <t>Volume from USGS Mineral Yearbook 2011. Price from USGS Mineral Yearbook 2009, and is the price crushed limestone in the US, adjusted to account for the price given in the 2011 EITI Report being 184.33% of this in 2011.</t>
  </si>
  <si>
    <t>Volume from USGS Mineral Yearbook 2011. Price from 2011 EITI Report, and is based on the reported volume and value of exports in 2011 (the price for this year is not given in the EITI Report or by USGS).</t>
  </si>
  <si>
    <t>Volume from USGS Mineral Yearbook 2011. Price from USGS Mineral Yearbook 2009, and is the price in the US for construction sand and gravel, adjusted to account for the price given in the 2011 EITI Report being 19.49% of this in 2011.</t>
  </si>
  <si>
    <t>Host government's production entitlement, State-owned company production entitlement, Profits/Taxes, Royalties, Dividends, Bonuses, Licenses and concessions, Other significant benefits to government</t>
  </si>
  <si>
    <t>Central African CFA Franc</t>
  </si>
  <si>
    <t>36,124,483 bbl of oil (govt reported ); 36,124,478 bbl of oil (company reported)</t>
  </si>
  <si>
    <t>Petroleum: SNH-Fonctionnement, Total Exploration &amp; Production Cameroun (actuellement Perenco Rio Del Rey), Perenco Cameroun, Perenco Oil &amp; Gas Cameroun, Pecten Cameroon Company (actuellement Addax Petroleum Cameroon Company), Mobil Producing Cameroon Inc, Addax Petroleum Cam LTD, Euroil Ltd, Noble Energy Cameroon LTD, Murphy (pour Sterling Energy), Rodeo Development LTD, Kosmos Energy, Glencore Exploration Cameroon, Yang Chang Logone, RSM, AFEX, Petronas. Mining: Geovic, Razel, Cimencam, C&amp;K Mining.</t>
  </si>
  <si>
    <t>28-29</t>
  </si>
  <si>
    <t>Volume from EIA. Price from BPSR 2014, and is an average of the spot prices for Brent, Dubai, Nigerian Forcados and West Texas Intermediate crude oil, adjusted to account for the prices given in the 2001-2005 EITI Reports being an average 94.97% of this in 2001-2005.</t>
  </si>
  <si>
    <t>SNH-Fonctionnement, Total Exploration &amp; Production Cameroun (actuellement Perenco Rio Del Rey), Perenco Cameroun, Perenco Oil &amp; Gas Cameroun, Pecten Cameroon Company (actuellement Addax Petroleum Cameroon Company), Mobil Producing Cameroon Inc, Addax Petroleum Cam LTD, Euroil Ltd, Noble Energy Cameroon LTD, Murphy (pour Sterling Energy), Rodeo Development LTD, Kosmos Energy, Glencore Exploration Cameroon, Yang Chang Logone, RSM, AFEX, Petronas</t>
  </si>
  <si>
    <t>EITI production volume is from p.5; no discrepancy between company and govt reported production volumes. Revenue totals include oil transport revenues and transfers from SNH-Mandat; revenue totals do not include in-kind payments or unilaterally declared payments. In-kind value is govt-reported total.</t>
  </si>
  <si>
    <t>Geovic, Razel, Cimencam, C&amp;K Mining.</t>
  </si>
  <si>
    <t>Volume from USGS Mineral Yearbook 2011. Price from USGS Mineral Commodity Summary 2014, and is the price for common clay in the US, adjusted to account for the price given in the 2011 EITI Report being 14.17% of this in 2011.</t>
  </si>
  <si>
    <t xml:space="preserve">Only gold dust is included in the EITI Report. </t>
  </si>
  <si>
    <t>Volume from USGS Mineral Yearbook 2011. Price from USGS Mineral Yearbook 2010, and is the price crushed limestone in the US, adjusted to account for the price given in the 2011 EITI Report being 184.33% of this in 2011.</t>
  </si>
  <si>
    <t>Volume from USGS Mineral Yearbook 2011. Price from USGS Mineral Yearbook 2010, and is the price in the US for construction sand and gravel, adjusted to account for the price given in the 2011 EITI Report being 19.49% of this in 2011.</t>
  </si>
  <si>
    <t>32,659,731 bbl of oil (govt reported), 32,659,731 bbl of oil (company reported)</t>
  </si>
  <si>
    <t>29-30</t>
  </si>
  <si>
    <t>EITI production volume is from p.5; no discrepancy between company and govt reported production volumes. Revenue totals include oil transport revenues and transfers from SNH-Mandat; revenue totals do not include unilaterally declared payments.</t>
  </si>
  <si>
    <t>Geovic, Razel, Cimencam, C&amp;K Mining</t>
  </si>
  <si>
    <t>Revenue totals do not include unilaterally declared payments.</t>
  </si>
  <si>
    <t>14,615,395 bbl of oil</t>
  </si>
  <si>
    <t>Not given</t>
  </si>
  <si>
    <t>National Hydrocarbons Company (NHC), Total Exploration &amp; Production Cameroon (Perenco Rio Del Rey), Perenco Cameroon, Perenco Oil &amp; Gas Cameroon, Pecten Cameroon Company (Currently Addax Petroleum Cameroon Company), Mobil Producing Cameroon Inc, Addax Petroleum Cam LTD, Euroil Ltd, Noble Energy Cameroon LTD, Murphy (Sterling Energy), Rodeo Development LTD, Kosmos Energy, Glencore Exploration Cameroon, Yang Chang Logone, RSM, AFEX, Petronas, Cameroon Oil Transportation Company (COTCO), Geovic, Razel, Cimencam, C&amp;K Mining</t>
  </si>
  <si>
    <t>32-33, 39-45</t>
  </si>
  <si>
    <t>Materiality threshold: all companies that made a payment of at least FCFA 55,000,000 in 2011 should be reconciled. This means all oil &amp; gas producers are reconciled. Disaggregation by commodity is only indirect through disaggregation by company, and therefore limited. Unilateral declarations are included in the figures: US$497,487 of payments outside the reconciliation scope and US$118,687 of social contributions reported by companies, and US$894,430 of payments from companies below the materiality threshold reported by government. The value of the payments made in-kind included in the figures for 2011 is not consistent with the volume of payments made-in kind in 2011 given the time lapse between the oil being transferred and commercialised. The value of the latter is not clear, but the volume has been indicated in the appropriate column. Total payments given on pg.8 do not appear to be consistent with the reconciliation results on pg 32-33 and unilateral declarations on pg 39-45. NHC has two functions. NHC-Operation operates as a company, involved in a number of oil concessions both directly and indirectly as a shareholder of other companies. NHC-Mandate is a state agency, managing the commercialisation of Government's share in the oil extracted. COTCO is a oil transport company, which the Government has a shareholding, indirectly through NHC, of 5.17%. The revenue stream 'proportional mining royalty' is the amount that permits every partner in the process of oil production to benefit from a guaranteed percentage on the annual rent according to the terms of the contract, and can be a positive or negative payment to Government. When it is negative, it represents the amount due by the Government to the oil companies. In 2011 it was negative and has therefore been classified as a subsidy. The report also includes: licensing information for both sectors.</t>
  </si>
  <si>
    <t>National Hydrocarbons Company (NHC), Total Exploration &amp; Production Cameroon (Perenco Rio Del Rey), Perenco Cameroon, Perenco Oil &amp; Gas Cameroon, Pecten Cameroon Company (Currently Addax Petroleum Cameroon Company), Mobil Producing Cameroon Inc, Addax Petroleum Cam LTD, Euroil Ltd, Noble Energy Cameroon LTD, Murphy (Sterling Energy), Rodeo Development LTD, Kosmos Energy, Glencore Exploration Cameroon, Yang Chang Logone, RSM, AFEX, Petronas, CAmeroon Oil Transportation Company (COTCO)</t>
  </si>
  <si>
    <t>33, 39-40</t>
  </si>
  <si>
    <t>32, 40-45</t>
  </si>
  <si>
    <t>Volume from USGS Mineral Yearbook 2011. Price from EITI Report, and is based on the reported volume and value of exports (and is 14.17% of the  price for common clay in the US).</t>
  </si>
  <si>
    <t>Cimencam</t>
  </si>
  <si>
    <t>11, 80</t>
  </si>
  <si>
    <t>C&amp;K Mining</t>
  </si>
  <si>
    <t>Granite</t>
  </si>
  <si>
    <t>Volume from EITI Report, but is only that of the covered companies. Price from USGS Mineral Yearbook 2012, and is the price in the US for crushed granite.</t>
  </si>
  <si>
    <t xml:space="preserve">The USGS Mineral Yearbook 2012 indicates that there was insufficent data to estimate production volumes. </t>
  </si>
  <si>
    <t>Volume from USGS Mineral Yearbook 2011. Price from EITI Report, and is based on the reported volume and value of exports (and is 184.33% of the  price for crushed limestone in the US).</t>
  </si>
  <si>
    <t>Volume from USGS Mineral Yearbook 2011. Price from USGS Mineral Yearbook 2012, and is the price in the US for crushed marble.</t>
  </si>
  <si>
    <t>Volume from USGS Mineral Yearbook 2011. Price from EITI Report, and is based on the reported volume and value of exports.</t>
  </si>
  <si>
    <t>Volume from USGS Mineral Yearbook 2011. Price from EITI Report, and is based on the reported volume and value of exports (and is 19.49% of the  price for construction sand and gravel in the US).</t>
  </si>
  <si>
    <t>Cimencam, Razel</t>
  </si>
  <si>
    <t>Volume from EITI report</t>
  </si>
  <si>
    <t>Host government's production entitlement, State-owned company production entitlement, Profits/Taxes, Royalties, Dividends, Licenses and concessions</t>
  </si>
  <si>
    <t>SNH-Mandat, SNH, Perenco Rio Del Rey, Perenco Cameroun, Perenco Oil &amp; Gas Cameroun, Euroil LTD, Noble Energy Cameroon LTD, Addax Petroleum Cameroon LTD, Murphy, Rodeo Development LTD, Kosmos Energy, Glencore Exploration Cameroon, Yang Chang Logone, Dana Petroleum, COTCO, Geovic, C&amp;K Mining, ROCAGLIA, CAPAM, Cimencam, Razel, CAM IRON ***</t>
  </si>
  <si>
    <t>ft³</t>
  </si>
  <si>
    <t>kg</t>
  </si>
  <si>
    <t>Sapphire</t>
  </si>
  <si>
    <t>Quartz</t>
  </si>
  <si>
    <t>Sand</t>
  </si>
  <si>
    <t>Disthene</t>
  </si>
  <si>
    <t>Argile</t>
  </si>
  <si>
    <t>Aggregates</t>
  </si>
  <si>
    <t>http://www.itierca.org/</t>
  </si>
  <si>
    <t>Bonuses, Licenses and concessions, Other significant benefits to government</t>
  </si>
  <si>
    <t>Valentin NZAPAOKO</t>
  </si>
  <si>
    <t>Diamond</t>
  </si>
  <si>
    <t>carats</t>
  </si>
  <si>
    <t>US$/carat</t>
  </si>
  <si>
    <t>Volume from USGS Mineral Yearbook 2010. Price from kimberley Process Annual Summary 2006.</t>
  </si>
  <si>
    <t>Volume from USGS Mineral Yearbook 2010. Price from World Bank (Global Economic Monitor (GEM) Commodities database), and is defined as: Gold (UK), 99.5% fine, London afternoon fixing, average of daily rates.</t>
  </si>
  <si>
    <t>Bonuses, Licenses and concessions</t>
  </si>
  <si>
    <t>Volume from USGS Mineral Yearbook 2010. Price from kimberley Process Annual Summary 2007.</t>
  </si>
  <si>
    <t>Volume from USGS Mineral Yearbook 2010. Price from kimberley Process Annual Summary 2008.</t>
  </si>
  <si>
    <t>Volume from USGS Mineral Yearbook 2012. Price from kimberley Process Annual Summary 2009.</t>
  </si>
  <si>
    <t>Industrial mining companies: Areva, Aurafrique (Axmin), Gem Diamond, Minesca, Tala Mining. Import/Export offices: Adamas-Swiss, ADR, Badica, Comigem, Inala, Sodiam.</t>
  </si>
  <si>
    <t xml:space="preserve"> In addition to the reconciled figures, the government reported to have received US$34,304 from the mining cooperatives and US$701,248 from small-scale miners.</t>
  </si>
  <si>
    <t>Volume from USGS Mineral Yearbook 2012. Price from kimberley Process Annual Summary 2010.</t>
  </si>
  <si>
    <t>http://www.itie-tchad.org/</t>
  </si>
  <si>
    <t>Profits/Taxes, Royalties, Dividends, Licenses and concessions, Other significant benefits to government</t>
  </si>
  <si>
    <t xml:space="preserve">Petroleum: SHT (National Oil Company), Esso, Petronas, Chevron, CNPCI, OPIC. Petroleum transport: TOTCO, COTCO. </t>
  </si>
  <si>
    <t>4,5,14,15</t>
  </si>
  <si>
    <t>Mining revenues were reported unilaterally by govt for one company (SOTEC). Total revenues/payments include petroleum transport revenues, do not include subsidies paid to the national oil company.</t>
  </si>
  <si>
    <t>Volume and price from BPRS 2014. Price is an average of the spot prices for Brent, Dubai, Nigerian Forcados and West Texas Intermediate crude oil.</t>
  </si>
  <si>
    <t>SHT (National Oil Company), Esso, Petronas, Chevron, CNPCI, OPIC, TOTCO, COTCO</t>
  </si>
  <si>
    <t>Revenue/payment totals include transport sector.</t>
  </si>
  <si>
    <t>Aggregate, sand and stone</t>
  </si>
  <si>
    <t>Volume from USGS Mineral Yearbook 2011. Price from USGS Mineral Yearbook 2007, and is the price in the US for crushed misecellaneous stone.</t>
  </si>
  <si>
    <t>Mining payments reported unilaterally by govt.</t>
  </si>
  <si>
    <t>4,5, 14, 15</t>
  </si>
  <si>
    <t>Volume from USGS Mineral Yearbook 2012. Price from USGS Mineral Yearbook 2009, and is the price in the US for crushed misecellaneous stone.</t>
  </si>
  <si>
    <t xml:space="preserve"> SHT (National Oil Company), Esso, Petronas, Chevron, CNPCI, OPIC, TOTCO, COTCO. </t>
  </si>
  <si>
    <t>Petroleum: SHT (National Oil Company), Esso, Petronas, Chevron, CNPCI, OPIC. Petroleum transport: TOTCO, COTCO. Mining: SOTEC.</t>
  </si>
  <si>
    <t>Mining revenues were reported unilaterally by one company (SOTEC) (in previous reports SOTEC payments had been reported unilaterally by the govt). Total revenues/payments include petroleum transport revenues, do not include subsidies paid to the national oil company.</t>
  </si>
  <si>
    <t>Volume from USGS Mineral Yearbook 2012. Price from USGS Mineral Yearbook 2010, and is the price in the US for crushed misecellaneous stone.</t>
  </si>
  <si>
    <t>Petroleum: SHT (National Oil Company), Esso, Petronas, Chevron, CNPCI, OPIC, ERHC Energy, Global Petroleum, Griffiths Energy International. Petroleum transport: TOTCO, COTCO. Mining: SOTEC.</t>
  </si>
  <si>
    <t>19-21</t>
  </si>
  <si>
    <t>Mining revenues were reported unilaterally by one company (SOTEC). Total petroleum revenues/payments include petroleum transport revenues and payments made by the national oil company to the state. Total revenues/payments do not include subsidies paid by the state to the national oil company.</t>
  </si>
  <si>
    <t>SHT (National Oil Company), Esso, Petronas, Chevron, CNPCI, OPIC, ERHC Energy, Global Petroleum, Griffiths Energy International, TOTCO, COTCO</t>
  </si>
  <si>
    <t>Volume from USGS Mineral Yearbook 2012. Price from USGS Mineral Yearbook 2012, and is the price in the US for crushed misecellaneous stone.</t>
  </si>
  <si>
    <t>3,676,000 bbl oil (govt reported); 3,679,000 bbl oil (company reported)</t>
  </si>
  <si>
    <t>See comments</t>
  </si>
  <si>
    <t>Petroleum: SHT (National Oil Company), Esso, Petronas, Chevron, CNPCI, OPIC, ERHC Energy, Global Petroleum, Caracal Energy (ex Griffiths Energy International), Petral BV, SAS Petroleum, Simba Energy, TCA International (GTI), United Hydrocarbon Chad, Viking Exploration, Oil Trek. Petroleum transport: TOTCO, COTCO. Petroleum refinery: SRN. Mining exploration: Chad Mining Services (CMS), GPB Chad Minerals, SP Mining. Mining production: SOTEC, SCHL.</t>
  </si>
  <si>
    <t>FairLinks</t>
  </si>
  <si>
    <t>45-52</t>
  </si>
  <si>
    <t>Mining revenues were reported unilaterally by mining companies. Total petroleum revenues/payments include petroleum transport and refining revenues. The national oil company (SHT) is considered both a paying and collecting entity; its payments to the state are included in total company payments, while the revenues it receives from companies are included in government revenues. However, total revenues/payments do not include subsidies paid by the state to SHT (see subsidies column). A portion of the state's in-kind receipts are commercialized by SHT; SHT reported commercializing 2,807,000 bbl, resulting in $287,888,000, from which fees were deducted (see p.51). These revenues are included in revenue totals. Note on difference between eiti.org revenue totals and those calculated from the EITI Report (in purple): eiti.org totals seem based on summary table on p.51 of the report, which doesn't appear to include SHT payments/receipts; however, even with SHT flows added in, the summary table on p.51 doesn't seem to reflect the upstream petroleum totals from p.46.</t>
  </si>
  <si>
    <t>SHT (National Oil Company), Esso, Petronas, Chevron, CNPCI, OPIC, ERHC Energy, Global Petroleum, Caracal Energy (ex Griffiths Energy International), Petral BV, SAS Petroleum, Simba Energy, TCA International (GTI), United Hydrocarbon Chad, Viking Exploration, Oil Trek, TOTCO, COTCO, SRN</t>
  </si>
  <si>
    <t>http://www.cnitie.ci/</t>
  </si>
  <si>
    <t>Hart Group</t>
  </si>
  <si>
    <t>Volume from EIA. Price from BPSR 2014, and is an average of the spot prices for Brent, Dubai, Nigerian Forcados and West Texas Intermediate crude oil.</t>
  </si>
  <si>
    <t>State-owned company production entitlement, Profits/Taxes, Royalties, Dividends, Bonuses, Licenses and concessions, Other significant benefits to government</t>
  </si>
  <si>
    <t>Petroleum: Petroci Holding (National oil company), Afren, Canadian National Resources (CRN), Foxtrot International, Anadarko, C&amp;L Natural Resources, Edison, Lukoil, Oranto, Tullow Oil, Vanco, Yam's Petroleum. Mining: Sodemi (state mining company), LGL-Equigold, Societe des Mines D'Ity (SMI), Yaoure mining, BIPTFOP, Cominor, Etruscan Resources, Golden Oriole, Golden Star Exloration, Jofema Mineral Resources, Mayana SARL, New African Business Corporation, Newmont Overseas Exploration, Occidental Gold, Rockstone GOld, Randgold Resources, SOMICI, Tata Steel, Taurian, TD Continental.</t>
  </si>
  <si>
    <t>4, 5, 9-11</t>
  </si>
  <si>
    <t>PETROCI, the national petroleum company, is included both as a recipient of certain revenues (in-kind profit oil and gas) and a paying entity (it pays the proceeds of commercialized profit oil/gas and dividends to the state). Total state revenues include companies' financial payments and the value of profit oil/gas commercialized by PETROCI on behalf of the state. The value of profit oil/gas retained by PETROCI is not included in government totals. Sodemi, the state mining company, collects dividends from companies on behalf of the state; these revenues are included in govt totals. 5 companies did not report, and were not included in reconciliation.</t>
  </si>
  <si>
    <t>In-kind receipts include gas received by state and PETROCI. Value of in-kind payments has not been calculated because part of in-kind oil/gas is commercialized by PETROCI on behalf of the state and already included in revenue totals.</t>
  </si>
  <si>
    <t>In-kind receipts include oil received by state and PETROCI. Value of in-kind payments has not been calculated because part of in-kind oil/gas is commercialized by PETROCI on behalf of the state and already included in revenue totals.</t>
  </si>
  <si>
    <t>Revenue totals include dividends collected from companies by Sodemi, a state-owned company.</t>
  </si>
  <si>
    <t>o/w Manganese ore</t>
  </si>
  <si>
    <t>PETROCI, the national petroleum company, is included both as a recipient of certain revenues (in-kind profit oil and gas) and a paying entity (it pays the proceeds of commercialized profit oil/gas and dividends to the state). Total state revenues include companies' financial payments and the value of profit oil/gas commercialized by PETROCI on behalf of the state. The value of profit oil/gas retained by PETROCI is not included in government totals. Sodemi, the state mining company, collects dividends from companies on behalf of the state; these revenues are included in govt totals. Note that eiti.org totals appear to include dividends paid to Sodemi by private companies as company payments, rather than govt receipts. Here, "Total received by govt" includes FCFA 1,552,320,000 in dividends paid to Sodemi by other mining companies. (There is still a small difference  (less than 1%) between totals calculated here and those from eiti.org.) 5 companies did not report, and were not included in reconciliation.</t>
  </si>
  <si>
    <t>In-kind receipts include gas received by state and PETROCI.  Value of in-kind payments has not been calculated because part of in-kind oil/gas is commercialized by PETROCI on behalf of the state and already included in revenue totals.</t>
  </si>
  <si>
    <t>In-kind receipts include oil received by state and PETROCI.  Value of in-kind payments has not been calculated because part of in-kind oil/gas is commercialized by PETROCI on behalf of the state and already included in revenue totals.</t>
  </si>
  <si>
    <t xml:space="preserve"> PETROCI, the national petroleum company, is included both as a recipient of certain revenues (in-kind profit oil and gas) and a paying entity (it pays the proceeds of commercialized profit oil/gas and dividends to the state). Total state revenues include companies' financial payments and the value of profit oil/gas commercialized by PETROCI on behalf of the state. The value of profit oil/gas retained by PETROCI is not included in government totals. Sodemi, the state mining company, collects dividends from companies on behalf of the state; these revenues are included in govt totals. Note that eiti.org totals appear to include dividends paid to Sodemi by private companies as company payments, rather than govt receipts. Here, "Total received by govt" includes FCFA 2,382,480,000 in dividends paid to Sodemi by other mining companies. Five companies did not report, and were not included in reconciliation.</t>
  </si>
  <si>
    <t>PETROCI's payments to the state are included in Total Payments by Companies</t>
  </si>
  <si>
    <t>Sodemi's receipts are included in Total Received by Govt</t>
  </si>
  <si>
    <t>Host government's production entitlement, State-owned company production entitlement, Royalties, Dividends, Licenses and concessions, Other significant benefits to government</t>
  </si>
  <si>
    <t>Petroleum: Petroci Holding (National oil company), Afren, Canadian National Resources (CRN), Foxtrot International, African Petroleum, Anadarko, Edison, Lukoil, Oranto, Rialto Energy (ex C&amp;L Natural Resources), Taleveras, Total, Tullow Oil, Vanco, Yam's Petroleum. Mining: Sodemi (state mining company), LGL-Equigold, Societe des Mines D'Ity (SMI), Yaoure mining, Tongon, Boundoukou Manganese (ex Taurian), Carem (ex BIPTFOP), Cominor, Etruscan Resources, Golden Oriole, Golden Star Exloration, Jofema Mineral Resources, New African Business Corporation, Newmont Overseas Exploration, Occidental Gold, Randgold Resources, Rockstone Gold, SOMICI, Tata Steel, TD Continental.</t>
  </si>
  <si>
    <t>8, 9, 16-18</t>
  </si>
  <si>
    <t>PETROCI, the national petroleum company, is included both as a recipient of certain revenues (in-kind profit oil and gas, Besoins nationaux) and a paying entity (it pays dividends and the proceeds of commercialized profit oil/gas and dividends to the state). Total state revenues include companies' financial payments, Petroci's dividends, and the value of profit oil/gas commercialized by PETROCI on behalf of the state. The value of profit oil/gas retained by PETROCI is not included in government totals and has not been added. Sodemi, the state mining company, collects dividends from companies on behalf of the state; these revenues are included in govt totals. Sodemi also makes payments (royalties, BIC tax) to the government. eiti.org totals do not appear to include PETROCI and SODEMI flows; however, even when these flows are added there are small (less than 1%) differences between the totals here and those given by eiti.org. One mining company (Rockstone Gold) did not report, and were not included in reconciliation.</t>
  </si>
  <si>
    <t>Total Received by Govt includes Profit-Oil et Cost-Oil Etat-Associé (numéraire) and Besoins nationaux received by PETROCI on behalf of the state. Total Payments by Companies includes PETROCI's payment of Profit-Oil Etat-Puissance Publique (numéraire) to the state.</t>
  </si>
  <si>
    <t>In-kind receipts include gas received by PETROCI on behalf of the state and by PETROCI for its own account. Note that in-kind volumes are as reported by Petroci; unlike past EITI Reports, the 2011 report also gives company reported in-kind payments. Company payments match PETROCI's reported receipts except for the state's share of entitlement gas: companies reported paying 670 MMBTU (24 million cubic meters) more than Petroci reported receiving.  Value of in-kind payments has not been calculated because part of in-kind oil/gas is commercialized by PETROCI on behalf of the state and already included in revenue totals.</t>
  </si>
  <si>
    <t>In-kind receipts include oil received by state and PETROCI.  Note that in-kind volumes are as reported by Petroci; unlike past EITI Reports, the 2011 report also gives company reported in-kind payments. Company oil payments match PETROCI's reported receipts. Value of in-kind payments has not been calculated because part of in-kind oil/gas is commercialized by PETROCI on behalf of the state and already included in revenue totals.</t>
  </si>
  <si>
    <t>Total Received by Govt includes Sodemi receipts of Dividendes issus des participations de SODEMI. Total Payments by Companies includes Sodemi's payments to the state of Redevances superficiaires and Impot BIC.</t>
  </si>
  <si>
    <t xml:space="preserve">Gold exports are given in the report (12 tons) but not the production. </t>
  </si>
  <si>
    <t>Host government's production entitlement, State-owned company production entitlement, Profits/Taxes, Royalties, Dividends, Bonuses, Licenses and concessions</t>
  </si>
  <si>
    <t>Tullow Oil, African Petroleum, Vitol Côte d'Ivoire, Vioco Petroleum (Rialto Petroleum), Anadarko, CNR International, Lukoil, Foxtrot International, Taleveras, Agbaou Gold Operations, Equigold CI, CMMK, Bondoukou Manganese SA, Etruscan Resources CI, Geb &amp;
Nut Ressources, CML, Golden Oriole, Geoservice, Niquelafrica, Jofema Mineral Resources, New Mining, Planet Mineral, NABC SA, Mayana SARL, Newmont Overseas Exploration LTD, B.I.P.T.F.O.P., Rockstone Gold SA, Resolute, Caystar CI, Somici, Sani Resources, Golden Star Exploration, Tata Steel CI SA, Sermis, Cominor, TD Continental, IBG ***</t>
  </si>
  <si>
    <t xml:space="preserve">Companies requested to report / reporting section unclear (and discrepancy with the website). Production volumes unclear. Only export volumes provided for some commodities. The prodcution value figures are the ones reported by the government. The EITI report also inlcudes companies production figures : USD1125024847.54 of oil and USD 587465312.84 of gold. </t>
  </si>
  <si>
    <t>btu</t>
  </si>
  <si>
    <t>http://www.itierdc.com</t>
  </si>
  <si>
    <t>PricewaterhouseCoopers DRC</t>
  </si>
  <si>
    <t>Cobalt</t>
  </si>
  <si>
    <t>Price from USGS Mineral Yearbook 2008, and is the average U.S. spot price for minimum 99.8% cobalt cathode reported by Platts Metals Week</t>
  </si>
  <si>
    <t>o/w Cobalt content of mine output</t>
  </si>
  <si>
    <t>o/w Cobalt (metal)</t>
  </si>
  <si>
    <t>Columbite-tantalite concentrate</t>
  </si>
  <si>
    <t>o/w Gross weight</t>
  </si>
  <si>
    <t>o/w Columbium content</t>
  </si>
  <si>
    <t>Volume from USGS Mineral Yearbook 2011. Price from USGS Mineral Commodity Summary 2009, and is the price for ferroniobium with 65% columbium content in the US.</t>
  </si>
  <si>
    <t>o/w Tantalum content</t>
  </si>
  <si>
    <t>Volume from USGS Mineral Yearbook 2011. Price from USGS Mineral Commodity Summary 2009, and is the price for the Ta2O5 content of tantalite in the US.</t>
  </si>
  <si>
    <t>Price from World Bank (Global Economic Monitor (GEM) Commodities database) - defined as: Copper (LME), grade A, minimum 99.9935% purity, cathodes and wire bar shapes, settlement price - adjusted to account for the prices given in the Freeport-McMoRan Copper &amp; Gold Inc. Annual Report 2011 for output from the Tenke Fungurume mine being an average 102.89% of this in 2009-2011.</t>
  </si>
  <si>
    <t>o/w Copper content of mine output</t>
  </si>
  <si>
    <t>o/w Copper (refined)</t>
  </si>
  <si>
    <t>Volume from USGS Mineral Yearbook 2011. Price from kimberley Process Annual Summary 2007.</t>
  </si>
  <si>
    <t>Tin concentrate</t>
  </si>
  <si>
    <t>Price from World Bank (Global Economic Monitor (GEM) Commodities database), and is defined as: Tin (LME), refined, 99.85% purity, settlement price.</t>
  </si>
  <si>
    <t>o/w Tin content</t>
  </si>
  <si>
    <t>Tungsten concentrate</t>
  </si>
  <si>
    <t>Price from USGS Mineral Commodity Summary 2009, and is the average price on the US and European spot markets for a metric ton unit of tungsten trioxide, which contains 7.93kg of tungsten.</t>
  </si>
  <si>
    <t>o/w Tungsten content</t>
  </si>
  <si>
    <t>Zinc (content of mine output)</t>
  </si>
  <si>
    <t>Volume from USGS Mineral Yearbook 2011. Price from World Bank (Global Economic Monitor (GEM) Commodities database), and is defined as: Zinc (LME), high grade, minimum 99.95% purity, settlement price beginning April 1990; previously special high grade, minimum 99.995%, cash prices.</t>
  </si>
  <si>
    <t>Profits/Taxes, Royalties, Dividends, Bonuses, Licenses and concessions</t>
  </si>
  <si>
    <t>United States Dollar and Congolese Franc</t>
  </si>
  <si>
    <t>PETROLEUM: Perenco, Chevron ODS, Muanda International Oil Company, Lirex, Surestream, Teikoku Oil. MINING PRODUCTION: Anvil Mining Company Katanga, Anvil Mining Congo, Bazano, Boss Mining SPRL, Chemical of Africa, Compagnie Miniere de Sakania, Compagnie Miniere du Sud Katanga, DRC Cooper et Cobalt Project, Frontier, Generale des Carrieres et des Mines, Kamoto Copper Company, La Miniere de Bakwanga, Ciming Company Katanga (MCK), Mutanda Mining, New Dathy Corp, Ruashi Mining, Societe de Tratement du Terril de Lubumbashi, Societe d'Exploitation de Kipoi, Societe de Developpement Industriel et Minier du Congo, Tanke Fungurume Mining, Volcano Mining. MINING EXPLORATION: African Minerals (Barbados) Ltd SPRL, Anglogold, Bolfast Company, Cluff Mining, Congo Cobalt Corp, Congo Dongfang Intl Mining, Congo Loyal Will Mining, De Beers DRC Exploration, Jindal Mineral Metals Africa Congo, Kasonto Lupoto Mines SPRL, Kibali Goldmine, Kingamiambo Musonoi Tailing, Miniere de Musoshi &amp; Kinsenda SARL, Roan Prospecting &amp; Mining. ARTISENAL/MINERAL TRADERS: North Kivu: AMUR, Afromet, CLEPAD, Donson Intl., Ebir, FRADEBU, GMC Global Mining Company, Hillside, Huaying Trading Co, Kivu Metal, METACHEM, Mining and Processing Congo, MUNSAD, Mutombo, Namukaya, Pan African Business Group, Sodexmines, Tin Tantalite Tungestene, Tengen Metals Congo. South Kivu: Bakulikira, Panju, WMC. Diamond traders Kinshasa: ACD, ADEX, Congo Diam, Gama, k.w.b, Margaux, Primo-Gem.</t>
  </si>
  <si>
    <t>Unclear</t>
  </si>
  <si>
    <t>Petroleum: 7, Mining: 8-10</t>
  </si>
  <si>
    <t>DRC produced separate EITI Reports for petroleum and minerals; the reports include data for 2008 and 2009. Totals include SOC receipts (counted as govt revenues) and SOC payments (counted as company payments).</t>
  </si>
  <si>
    <t>State-owned companies (ie, Gecamines) act as both paying and receiving entities. Here, revenues collected by SOCs are included under Total Received by Govt, and revenues paid to the central govt by SOCs are included under Total Payments by Companies. Total mining revenues/payments covers production, exploration, and artisinal mining.</t>
  </si>
  <si>
    <t>Price from USGS Mineral Yearbook 2012, and is the average U.S. spot price for minimum 99.8% cobalt cathode reported by Platts Metals Week</t>
  </si>
  <si>
    <t>Volume from USGS Mineral Yearbook 2012. Price from USGS Mineral Commodity Summary 2013, and is the price for ferroniobium with 65% columbium content in the US.</t>
  </si>
  <si>
    <t>Volume from USGS Mineral Yearbook 2012. Price from USGS Mineral Commodity Summary 2013, and is the price for the Ta2O5 content of tantalite in the US.</t>
  </si>
  <si>
    <t>Volume from USGS Mineral Yearbook 2012. Price from kimberley Process Annual Summary 2008.</t>
  </si>
  <si>
    <t>The EITI Report notes that one company, MIBA, produced at least 1 million carats before operations were suspended in Nov 2008 (see p.4 of mining report).</t>
  </si>
  <si>
    <t>Price from USGS Mineral Commodity Summary 2013, and is the average price on the US and European spot markets for a metric ton unit of tungsten trioxide, which contains 7.93kg of tungsten.</t>
  </si>
  <si>
    <t>Volume from USGS Mineral Yearbook 2012. Price from World Bank (Global Economic Monitor (GEM) Commodities database), and is defined as: Zinc (LME), high grade, minimum 99.95% purity, settlement price beginning April 1990; previously special high grade, minimum 99.995%, cash prices.</t>
  </si>
  <si>
    <t>Price from the Freeport-McMoRan Copper &amp; Gold Inc. Annual Report 2011 and is for output from the Tenke Fungurume mine.</t>
  </si>
  <si>
    <t>Host government's production entitlement, Profits/Taxes, Royalties, Dividends, Bonuses, Licenses and concessions, Other significant benefits to government</t>
  </si>
  <si>
    <t>Mining: AMC, AMCK, BAZANO, BOLFAST, BOSS MINING, CDM, CHEMAF, CMSK, COMISA, CONGO LOYAL, FEZA MINING, FRONTIER, GECAMINES, GOLDEN AFRICA, KCC, MUMI, MIBA, SEK, CHABARA, COMIDE, KANSUKI, KISANFU, LUGUSHWA, NAMOYA, SECAKAT, SICOMINES, SMKK, SODIFOR, SODIMIKA, SWANMINES, TWANGIZA, SAKIMA, SCMK-Mn, SOKIMO. Petroleum: CHEVRON, LIREX, MIOC, PERENCO, TEIKOKU, DIVINE, ENRGULF, NESSERGY, OIL OF DRC, SOCO, SURESTREAM.</t>
  </si>
  <si>
    <t>33-35</t>
  </si>
  <si>
    <r>
      <t xml:space="preserve">The 2010 report has 'positive' discrepancies of US$ 13,360, 092, i.e., company declarations superior to government declarations. It has 'negative' discrepancies of US$ 38,043,591, i.e., government declarations superior to company declarations. In addition, there is a negative discrepancy of US$ 77,633,233 from the 'unilateral' government declaration of the payments from the companies Frontier and Comisa which were sold in 2010 and legally not obliged to report.On 25 January 2013, EITI DRC published the 2010 report which was adopted on 15 January 2013 in new design. The content remains unaltered. Two companies (Frontier and Comisa) did not report; their payments ($ </t>
    </r>
    <r>
      <rPr>
        <u/>
        <sz val="11"/>
        <color indexed="8"/>
        <rFont val="Calibri"/>
        <family val="2"/>
      </rPr>
      <t>77 633 233)</t>
    </r>
    <r>
      <rPr>
        <sz val="11"/>
        <color indexed="8"/>
        <rFont val="Calibri"/>
        <family val="2"/>
      </rPr>
      <t xml:space="preserve"> were reported unilaterally by the state and included in Total Received by Govt. Three SOCs (GECAMINES, SODIMICO and SOKIMO) receive signing bonus and royalty payments from private companies; these receipts are included as govt revenues.</t>
    </r>
  </si>
  <si>
    <t xml:space="preserve">Cohydro, Mioc, Perencorep, Energulf, Eni Rd Congo, Nessergy, Oil of DR Congo, Soco DRC, Surestream, Total, Caprikate Congo, Chevron ODS, Divine Inspiration Group, Foxwhelp Congo, Glencore, Japeco, Kinrex, Socorep, Soreplico, Solico, Inpex, Ibos, Lirex, Semliki, Teikoku Oil, Cobit, Comico, African Minerals (Barbados), Anvil Mining Company of Katanga (AMCK), Anvil Mining Congo, Ashanti Goldfiels Kilo Sarl, Bazano, Boss Mining Sprl, Chemical of Africa Sprl, Compagnie Miniere du Sud-Katanga Sprl, Congo Dong Fang Minerals, Congo Loyal Will Mining (CLWM), Congolaise des Mines et de Development (COMIDE), Entreprise Generale Mala Forest (EGMF), Gecamines, Sodifor, Kamituga Mining, Kamoto Copper Company, Kansuki Mining Sprl, Kasontolupoto Mines, KGL - Somituri (Societe Miniere de L'Ituri), Kibali Gold Mines, Kimin/Kisanfu Mining, Kinsenda Copper Company, Kipushi Corporation (Kico), Loncor Resources Congo Sprl, Mining Mineral Resources (MMR), Mutanda Mining, Orama, Ruashi Mining, Rubamin, Shituru Mining Corporation, SMKK, S. d'Exploitation de Gisements de Kalukundi (Swan Mines), Societe d'Exploitation de Kipoi (SEK), Societe d'Exploitation Miniere de Chabara Sprl, Societe d'Exploitation Miniere du Haut-Katanga, Societe Miniere du Katange (SOMIKA), SODIMICO, SOKIMO, STL, Tenke Fungurume Mining (TFM), Twangiaz Mining, Bolfast, Congo International Mining Corporation, Cota Mining, Exploitation Artisanale du Congo (EXACO), Feza Mining, Huachin Sprl, JMT, Magma Minerals, Metals Mines, Volcano, La COmminiere, SAKIMA, SCMK - Mn, Societe Congolaise d'Investissement (SCIM), Societe Miniere de Bakwanga (MIBA), Societe Immobiliere du Congo (SIMCO), CLuff Mining, Comagniermusonoi (COMMOS), Compagnie Miniere du Luisha (COMILU) Cooompagnie Miniere Kambove (COMIKA), GTL, La Miniere de Kalumbwemyunga (MKM), La Miniere de Kasombo (MIKAS), Long Fei Mining, Lugushwa Mining, Manono Minerals, Mwana Africa COngo Gold (MIZAKO), Namoya Mining Salr, SECAKAT, SEGMAL, SICOMINES, Societe de Beers DRC Exploration Sprl, Societe Minierede Kolwezi, Societe Miniere de Moku-Beverendi (SMB), Soceite Miniere de Ziwaecaille (SOMIDEC), SODIMIKA (Kimpermabaya), SOMIMI, Wanga Mining, Compagnie Miniere Sakania (COMISA), Frontier, Golden Africa Resources, Metalkol </t>
  </si>
  <si>
    <t>This information has been taken from a complementary report as the report on the oil sector has not been translated in to English. Materiality threshold: all oil companies should be reconciled; mining companies that have made payment of more than $500,000 in 2011, state-owned mining companies, mining companies that are in a joint venture with mining companies, and mining companies that have participated in previous EITI Reports, should be reconciled. The report doesn't specify what minerals are mined. Unilateral declarations are included in the figures. The report contains extensive information on the Sicomines project.</t>
  </si>
  <si>
    <t>Cohydro, Mioc, Perencorep, Energulf, Eni Rd Congo, Nessergy, Oil of DR Congo, Soco DRC, Surestream, Total, Caprikate Congo, Chevron ODS, Divine Inspiration Group, Foxwhelp Congo, Glencore, Japeco, Kinrex, Socorep, Soreplico, Solico, Inpex, Ibos, Lirex, Semliki, Teikoku Oil, Cobit, Comico</t>
  </si>
  <si>
    <t xml:space="preserve">African Minerals (Barbados), Anvil Mining Company of Katanga (AMCK), Anvil Mining Congo, Ashanti Goldfiels Kilo Sarl, Bazano, Boss Mining Sprl, Chemical of Africa Sprl, Compagnie Miniere du Sud-Katanga Sprl, Congo Dong Fang Minerals, Congo Loyal Will Mining (CLWM), Congolaise des Mines et de Development (COMIDE), Entreprise Generale Mala Forest (EGMF), Gecamines, Sodifor, Kamituga Mining, Kamoto Copper Company, Kansuki Mining Sprl, Kasontolupoto Mines, KGL - Somituri (Societe Miniere de L'Ituri), Kibali Gold Mines, Kimin/Kisanfu Mining, Kinsenda Copper Company, Kipushi Corporation (Kico), Loncor Resources Congo Sprl, Mining Mineral Resources (MMR), Mutanda Mining, Orama, Ruashi Mining, Rubamin, Shituru Mining Corporation, SMKK, S. d'Exploitation de Gisements de Kalukundi (Swan Mines), Societe d'Exploitation de Kipoi (SEK), Societe d'Exploitation Miniere de Chabara Sprl, Societe d'Exploitation Miniere du Haut-Katanga, Societe Miniere du Katange (SOMIKA), SODIMICO, SOKIMO, STL, Tenke Fungurume Mining (TFM), Twangiaz Mining, Bolfast, Congo International Mining Corporation, Cota Mining, Exploitation Artisanale du Congo (EXACO), Feza Mining, Huachin Sprl, JMT, Magma Minerals, Metals Mines, Volcano, La COmminiere, SAKIMA, SCMK - Mn, Societe Congolaise d'Investissement (SCIM), Societe Miniere de Bakwanga (MIBA), Societe Immobiliere du Congo (SIMCO), CLuff Mining, Comagniermusonoi (COMMOS), Compagnie Miniere du Luisha (COMILU) Cooompagnie Miniere Kambove (COMIKA), GTL, La Miniere de Kalumbwemyunga (MKM), La Miniere de Kasombo (MIKAS), Long Fei Mining, Lugushwa Mining, Manono Minerals, Mwana Africa COngo Gold (MIZAKO), Namoya Mining Salr, SECAKAT, SEGMAL, SICOMINES, Societe de Beers DRC Exploration Sprl, Societe Minierede Kolwezi, Societe Miniere de Moku-Beverendi (SMB), Soceite Miniere de Ziwaecaille (SOMIDEC), SODIMIKA (Kimpermabaya), SOMIMI, Wanga Mining, Compagnie Miniere Sakania (COMISA), Frontier, Golden Africa Resources, Metalkol </t>
  </si>
  <si>
    <t>Volume from USGS Mineral Yearbook 2012. Price from BPSR 2014, and is an average of the American Central Appalachian, Asian and Northwest Europe marker/spot prices.</t>
  </si>
  <si>
    <t>Volume from USGS Mineral Yearbook 2012. Price from kimberley Process Annual Summary 2011.</t>
  </si>
  <si>
    <t>Production volume information from USGS Mineral Yearbook 2012, price information from World Bank (Global Economic Monitor (GEM) Commodities database). Price is defined as: Zinc (LME), high grade, minimum 99.95% purity, settlement price beginning April 1990; previously special high grade, minimum 99.995%, cash prices.</t>
  </si>
  <si>
    <t>Profits/Taxes, Royalties, Dividends, Bonuses, Licenses and concessions, Other significant benefits to government</t>
  </si>
  <si>
    <t>Congolese Franc</t>
  </si>
  <si>
    <t xml:space="preserve">Caprikat, Chevron ODS, Cohydro, Divine, Energulf, Eni, Foxwelp, Glencore, IBOS, INPEX, Japeco, Kinrex, Lirex, MIOC, Nessergy, Oil of DRC, Perencorep, Semliki, Soco, Socorep, Solico, Soreplico, Surestream, Teikoku, Total, African Minerals, Alsesy Trading SPRL, Anvil Mining Compagny Kinsevere (AMCK), Anvil Mining Congo, Ashanti Goldfields Kilo SARL, Bolfast, Bon Geni K. Mining, Boss Mining, Chabara SPRL, Chemical Of Africa, Compagnie De Musonoie Global SPRL, Compagnie Minere De Tondo, Compagnie Miniere De Kambove, Compagnie Miniere De Luisha, Compagnie Miniere Du Sud Katanga, Compagnie Miniere Sakania, Company Miniere De Dilala SPRL, Congo Dongfang International Mining, Congo International Mining Corporation SPRL, Congo Jinjun Cheng Mining Compagny, Entreprise Generale Malta Forest, Exploitations Artisanales Du Congo, Feza Mining, Frontier, Giro Gold, Groupe Bazano, Groupement Du Terril De Lubumbashi, Huachin Metal Leach SPRL, Huachin Mining SPRL, JMT, Kamoto Copper Company, Kansuki Mining SPRL, Kasonto Lupoto Mines, KGL-Somituri (Socitete Miniere De Ituri), Kibali Gold Mines, Kinsenda Copper Company (KICC), Kipushi Corporation, Kisanfu Mining SPRL, La Congolaise D’exploitation Miniere, La Congolaise Des Mines Et De Developpement SPRL, La Generale Des Carrieres Et Des Mines, La Miniere De Kalumbwe Myunga, La Miniere De Kasombo, La Sino Congolaise Des Mines, Loncor Resources Congo SPRL, Long Fei Mining, Magma Minerals, Metal Mines, Mineral Invest International Congo, Mines D’Or De Kisenge SPRL (Cluff Mining), Miniere De Bakwanga, Mining Mineral Resources, Mutanda Mining, Namoya Mining SARL, Orama, Phelps Dodge Congo, Rio Tinto Congo, Ruashi Mining, Rubamin, Shituru Mining Company, Societe Aurifere Du Kivu Et Du Maniema, Societe, Commerciale Miniere De Kisenge Manganese, Societe Congolaise D’investissement Minier, Societe D Exploitation De La Cassiterite Au Katanga SPRL, Societe D Exploitation Des Gisements De Malemba Nkulu SPRL, Societe D’exploitation Des Rejets De Kingamyambo Societe D’Exploitation Kipoi, Societe D’exploration Miniere Du Haut Katanga, Societe D’exploitation Des Gisements De Kalunkundi, Societe De Beers Drc Exploration SPRL, Societe De Developpement Et D’investissement Minier Du Congo, Societe De Developpement Industriel Et Minier De Katanga, Societe De Traitement De Terril De Lubumbashi, Societe Golden Africa Ressources SPRL, Societe Immobiliere Du Congo, Societe Kamituga Mining S.A.R.L, Societe Lugushwa Mining S.A.R.L, Societe Miniere De Kabolela Et Kipese, Societe Miniere De Kilo Moto, Societe Miniere De Kolwezi, Societe Miniere De Moku Beverend, Societe Miniere Deziwa Ecaille, Societe Miniere Du Katanga, Sodifor SPRL,Tenke Fungurume Mining, Twangiza Mining, Wana Africa Congo Gold ***
</t>
  </si>
  <si>
    <t>Companies requested to report / reporting section unclear.</t>
  </si>
  <si>
    <t>Cassiterite</t>
  </si>
  <si>
    <t>Wolframite</t>
  </si>
  <si>
    <t>Columbite–Tantalite</t>
  </si>
  <si>
    <t>This report is not mentioned on www.eiti.org.</t>
  </si>
  <si>
    <t>Host government's production entitlement, State-owned company production entitlement, Profits/Taxes, Royalties, Dividends, Bonuses</t>
  </si>
  <si>
    <t xml:space="preserve">This report is not mentioned on www.eiti.org. </t>
  </si>
  <si>
    <t>Volume from USGS Mineral Yearbook 2007. Price from USGS Mineral Commodity Summary 2009, and is the average mill price for cement in the US.</t>
  </si>
  <si>
    <t>Volume from USGS Mineral Yearbook 2007. Price from Kimberley Process Annual Summary 2005, and is the average price for countries participating in the Kimberley Process.</t>
  </si>
  <si>
    <t>Volume from USGS Mineral Yearbook 2007. Price from World Bank (Global Economic Monitor (GEM) Commodities database), and is defined as: Gold (UK), 99.5% fine, London afternoon fixing, average of daily rates.</t>
  </si>
  <si>
    <t>Price from NRGI dataset</t>
  </si>
  <si>
    <t>o/w Manganese ore (50-53% Mn)</t>
  </si>
  <si>
    <t>Volume from USGS Mineral Yearbook 2007</t>
  </si>
  <si>
    <t>o/w Manganese pellets (82-85% MnO2)</t>
  </si>
  <si>
    <t>Volume from USGS Mineral Yearbook 2007. Price from Kimberley Process Annual Summary 2006, and is the average price for countries participating in the Kimberley Process.</t>
  </si>
  <si>
    <t>http://www.gheiti.gov.gh/</t>
  </si>
  <si>
    <t>Royalty, mineral right license, ground rent, property rates, corporate tax, dividends</t>
  </si>
  <si>
    <t>Ghana Cedi</t>
  </si>
  <si>
    <t>Anglogold Ashanti-Obuasi, Anglogold Ashanti-Bibiani, Anglogold Ashanti-Iduaprim, GSR-Prestea/Bogosu, Gold Fields (Ghana) Ltd-Tarkwa, Abosso Goldfields Ltd, Ghana Manganese Ltd, Ghana Bauxite Co. Ltd</t>
  </si>
  <si>
    <t>Boas &amp; Associates</t>
  </si>
  <si>
    <t>33-34</t>
  </si>
  <si>
    <t>Bauxite</t>
  </si>
  <si>
    <t>Volume from USGS Mineral Yearbook 2008. Price from USGS Mineral Yearbook 2005, and is the average f.a.s. price of US imports of crude and dried bauxite.</t>
  </si>
  <si>
    <t>Ghana Bauxite Co. Ltd</t>
  </si>
  <si>
    <t>Volume from USGS Mineral Yearbook 2008. Price from kimberley Process Annual Summary 2004.</t>
  </si>
  <si>
    <t>Volume from USGS Mineral Yearbook 2008. Price from World Bank (Global Economic Monitor (GEM) Commodities database) - defined as: Gold (UK), 99.5% fine, London afternoon fixing, average of daily rates - adjusted to account for the prices given in the Golden Star Annual Report 2011 for output from the Bogoso/Prestea and Wassa mines being an average 109.29% of this in 2010-2011.</t>
  </si>
  <si>
    <t>Anglogold Ashanti-Obuasi, Anglogold Ashanti-Bibiani, Anglogold Ashanti-Iduaprim, GSR-Prestea/Bogosu, Gold Fields (Ghana) Ltd-Tarkwa, Abosso Goldfields Ltd</t>
  </si>
  <si>
    <t xml:space="preserve">Price from USGS Mineral Commodity Summary 2009, and is the c.i.f. price at US ports for metallurgical ore with 46-48% manganese content. </t>
  </si>
  <si>
    <t>Ghana Manganese Ltd</t>
  </si>
  <si>
    <t>Volume from USGS Mineral Yearbook 2008</t>
  </si>
  <si>
    <t>Salt</t>
  </si>
  <si>
    <t>Volume from USGS Mineral Yearbook 2008. Price from USGS Mineral Commodity Summary 2009, and is the average f.o.b. mine and plant price for bulk, pellets and packaged vacuum and open pan salt, solar salt, rock salt and salt in brine.</t>
  </si>
  <si>
    <t>Volume from USGS Mineral Yearbook 2008. Price from World Bank (Global Economic Monitor (GEM) Commodities database), and is defined as: Silver (Handy &amp; Harman), 99.9% grade refined, New York.</t>
  </si>
  <si>
    <t>Profits/Taxes, Royalties, Dividends, Licenses and concessions</t>
  </si>
  <si>
    <t>Anglogold Ashanti-Obuasi, Anglogold Ashanti-Bibiani, Anglogold Ashanti-Iduaprim, Bogosu Gikd Ktd (GSR), Gold Fields (Ghana) Ltd-Tarkwa, Abosso Goldfields Ltd, Wexford Goldfield (GSR-Ayempim), Ghana Manganese Ltd, Ghana Bauxite Co. Ltd</t>
  </si>
  <si>
    <t>12-13</t>
  </si>
  <si>
    <t>Volume from USGS Mineral Yearbook 2008. Price from kimberley Process Annual Summary 2005.</t>
  </si>
  <si>
    <t>Anglogold Ashanti-Obuasi, Anglogold Ashanti-Bibiani, Anglogold Ashanti-Iduaprim, Bogosu Gikd Ktd (GSR), Gold Fields (Ghana) Ltd-Tarkwa, Abosso Goldfields Ltd, Wexford Goldfield (GSR-Ayempim)</t>
  </si>
  <si>
    <t>Anglogold Ashanti-Obuasi, Anglogold Ashanti-Iduaprim, GSR (Prestea/Bogosu), Gold Fields (Ghana) Ltd-Tarkwa, Abosso Goldfields Ltd, GSR(Wassa) Ltd, Central African Gold, Chirano Goldmines, Newmont (Ghana) Ltd, Ghana Manganese Ltd, Ghana Bauxite Co. Ltd</t>
  </si>
  <si>
    <t>Volume from USGS Mineral Yearbook 2008. Price from USGS Mineral Yearbook 2007, and is the average f.a.s. price of US imports of crude and dried bauxite.</t>
  </si>
  <si>
    <t>18-19</t>
  </si>
  <si>
    <t>Volume from USGS Mineral Yearbook 2008. Price from kimberley Process Annual Summary 2006.</t>
  </si>
  <si>
    <t>Anglogold Ashanti-Obuasi, Anglogold Ashanti-Iduaprim, GSR (Prestea/Bogosu), Gold Fields (Ghana) Ltd-Tarkwa, Abosso Goldfields Ltd, GSR(Wassa) Ltd, Central African Gold, Chirano Goldmines, Newmont (Ghana) Ltd</t>
  </si>
  <si>
    <t>Volume from USGS Mineral Yearbook 2011. Price from USGS Mineral Yearbook 2007, and is the average f.a.s. price of US imports of crude and dried bauxite.</t>
  </si>
  <si>
    <t>Volume from USGS Mineral Yearbook 2011. Price from World Bank (Global Economic Monitor (GEM) Commodities database) - defined as: Gold (UK), 99.5% fine, London afternoon fixing, average of daily rates - adjusted to account for the prices given in the Golden Star Annual Report 2011 for output from the Bogoso/Prestea and Wassa mines being an average 109.29% of this in 2010-2011.</t>
  </si>
  <si>
    <t>Volume from USGS Mineral Yearbook 2011. Price from USGS Mineral Commodity Summary 2009, and is the average f.o.b. mine and plant price for bulk, pellets and packaged vacuum and open pan salt, solar salt, rock salt and salt in brine.</t>
  </si>
  <si>
    <t>Volume from USGS Mineral Yearbook 2011. Price from World Bank (Global Economic Monitor (GEM) Commodities database), and is defined as: Silver (Handy &amp; Harman), 99.9% grade refined, New York.</t>
  </si>
  <si>
    <t>Volume from USGS Mineral Yearbook 2011. Price from USGS Mineral Yearbook 2008, and is the average f.a.s. price of US imports of crude and dried bauxite.</t>
  </si>
  <si>
    <t>17-18</t>
  </si>
  <si>
    <t>Volume from USGS Mineral Yearbook 2011. Price from kimberley Process Annual Summary 2008.</t>
  </si>
  <si>
    <t>Volume from USGS Mineral Yearbook 2011. Price from USGS Mineral Commodity Summary 2013, and is the average f.o.b. mine and plant price for bulk, pellets and packaged vacuum and open pan salt, solar salt, rock salt and salt in brine.</t>
  </si>
  <si>
    <t>Anglogold Ashanti-Obuasi, Anglogold Ashanti-Iduaprim, GSR (Prestea/Bogosu), Gold Fields (Ghana) Ltd-Tarkwa, Abosso Goldfields Ltd, GSR(Wassa) Ltd, Chirano Goldmines, Newmont (Ghana) Ltd, Ghana Manganese Ltd, Ghana Bauxite Co. Ltd</t>
  </si>
  <si>
    <t xml:space="preserve">Materiality threshold: The largest companies which paid 99% of mineral royalties in 2009 should be reconciled. Resolved discerpancies are not included in the final figures, but these have been added retrospectively. Unilateral declarations do not appear to be included in the figures. </t>
  </si>
  <si>
    <t>Volume from USGS Mineral Yearbook 2011. Price from USGS Mineral Yearbook 2010, and is the average f.a.s. price of US imports of crude and dried bauxite.</t>
  </si>
  <si>
    <t>15</t>
  </si>
  <si>
    <t>Volume from USGS Mineral Yearbook 2011. Price from kimberley Process Annual Summary 2009.</t>
  </si>
  <si>
    <t>Anglogold Ashanti-Obuasi, Anglogold Ashanti-Iduaprim, GSR (Prestea/Bogosu), Gold Fields (Ghana) Ltd-Tarkwa, Abosso Goldfields Ltd, GSR(Wassa) Ltd, Chirano Goldmines, Newmont (Ghana) Ltd</t>
  </si>
  <si>
    <t>State-owned company production entitlement, Profits/Taxes, Royalties, Dividends, Licenses and concessions, Other significant benefits to government</t>
  </si>
  <si>
    <t>United States Dollar and Ghana Cedi</t>
  </si>
  <si>
    <t>Anglogold Ashanti-Obuasi, Anglogold Ashanti-Iduaprim, Adamus Resources Ltd, GSR (Prestea/Bogosu), Gold Fields (Ghana) Ltd-Tarkwa, Abosso Goldfields Ltd, GSR(Wassa) Ltd, Chirano Goldmines, Newmont (Ghana) Ltd, Ghana Manganese Ltd, Ghana Bauxite Co. Ltd, Tullow (Ghana) Limited, Kosmos Energy Ghana HC, Ghana National Petroleum Corporation (GNPC), Saltpond Oil Fields, Anadarko (Ghana) Limited, Sabre Oil and Gas Holdings Ltd, E.O. Group Ltd</t>
  </si>
  <si>
    <t>31 (of oil &amp; gas report), 19 (of mining report)</t>
  </si>
  <si>
    <t>The report uses US dollars for payments by oil companies, and the local currency, the Ghana Cedi, for payments by mining companies. Materiality threshold: All oil &amp; gas comapnies operating in the Jubilee and Saltpond field should be reconciled; the largest mining companies which paid 99% of mineral royalties in 2010 should be reconciled. The report doesn't distinguish between oil and gas producers. Oil and gas payments are only comprehensively disaggregated by revenue stream. Resolved discrepancies are not included in the final figures for mining payments, but there is insufficent information to add these retrospectively. Unilateral declarations do not appear to be included in the figures. The Ghana National Petroleum Corporation is a SOC engaged in the in exploration, production and disposal of petroleum products. The report also includes: company and project costs; the pricing mechanism for oil; the expenditure of extractive industry revenues.</t>
  </si>
  <si>
    <t>Tullow (Ghana) Limited, Kosmos Energy Ghana HC, Ghana National Petroleum Corporation (GNPC), Saltpond Oil Fields, Anadarko (Ghana) Limited, Sabre Oil and Gas Holdings Ltd, E.O. Group Ltd</t>
  </si>
  <si>
    <t>31 (of oil &amp; gas report)</t>
  </si>
  <si>
    <t>Anglogold Ashanti-Obuasi, Anglogold Ashanti-Iduaprim, Adamus Resources Ltd, GSR (Prestea/Bogosu), Gold Fields (Ghana) Ltd-Tarkwa, Abosso Goldfields Ltd, GSR(Wassa) Ltd, Chirano Goldmines, Newmont (Ghana) Ltd, Ghana Manganese Ltd, Ghana Bauxite Co. Ltd</t>
  </si>
  <si>
    <t>19 (of mining report)</t>
  </si>
  <si>
    <t>Volume from USGS Mineral Yearbook 2011. Price from kimberley Process Annual Summary 2010.</t>
  </si>
  <si>
    <t>Volume from USGS Mineral Yearbook 2011. Price from the Golden Star Annual Report 2011 and is for output from the Bogoso/Prestea and Wassa mines.</t>
  </si>
  <si>
    <t>Anglogold Ashanti-Obuasi, Anglogold Ashanti-Iduaprim, Adamus Resources Ltd, GSR (Prestea/Bogosu), Gold Fields (Ghana) Ltd-Tarkwa, Abosso Goldfields Ltd, GSR(Wassa) Ltd, Chirano Goldmines, Newmont (Ghana) Ltd</t>
  </si>
  <si>
    <t>14, 19 (of mining report)</t>
  </si>
  <si>
    <t>The production volume by the covered companies does not include Adamus Resources.</t>
  </si>
  <si>
    <t>3,930,189 bbl of oil</t>
  </si>
  <si>
    <t>25, 31 (of oil &amp; gas report), 29 (of mining report)</t>
  </si>
  <si>
    <t>The report uses US dollars for payments by oil companies, and the local currency, the Ghana Cedi, for payments by mining companies. Materiality threshold: All oil &amp; gas comapnies operating in the Jubilee and Saltpond field should be reconciled; the largest mining companies which paid 99% of mineral royalties in 2011 should be reconciled. The report doesn't distinguish between oil and gas producers. Oil and gas payments are only comprehensively disaggregated by revenue stream. Resolved discrepancies are not included in the final figures for mining payments, but there is insufficent information to add these retrospectively. Unilateral declarations do not appear to be included in the figures. Almost 100% of oil payments were made in kind, with the average barrel of oil being valued at $113. The Ghana National Petroleum Corporation is a SOC engaged in the in exploration, production and disposal of petroleum products. The report also includes: company and project costs; the pricing mechanism for oil; the expenditure of extractive industry revenues.</t>
  </si>
  <si>
    <t>25, 31 (of oil &amp; gas report)</t>
  </si>
  <si>
    <t>21 (of oil &amp; gas report)</t>
  </si>
  <si>
    <t>29 (of mining report)</t>
  </si>
  <si>
    <t>Volume from USGS Mineral Yearbook 2011. Price from USGS Mineral Yearbook 2012, and is the average f.a.s. price of US imports of crude and dried bauxite.</t>
  </si>
  <si>
    <t>Volume from USGS Mineral Yearbook 2011. Price from kimberley Process Annual Summary 2011.</t>
  </si>
  <si>
    <t>14, 29 (of mining report)</t>
  </si>
  <si>
    <t>Ghanaian Cedi</t>
  </si>
  <si>
    <t>GNPC, Tullow, Kosmos, Saltpond, Anglogold-Obuasi, Anglogold –Iduaprim, *** (indicated as such in the report), Adamus Resources Ltd, GSR-Prestea/Bogosu, Ghana Bauxite Co., Ghana Manganese Co., Goldfields–Tarkwa, Abosso Goldfields Ltd., GSR (Wassa) Ltd., Chirano Gold Mines Ltd., Newmont Ghana Gold, Perseus Mining Co Ltd., West African Quarries Ltd.</t>
  </si>
  <si>
    <t>Two reports, each covering both 2012 and 2013, but split between oil and gas, and mining. Unclear report. Production volume reflects exports, not production. Mining payments originally in Cedi, recalculated to USD.</t>
  </si>
  <si>
    <t>oz</t>
  </si>
  <si>
    <t>Diamonds</t>
  </si>
  <si>
    <t xml:space="preserve">GNPC, Tullow, Kosmos, Saltpond, Anglogold-Obuasi, Anglogold–Iduaprim, Adamus Resources Ltd, GSR-Prestea/Bogosu, Ghana Bauxite Co., Ghana Manganese Co., Goldfields–Tarkwa, Abosso Goldfields Ltd., GSR (Wassa) Ltd., Chirano Gold Mines Ltd., Newmont Ghana Gold, Perseus Mining Co Ltd., Newmont Golden Ridge, West African Quarries Ltd. Prestea Sankofa Gold Ltd. </t>
  </si>
  <si>
    <t>Two reports, each covering both 2012 and 2013, but split between oil and gas, and mining. Unclear report. Production volume reflects exports, not production. Minng payments originally in Cedi, recalculated to USD. Payments differ from EITI website.</t>
  </si>
  <si>
    <t>http://eitiguatemala.org.gt/</t>
  </si>
  <si>
    <t>Host government's production entitlement, Profits/Taxes, Royalties, Licenses and concessions, Other significant benefits to government</t>
  </si>
  <si>
    <t>Ernst &amp; Young, S.A.</t>
  </si>
  <si>
    <t>Volume from USGS Mineral Yearbook 2012. Price from BPSR 2014, and is an average of the UK, US and Canada Indices for natural gas.</t>
  </si>
  <si>
    <t>Basalt</t>
  </si>
  <si>
    <t>Bentonite clay</t>
  </si>
  <si>
    <t>Volume from USGS Mineral Yearbook 2012. Price from USGS Mineral Commodity Summary 2014, and is the price for bentonite clay in the US.</t>
  </si>
  <si>
    <t>Volume from USGS Mineral Yearbook 2012. Price from USGS Mineral Commodity Summary 2014, and is the average mill price for cement in the US.</t>
  </si>
  <si>
    <t>Dolomite</t>
  </si>
  <si>
    <t>Volume from USGS Mineral Yearbook 2012. Price from USGS Mineral Yearbook 2010, and is the price in the US for crushed dolomite.</t>
  </si>
  <si>
    <t>Feldspar</t>
  </si>
  <si>
    <t>Volume from USGS Mineral Yearbook 2012. Price from USGS Mineral Commodity Summary 2014, and is the price for marketable production in the US.</t>
  </si>
  <si>
    <t>Ferruginous clay</t>
  </si>
  <si>
    <t>Volume from USGS Mineral Yearbook 2012. Price from USGS Mineral Commodity Summary 2014, and is the price for common clay in the US.</t>
  </si>
  <si>
    <t>Flagstone (phyllite)</t>
  </si>
  <si>
    <t>Volume from USGS Mineral Yearbook 2012. Price from USGS Mineral Yearbook 2011, and is the price in the US for crushed granite.</t>
  </si>
  <si>
    <t>Gypsum (crude)</t>
  </si>
  <si>
    <t>Volume from USGS Mineral Yearbook 2012. Price from USGS Mineral Commodity Summary 2013, and is the average f.o.b. price for crude and calcined products.</t>
  </si>
  <si>
    <t>Iron ore</t>
  </si>
  <si>
    <t>Jadeite</t>
  </si>
  <si>
    <t>Kaolin clay</t>
  </si>
  <si>
    <t>Volume from USGS Mineral Yearbook 2012. Price from USGS Mineral Commodity Summary 2014, and is the price for kaolin clay in the US.</t>
  </si>
  <si>
    <t>Limestone (crude)</t>
  </si>
  <si>
    <t>Marble (block)</t>
  </si>
  <si>
    <t>Volume from USGS Mineral Yearbook 2012. Price from USGS Mineral Yearbook 2010, and is the price in the US for crushed marble.</t>
  </si>
  <si>
    <t>Marl</t>
  </si>
  <si>
    <t>Volume from USGS Mineral Yearbook 2012. Price from USGS Mineral Yearbook 2011, and is the price in the US for crushed marl.</t>
  </si>
  <si>
    <t>Pumice</t>
  </si>
  <si>
    <t>Volume from USGS Mineral Yearbook 2012. Price from USGS Mineral Commodity Summary 2013, and is the f.o.b. mine or mill price for pumice and pumicite.</t>
  </si>
  <si>
    <t>Volume from USGS Mineral Yearbook 2012. Price from USGS Mineral Commodity Summary 2013, and is the average f.o.b. mine and plant price for bulk, pellets and packaged vacuum and open pan salt, solar salt, rock salt and salt in brine.</t>
  </si>
  <si>
    <t>Volume from USGS Mineral Yearbook 2012. Price from USGS Mineral Yearbook 2010, and is the price in the US for construction sand and gravel.</t>
  </si>
  <si>
    <t>Slate</t>
  </si>
  <si>
    <t>Volume from USGS Mineral Yearbook 2012. Price from USGS Mineral Yearbook 2011, and is the price in the US for crushed slate.</t>
  </si>
  <si>
    <t>Steel (crude)</t>
  </si>
  <si>
    <t>Volume from USGS Mineral Yearbook 2012. Price from World Bank (Global Economic Monitor (GEM) Commodities database), and is an average of the prices for steel coilsheets, wirerods and rebars.</t>
  </si>
  <si>
    <t>Talc and steatite</t>
  </si>
  <si>
    <t>Volume from USGS Mineral Yearbook 2012. Price from USGS Mineral Commodity Summary 2013, and is the price for processed talc in the US.</t>
  </si>
  <si>
    <t>Tuff</t>
  </si>
  <si>
    <t>Ernst &amp; Young S.A.</t>
  </si>
  <si>
    <t>Volume from USGS Mineral Yearbook 2012. Price from USGS Mineral Yearbook 2012, and is the price in the US for crushed dolomite.</t>
  </si>
  <si>
    <t>Magnesium compounds (magnesite)</t>
  </si>
  <si>
    <t>Volume from USGS Mineral Yearbook 2012. Price is from the USGS Mineral Commodity Summary 2013, and is the average price in the US and China markets.</t>
  </si>
  <si>
    <t>Volume from USGS Mineral Yearbook 2012. Price from USGS Mineral Yearbook 2012, and is the price in the US for crushed marble.</t>
  </si>
  <si>
    <t>Volume from USGS Mineral Yearbook 2012. Price from USGS Mineral Yearbook 2012, and is the price in the US for construction sand and gravel.</t>
  </si>
  <si>
    <t>http://www.itie-guinee.org/</t>
  </si>
  <si>
    <t>United States Dollar and Guinean Franc</t>
  </si>
  <si>
    <t>Alumina Company of Guinea (ACG), Compagnie des Bauxites de Guinée (CBG), Compagnie des Bauxites de Kindia (CBK), Societé Anglo Gold Ashanti de Guinée
(SAG), Société Minière de DINGUIRAYE (SMD), SEMAFO</t>
  </si>
  <si>
    <t>5</t>
  </si>
  <si>
    <t xml:space="preserve">The report uses US dollars for payments to central government, and the local currency, the Guinean Franc, for payments to local government and import/export taxes. Materiality threshold: not given. Unilateral declarations are included in the figures.  The report does not specify what minerals are mined. </t>
  </si>
  <si>
    <t>Volume from USGS Mineral Yearbook 2009 (though, based on volume information in subsequent EITI Reports, it is assumed to be millions, rather than thousands, of tonnes). Price from USGS Mineral Yearbook 2005, and is the average f.a.s. price of US imports of crude and dried bauxite, adjusted to account for the price given in the 2011 EITI Report being 86.09% of this in 2011.</t>
  </si>
  <si>
    <t>Volume from USGS Mineral Yearbook 2009. Price from kimberley Process Annual Summary 2005.</t>
  </si>
  <si>
    <t>Volume from USGS Mineral Yearbook 2009. Price from World Bank (Global Economic Monitor (GEM) Commodities database) - defined as: Gold (UK), 99.5% fine, London afternoon fixing, average of daily rates - adjusted to account for the prices given in the 2011-2012 EITI Reports being an average 105.95% of this in 2011-2012.</t>
  </si>
  <si>
    <t>Guinean Franc</t>
  </si>
  <si>
    <t>4, 5, 6</t>
  </si>
  <si>
    <t>Company total payments include community development payments made by companies to local communities (reported unilaterally by companies for a total of GNF 8 632 000 000 (see p.6)).</t>
  </si>
  <si>
    <t>Volume from USGS Mineral Yearbook 2009 (though, based on volume information in the EITI Report, it is assumed to be millions, rather than thousands, of tonnes). Price from USGS Mineral Yearbook 2007, and is the average f.a.s. price of US imports of crude and dried bauxite, adjusted to account for the price given in the 2011 EITI Report being 86.09% of this in 2011.</t>
  </si>
  <si>
    <t>Volume from USGS Mineral Yearbook 2009</t>
  </si>
  <si>
    <t>Profits/Taxes, Dividends, Licenses and concessions, Other significant benefits to government</t>
  </si>
  <si>
    <t>Compagnie des Bauxites de Guinée (CBG), Compagnie des Bauxites de Kindia (CBK), Rusal Friguia, Société Ashanti Goldfields (SAG), Société Minière de Dinguiraye (SMD), Société d’Exploitation Minière d’Afrique de l’Ouest
(SEMAFO)</t>
  </si>
  <si>
    <t>24, 43, 44-53</t>
  </si>
  <si>
    <t xml:space="preserve">The government disclosed its income from artisanal mining collected by the entities: "La Banque Centrale de la République de Guinée", and "Le Bureau Nationale d'Expertise".   The report also covers the following revenue streams: "Mining tax for bauxite and alumina", and "Exportation tax for gold and diamonds".  Company total payments include voluntary social payments made by companies to local communities (reported unilaterally by companies for a total of GNF 12 904 151 410 (see p.7)). Two national trading companies (comptoirs), BNE and BCRG, did not report; their payments were reported unilaterally by govt.  </t>
  </si>
  <si>
    <t>Volume from USGS Mineral Yearbook 2011 (though, based on volume information in the EITI Report, it is assumed to be millions, rather than thousands, of tonnes). Price from USGS Mineral Yearbook 2007, and is the average f.a.s. price of US imports of crude and dried bauxite, adjusted to account for the price given in the 2011 EITI Report being 86.09% of this in 2011.</t>
  </si>
  <si>
    <t>Govt revenues by commodity on p.35. Company payments for bauxite is for payments by CBG, CBK, and Rusal Friguia (See p.44-53).</t>
  </si>
  <si>
    <t>Govt revenues by commodity on p.35. No company payments were reported because the government received payments from only one diamond company (BNE), which did not report (see p.44-53).</t>
  </si>
  <si>
    <t>Volume from USGS Mineral Yearbook 2011. Price from World Bank (Global Economic Monitor (GEM) Commodities database) - defined as: Gold (UK), 99.5% fine, London afternoon fixing, average of daily rates - adjusted to account for the prices given in the 2011-2012 EITI Reports being an average 105.95% of this in 2011-2012.</t>
  </si>
  <si>
    <t>Govt revenues by commodity on p.35; gold revenues include industrial and artisanal. Company payments for gold is for payments by SAG, SMD, and SEMAFO (See p.44-53).</t>
  </si>
  <si>
    <t xml:space="preserve">The government disclosed its income from artisanal mining collected by the entities: "La Banque Centrale de la République de Guinée", and "Le Bureau Nationale d'Expertise".   The report also covers the following revenue streams: "Mining tax for bauxite and alumina", and "Exportation tax for gold and diamonds".  Company total payments include voluntary social payments made by companies to local communities (reported unilaterally by companies for a total of 17 868 691 856 GNF (see p.7)). Two national trading companies (comptoirs), BNE and BCRG, did not report; their payments were reported unilaterally by govt.  </t>
  </si>
  <si>
    <t>Volume from USGS Mineral Yearbook 2011 (though, based on volume information in the EITI Report, it is assumed to be millions, rather than thousands, of tonnes). Price from USGS Mineral Yearbook 2008, and is the average f.a.s. price of US imports of crude and dried bauxite, adjusted to account for the price given in the 2011 EITI Report being 86.09% of this in 2011.</t>
  </si>
  <si>
    <t>Profits/Taxes, Licenses and concessions, Other significant benefits to government</t>
  </si>
  <si>
    <t>Compagnie des Bauxites de Guinée (CBG), Compagnie des Bauxites de Kindia (CBK), Rusal Friguia, Société Ashanti Goldfields (SAG), Société Minière de Dinguiraye (SMD), Société d’Exploitation Minière d’Afrique de l’Ouest (SEMAFO)</t>
  </si>
  <si>
    <t xml:space="preserve">The governemnt disclosed its income from artisanal mining collected by the entities: "La Banque Centrale de la République de Guinée", and "Le Bureau Nationale d'Expertise".   The report also covers the following revenue streams: "Mining tax for bauxite and alumina", and "Exportation tax for gold and diamonds".  Company total payments include voluntary social payments made by companies to local communities (reported unilaterally by companies for a total of 14 010 928 359 GNF (see p.7)). Two national trading companies (comptoirs), BNE and BCRG, did not report; their payments were reported unilaterally by govt.  </t>
  </si>
  <si>
    <t>Volume from USGS Mineral Yearbook 2011 (though, based on volume information in the EITI Report, it is assumed to be millions, rather than thousands, of tonnes). Price from USGS Mineral Yearbook 2010, and is the average f.a.s. price of US imports of crude and dried bauxite, adjusted to account for the price given in the 2011 EITI Report being 86.09% of this in 2011.</t>
  </si>
  <si>
    <t>Govt revenues by commodity on p.34. Company payments for bauxite is for payments by CBG, CBK, and Rusal Friguia (See p.44-53).</t>
  </si>
  <si>
    <t>Govt revenues by commodity on p.34. No company payments were reported because the government received payments from only one diamond company (BNE), which did not report (see p.44-53).</t>
  </si>
  <si>
    <t>Govt revenues by commodity on p.34; gold revenues include industrial and artisanal. Company payments for gold is for payments by SAG, SMD, and SEMAFO (See p.44-53).</t>
  </si>
  <si>
    <t>Compagnie des Bauxites de Guinée (CBG), Compagnie des Bauxites de Kindia (CBK), Rusal Friguia, Société Ashanti Goldfields (SAG), Société Minière de Dinguiraye (SMD), Société d’Exploitation Minière d’Afrique de l’Ouest (SEMAFO), Rio Tinto</t>
  </si>
  <si>
    <t>24, 42, 43-53</t>
  </si>
  <si>
    <t xml:space="preserve">The governemnt disclosed its income from artisanal mining collected by the entities: "La Banque Centrale de la République de Guinée", and "Le Bureau Nationale d'Expertise".  The report also covers the following revenue streams: "Mining tax for bauxite and alumina", and "Exportation tax for gold and diamonds". Company total payments include voluntary social payments made by companies to local communities  (reported unilaterally by companies for a total of 12 804 665 961 (see p.7)). Two national trading companies (comptoirs), BNE and BCRG, did not report; their payments were reported unilaterally by govt.  </t>
  </si>
  <si>
    <t>Govt revenues by commodity on p.33. Company payments for bauxite is for payments by CBG, CBK, and Rusal Friguia (See p.44-53).</t>
  </si>
  <si>
    <t>Govt revenues by commodity on p.33. No company payments were reported because the government received payments from only one diamond company (BNE), which did not report (see p.44-53).</t>
  </si>
  <si>
    <t>Govt revenues by commodity on p.33; gold revenues include industrial and artisanal. Company payments for gold is for payments by SAG, SMD, and SEMAFO (See p.44-53).</t>
  </si>
  <si>
    <t>Iron Ore</t>
  </si>
  <si>
    <t>This commodity was not mentioned in the USGS Mineral Yearbook 2011. One iron ore company (Rio Tinto) was included in the EITI Report. It is in the development phase and reported no production.</t>
  </si>
  <si>
    <t>Mining companies: COMPAGNIE DES BAUXITES DE GUINEE CBG, ANGLOGOLD ASHANTI DE GUINEE SAG SA., Sté. MINIERE DE DINGUIRAYE (SMD), SIMFER S.A / RIO TINTO, Sté. SEMAFO-GUINEE SA, ALLIANCE MINING COMMODITIES AMC, RUSAL FRIGUIA, Sté HENAN-CHINE, Sté GUITER MINING SA, COMPAGNIE DES BAUXITES DE KINDIA (CBK), Sté DES MINES DE FER DE GUINEE (SMFG), SOCIETE BSGR GUINEE LIMITED / VALEE, Sté WEGA MINING GUINEE SA., Sté BELLZONE HOLDING PTY.LTD., Sté. ALUFER - PITA -LABE, Sté. CASSIDY GOLD GUINEE-SARL, Sté DELTA LOG, Sté GDC MINING AND OIL &amp; GAS SA. Diamond trading companies (Comptoirs): FELLA SANDANFARA, IDC, RUFEX SARL. Gold trading companies (Comptoirs): SOFICOM, ETS DANTA, L.B, BOROKO MINING, M BUSINESS.</t>
  </si>
  <si>
    <t>34-37, 44-47, 54</t>
  </si>
  <si>
    <t>eiti.org figures only included the reconciled revenue flows detailed on p.35-37. Here, Total Payments by Companies includes unilaterally reported payments: "other" payments, payments to local governments, and voluntary social payments. Total Received by Govt includes unilateral receipts from small traders (comptoirs) and quarries (le secteur d’exploitation des carrières). Also included in both govt revenue and company payment totals is an "exceptional" payment from Rio Tinto of $700,000,000. The government unilaterally reported transfers  it made to local governments of 3 898 491 262 GNF and transfers it made to the Fonds d'Investissement Minier totalling 42 500 585 333 GNF (see p.47-48); these transfers are not included in revenue/payment totals. Subtotals by commodity cannot be calculated based on company-by-company data in Annex 6 because some companies produce more than one commodity, or did not report which commodity they produce. State revenues by commodity presented on p.44 cannot be used here because they include payments reported unilaterally by companies as well as those reported unilaterally by govt.</t>
  </si>
  <si>
    <t>Volume from USGS Mineral Yearbook 2011 (though, based on volume information in the EITI Report, it is assumed to be millions, rather than thousands, of tonnes). Price from EITI Report, and is based on the reported value and volume of exports.</t>
  </si>
  <si>
    <t>Volume from USGS Mineral Yearbook 2011. Price from EITI Report, and is based on the reported value and volume of exports.</t>
  </si>
  <si>
    <t xml:space="preserve">This commodity was not mentioned in the USGS Mineral Yearbook 2011. </t>
  </si>
  <si>
    <t xml:space="preserve">Mining companies: COMPAGNIE DES BAUXITES DE GUINEE CBG, ANGLOGOLD ASHANTI DE GUINEE SAG SA., Sté. MINIERE DE DINGUIRAYE (SMD), SIMFER S.A / RIO TINTO, Sté. SEMAFO-GUINEE SA, ALLIANCE MINING COMMODITIES AMC, RUSAL FRIGUIA, Sté HENAN-CHINE, Sté GUITER MINING SA, COMPAGNIE DES BAUXITES DE KINDIA (CBK), Sté DES MINES DE FER DE GUINEE (SMFG), SOCIETE BSGR GUINEE LIMITED / VALEE, Sté WEGA MINING GUINEE SA., Sté BELLZONE HOLDING PTY.LTD., Sté. ALUFER - PITA -LABE, Sté. CASSIDY GOLD GUINEE-SARL, Sté DELTA LOG, Sté GDC MINING AND OIL &amp; GAS SA. Diamond trading companies (Comptoirs): FELLA SANDANFARA, IDC, RUFEX SARL. Gold trading companies (Comptoirs): SOFICOM, ETS DANTA, L.B, BOROKO MINING, M BUSINESS. </t>
  </si>
  <si>
    <t>34-36, 46-49, 56</t>
  </si>
  <si>
    <t>The USGS Mineral Yearbook 2012 is not yet available. Note that eiti.org figures only included the reconciled revenue flows detailed on p.34-36. Here, Total Payments by Companies includes unilaterally reported payments: "other" payments, payments to local governments, and voluntary social payments. Total Received by Govt includes unilateral receipts from small traders (comptoirs) and quarries (le secteur d’exploitation des carrières), and "other" unilaterally reported revenues. The government unilaterally reported transfers it made to local governments of 3,844,321,277 GNF and transfers it made to the Fonds d'Investissement Minier totalling 24,645,489,166 GNF (see p.46-49); these transfers are not included in revenue/payment totals. Subtotals by commodity cannot be calculated based on company-by-company data in Annex 6 because some companies produce more than one commodity, or did not report which commodity they produce. State revenues by commodity presented on p.45 cannot be used here because they include payments reported unilaterally by companies as well as those reported unilaterally by govt.</t>
  </si>
  <si>
    <t>Volume from EITI Report. Price from USGS Mineral Yearbook 2012, and is the average f.a.s. price of US imports of crude and dried bauxite, adjusted to account for the price given in the 2011 EITI Report being 86.09% of this in 2011.</t>
  </si>
  <si>
    <t>Volume from EITI Report. Price from kimberley Process Annual Summary 2012.</t>
  </si>
  <si>
    <t>Volume and price from EITI Report. Price is based on the reported value and volume of exports.</t>
  </si>
  <si>
    <t>http://eiti.ekon.go.id</t>
  </si>
  <si>
    <t>Host government's production entitlement, Profits/Taxes, Royalties, Dividends, Bonuses, Other significant benefits to government</t>
  </si>
  <si>
    <t>179,240,272 bbl of oil; 25,004,903 bbl of DMO oil; 588,873,273MSCF of gas</t>
  </si>
  <si>
    <t>PT Chevron Pacific Indonesia, Chevron Indonesia Company, Chevron Makassar Ltd, Chevron Siak Inc., Chevron Mountain Front Kuantan Inc., Total E&amp;P Indonesie, Inpex Corporation, ConocoPhillips Indonesia Inc. Ltd., ConocoPhillips (Grissik) Ltd., ConocoPhillips (South Jambi) Ltd., PT Pertamina EP, Virginia Indonesia Co., Mobil Expl. Indo (NSO) Inc., ExxonMobil Oil Indonesia Inc., Mobil Cepu Ltd., Mobil Pase Inc., CNOOC SES Ltd., PT Bumi Siak Pusako, PT Pertamina Hulu Energi West Madura, PT Pertamina Hulu Energi East Java, PT Pertamina Hulu Energi Ogan Komering, PT Pertamina Hulu Energi Salawati, PT Pertamina Hulu Energi Tomori Sulawesi, PT Pertamina Hulu Energi Raja Tempirai, PetroChina International Jabung Ltd., PetroChina East Java, PetroChina International Salawati Ltd., PetroChina International (Bermuda) Ltd., PetroChina International Bangko Ltd., Pertamina Hulu Energi ONWJ Ltd., BP Berau Ltd., BP Muturi Ltd., BP Wiriagar Ltd., PT Medco E&amp;P Rimau, PT Medco E&amp;P Indonesia, PT Medco E&amp;P Tarakan, PT Medco E&amp;P Tomori Sulawesi, PT Medco E&amp;P Lematang, Premier Oil Natuna SEA BV, Kondur Petroleum S.A, Kangean Energy Indonesia Ltd., Kalila (Korinci) Ltd., Lapindo Brantas Inc., Kodeco Energy Co. Ltd., Star Energy Kakap Ltd., Talisman (Ogan Komering) Ltd., Hess (Indonesia-Pangkah) Ltd., Santos (Sampang) Pty. Ltd., Santos (Madura Offshore) Pty. Ltd., Energy Equity Epic (Sengkang) Pty. Ltd., Golden Spike Ltd., CITIC Seram Energy Ltd., Kalrez Petroleum (Seram) Ltd., Pearl Oil (Tungkal) Ltd., Petroselat Ltd, Perusda Benuo Taka, Costa International Group Ltd., PT Harita Prima Abadi Mineral, PT Gunung Sion, Arutmin Indonesia, PT Kaltim Prima Coal, PT Fajar Bumi Sakti, PT Indominco Mandiri, PT Jorong Barutama Greston, PT Trubaindo Coal Mining, PT Multi Tambangjaya Utama, PT Adaro Indonesia, PT Interex Sacra Raya, PT Kideco Jaya Agung, PT Berau Coal, PT Multi Harapan Utama, PT Bukit Asam (Persero) Tbk, PT Batubara Bukit Kendi, PT Gunung Bayan Pratama Coal, PT Perkasa Inakakerta, PT Teguh Sinar Abadi, PT Wahana Baratama Mining, PT Firman Ketaun Perkasa, PT Mahakam Sumber Jaya, PT Tanito Harum, PT Riau Baraharum, PT Baramarta, PT Bahari Cakrawala Sebuku, PT Mandiri Inti Perkasa, PT Marunda Grahamineral, PT Tanjung Alam Jaya, PT Sumber Kurnia Buana, PT Antang Gunung Meratus,  PT Baradinamika Muda Sukses, PT Lanna Harita Indonesia, PT Borneo Indobara, PT Multi Sarana Avindo, PT Bukit Baiduri Energi, PT Santan Batubara, PT Insani Baraperkasa, PT Kayan Putra Utama Coal, PT Singlurus Pratama, PT Gema Rahmi Persada, PT Bara Jaya Utama, PT Nusantara Termal Coal, PT Binamitra Sumberarta, PT Adimitra Baratama Nusantara,  PT Kadya Caraka Mulia, PT Kaltim Batumanunggal, PT Transisi Energi Satunama, PT Batubara Lahat,  PT Lamindo Intermultikon, PT Bangun Benua Persada Kalimantan,  PT Harifa Taruna Mandiri, PT Kartika Selabumi Mining, PT Kalimantan Energi Lestari, PT Dharma Puspita Mining, PT Senamas Energindo Mulia, PT Freeport Indonesia, PT Newmont Nusa Tenggara, PT Nusa Halmahera Minerals, Aneka Tambang (Persero) Tbk, PT Indo Muro Kencana, PT Avocet Bolaang Mongondow, PT Billy Indonesia, PT INCO, PT Timah (Persero) Tbk, PT Koba Tin, PT DS Jaya Abadi, PT Bukit Timah, PT Belitung Industri Sejahtera, CV Donna Kebara Jaya, CV Makmur Jaya</t>
  </si>
  <si>
    <t>KAP Gideon Ikhwan Sofwan</t>
  </si>
  <si>
    <t>14,16,17</t>
  </si>
  <si>
    <t>Materiality threshold: All operators of oil &amp; gas production sharing contract (PSC) areas in 2009 from which the Government of Indonesia obtained a share of production in one form or another should be reconciled; mining companies that made royalty payments of at least US$500,000 should be reconciled. These mining companies accounted for 81% of royalty payments in 2009. Unilateral declarations are included. The report doesn't indicate how the value of payments in-kind are calculated. Under Indonesian tax law, disclosure of amounts of taxes paid by taxpayers is prohibited, unless taxpayers provide consent. A number of companies did not provide this consent for some or all of their tax payments and therefore these have not been reported on by Government, even though the company has reported on them. Domestic Market Obligation fees, classified here as subsidies, are paid by Government to oil &amp; gas PSC Contractors to supply a portion of their oil and gas liftings to the domestic market. The report doesn't distinguish between oil and gas producers. Disaggregation by commodity is only indirect through disaggregation by company, and therefore limited. PT Pertamina (Persero) is a SOC involved in upstream oil and gas activities, as well as midstream and downstream activities. PT Pertamina EP is a subsidiary which manages the upstream activities of previous (onshore) working areas throughout Indonesia, while PT Pertamina Hulu Energi (PHE) is involved in new working areas. PT Aneka Tambang (Persero) Tbk, PT Timah (Persero) Tbk, and PT Bukit Asam (Persero) Tbk are SOCs involved in mining activities.</t>
  </si>
  <si>
    <t xml:space="preserve">PT Chevron Pacific Indonesia, Chevron Indonesia Company, Chevron Makassar Ltd, Chevron Siak Inc., Chevron Mountain Front Kuantan Inc., Total E&amp;P Indonesie, Inpex Corporation, ConocoPhillips Indonesia Inc. Ltd., ConocoPhillips (Grissik) Ltd., ConocoPhillips (South Jambi) Ltd., PT Pertamina EP, Virginia Indonesia Co., Mobil Expl. Indo (NSO) Inc., ExxonMobil Oil Indonesia Inc., Mobil Cepu Ltd., Mobil Pase Inc., CNOOC SES Ltd., PT Bumi Siak Pusako, PT Pertamina Hulu Energi West Madura, PT Pertamina Hulu Energi East Java, PT Pertamina Hulu Energi Ogan Komering, PT Pertamina Hulu Energi Salawati, PT Pertamina Hulu Energi Tomori Sulawesi, PT Pertamina Hulu Energi Raja Tempirai, PetroChina International Jabung Ltd., PetroChina East Java, PetroChina International Salawati Ltd., PetroChina International (Bermuda) Ltd., PetroChina International Bangko Ltd., Pertamina Hulu Energi ONWJ Ltd., BP Berau Ltd., BP Muturi Ltd., BP Wiriagar Ltd., PT Medco E&amp;P Rimau, PT Medco E&amp;P Indonesia, PT Medco E&amp;P Tarakan, PT Medco E&amp;P Tomori Sulawesi, PT Medco E&amp;P Lematang, Premier Oil Natuna SEA BV, Kondur Petroleum S.A, Kangean Energy Indonesia Ltd., Kalila (Korinci) Ltd., Lapindo Brantas Inc., Kodeco Energy Co. Ltd., Star Energy Kakap Ltd., Talisman (Ogan Komering) Ltd., Hess (Indonesia-Pangkah) Ltd., Santos (Sampang) Pty. Ltd., Santos (Madura Offshore) Pty. Ltd., Energy Equity Epic (Sengkang) Pty. Ltd., Golden Spike Ltd., CITIC Seram Energy Ltd., Kalrez Petroleum (Seram) Ltd., Pearl Oil (Tungkal) Ltd., Petroselat Ltd, Perusda Benuo Taka, Costa International Group Ltd. </t>
  </si>
  <si>
    <t>Volume from EITI Report. Price from BPSR 2014, and is an average of the spot prices for Brent, Dubai, Nigerian Forcados and West Texas Intermediate crude oil, adjusted to account for the prices given in the 2010-2011 EITI Reports being an average 102.62% of this in 2010-2011.</t>
  </si>
  <si>
    <t>PT Harita Prima Abadi Mineral, PT Gunung Sion, Arutmin Indonesia, PT Kaltim Prima Coal, PT Fajar Bumi Sakti, PT Indominco Mandiri, PT Jorong Barutama Greston, PT Trubaindo Coal Mining, PT Multi Tambangjaya Utama, PT Adaro Indonesia, PT Interex Sacra Raya, PT Kideco Jaya Agung, PT Berau Coal, PT Multi Harapan Utama, PT Bukit Asam (Persero) Tbk, PT Batubara Bukit Kendi, PT Gunung Bayan Pratama Coal, PT Perkasa Inakakerta, PT Teguh Sinar Abadi, PT Wahana Baratama Mining, PT Firman Ketaun Perkasa, PT Mahakam Sumber Jaya, PT Tanito Harum, PT Riau Baraharum, PT Baramarta, PT Bahari Cakrawala Sebuku, PT Mandiri Inti Perkasa, PT Marunda Grahamineral, PT Tanjung Alam Jaya, PT Sumber Kurnia Buana, PT Antang Gunung Meratus,  PT Baradinamika Muda Sukses, PT Lanna Harita Indonesia, PT Borneo Indobara, PT Multi Sarana Avindo, PT Bukit Baiduri Energi, PT Santan Batubara, PT Insani Baraperkasa, PT Kayan Putra Utama Coal, PT Singlurus Pratama, PT Gema Rahmi Persada, PT Bara Jaya Utama, PT Nusantara Termal Coal, PT Binamitra Sumberarta, PT Adimitra Baratama Nusantara,  PT Kadya Caraka Mulia, PT Kaltim Batumanunggal, PT Transisi Energi Satunama, PT Batubara Lahat,  PT Lamindo Intermultikon, PT Bangun Benua Persada Kalimantan,  PT Harifa Taruna Mandiri, PT Kartika Selabumi Mining, PT Kalimantan Energi Lestari, PT Dharma Puspita Mining, PT Senamas Energindo Mulia, PT Freeport Indonesia, PT Newmont Nusa Tenggara, PT Nusa Halmahera Minerals, Aneka Tambang (Persero) Tbk, PT Indo Muro Kencana, PT Avocet Bolaang Mongondow, PT Billy Indonesia, PT INCO, PT Timah (Persero) Tbk, PT Koba Tin, PT DS Jaya Abadi, PT Bukit Timah, PT Belitung Industri Sejahtera, CV Donna Kebara Jaya, CV Makmur Jaya</t>
  </si>
  <si>
    <t>16-17</t>
  </si>
  <si>
    <t>Volume from USGS Mineral Yearbook 2012. Price from USGS Mineral Yearbook 2010, and is the average f.a.s. price of US imports of crude and dried bauxite.</t>
  </si>
  <si>
    <t>PT Harita Prima Abadi Mineral, PT Gunung Sion</t>
  </si>
  <si>
    <t>Volume and price from BPSR 2014. Price is an average of the American Central Appalachian, Asian and Northwest Europe marker/spot prices.</t>
  </si>
  <si>
    <t>Arutmin Indonesia, PT Kaltim Prima Coal, PT Fajar Bumi Sakti, PT Indominco Mandiri, PT Jorong Barutama Greston, PT Trubaindo Coal Mining, PT Multi Tambangjaya Utama, PT Adaro Indonesia, PT Interex Sacra Raya, PT Kideco Jaya Agung, PT Berau Coal, PT Multi Harapan Utama, PT Bukit Asam (Persero) Tbk, PT Batubara Bukit Kendi, PT Gunung Bayan Pratama Coal, PT Perkasa Inakakerta, PT Teguh Sinar Abadi, PT Wahana Baratama Mining, PT Firman Ketaun Perkasa, PT Mahakam Sumber Jaya, PT Tanito Harum, PT Riau Baraharum, PT Baramarta, PT Bahari Cakrawala Sebuku, PT Mandiri Inti Perkasa, PT Marunda Grahamineral, PT Tanjung Alam Jaya, PT Sumber Kurnia Buana, PT Antang Gunung Meratus,  PT Baradinamika Muda Sukses, PT Lanna Harita Indonesia, PT Borneo Indobara, PT Multi Sarana Avindo, PT Bukit Baiduri Energi, PT Santan Batubara, PT Insani Baraperkasa, PT Kayan Putra Utama Coal, PT Singlurus Pratama, PT Gema Rahmi Persada, PT Bara Jaya Utama, PT Nusantara Termal Coal, PT Binamitra Sumberarta, PT Adimitra Baratama Nusantara,  PT Kadya Caraka Mulia, PT Kaltim Batumanunggal, PT Transisi Energi Satunama, PT Batubara Lahat,  PT Lamindo Intermultikon, PT Bangun Benua Persada Kalimantan,  PT Harifa Taruna Mandiri, PT Kartika Selabumi Mining, PT Kalimantan Energi Lestari, PT Dharma Puspita Mining, PT Senamas Energindo Mulia</t>
  </si>
  <si>
    <t>PT Freeport Indonesia, PT Newmont Nusa Tenggara, PT Nusa Halmahera Minerals, Aneka Tambang (Persero) Tbk, PT Indo Muro Kencana, PT Avocet Bolaang Mongondow</t>
  </si>
  <si>
    <t>o/w Copper content in mine output</t>
  </si>
  <si>
    <t>o/w Metal (smelter, primary)</t>
  </si>
  <si>
    <t>o/w Metal (refinery, primary)</t>
  </si>
  <si>
    <t>Price from World Bank (Global Economic Monitor (GEM) Commodities database), and is defined as: Nickel (LME), cathodes, minimum 99.8% purity, settlement price beginning 2005; previously cash price</t>
  </si>
  <si>
    <t>Aneka Tambang (Persero) Tbk, PT Billy Indonesia, PT INCO</t>
  </si>
  <si>
    <t>o/w Nickel content in mine output</t>
  </si>
  <si>
    <t>o/w Nickel content in matte</t>
  </si>
  <si>
    <t>o/w Nickel content in ferronickel</t>
  </si>
  <si>
    <t>Tin</t>
  </si>
  <si>
    <t>Price from World Bank (Global Economic Monitor (GEM) Commodities database), and is defined as: Tin (LME), refined, 99.85% purity, settlement price</t>
  </si>
  <si>
    <t>PT Timah (Persero) Tbk, PT Koba Tin, PT DS Jaya Abadi, PT Bukit Timah, PT Belitung Industri Sejahtera, CV Donna Kebara Jaya, CV Makmur Jaya</t>
  </si>
  <si>
    <t>o/w Tin content in mine output</t>
  </si>
  <si>
    <t>o/w Metal</t>
  </si>
  <si>
    <t>Host government's production entitlement, State-owned production entitlement, Profits/Taxes, Royalties, Dividends, Bonuses, Licenses and concessions, Other significant benefits to government</t>
  </si>
  <si>
    <t>United States Dollar and Indonesian Rupiah</t>
  </si>
  <si>
    <t>188,720,891 bbl of oil; 26,790,161 bbl of DMO oil; 661,224,716MSCF of gas</t>
  </si>
  <si>
    <t>See project-level data for list of oil and gas companies; PT Harita Prima Abadi Mineral, PT Gunung Sion, Kaltim Prima Coal, PT Adaro Indonesia, PT Indominco Mandiri, PT Trubaindo Coal Mining, PT Bukit Asam (Persero) Tbk, PT Kideco Jaya Agung, PT Berau Coal, PT Gunung Bayan Pratama Coal,  Arutmin Indonesia, PT Marunda Grahamineral, PT Bahari Cakrawala Sebuku, PT Mahakam Sumber Jaya, PT Baramarta, PT Tanito Harum, PT Multi Harapan Utama, PT Lanna Harita Indonesia, PT Wahana Baratama Mining, PT Jorong Barutama Greston, PT Tanjung Alam Jaya, PT Multi Sarana Avindo, PT Perkasa Inakakerta, PT Borneo Indobara, PT Sumber Kurnia Buana, PT Bukit Baiduri Energi, PT Santan Batubara, PT Insani Baraperkasa, PT Kayan Putra Utama Coal, PT Kartika Selabumi Mining, PT Teguh Sinar Abadi, Harita Prima Abadi Mineral, PT Bara Jaya Utama, PT Nusantara Thermal Coal, PT Kaltim Batumanunggal, PT Riau Baraharum, PT Bangun Benua Persada Kalimantan, PT Adimitra Baratama Nusantara, Jembayan Muara Bara, Asmin Koalindo Tuhup, Mega Prima Persada, Kemila Rindang Abedi, Kitadin, PT Singlurus Pratama, PT Gema Rahmi Persada, Arzara Baraindo Energitama, PT Freeport Indonesia, PT Newmont Nusa Tenggara, PT Nusa Halmahera Minerals, Aneka Tambang (Persero) Tbk, Aneka Tambang (Persero) Tbk, INCO/Vale Indonesia, PT Timah (Persero) Tbk, PT Koba Tin, Tambang Timah</t>
  </si>
  <si>
    <t>43-47 (of oil &amp; gas report), 37 (of mining report)</t>
  </si>
  <si>
    <t>The report uses US dollars for payments by oil &amp; gas companies, and the local currency, the Indonesian Rupiah, for payments by mining companies. Materiality threshold: All oil and gas operators and non-operators of Production Sharing Contract (PSC) areas in 2010 from which the Government of Indonesia obtained a share of production in one form or another should be reconciled; mining companies that made royalty payments of at least IDR25bn should be reconciled. These mining companies accounted for 83% of royalty payments in 2010. The report doesn't indicate how the government liftings of oil and gas are calculated, but notes that the price for DMO crude for up to 60 months of production is 10-25%  of the Indonesia Crude Price. Unilateral declarations are included. Under Indonesian tax law, disclosure of amounts of taxes paid by taxpayers is prohibited, unless taxpayers provide consent. A number of companies did not provide this consent for some or all of their tax payments and therefore these have not been reported on by Government, even though the company has reported on them. Domestic Market Obligation fees, classified here as subsidies, are paid by Government to oil &amp; gas PSC Contractors to supply a portion of their oil and gas liftings to the domestic market. The report doesn't distinguish between oil and gas producers. Disaggregation by commodity is only indirect through disaggregation by company, and therefore limited. PT Pertamina (Persero) is a SOC involved in upstream oil and gas activities, as well as midstream and downstream activities. PT Pertamina EP is a subsidiary which manages the upstream activities of previous (onshore) working areas throughout Indonesia, while PT Pertamina Hulu Energi (PHE) is involved in new working areas. PT Aneka Tambang (Persero) Tbk, PT Timah (Persero) Tbk, and PT Bukit Asam (Persero) Tbk are SOCs involved in mining activities. The report also covers: the ownership of mining companies; the distribution and use of extractive industry revenues.</t>
  </si>
  <si>
    <t>See project-level data</t>
  </si>
  <si>
    <t>43-47 (of oil &amp; gas report)</t>
  </si>
  <si>
    <t>Volume and price from EITI Report. Price is that for government liftings.</t>
  </si>
  <si>
    <t>16 (of oil &amp; gas report)</t>
  </si>
  <si>
    <t>PT Harita Prima Abadi Mineral, PT Gunung Sion, Kaltim Prima Coal, PT Adaro Indonesia, PT Indominco Mandiri, PT Trubaindo Coal Mining, PT Bukit Asam (Persero) Tbk, PT Kideco Jaya Agung, PT Berau Coal, PT Gunung Bayan Pratama Coal,  Arutmin Indonesia, PT Marunda Grahamineral, PT Bahari Cakrawala Sebuku, PT Mahakam Sumber Jaya,            PT Baramarta, PT Tanito Harum, PT Multi Harapan Utama, PT Lanna Harita Indonesia, PT Wahana Baratama Mining, PT Jorong Barutama Greston, PT Tanjung Alam Jaya, PT Multi Sarana Avindo, PT Perkasa Inakakerta, PT Borneo Indobara, PT Sumber Kurnia Buana, PT Bukit Baiduri Energi, PT Santan Batubara, PT Insani Baraperkasa, PT Kayan Putra Utama Coal, PT Kartika Selabumi Mining, PT Teguh Sinar Abadi, Harita Prima Abadi Mineral, PT Bara Jaya Utama, PT Nusantara Thermal Coal, PT Kaltim Batumanunggal, PT Riau Baraharum, PT Bangun Benua Persada Kalimantan, PT Adimitra Baratama Nusantara, Jembayan Muara Bara, Asmin Koalindo Tuhup, Mega Prima Persada, Kemila Rindang Abedi, Kitadin, PT Singlurus Pratama, PT Gema Rahmi Persada, Arzara Baraindo Energitama, PT Freeport Indonesia, PT Newmont Nusa Tenggara, PT Nusa Halmahera Minerals, Aneka Tambang (Persero) Tbk, Aneka Tambang (Persero) Tbk, INCO/Vale Indonesia, PT Timah (Persero) Tbk, PT Koba Tin, Tambang Timah</t>
  </si>
  <si>
    <t>37 (of mining report)</t>
  </si>
  <si>
    <t>Bauxite (wet)</t>
  </si>
  <si>
    <t>Kaltim Prima Coal, PT Adaro Indonesia, PT Indominco Mandiri, PT Trubaindo Coal Mining, PT Bukit Asam (Persero) Tbk, PT Kideco Jaya Agung, PT Berau Coal, PT Gunung Bayan Pratama Coal,  Arutmin Indonesia, PT Marunda Grahamineral, PT Bahari Cakrawala Sebuku, PT Mahakam Sumber Jaya,            PT Baramarta, PT Tanito Harum, PT Multi Harapan Utama, PT Lanna Harita Indonesia, PT Wahana Baratama Mining, PT Jorong Barutama Greston, PT Tanjung Alam Jaya, PT Multi Sarana Avindo, PT Perkasa Inakakerta, PT Borneo Indobara, PT Sumber Kurnia Buana, PT Bukit Baiduri Energi, PT Santan Batubara, PT Insani Baraperkasa, PT Kayan Putra Utama Coal, PT Kartika Selabumi Mining, PT Teguh Sinar Abadi, Harita Prima Abadi Mineral, PT Bara Jaya Utama, PT Nusantara Thermal Coal, PT Kaltim Batumanunggal, PT Riau Baraharum, PT Bangun Benua Persada Kalimantan, PT Adimitra Baratama Nusantara, Jembayan Muara Bara, Asmin Koalindo Tuhup, Mega Prima Persada, Kemila Rindang Abedi, Kitadin, PT Singlurus Pratama, PT Gema Rahmi Persada, Arzara Baraindo Energitama</t>
  </si>
  <si>
    <t>PT Freeport Indonesia, PT Newmont Nusa Tenggara, PT Nusa Halmahera Minerals, Aneka Tambang (Persero) Tbk</t>
  </si>
  <si>
    <t>Aneka Tambang (Persero) Tbk, INCO/Vale Indonesia</t>
  </si>
  <si>
    <t>PT Timah (Persero) Tbk, PT Koba Tin, Tambang Timah</t>
  </si>
  <si>
    <t>187,299,271 bbl of oil; 26,350,022 bbl of DMO oil; 609,520,962MSCF of gas</t>
  </si>
  <si>
    <t>See project-level data for list of oil and gas companies; PT Harita Prima Abadi Mineral, PT Gunung Sion, Karya Utama Tambang Jaya, PT Harita Prima Abadi Mineral, PT Gunung Sion, Karya Utama Tambang Jaya, Kaltim Prima Coal, PT Adaro Indonesia, PT Indominco Mandiri, PT Trubaindo Coal Mining, PT Bukit Asam (Persero) Tbk, PT Kideco Jaya Agung, PT Berau Coal, PT Gunung Bayan Pratama Coal,  Arutmin Indonesia, PT Marunda Grahamineral, PT Bahari Cakrawala Sebuku, PT Mahakam Sumber Jaya, PT Baramarta, PT Tanito Harum, PT Multi Harapan Utama, PT Lanna Harita Indonesia, PT Wahana Baratama Mining, PT Jorong Barutama Greston, PT Tanjung Alam Jaya, PT Multi Sarana Avindo, PT Perkasa Inakakerta, PT Borneo Indobara, PT Sumber Kurnia Buana, PT Bukit Baiduri Energi, PT Santan Batubara, PT Insani Baraperkasa, PT Kayan Putra Utama Coal, PT Kartika Selabumi Mining, PT Teguh Sinar Abadi, Harita Prima Abadi Mineral, PT Bara Jaya Utama, PT Nusantara Thermal Coal, PT Kaltim Batumanunggal, PT Riau Baraharum, PT Bangun Benua Persada Kalimantan, PT Adimitra Baratama Nusantara, Jembayan Muara Bara, Asmin Koalindo Tuhup, Mega Prima Persada, Kemila Rindang Abedi, Kitadin, PT Singlurus Pratama, PT Gema Rahmi Persada, Arzara Baraindo Energitama, Welarco Subur Jaya, PT Firman Ketaun Perkasa, PT Multi Tambangjaya Utama, Indomining, Lembuswana Perkasa, Telen Orbit Prima, PT Baradinamika Muda Sukses, PT Transisi Energi Satunama, Bhumi Rantau Energy, Tunas Intl Abadi, Bara Kumala Sakti, PT Binamitra Sumberarta, Bukit Menjangan Lestari, Kimco Amindo, Golden Great Borneo, Sinar Kumala Naga, Berau Bara Energi, Energi Batu Bara Lestari, Cahay Energi Mandri, Pipit Mutiara Jaya, PT Freeport Indonesia, PT Newmont Nusa Tenggara, PT Nusa Halmahera Minerals, Aneka Tambang (Persero) Tbk, Aneka Tambang (Persero) Tbk, INCO/Vale Indonesia, Billy Indonesia, Bintang Delapan Mineral, PT Timah (Persero) Tbk, PT Koba Tin, Tambang Timah, Bukit Timah, Tinido Internusa, Venus Intl Perkasa, Refined Bangka, Bangka Timah Utama Sejahtera, United Smelting</t>
  </si>
  <si>
    <t>49-52 (of oil &amp; gas report), 41 (of mining report)</t>
  </si>
  <si>
    <t>The report uses US dollars for payments by oil &amp; gas companies, and the local currency, the Indonesian Rupiah, for payments by mining companies. Materiality threshold: All oil and gas operators and non-operators of Production Sharing Contract (PSC) areas in 2011 from which the Government of Indonesia obtained a share of production in one form or another should be reconciled; mining companies that made royalty payments of at least IDR25bn should be reconciled. These mining companies accounted for 81% of royalty payments in 2011. The report doesn't indicate how the government liftings of oil and gas are calculated, but notes that the price for DMO crude for up to 60 months of production is 10-25%  of the Indonesia Crude Price. Unilateral declarations are included. Under Indonesian tax law, disclosure of amounts of taxes paid by taxpayers is prohibited, unless taxpayers provide consent. A number of companies did not provide this consent for some or all of their tax payments and therefore these have not been reported on by Government, even though the company has reported on them. Domestic Market Obligation fees, classified here as subsidies, are paid by Government to oil &amp; gas PSC Contractors to supply a portion of their oil and gas liftings to the domestic market. The report doesn't distinguish between oil and gas producers. Disaggregation by commodity is only indirect through disaggregation by company, and therefore limited. PT Pertamina (Persero) is a SOC involved in upstream oil and gas activities, as well as midstream and downstream activities. PT Pertamina EP is a subsidiary which manages the upstream activities of previous (onshore) working areas throughout Indonesia, while PT Pertamina Hulu Energi (PHE) is involved in new working areas. PT Aneka Tambang (Persero) Tbk, PT Timah (Persero) Tbk, and PT Bukit Asam (Persero) Tbk are SOCs involved in mining activities. The report also covers: the ownership of mining companies; the distribution and use of extractive industry revenues.</t>
  </si>
  <si>
    <t>49-52 (of oil &amp; gas report)</t>
  </si>
  <si>
    <t>PT Harita Prima Abadi Mineral, PT Gunung Sion, Karya Utama Tambang Jaya, PT Harita Prima Abadi Mineral, PT Gunung Sion, Karya Utama Tambang Jaya, Kaltim Prima Coal, PT Adaro Indonesia, PT Indominco Mandiri, PT Trubaindo Coal Mining, PT Bukit Asam (Persero) Tbk, PT Kideco Jaya Agung, PT Berau Coal, PT Gunung Bayan Pratama Coal,  Arutmin Indonesia, PT Marunda Grahamineral, PT Bahari Cakrawala Sebuku, PT Mahakam Sumber Jaya, PT Baramarta, PT Tanito Harum, PT Multi Harapan Utama, PT Lanna Harita Indonesia, PT Wahana Baratama Mining, PT Jorong Barutama Greston, PT Tanjung Alam Jaya, PT Multi Sarana Avindo, PT Perkasa Inakakerta, PT Borneo Indobara, PT Sumber Kurnia Buana, PT Bukit Baiduri Energi, PT Santan Batubara, PT Insani Baraperkasa, PT Kayan Putra Utama Coal, PT Kartika Selabumi Mining, PT Teguh Sinar Abadi, Harita Prima Abadi Mineral, PT Bara Jaya Utama, PT Nusantara Thermal Coal, PT Kaltim Batumanunggal, PT Riau Baraharum, PT Bangun Benua Persada Kalimantan, PT Adimitra Baratama Nusantara, Jembayan Muara Bara, Asmin Koalindo Tuhup, Mega Prima Persada, Kemila Rindang Abedi, Kitadin, PT Singlurus Pratama, PT Gema Rahmi Persada, Arzara Baraindo Energitama, Welarco Subur Jaya, PT Firman Ketaun Perkasa, PT Multi Tambangjaya Utama, Indomining, Lembuswana Perkasa, Telen Orbit Prima, PT Baradinamika Muda Sukses, PT Transisi Energi Satunama, Bhumi Rantau Energy, Tunas Intl Abadi, Bara Kumala Sakti, PT Binamitra Sumberarta, Bukit Menjangan Lestari, Kimco Amindo, Golden Great Borneo, Sinar Kumala Naga, Berau Bara Energi, Energi Batu Bara Lestari, Cahay Energi Mandri, Pipit Mutiara Jaya, PT Freeport Indonesia, PT Newmont Nusa Tenggara, PT Nusa Halmahera Minerals, Aneka Tambang (Persero) Tbk, Aneka Tambang (Persero) Tbk, INCO/Vale Indonesia, Billy Indonesia, Bintang Delapan Mineral, PT Timah (Persero) Tbk, PT Koba Tin, Tambang Timah, Bukit Timah, Tinido Internusa, Venus Intl Perkasa, Refined Bangka, Bangka Timah Utama Sejahtera, United Smelting</t>
  </si>
  <si>
    <t>41  (of mining report)</t>
  </si>
  <si>
    <t>Volume from USGS Mineral Yearbook 2012. Price from USGS Mineral Yearbook 2012, and is the average f.a.s. price of US imports of crude and dried bauxite.</t>
  </si>
  <si>
    <t>PT Harita Prima Abadi Mineral, PT Gunung Sion, Karya Utama Tambang Jaya</t>
  </si>
  <si>
    <t xml:space="preserve">Kaltim Prima Coal, PT Adaro Indonesia, PT Indominco Mandiri, PT Trubaindo Coal Mining, PT Bukit Asam (Persero) Tbk, PT Kideco Jaya Agung, PT Berau Coal, PT Gunung Bayan Pratama Coal,  Arutmin Indonesia, PT Marunda Grahamineral, PT Bahari Cakrawala Sebuku, PT Mahakam Sumber Jaya,            PT Baramarta, PT Tanito Harum, PT Multi Harapan Utama, PT Lanna Harita Indonesia, PT Wahana Baratama Mining, PT Jorong Barutama Greston, PT Tanjung Alam Jaya, PT Multi Sarana Avindo, PT Perkasa Inakakerta, PT Borneo Indobara, PT Sumber Kurnia Buana, PT Bukit Baiduri Energi, PT Santan Batubara, PT Insani Baraperkasa, PT Kayan Putra Utama Coal, PT Kartika Selabumi Mining, PT Teguh Sinar Abadi, Harita Prima Abadi Mineral, PT Bara Jaya Utama, PT Nusantara Thermal Coal, PT Kaltim Batumanunggal, PT Riau Baraharum, PT Bangun Benua Persada Kalimantan, PT Adimitra Baratama Nusantara, Jembayan Muara Bara, Asmin Koalindo Tuhup, Mega Prima Persada, Kemila Rindang Abedi, Kitadin, PT Singlurus Pratama, PT Gema Rahmi Persada, Arzara Baraindo Energitama, Welarco Subur Jaya, PT Firman Ketaun Perkasa, PT Multi Tambangjaya Utama, Indomining, Lembuswana Perkasa, Telen Orbit Prima, PT Baradinamika Muda Sukses, PT Transisi Energi Satunama, Bhumi Rantau Energy, Tunas Intl Abadi, Bara Kumala Sakti, PT Binamitra Sumberarta, Bukit Menjangan Lestari, Kimco Amindo, Golden Great Borneo, Sinar Kumala Naga, Berau Bara Energi, Energi Batu Bara Lestari, Cahay Energi Mandri, Pipit Mutiara Jaya   </t>
  </si>
  <si>
    <t>Aneka Tambang (Persero) Tbk, INCO/Vale Indonesia, Billy Indonesia, Bintang Delapan Mineral</t>
  </si>
  <si>
    <t>PT Timah (Persero) Tbk, PT Koba Tin, Tambang Timah, Bukit Timah, Tinido Internusa, Venus Intl Perkasa, Refined Bangka, Bangka Timah Utama Sejahtera, United Smelting</t>
  </si>
  <si>
    <t>http://ieiti.org.iq</t>
  </si>
  <si>
    <t>Volume and price from EITI Report. Price is based on reported value and quantity of export.</t>
  </si>
  <si>
    <t>Host government's production entitlement</t>
  </si>
  <si>
    <t>N.A. for buyers</t>
  </si>
  <si>
    <t>28-30,35,37, 39, 42</t>
  </si>
  <si>
    <t>N.A. for buyers; IOCs -  BP, Petrochina, ENI, Occidental, Kogas, Exxon Mobil, Shell,CNOOC, TPAO, Lukoil, Statoil, Petronas, Gazprom, Sonangol, Japex</t>
  </si>
  <si>
    <t>PWC</t>
  </si>
  <si>
    <t>43,47,52,54,56</t>
  </si>
  <si>
    <t>N.A. for buyers; IOCs -  BP, Petrochina, ENI, Occidental, Kogas, Exxon Mobil, Shell, Al Waha Petroleum Co. Ltd.</t>
  </si>
  <si>
    <t>Ernst &amp; Young</t>
  </si>
  <si>
    <t>49,61-62,90</t>
  </si>
  <si>
    <t>Production entitlement, Bonuses</t>
  </si>
  <si>
    <t>Al Waha Petroleum, API, Bharat Petroleum, BP Oil, Cepsa, Chevron, China International, China National, China Offshore Oil, CNOOC, ENI, Erg Spa, Exxonmobil Sales And Supply Corporatio Gallows, Gazprom, GS Caltex Singapore Pte. Ltd., Hindustan Petroleum Corporation Limited, Indian, Iplom, Jordan (Jordan Petroleum Refinery), JX Nippon Oil, Koch Supply &amp; Trading, Kogas Iraq B.V., Korea National Oil, Litasco, Motor Oil, North Petroleum, Occidental Energy Iraq LLC., Petrochina, Petro Diamond, Petrogal, Petroleo Brasileiro, Petronas Halfaya, Phillips 66, Repsol, Samir, Saras Spa –Milano, Shell, Sinochem, SK Energy, Socar, Totsa Total, Toyota, TPAO, Turkish Petroleum Iternational, Valero Marketing &amp; Supply Company, Vitol</t>
  </si>
  <si>
    <t>The total government revenues figure includes all the disclosed payments in the report, although the methodology used to produce them was unclear.</t>
  </si>
  <si>
    <t xml:space="preserve">Kazakhstan2005 </t>
  </si>
  <si>
    <t>http://geology.gov.kz/en/eiti</t>
  </si>
  <si>
    <t>United States Dollar and Kazakhastan tenge</t>
  </si>
  <si>
    <t>JSC Karazhanbasmunai, Nelson Petroleum Buzachi B.V., Kazakhoil Aktobe LLP, Karakudukmunai LLP, JV Arman LLP, Branch of Maersk oil Kazakhstan Gmbh, ChevronTexaco International Petroleum Co., BN Munai LLP, BG Karachaganak Limited, JSC Lancaster Petroleum, Aral Petroleum Capital. LLP, Ravninnoe oil Ltd, JSC Petro Kazakhstan Kumkol Resources, JSC CNPC-Aktobemunaigas/CNPC-International (Buzachi) Inc., Agip Karachaganak B. V., Lukoil Overseas Karachaganak B.V., KhazarMunai LLP, Kazakturkmunai LLP, Kazneftehim-Kopa LLP, South-oil LLP, Gural LLP, Zhaikmunai LLP, MONTAZHMALIKMUNAI LLP, JSC Kaspiyneft, Embavedoil LLP, Affiliate of Buzachi Operating Ltd, JV KazGerMunai LLP, JSC Mangistaumunaygas, Tobearal-oil LLP, Adai Petroleum LLP, Altius Petroleum International B.V., Zhalgiztobemunay LLP, Korporatsiya Modulnaya Technologiya, LLP, Svetland-Oil LLP, ANAKO LLP, Tasbulat Oil Corporation LLP, Shinzhir LLP, Affiliate of JSC Kaspiyneft TME, JSC Exploration and Production KazMunaiGas</t>
  </si>
  <si>
    <t>9-11</t>
  </si>
  <si>
    <t xml:space="preserve">Materiality threshold: not given. It is not clear whether unilateral declarations are included. </t>
  </si>
  <si>
    <t>“Adai Petroleum Company” LLP, AITI, “Lukoil Overseas Karachaganak B.V.” Kazakhstan Branch, “BG Karachaganak Limited” (Aksai), “Chevron International Petroleum Company”, “Agip Karachaganak B.V.”, “Agip Caspian Sea B.V.”, Branch of the company “Inpex North Caspian Sea.Ltd” in the Republic of Kazakhstan, Branch of the Company “ConocoPhillips North Caspian. Ltd.” in the Republic of Kazakhstan, Branch “TOTAL E&amp;P Kazakhstan”, Branch of the company “Shell Kazakhstan Development B.V.” in the Republic of Kazakhstan, Branch of the Corporation “ExxonMobil Kazakhstan Inc.” in the Republic of Kazakhstan, Branch of the company “Alties Petroleum International B.V.” in Aktobe, Branch of the company “Alties Petroleum International B.V.” in Atyrau, “Altyn Ken”, LLP, “Aluminum of Kazakhstan” (PAZ) JSC, Krasnooktyabr bauxite ore management - Branch of “Aluminum of Kazakhstan” JSC, “Kergetas” (KIR) mine - Branch of “Aluminum of Kazakhstan” JSC, Representative office of “Aluminum of Kazakhstan” JSC in Almaty, Representative office of “Aluminum of Kazakhstan” JSC in Astana, Torgai bauxite ore management - Branch of “Aluminum of Kazakhstan” JSC, “АNACO” LLP, “Aral Petroleum Capital” LLP, “Arnaoil” LLP, Joint venture “Arman” LLP, “Arman 100” LLP, “Alga CaspiGas” LLP, “Artel Staratelei Gornyak” LLP, “SNPS - Aktobemunaigas” JSC, “FIK Alel” JSC, “Betonit &amp;Co” LLP, “Betbastau-Nedra” LLP, “Bogatyr Akses Komir” LLP, “Belogorskyi GOK” LLP, Branch of the company "Buzachi Operating Ltd", “Bast” LLP, “Vasilkovskyi GOK” JSC, Joint venture “Vasilkovskoe zoloto” JSC, “Voshod Oriel”, LLP, “Gural” LLP, “Degelen” LLP, “Eurasian Energy Corporation” JSC, “Zhaikmunai” LLP, “ Zhairemskyi gorno-obogotitelnyi kombinat” JSC, “Zhaikhydrogeology” LLP, “Zhalair” LLP, “Zherek” LLP, “Zhalgiztobemunai” DTOO, Joint venture “Inkai”, Joint venture “KATCO” LLP, NSC “Kazatomprom” JSC, New Projects Management – Branch of SC of NSC “Kazatomprom”, “Kazakhmys Corporation” LLP, “Kazakhoil Aktobe” LLP, “KazakhTurkMunai” LLP, Joint venture “Kazgermunai” LLP, “KazMunaiGas” JS of National Company, “Kazneftehim Kopa” LLP, ‘Kazpolmunay’ LLP, Transnational company “Kazchrom” JSC, “Kazzink” JSC, “Karazhanbasmunai” JSC, “Karakudukmunai” LLP, “Caspi oil TME” JSC, “Caspi oil” JSC, “Kor-Tazh” LLP, “Kumkol Trans service” LLP, “GRK Kazakhstanskyi Nikel” LLP, “Lains Jump” LLP, “Lancaster Petroleum” JSC, Kazakhstan branch of “Maersk Oil Kazakhstan GmbX” company, “Mangistaumunaigas” JSC, Joint venture “Matin” LLP, Metal Still Temirtau, “Montazhmalikmunai” LLP, “GRK Narymaltyn” LLP, Branch of “CNPC International (Buzachi) Inc.” company, Branch of the company “Nelson Petroleum Buzachi B.V.” in the Republic of Kazakhstan, “PetroKazakhstan Kumkol Resources” JSC, “Ravninnoe Oil” LLP, Razvedka-dobycha “KazMunaiGas” LLP, Branch of “Repsol Exploracion Kazahtsan C.A.”, “Samek International” LLP, “Samek Development Enterprises” LLP, “Satpayevsk Titanium Mines LTD” LLP, “Svetland oil” LLP, “Sauts oil” LLP, “Sokolov-Sarybay mountain-concentrating association” JSC, Alekseevskyi Dolgomatovyi Mine - Branch of “Sokolov-Sarybay mountain-concentrating association” JSC, Branch of “Statoil North Caspian AC” Company, “Syarymbet” JSC, Joint venture “Tenge” LLP, “Tabynai” LLP, “Tasbulat oil Corporation” LLP, “Tengizchevroil” LLP, “Tetis Aral Gas” LLP,  “Tobearal Oil” LLP, “Tolkynneftegaz” LLP, GOK “Tory Kuduk”, “Electrometallurgical combine of Temirtau” LLP, Akmolinskyi branch of “Electrometallurgical combine of Temirtau” LLP, “Metal factory of Ulbinsk” JSC, “Ural oil and Gas” LLP, “FML Kazakhstan” LLP, “KhazarMunai” LLP, “Cvetmet engineering” LLP, “Shalkiya Zink LTD.” LLP, “Shinzhir” LLP, “Embavedoil” LLP</t>
  </si>
  <si>
    <t>Inaudit LLP</t>
  </si>
  <si>
    <t>8</t>
  </si>
  <si>
    <t xml:space="preserve">Materiality threshold: not given. The report doesn't distinguish between oil and gas producers. It is not clear whether unilateral declarations are included. </t>
  </si>
  <si>
    <t>Aday Petreoleum Company LLP, Agip Karachaganak BV Kazakhstan branch, Alties Petroleum International BV Aktobe branch, Alties Petroleum International BV Atyrau branch, 
АNACO LLP, Aral Petroleum Capital LLP, Arnaoil LLP, JV Arman LLP, BG Karachaganak Limited (Aksai), Tetis Aral Gas LLP, Buzachi Operating Ltd, Kazakhstan branch of Nelson Petroleum Buzachi BV, CNPC International (Buzachi) Inc., Gural LLP, Caspi neft TME JSC, Subsidiary of Zhalgiztobemunay LLP, Zhaikmunay LLP, Kazakhoil Aktobe LLP, JV Kazgermunay LLP, Kazneftechim-Kopa LLP, Kazpolmunay LLP, JSC Karazhanbasmunay, Karakudukmunay LLP, JSC Caspi neft, Kor-Tazh LLP, Lions Jump LLP, Lancaster Petrokeum JSC, Affiliate of Lukoil Overseas Karachaganak BV Aksai, JV MATIN LLP, Kazakhstan branch of Maersk oil Kazakhstan GmbH, JSC Mangistaumunaygas, Affiliate North Caspian Petroleum Limited, JSC PetroKazakhstan Kumkol Resources, KazMunayGas Exploration and Production JSC, Souts Oil LLP, Svetland oil LLP, CNPC-Aktobemunaygas JSC, Tasbolat Oil corporation LLP, JV Tenge LLP, Tobearal Oil LLP, Tolkynneftegas LLP, Tengizchevroil LLP, Khazarmunay LLP, Affiliate of Chevron International Petroleum Company, Shinzhir LLP, Embavedoil LLP, Affiliate Agip Caspian Sea BV
Alga Caspian Gas LLP, SC NC KazMunayGas, Kumkol Trans Service LLP, Ravninnoye Oil LLP, Kazakhstan branch of Repsol Exploration Kazakhstan, S.А., Samek Development Enterprises LLP, Samek International LLP, Affiliate of Statoil North Caspian АS, Tabynay LLP, Tetis AralGas LLP, Affiliation of Total E&amp;P Kazakhstan, Ural oil and gas LLP, Affiliate of Shell Kazakhstan Development BV, ExxonMobil Kazakhstan Inc, JSC FIC Alel, Altyn Ken LLP, Mining company Altyn Kulager LLP, JSC Altyn Almas, JSC Kazakhstan Aluminum, Balausa firm LLP, Bast LLP, Mining company Belogorsky mining and processing complex LLP, Bentonit &amp; K LLP, Betbastau Nedra LLP, Bogatyr Komir LLP, Vasikovski mining and processing complex JSC, Voskhod-Oriel LLP, Artel Starateley Gornyak LLP, Dzhentek International Kazakhstan LLP, Degelen LLP, Diana-Aliya LLP, JSC Eurasian energy corporation, JSC Zhairem mining and processing complex, Zherek LLP, JV Inkay LLP, JSC National atomic company Kazatomprom, Kazakhmys corporation LLP, Mining company Kazakhstanski nikel LLP, JSC Transnational company KazChrome, Kazzinc LLP, Karaoba-2005 LLP, Karazhyra Ltd LLP, JV Katko LLP, JSC ArselorMittal Temirtau, Mining company Narymaltyn LLP, Satpayevsk Titanium Mines LTD LLP, Mining company Severnyi katpar LLP, Semizbay-U LLP, JSC Sokolovsko-Sarbayskoye industrial association, JSC Syrymbet, Temirtau electric metallurgic complex LLP, Mining and processing complex Tort Kuduk LLP, JSC Ulbinski metallurgic plant, FML Kazakhstan LLP, Tsvetmet Engineering LLP, JSC JV Vasilkovskoye zoloto, Shalkiya Zinc LLP, Munayly Kazakhstan LLP, Affiliation Inpex North Caspian Sea Ltd, ConocoPhillips North Caspian Ltd in Kazakhstan, JSC KazTransGas</t>
  </si>
  <si>
    <t>UHY Sapa-Consulting</t>
  </si>
  <si>
    <t>12</t>
  </si>
  <si>
    <t>Aday Petreoleum Company LLP, Agip Karachaganak BV Kazakhstan branch, Alties Petroleum International BV Aktobe branch, Alties Petroleum International BV Atyrau branch, 
АNACO LLP, Aral Petroleum Capital LLP, Arnaoil LLP, JV Arman LLP, BG Karachaganak Limited (Aksai), Tetis Aral Gas LLP, Buzachi Operating Ltd, Kazakhstan branch of Nelson Petroleum Buzachi BV, CNPC International (Buzachi) Inc., Gural LLP, Caspi neft TME JSC, Subsidiary of Zhalgiztobemunay LLP, Zhaikmunay LLP, Kazakhoil Aktobe LLP, JV Kazgermunay LLP, Kazneftechim-Kopa LLP, Kazpolmunay LLP, JSC Karazhanbasmunay, Karakudukmunay LLP, JSC Caspi neft, Kor-Tazh LLP, Lions Jump LLP, Lancaster Petrokeum JSC, Affiliate of Lukoil Overseas Karachaganak BV Aksai, JV MATIN LLP, Kazakhstan branch of Maersk oil Kazakhstan GmbH, JSC Mangistaumunaygas, Affiliate North Caspian Petroleum Limited, JSC PetroKazakhstan Kumkol Resources, KazMunayGas Exploration and Production JSC, Souts Oil LLP, Svetland oil LLP, CNPC-Aktobemunaygas JSC, Tasbolat Oil corporation LLP, JV Tenge LLP, Tobearal Oil LLP, Tolkynneftegas LLP, Tengizchevroil LLP, Khazarmunay LLP, Affiliate of Chevron International Petroleum Company, Shinzhir LLP, Embavedoil LLP, Affiliate Agip Caspian Sea BV
Alga Caspian Gas LLP, SC NC KazMunayGas, Kumkol Trans Service LLP, Ravninnoye Oil LLP, Kazakhstan branch of Repsol Exploration Kazakhstan, S.А., Samek Development Enterprises LLP, Samek International LLP, Affiliate of Statoil North Caspian АS, Tabynay LLP, Tetis AralGas LLP, Affiliation of Total E&amp;P Kazakhstan, Ural oil and gas LLP, Affiliate of Shell Kazakhstan Development BV, ExxonMobil Kazakhstan Inc, JSC FIC Alel, Altyn Ken LLP, Mining company Altyn Kulager LLP, JSC Altyn Almas, JSC Kazakhstan Aluminum, Balausa firm LLP, Bast LLP, Mining company Belogorsky mining and processing complex LLP, Bentonit &amp; K LLP, Betbastau Nedra LLP, Bogatyr Komir LLP, Vasikovski mining and processing complex JSC, Voskhod-Oriel LLP, Artel Starateley Gornyak LLP, Dzhentek International Kazakhstan LLP, Degelen LLP, Diana-Aliya LLP, JSC Eurasian energy corporation, JSC Zhairem mining and processing complex, Zherek LLP, JV Inkay LLP, JSC National atomic company Kazatomprom, Kazakhmys corporation LLP, Mining company Kazakhstanski nikel LLP, JSC Transnational company KazChrome, Kazzinc LLP, Karaoba-2005 LLP, Karazhyra Ltd LLP, JV Katko LLP, JSC ArselorMittal Temirtau, Mining company Narymaltyn LLP, Satpayevsk Titanium Mines LTD LLP, Mining company Severnyi katpar LLP, Semizbay-U LLP, JSC Sokolovsko-Sarbayskoye industrial association, JSC Syrymbet, Temirtau electric metallurgic complex LLP, Mining and processing complex Tort Kuduk LLP, JSC Ulbinski metallurgic plant, FML Kazakhstan LLP, Tsvetmet Engineering LLP, JSC JV Vasilkovskoye zoloto, Shalkiya Zinc LLP, Munayly Kazakhstan LLP, Affiliation Inpex North Caspian Sea Ltd, ConocoPhillips North Caspian Ltd in Kazakhstan, JSC KazTransGas, Altyn KDT LLP</t>
  </si>
  <si>
    <t>Alties Petroleum International B.V., Aktobe branch, Altyn KTD LLP, Agip Caspian Sea B.V., NC Kazmunaygaz JSC, Ravninnoe Oil LLP, SvetlandOil LLP, KhazarMunai LLP, 
Zherek LLP, EmbavedOil LLP, Shell Kazakhstan Development B.V., Branch, Tasbulat Oil Corp. LLP, Kor –Tazh LLP, JV MATIN LLP, Tabynai LLP, Lions –Jump LLP, Integracia Oil LLP,
Satpayevsk Titanium Mines LTD, Zhaikmunai LLP, Karakudukmunai LLP, Karazhanbasmunai JSC, KazZink LLP, Degelen LLP, Eurasian energy corporation JSC, KMK Мunay JSC, ANACO LLP, Karazhyra LTD LLP, Temirtau Electrometallurgical Combine LLP, KazakhOil Aktobe LLP, BNG Ltd LLP, KDO Production LLP, Lukoil Overseas Karachaganak B.V., Aksai 
Chevron International Company, Repsol Exploration Kazakhstan, Branch, KazTransGas JSC, Ural Oil and Gas LLP, Arnaoil LLP, TNG Company LLP, North Caspian Petroleum Ltd Affiliate in RK, TENIR LOGISTIC LLP, Kumkol Trans Service LLP, Mangyshlak - Munay LLP, Samek International LLP, AlgaCaspiGaz LLP, FIC Alel JSC, JV KazGerMunai LLP, 
Aral Petroleum Capital LLP, JV Arman LLP, Мunay-Service LLP, JV Inkai LLP, Branch Total &amp; P Kazakhstan, TNK Kazkhrom LLP, Caspi Neft JSC, Kostanayiskiye minerali LLP, 
Kazakhmys Corporation LLP, Ecogeoneftegaz LLP, Alties Petroleum International B.V., Amir Ltd LLP, Mangistaumunaygas JSC, Tengizchevroil LLP, Tau-Ken Samruk JSC, Impex North Caspian Sea, Branch, Zhairem Mining and Concentration Plant, Vasilkovsky Mining and Concentration Plant JSC, KNOOK Caspian (Kazakhstan) Ltd, Adai Petroleum Company LLP, Zhalgiztobemunay LLP, Saryarka - Energy JSC, JV Katco LLP, BG Karachaganak Limited, Branch, JV Tenge LLP, JSC Caspi Neft TME, Metalterminalservice LLP, KF Agip Karachaganak, Voskhod – Oriel LLP, CNPC-International (Buzachi), JSC PetroKazakhstan Kumkol Resources, ExxonMobil Kazakhstan Inc., Branch, GRK Altyn –Kulager LLP, Statoil North Caspian AS LLP, Tobearal-Oil LLP, Affiliate of Nelson Petroleum Buzachi, Altyn Almas JSC, GRK Kazakhstansky Nikel LLP, Alluminium of Kazakhstan JSC, Exploration and Production KazMunaiGas JSC , Kazatamprom JSC, FML Kazakhstan LLP, South Oil LLP, Samek Development Enterprise LLP, Affiliate of Buzachi Operating Ltd, Cvetmet Engineering LLP, JV Arman 100 LLP, Balausa Firm LLP, Sokolovsko – Sarbayskoe Mining and Concentration Complex JSC, GRK Narymaltyn LLP, Betonit &amp;C LLP, MGK LLP, Semizbay LLP, Arselor Mitall Temirtau LLP, AS Gorniyak LLP, Bast LLP, Tetis Aral Gas LLP, Gentech International Kazakhstan LLP, GRK Tokhtar LLP, Falcon Oil &amp; Gas Ltd LLP, Sary Kazna LLP, Bogatyr Komir LLP, Sarymbet LLP, Nurmunay Petrogaz LLP, Affiliate of ConocoPhilips North Caspian Ltd. in Kazakhstan, Diana Aliya LLP, Altyn Ken LLP, Betbastau - Nedra LLP, CNPC Ai Dan Munay JSC, Karaoba 2005 LLP, Severniy Katpar LLP, Kazneftehim - Kopa LLP, Zhinzhir LLP</t>
  </si>
  <si>
    <t>91</t>
  </si>
  <si>
    <t xml:space="preserve">Materiality threshold: not given. The report doesn't distinguish between oil, gas and mining companies. The report does not specify what minerals are mined. It is not clear whether unilateral declarations are included. </t>
  </si>
  <si>
    <t>Asbestos</t>
  </si>
  <si>
    <t>Volume from USGS Mineral Yearbook 2011. Price from USGS Mineral Commodity Summary 2014, and is the price in the US.</t>
  </si>
  <si>
    <t>This commodity is not mentioned in the EITI Report, but its production is reported on in the USGS Mineral Yearbook 2011.</t>
  </si>
  <si>
    <t>Barite</t>
  </si>
  <si>
    <t>Price from USGS Mineral Commodity Summary 2014, and is the estimated f.o.b. mine price in the US.</t>
  </si>
  <si>
    <t>o/w Ore and concentrate</t>
  </si>
  <si>
    <t>o/w Marketable</t>
  </si>
  <si>
    <t>Boron</t>
  </si>
  <si>
    <t>Volume from USGS Mineral Yearbook 2011. Price from USGS Mineral Commodity Summary 2013, and is the average f.a.s. price of US imports.</t>
  </si>
  <si>
    <t>Price from World Bank (Global Economic Monitor (GEM) Commodities database), and is defined as: Copper (LME), grade A, minimum 99.9935% purity, cathodes and wire bar shapes, settlement price</t>
  </si>
  <si>
    <t xml:space="preserve">This commodity is not mentioned in the EITI Report, but its production is reported on in the USGS Mineral Yearbook 2011. </t>
  </si>
  <si>
    <t>o/w Metal (smelter)</t>
  </si>
  <si>
    <t>o/w Metal (refined, primary)</t>
  </si>
  <si>
    <t>Ferrochromium</t>
  </si>
  <si>
    <t xml:space="preserve">Volume from USGS Mineral Yearbook 2011. Price from USGS Mineral Yearbook 2009, and is the average price for chromium content in ferrochromium with chromium content of 49-51% and 60-65% in the US. </t>
  </si>
  <si>
    <t>Ferrosilicochromium</t>
  </si>
  <si>
    <t>Ferrosilicon</t>
  </si>
  <si>
    <t>Volume from USGS Mineral Yearbook 2011. Price from USGS Mineral Commodity Summary 2014, and is the average price for ferrosilicon with 50% and 75% silicon content in the US.</t>
  </si>
  <si>
    <t>Fluourspar</t>
  </si>
  <si>
    <t>Ilmenite &amp; leucoxene</t>
  </si>
  <si>
    <t>Volume from USGS Mineral Yearbook 2011. Price from USGS Mineral Commodity Summary 2013, and is the f.o.b. price in Australia for a bulk product with a minimum TiO2 content of 54%.</t>
  </si>
  <si>
    <t>Volume from USGS Mineral Yearbook 2011. Price from World Bank (Global Economic Monitor (GEM) Commodities database), and is defined as: Iron ore (any origin) fines, spot price, c.f.r. China, 62% Fe.</t>
  </si>
  <si>
    <t>o/w Mn content</t>
  </si>
  <si>
    <t>Nickel (nickel content of laterite ore)</t>
  </si>
  <si>
    <t>Volume from USGS Mineral Yearbook 2011. Price from World Bank (Global Economic Monitor (GEM) Commodities database), and is defined as: Nickel (LME), cathodes, minimum 99.8% purity, settlement price beginning 2005; previously cash price.</t>
  </si>
  <si>
    <t>Phoshpate rock (beneficated)</t>
  </si>
  <si>
    <t>Volume from USGS Mineral Yearbook 2011. Price from World Bank (Global Economic Monitor (GEM) Commodities database), and is defined as: Phosphate rock (Morocco), 70% BPL, contract, f.a.s. Casablanca.</t>
  </si>
  <si>
    <t>Pig iron</t>
  </si>
  <si>
    <t>Titanium sponge</t>
  </si>
  <si>
    <t>Volume from USGS Mineral Yearbook 2011. Price from USGS Mineral Commodity Summary 2013, and is the year-end price in the US.</t>
  </si>
  <si>
    <t>Price from World Bank (Global Economic Monitor (GEM) Commodities database), and is defined as: Zinc (LME), high grade, minimum 99.95% purity, settlement price beginning April 1990; previously special high grade, minimum 99.995%, cash prices.</t>
  </si>
  <si>
    <t>o/w Zinc content of concentrate</t>
  </si>
  <si>
    <t>o/w Smelter (primary, secondary)</t>
  </si>
  <si>
    <t>Tengizchevroil LLP, CNPC-AktobeMunaiGas JSC, MangistauMunaiGas JSC, KPO (Karachganak Petroleum Operating BV) Lukoil Overseas Branch, KPO (Karachganak Petroleum Operating BV) КФ AgipKarachaganak, KPO (Karachganak Petroleum Operating BV) Branch B.G.Karachfanak limited, KPO (Karachganak Petroleum Operating BV), Kazgermunai LLP, PF Uzenmunaigas PF Embamunaigas JSC EP KazMunayGas, PetroKazakhstan Kumkol Resourses ОJSC JSC, Turgai-petroleum JSC, Karazhambasmunai JSC, Nelson Petroleum Buzachi BV CK/CNPC International (Buzachi) Inc FC/  Buzachi Operating Ltd FC, North Caspian Operating Company, KazakhOil Aktobe LLP, Kuatamlonmunai JV LLP, Alties Petroleum International Б.В., CNPC Ai-Dan Munai JSC, ArnaOil LLP, Sauts Oil LLP, ROC Oil company JSC, JV Zhaikmunai LLP, Kom-munai LLP, Maersk Oil Kazakhstan, JV Matin LLP, ANACO JSC, Tasbulat Oil Corporation LLP, JV Arman LLP, Sazankurak LLP, JV Kazakhturkmunai LLP, Potential Oil LLP, Kolzhan LLP, КоЖаН LLP, Caspi Meruert Operating Company BV, Zhalgiztobemunai ДLLP, Hazarmunai LLP, CaspiOil TME JSC, Company PhysTech LLP, CaspiOil JSC, KazTransGas JSC, AstanaOil Company LLP, Svetland Oil LLP, KMK Munai JSC, Tandai Petroleum LLP, Buzachi Oil LLP, Gural LLP, Tabinay LLP, Embavedoil LLP, ВМВ Munai LLP, Caspi OilGas LLP, JV Tenge LLP, AtyrauMunai LLP, SagizPetroleum Company LLP, Pricaspian Petroleum Company LLP, Tobearal Oil LLP, TetisAralGas LLP, EmbaMunai LLP, Ravninnoe Oil LLP, KazGPZ LLP JSC EP KazMunayGas, UrihtauOperating LLP, Е.М.Е. LLP, Jupiter Energy Лтд, Kor-Tazh LLP, N operating company LLP (JSC "NC KazMunayGas"), Abi Petroleum Company LLP, NBK LLP, Kolzhan Oil LLP, SEP Assets Group LLP (LLP "Korned"), MGK LLP, Altyn KDT LLP, NurMunai Petrogaz LLP, Ecogeoneftegas LLP, TNG Company LLP, Kazneftehim-Kopa LLP, Samek Development Enterprise LLP, SHALKIYA CINK LTD LLP, Ushger GHK JSC Ontustik JVК NK
JSC, ArsellorMittalTemirtau UD JSC, GRK Zhety Kazyna LLP, Firm Rapid LLP, Firm Madina LLP, TPK Bas LLP, Tioline LLP, JV Saga Krik Gold Company LLP, Semyzbai - U MTD/Mining Company LLP/KazAtomProm NAK JSC, Orken LLP, Metal Trading LLP, Razrez Priozerniy KRK LLP, Zhanalyk GOLD LLP, Anues – Altyn GRK LLP, Sat Komir GRK LLP, Gold land LLP, Yubileinoye LLP, Shahta Zapadnaya LLP, Forpost DP/Global Business LLP, FML Kazakhstan LLP, Ulba - Ftorkomplex LLP, Temirtauskyi electrometalurgicheskiy kombinat JSC, Transkomir LLP, Taskara LLP, Semgeo LLP, SGHK LLP, Satbor LLP, Saryarka-ENERGY LLP, Sarah Treasury LLP, On-Olzha LLP, Jade-2030 LLP, Maikuben West LLP, Kazakhmys LLP, Copper Technology LLP, Kazcink LLP, Zherek LLP, GRK Vizol LLP, Gamma LLP, Voskhod-Oriel LLP, Bogatyr komir LLP, Batir LLP, Bakyrchikskoye GDP LLP, AS Gorniyak LLP, Arman-100 LLP, Angrensor LLP, Aktobe - Temir-ВС LLP,  Satpayevsk Titanium Mines LTD LLP, Nova-Zinc LLP, Inter Gold Capital LLP, Dala Mining LLP, Bapy Mining LLP, Karazhyra Ltd LLP, Yesнк LLP, Teriskey LLP, Stroyservice LLP, ОYESК LLP/АБС-Balkhash JSC, JVК Batys НК, Marum Zhar Gold LLP, Kyzylkum LLP, KazAtomProm НАК JSC, Kulan TB LLP, KATKO JV LLP, Karatau LLP, KazAtomProm НАК JSC, Inkai JV LLP, Zarechnoye ЗJSC KRK JV/KazAtomProm НАК JSC, ER - TAI LLP/NOVA CINK LLP, GDP Sekisovskaya LLP, Mining Company, LLP, KazAtomProm NAK JSC, Vostochnoye RU LLP/KATEP JSSOT, Betpak Yesla JV LLP/KazAtomProm
NAK JSC, BAIKEN-U LLP/KazAtomProm NAK JSC, АPPAK LLP/KazAtomProm NAK JSC, Shaimerden JSC, FIK ALEL JSC, SSGPO JSC, NK JV Tobol JSC, Kostanay minerals JSC, Varvarinskoye JSC, Aluminiy JSC Branch TBRU, AK AltynAlmas JSC (Akbokaisky GOK), Shubarkol komir JSC, TNK Kazkhrom JSC, Maikaingold JSC, Corporation Duniye JSC, Zhairemskiy GOK JSC, Evroaziatskaya energeticheskaya
corporation JSC, GOK Tort - Kuduk JSC, Akbastau JV JSC/KazAtomProm NAK JSC, AVENUE LLP, ZDP Kvarc, Cvetmet Engineering LLP, GRK Tokhtar LLP, GRK Kazakhstanskiy nikel LLP, Severnyi katpar LLP, Metalterminalservice LLP, Karaoba-2005 LLP, Diana - Aliya LLP, Bast LLP, Balausa firma LLP, Syrymbet JSC, Altyn Ken LLP/Аktas NP JSC</t>
  </si>
  <si>
    <t>Materiality threshold: oil &amp; gas companies that have made an annual payment of at least 30,000,000KZT should be reconciled; mining companies that have made an annual payments of at least 15,000,000KZT should be reconciled. It does not appear that unilateral declarations are included. Tengizchevroil LLP accounted for 34% of government revenues. The appendix is not available in its entirety, and therefore though the report also covers social payments made by companies, these figures are not provided.</t>
  </si>
  <si>
    <t>Tengizchevroil LLP, CNPC-AktobeMunaiGas JSC, MangistauMunaiGas JSC, KPO (Karachganak Petroleum Operating BV) Lukoil Overseas Branch, KPO (Karachganak Petroleum Operating BV) КФ AgipKarachaganak, KPO (Karachganak Petroleum Operating BV) Branch B.G.Karachfanak limited, KPO (Karachganak Petroleum Operating BV), Kazgermunai LLP, PF Uzenmunaigas PF Embamunaigas JSC EP KazMunayGas, PetroKazakhstan Kumkol Resourses ОJSC JSC, Turgai-petroleum JSC, Karazhambasmunai JSC, Nelson Petroleum Buzachi BV CK/CNPC International (Buzachi) Inc FC/  Buzachi Operating Ltd FC, North Caspian Operating Company, KazakhOil Aktobe LLP, Kuatamlonmunai JV LLP, Alties Petroleum International Б.В., CNPC Ai-Dan Munai JSC, ArnaOil LLP, Sauts Oil LLP, ROC Oil company JSC, JV Zhaikmunai LLP, Kom-munai LLP, Maersk Oil Kazakhstan, JV Matin LLP, ANACO JSC, Tasbulat Oil Corporation LLP, JV Arman LLP, Sazankurak LLP, JV Kazakhturkmunai LLP, Potential Oil LLP, Kolzhan LLP, КоЖаН LLP, Caspi Meruert Operating Company BV, Zhalgiztobemunai ДLLP, Hazarmunai LLP, CaspiOil TME JSC, Company PhysTech LLP, CaspiOil JSC, KazTransGas JSC, AstanaOil Company LLP, Svetland Oil LLP, KMK Munai JSC, Tandai Petroleum LLP, Buzachi Oil LLP, Gural LLP, Tabinay LLP, Embavedoil LLP, ВМВ Munai LLP, Caspi OilGas LLP, JV Tenge LLP, AtyrauMunai LLP, SagizPetroleum Company LLP, Pricaspian Petroleum Company LLP, Tobearal Oil LLP, TetisAralGas LLP, EmbaMunai LLP, Ravninnoe Oil LLP, KazGPZ LLP JSC EP KazMunayGas, UrihtauOperating LLP, Е.М.Е. LLP, Jupiter Energy Лтд, Kor-Tazh LLP, N operating company LLP (JSC "NC KazMunayGas"), Abi Petroleum Company LLP, NBK LLP, Kolzhan Oil LLP, SEP Assets Group LLP (LLP "Korned"), MGK LLP, Altyn KDT LLP, NurMunai Petrogaz LLP, Ecogeoneftegas LLP, TNG Company LLP, Kazneftehim-Kopa LLP, Samek Development Enterprise LLP</t>
  </si>
  <si>
    <t>25</t>
  </si>
  <si>
    <t>SHALKIYA CINK LTD LLP, Ushger GHK JSC Ontustik JVК NK
JSC, ArsellorMittalTemirtau UD JSC, GRK Zhety Kazyna LLP, Firm Rapid LLP, Firm Madina LLP, TPK Bas LLP, Tioline LLP, JV Saga Krik Gold Company LLP, Semyzbai - U MTD/Mining Company LLP/KazAtomProm NAK JSC, Orken LLP, Metal Trading LLP, Razrez Priozerniy KRK LLP, Zhanalyk GOLD LLP, Anues – Altyn GRK LLP, Sat Komir GRK LLP, Gold land LLP, Yubileinoye LLP, Shahta Zapadnaya LLP, Forpost DP/Global Business LLP, FML Kazakhstan LLP, Ulba - Ftorkomplex LLP, Temirtauskyi electrometalurgicheskiy kombinat JSC, Transkomir LLP, Taskara LLP, Semgeo LLP, SGHK LLP, Satbor LLP, Saryarka-ENERGY LLP, Sarah Treasury LLP, On-Olzha LLP, Jade-2030 LLP, Maikuben West LLP, Kazakhmys LLP, Copper Technology LLP, Kazcink LLP, Zherek LLP, GRK Vizol LLP, Gamma LLP, Voskhod-Oriel LLP, Bogatyr komir LLP, Batir LLP, Bakyrchikskoye GDP LLP, AS Gorniyak LLP, Arman-100 LLP, Angrensor LLP, Aktobe - Temir-ВС LLP,  Satpayevsk Titanium Mines LTD LLP, Nova-Zinc LLP, Inter Gold Capital LLP, Dala Mining LLP, Bapy Mining LLP, Karazhyra Ltd LLP, Yesнк LLP, Teriskey LLP, Stroyservice LLP, ОYESК LLP/АБС-Balkhash JSC, JVК Batys НК, Marum Zhar Gold LLP, Kyzylkum LLP, KazAtomProm НАК JSC, Kulan TB LLP, KATKO JV LLP, Karatau LLP, KazAtomProm НАК JSC, Inkai JV LLP, Zarechnoye ЗJSC KRK JV/KazAtomProm НАК JSC, ER - TAI LLP/NOVA CINK LLP, GDP Sekisovskaya LLP, Mining Company, LLP, KazAtomProm NAK JSC, Vostochnoye RU LLP/KATEP JSSOT, Betpak Yesla JV LLP/KazAtomProm
NAK JSC, BAIKEN-U LLP/KazAtomProm NAK JSC, АPPAK LLP/KazAtomProm NAK JSC, Shaimerden JSC, FIK ALEL JSC, SSGPO JSC, NK JV Tobol JSC, Kostanay minerals JSC, Varvarinskoye JSC, Aluminiy JSC Branch TBRU, AK AltynAlmas JSC (Akbokaisky GOK), Shubarkol komir JSC, TNK Kazkhrom JSC, Maikaingold JSC, Corporation Duniye JSC, Zhairemskiy GOK JSC, Evroaziatskaya energeticheskaya
corporation JSC, GOK Tort - Kuduk JSC, Akbastau JV JSC/KazAtomProm NAK JSC, AVENUE LLP, ZDP Kvarc, Cvetmet Engineering LLP, GRK Tokhtar LLP, GRK Kazakhstanskiy nikel LLP, Severnyi katpar LLP, Metalterminalservice LLP, Karaoba-2005 LLP, Diana - Aliya LLP, Bast LLP, Balausa firma LLP, Syrymbet JSC, Altyn Ken LLP/Аktas NP JSC</t>
  </si>
  <si>
    <t>Chromite (marketable ore)</t>
  </si>
  <si>
    <t>Volume from USGS Mineral Yearbook 2011. Price from USGS Mineral Commodity Summary 2013, and is the price in the US for the gross mass of chromite ore.</t>
  </si>
  <si>
    <t>o/w Metal (refined, primary</t>
  </si>
  <si>
    <t xml:space="preserve">Volume from USGS Mineral Yearbook 2011. Price from USGS Mineral Yearbook 2010, and is the average price for chromium content in ferrochromium with chromium content of 49-51% and 60-65% in the US. </t>
  </si>
  <si>
    <t>Silicon (metal)</t>
  </si>
  <si>
    <t>Volume from USGS Mineral Yearbook 2011. Price from USGS Mineral Commodity Summary 2014, and is the price for the metallurgical-grade metal in the US.</t>
  </si>
  <si>
    <t>o/w U content</t>
  </si>
  <si>
    <t>o/w U3O8 content</t>
  </si>
  <si>
    <t>Host government's production entitlement, Royalties, Dividends, Bonuses, Other significant benefits to government</t>
  </si>
  <si>
    <t>"Tengizchevroil" LLP, JSC SNPC-Aktobemunaigas, JSC Mangistaumunaigas, ПФ "Uzenmunaigas" PF "Embamunaigas" JSC EP "KazMunaiGas", КПО(karachaganak Petroleum Operating B.V.) Branch "Lukoil overseas", KPO(Karachaganak Petroleum Operating B.V.) KF Ajip Karachaganak, KPO(Karachaganak Petroleum Operating B.V.) Branch "B G Karachaganak Limited",  KPO(Karachaganak Petroleum Operating B.V.), JSC PetroKazakhstan Kumkol Resourses, Karazhanbasmunai LLP, Karakudukmunai LLP, KFK «Nelson Petroleum Buzachi BV», FK SNPC International (Buzachi) Inc., FK «BuzachiOperating Ltd.», North Caspian Operating Company, Kazakhoil-Aktobe LLP, SP KuatAmlonMunai LLP, Maten Petroleum LLP, Sauts Oil LLP, JSC SNPC-Ai-Dan_Munai, JSC KOR Oil Company, FK Maersk Oil Kazakhstan Gmbh, Kom-Munai LLP, JSC Caspi Oil, ZhaikMunai LLP, Tasbulat Oil Corporation LLP, Sazankurak LLP, ANACO LLP, Potential Oil LLP, SP Arman LLP, Alties Petroelum International B.V. Company (Atyrau Branch), Samek International LLP, KoZhaN LLP, Kolzhan LLP, SP KazakhTurkMunai LLP, Zhalgiztobemunai LLP, Sagiz Petroleum Company LLP, JSC Amangeldi Gas, Hazar Munai LLP, Gural LLP, JSC Caspi Oil TME, Svetland Oil LLP, Abi Petroleum Capital LLP, Branch Caspi Meruert Operating
Company B.V., Lines-Jump LLP, JSC KMK Munai, Pricaspian petroleum LLP, Tandai Petroleum LLP, SP Tenge LLP, Aral Petroleum Capital LLP, Embavedoil LLP, N Operating Company LLP, Buzachi Oil LLP, Tobe aral Oil LLP, CaspiOilGas LLP, Embamunaigas LLP, Kolzhan Oil LLP, Urihtau operating LLP, Tettis Aral Gas LLP, Kaz GPZ LLP, Astana Oil Company LLP, Кор-Таж LLP, Е.М.Е LLP, KAZPETROL GROUP LLP, NBK LLP, Kaz Oil-Chem copa LLP, SP Matin LLP, ZDP "Quartz", Akbastau JV JSC, KazAtomProm NAK JSC, AltynAlmas AK (Akbokay GOK), JSC "GMK Kazakhaltyn", JSC "GOK Tort-Kuduk", JSC "Eurasian energy corporation", JSC "Zhayrem GOK", JSC "Maykaingold", JSC "Temirtau electrometallurgical plant", JSC "TNK Kazchrome", JSC "Shubarkol Komir", JSC Aluminium of Kazakhstan branch KBRU, JSC Aluminium of Kazakhstan branch TBRU, JSC Varvarinskoe, JSC Kostanai minerals, JSC FIK "Alel", JSC Shaimerden, APPAK LLP/KazAtomProm NAK JSC, BAYKEN-U LLP/KazAtomProm NAK JSC, Firm Balausa LLP, Betpak Dala JV LLP/KazAtomProm NAK JSC, Eastern RU LLP, Mining company LLP/KazAtomProm NAK JSC/Kendala Кz JSC, ER-TAY LLP/NOVA ZINC LLP, Zarechnoe JSC KRK JV/KazAtomProm NAK JSC, Inkay JV LLP, Kazphosphate branch LLP/Chulaktau GPK, Karatau LLP/KazAtomProm
NAK JSC, KATKO JV LLP, Koksu/GRK/Shungite LLP.Т-
К./Mining company "Koksu", Kulan Komir LLP, Kyzylkum LLP/KazAtomProm NAK JSC, Marum Zhar G LLP, Semizbay - U MTD/Mining company LLP/KazAtomProm NAK JSC, Stroyservice LLP, Taza-Su LLP/RisTas JSC, Teriskey LLP, Dank LLP, "Karazhira LLP, BaKaF engineering LTD, Bapy Mining LLP, BAR NE LLP, LLP "Dala Mining" (LLP "Altyn Dala Mining"), LLP "Fonet Er-Tai AK Mining", LLP "Nova-Zinc", LLP "Satpayevsk Titanium Mines LTD", LLP "Silicon mining", LLP "Akmola Gold", LLP "Ak0Tas", LLP "Aktobe Temir VS", LLP "Angrensor", LLP "Arman-100", LLP "AS "Gornyak", LLP "Bakirchikskoe GDP", LLP "Bast", LLP "Batyr", LLP "Batis Potassium", LLP "Bogatir Komir", LLP "Voshod-Oriel", LLP "Gamma", LLP "GRK Vizol", LLP "GRK Kambar", LLP "GRK Koytas", LLP "GRK MLD", LLP "GRK MLD", LLP "KazVtorProm", LLP "Copper Technology", LLP "Kazakhmys corporation", LLP "Maykuben-west", LLP "NPP Manganese", LLP "On-Olzha", LLP "Orken", LLP "Saki Kazyna", LLP "Sariarka-ENERGY", LLP "Satbor", LLP "SGHK", LLP "Semgeo", LLP "Taskara", LLP "Temir-Service", LLP "Transkomir", LLP "Ulbavtor complex", LLP "FML Kazakhstan", LLP "Forpost" DP "Глобал Бизнес", LLP "Mine West", LLP "Yubileynoe", LLP GMK "Hurdaulet", LLP Gold Lend, LLP GRK "Sat Komir", LLP GRK "Andas Altyn", LLP Zhanalyk GOLD, LLP KazZinc, LLP КРК razrez Priozerniy, LLP Metal Trading, LLP JV Saga Krik Gold Company, LLP Tioline, LLP ТПК "BAS", LLP Firm "Madina", LLP Firm "Rapid", UD JSC "Arselor Metal Temirtau", Ushger GHK JSC (Ontustik JV NK JSC), ShalkiyaZinc LTD/Tau-Ken LLP GMK, AltynKenLLP Aktas NP JSC, LLP "Diana-Aliya", LLP "Karaoba-2005", LLP "Metlaterminalservice", LLP "North Katpar", LLP GRK Kazakhstani Nickel, LLP GRK Tokhtar, CvetMetengineering LLP</t>
  </si>
  <si>
    <t>23</t>
  </si>
  <si>
    <t>Materiality threshold: oil &amp; gas companies that have made an annual payment of at least 30,000,000KZT should be reconciled; mining companies that have made an annual payments of at least 15,000,000KZT should be reconciled. It does not appear that unilateral declarations are included. Tengizchevroil LLP accounted for 38% of government revenues. The appendix is not available in its entirety, and therefore though the report also covers social payments made by companies, these figures are not provided.</t>
  </si>
  <si>
    <t>"Tengizchevroil" LLP, JSC SNPC-Aktobemunaigas, JSC Mangistaumunaigas, ПФ "Uzenmunaigas" PF "Embamunaigas" JSC EP "KazMunaiGas", КПО(karachaganak Petroleum Operating B.V.) Branch "Lukoil overseas", KPO(Karachaganak Petroleum Operating B.V.) KF Ajip Karachaganak, KPO(Karachaganak Petroleum Operating B.V.) Branch "B G Karachaganak Limited",  KPO(Karachaganak Petroleum Operating B.V.), JSC PetroKazakhstan Kumkol Resourses, Karazhanbasmunai LLP, Karakudukmunai LLP, KFK «Nelson Petroleum Buzachi BV», FK SNPC International (Buzachi) Inc., FK «BuzachiOperating Ltd.», North Caspian Operating Company, Kazakhoil-Aktobe LLP, SP KuatAmlonMunai LLP, Maten Petroleum LLP, Sauts Oil LLP, JSC SNPC-Ai-Dan_Munai, JSC KOR Oil Company, FK Maersk Oil Kazakhstan Gmbh, Kom-Munai LLP, JSC Caspi Oil, ZhaikMunai LLP, Tasbulat Oil Corporation LLP, Sazankurak LLP, ANACO LLP, Potential Oil LLP, SP Arman LLP, Alties Petroelum International B.V. Company (Atyrau Branch), Samek International LLP, KoZhaN LLP, Kolzhan LLP, SP KazakhTurkMunai LLP, Zhalgiztobemunai LLP, Sagiz Petroleum Company LLP, JSC Amangeldi Gas, Hazar Munai LLP, Gural LLP, JSC Caspi Oil TME, Svetland Oil LLP, Abi Petroleum Capital LLP, Branch Caspi Meruert Operating
Company B.V., Lines-Jump LLP, JSC KMK Munai, Pricaspian petroleum LLP, Tandai Petroleum LLP, SP Tenge LLP, Aral Petroleum Capital LLP, Embavedoil LLP, N Operating Company LLP, Buzachi Oil LLP, Tobe aral Oil LLP, CaspiOilGas LLP, Embamunaigas LLP, Kolzhan Oil LLP, Urihtau operating LLP, Tettis Aral Gas LLP, Kaz GPZ LLP, Astana Oil Company LLP, Кор-Таж LLP, Е.М.Е LLP, KAZPETROL GROUP LLP, NBK LLP, Kaz Oil-Chem copa LLP, SP Matin LLP</t>
  </si>
  <si>
    <t>26</t>
  </si>
  <si>
    <r>
      <t xml:space="preserve">ZDP "Quartz", Akbastau JV JSC, KazAtomProm NAK JSC, AltynAlmas AK (Akbokay GOK), JSC "GMK Kazakhaltyn", JSC "GOK Tort-Kuduk", JSC "Eurasian energy corporation", JSC "Zhayrem GOK", JSC "Maykaingold", JSC "Temirtau electrometallurgical plant", JSC "TNK Kazchrome", JSC "Shubarkol Komir", JSC Aluminium of Kazakhstan branch KBRU, JSC Aluminium of Kazakhstan branch TBRU, JSC Varvarinskoe, JSC Kostanai minerals, JSC FIK "Alel", JSC Shaimerden, APPAK LLP/KazAtomProm NAK JSC, BAYKEN-U LLP/KazAtomProm NAK JSC, Firm Balausa LLP, Betpak Dala JV LLP/KazAtomProm NAK JSC, Eastern RU LLP, Mining company LLP/KazAtomProm NAK JSC/Kendala Кz JSC, ER-TAY LLP/NOVA ZINC LLP, Zarechnoe JSC KRK JV/KazAtomProm NAK JSC, Inkay JV LLP, Kazphosphate branch LLP/Chulaktau GPK, Karatau LLP/KazAtomProm
NAK JSC, KATKO JV LLP, Koksu/GRK/Shungite LLP.Т-
К./Mining company "Koksu", Kulan Komir LLP, Kyzylkum LLP/KazAtomProm NAK JSC, Marum Zhar G LLP, Semizbay - U MTD/Mining company LLP/KazAtomProm NAK JSC, Stroyservice LLP, Taza-Su LLP/RisTas JSC, Teriskey LLP, Dank LLP, "Karazhira LLP, BaKaF engineering LTD, Bapy Mining LLP, BAR NE LLP, LLP "Dala Mining" (LLP "Altyn Dala Mining"), LLP "Fonet Er-Tai AK Mining", LLP "Nova-Zinc", LLP "Satpayevsk Titanium Mines LTD", LLP "Silicon mining", LLP "Akmola Gold", LLP "Ak0Tas", LLP "Aktobe Temir VS", LLP "Angrensor", LLP "Arman-100", LLP "AS "Gornyak", LLP "Bakirchikskoe GDP", LLP "Bast", LLP "Batyr", LLP "Batis Potassium", LLP "Bogatir Komir", LLP "Voshod-Oriel", LLP "Gamma", LLP "GRK Vizol", LLP "GRK Kambar", LLP "GRK Koytas", LLP "GRK MLD", LLP "GRK MLD", LLP "KazVtorProm", LLP "Copper Technology", LLP "Kazakhmys corporation", LLP "Maykuben-west", LLP "NPP Manganese", LLP "On-Olzha", LLP "Orken", LLP "Saki Kazyna", LLP "Sariarka-ENERGY", LLP "Satbor", LLP "SGHK", LLP "Semgeo", LLP "Taskara", LLP "Temir-Service", LLP "Transkomir", LLP "Ulbavtor complex", LLP "FML Kazakhstan", LLP "Forpost" DP "Глобал Бизнес", LLP "Mine West", LLP "Yubileynoe", LLP GMK "Hurdaulet", LLP Gold Lend, LLP GRK "Sat Komir", LLP GRK "Andas Altyn", LLP Zhanalyk GOLD, LLP KazZinc, LLP КРК razrez Priozerniy, LLP Metal Trading, LLP JV Saga Krik Gold Company, LLP Tioline, LLP ТПК "BAS", LLP Firm "Madina", LLP Firm "Rapid", UD JSC "Arselor Metal Temirtau", Ushger GHK JSC (Ontustik JV NK JSC), ShalkiyaZinc LTD/Tau-Ken LLP GMK, AltynKenLLP Aktas NP JSC, LLP "Diana-Aliya", </t>
    </r>
    <r>
      <rPr>
        <b/>
        <sz val="11"/>
        <color indexed="8"/>
        <rFont val="Calibri"/>
        <family val="2"/>
      </rPr>
      <t>LLP "Karaoba-2005", LLP "Metlaterminalservice", LLP "North Katpar", LLP GRK Kazakhstani Nickel, LLP GRK Tokhtar, CvetMetengineering LLP</t>
    </r>
  </si>
  <si>
    <t xml:space="preserve">Volume from USGS Mineral Yearbook 2011. Price from USGS Mineral Yearbook 2011, and is the average price for chromium content in ferrochromium with chromium content of 49-51% and 60-65% in the US. </t>
  </si>
  <si>
    <t>Uranium</t>
  </si>
  <si>
    <t>http://eiti.org.kg/</t>
  </si>
  <si>
    <t>Profits/Taxes, Royalties</t>
  </si>
  <si>
    <t>Kazakhstani Tenge</t>
  </si>
  <si>
    <t>Uhy Sapa Consulting</t>
  </si>
  <si>
    <t>Companies requested to report / reporting section unclear. Missing information. Payments by company / government differ from EITI website. Some production volumes are the same in 2012 and 2013.</t>
  </si>
  <si>
    <t>Lead &amp; Zinc</t>
  </si>
  <si>
    <t>Lead</t>
  </si>
  <si>
    <t>Iron Ores</t>
  </si>
  <si>
    <t>Manganese Ores</t>
  </si>
  <si>
    <t>Bauxites</t>
  </si>
  <si>
    <t>Chromites</t>
  </si>
  <si>
    <t xml:space="preserve">Companies requested to report / reporting section unclear. Missing information. Payments by company / government differ from EITI website </t>
  </si>
  <si>
    <t>Kyrgyzstan Som</t>
  </si>
  <si>
    <t>W Jacbos Audit CJSC</t>
  </si>
  <si>
    <t>Annex 3</t>
  </si>
  <si>
    <t>The 2008 EITI Report contains the figures for 2004 (though the figures given for 2004 in the 2009, 2010 and 2011 reports are significantly different). No other information is given however. The 2011 Report indicates that mining exports were worth US$230m in 2004.</t>
  </si>
  <si>
    <t>Volume from USGS Mineral Yearbook 2007. Price from BPSR 2014, and is an average of the American Central Appalachian, Asian and Northwest Europe marker/spot prices.</t>
  </si>
  <si>
    <t>This commodity is not mentioned in the EITI Report, but its production is reported on in the USGS Mineral Yearbook 2007.</t>
  </si>
  <si>
    <t>Volume from USGS Mineral Yearbook 2007. Price from USGS Mineral Commodity Summary 2009, and is the average f.o.b. price for crude and calcined products.</t>
  </si>
  <si>
    <t>Volume from USGS Mineral Yearbook 2007. Price from USGS Mineral Commodity 2009, and is the price for kaolin clay in the US.</t>
  </si>
  <si>
    <t>Lime (dead-burned)</t>
  </si>
  <si>
    <t>Volume from USGS Mineral Yearbook 2007. Price from USGS Mineral Commodity Summary 2009, and is the average plant price for quicklime and hydrate products in the US.</t>
  </si>
  <si>
    <t>Volume from USGS Mineral Yearbook 2007. Price from USGS Mineral Yearbook 2005, and is the price in the US for crushed limestone.</t>
  </si>
  <si>
    <t>Mercury</t>
  </si>
  <si>
    <t>Volume from USGS Mineral Yearbook 2007. Price from USGS Mineral Commodity Summary 2009, and is the price in the US.</t>
  </si>
  <si>
    <t>Molybdenum</t>
  </si>
  <si>
    <t>Sand-gravel aggregate</t>
  </si>
  <si>
    <t>Volume from USGS Mineral Yearbook 2007. Price from USGS Mineral Yearbook 2005, and is the price in the US for construction sand and gravel.</t>
  </si>
  <si>
    <t>Sands</t>
  </si>
  <si>
    <t>The 2008 EITI Report contains the figures for 2005 (though the figures given for 2005 in the 2009, 2010 and 2011 reports are significantly different). No other information is given however. The 2011 Report indicates that mining exports were worth US$239m in 2005.</t>
  </si>
  <si>
    <t>Volume from USGS Mineral Yearbook 2009. Price from BPSR 2014, and is an average of the American Central Appalachian, Asian and Northwest Europe marker/spot prices.</t>
  </si>
  <si>
    <t>This commodity is not mentioned in the EITI Report, but its production is reported on in the USGS Mineral Yearbook 2009.</t>
  </si>
  <si>
    <t>Volume from USGS Mineral Yearbook 2009. Price from World Bank (Global Economic Monitor (GEM) Commodities database), and is defined as: Gold (UK), 99.5% fine, London afternoon fixing, average of daily rates.</t>
  </si>
  <si>
    <t>Volume from USGS Mineral Yearbook 2009. Price from USGS Mineral Commodity 2009, and is the price for kaolin clay in the US.</t>
  </si>
  <si>
    <t>Volume from USGS Mineral Yearbook 2009. Price from USGS Mineral Commodity Summary 2009, and is the average plant price for quicklime and hydrate products in the US.</t>
  </si>
  <si>
    <t>Volume from USGS Mineral Yearbook 2009. Price from USGS Mineral Commodity Summary 2009, and is the price in the US.</t>
  </si>
  <si>
    <t>Volume from USGS Mineral Yearbook 2009. Price from USGS Mineral Yearbook 2005, and is the price in the US for construction sand and gravel.</t>
  </si>
  <si>
    <t>The 2008 EITI Report contains the figures for 2006 (though the figures given for 2006 in the 2009, 2010 and 2011 reports are significantly different). No other information is given however.  The 2011 Report indicates that mining exports were worth US$215m in 2006.</t>
  </si>
  <si>
    <t>Volume from USGS Mineral Yearbook 2009. Price from USGS Mineral Yearbook 2007, and is the price in the US for construction sand and gravel.</t>
  </si>
  <si>
    <t>The 2008 EITI Report contains the figures for 2007  (though the figures given for 2007 in the 2009, 2010 and 2011 reports are significantly different). No other information is given however.  The 2011 Report indicates that mining exports were worth US$250m in 2007.</t>
  </si>
  <si>
    <t>This commodity is not mentioned in the EITI Report, but its production is reported on in the USGS Mineral Yearbook 2009 (though there was insufficent data to estimate production volumes).</t>
  </si>
  <si>
    <t>Kumtor Gold Company Closed Joint-Stock Company, Kyrgyzaltyn Open Joint-Stock Company, Jerooyaltyn Closed Joint-Stock Company, Altynken LLC, Andash Mining Company LLC, Khaidarkan Mercury Joint-Stock Company Open Joint-Stock, Kadamjay Antimony Plant Open Joint-Stock Company, Kara-Balta Mining Plant Open Joint-Stock Company, Saryjaz Mineral Mining Company, Bozymchak Mining Company, Full Gold Mining LLC, Kichi-Chaarat Closed Joint-Stock Company, Kyrgyzneftegaz Open Joint-Stock Company, Besh-Sary-K LLC, Ak-Jol-Komur LLC, Razrez Ak-Ulak State Joint-Stock Company, Sharbon Closed Joint-Stock Company, Razrez Buzurmankul-T LLC, Shakhta Jyrgalan Open Joint-
Stock Company, Kok-Bel-Komur LLC, Kyzyl-Kyia komur Open Joint-Stock Company, Sulyukta-komur Joint-Stock Company, Bishkekstroymaterialy Open Joint-Stock Company, Kum-Shagyl Open Joint-Stock Company, Tokmok Plant KSM Open Joint-Stock Company, Silikat Open Joint-Stock Company, Iygilik Open Joint-Stock Company Company</t>
  </si>
  <si>
    <t>Annex 2</t>
  </si>
  <si>
    <t xml:space="preserve">Materiality threshold: Not given. Unilateral declarations are included in the figures, mainly unreconciled voluntary social payments US$1,931,346 that companies were asked to voluntarily report on. The report notes that production by these companies in 2008 was worth US$1,029,314,168 according to the government, and US$556,922,648 according to the companies, at current prices.  The 2011 Report indicates that total exports were worth US$480m in 2008. One of the revenue streams is dividends from state shares, but the report does not specify whether the state is the majority shareholder in any of the companies. </t>
  </si>
  <si>
    <t>Kyrgyzneftegaz Open Joint-Stock Company</t>
  </si>
  <si>
    <t xml:space="preserve">Volume from USGS Mineral Yearbook 2012. Price from BPSR 2014, and is an average of the UK, US and Canada Indices for natural gas. </t>
  </si>
  <si>
    <t xml:space="preserve">Oil </t>
  </si>
  <si>
    <t>Volume from USGS Mineral Yearbook 2012. Price from BPSR 2014, and is an average of the spot prices for Brent, Dubai, Nigerian Forcados and West Texas Intermediate crude oil.</t>
  </si>
  <si>
    <t>Kumtor Gold Company Closed Joint-Stock Company, Kyrgyzaltyn Open Joint-Stock Company, Jerooyaltyn Closed Joint-Stock Company, Altynken LLC, Andash Mining Company LLC, Khaidarkan Mercury Joint-Stock Company Open Joint-Stock, Kadamjay Antimony Plant Open Joint-Stock Company, Kara-Balta Mining Plant Open Joint-Stock Company, Saryjaz Mineral Mining Company, Bozymchak Mining Company, Full Gold Mining LLC, Kichi-Chaarat Closed Joint-Stock Company, Besh-Sary-K LLC, Ak-Jol-Komur LLC, Razrez Ak-Ulak State Joint-Stock Company, Sharbon Closed Joint-Stock Company, Razrez Buzurmankul-T LLC, Shakhta Jyrgalan Open Joint-Stock Company, Kok-Bel-Komur LLC, Kyzyl-Kyia komur Open Joint-Stock Company, Sulyukta-komur Joint-Stock Company, Bishkekstroymaterialy Open Joint-Stock Company, Kum-Shagyl Open Joint-Stock Company, Tokmok Plant KSM Open Joint-Stock Company, Silikat Open Joint-Stock Company, Iygilik Open Joint-Stock Company Company</t>
  </si>
  <si>
    <t>Besh-Sary-K LLC, Ak-Jol-Komur LLC, Razrez Ak-Ulak State Joint-Stock Company, Sharbon Closed Joint-Stock Company, Kyzyl-Kyia komur Open Joint-Stock Company, Sulyukta-komur Joint-Stock Company, Razrez Buzurmankul-T LLC, Shakhta Jyrgalan Open Joint-Stock Company, Kok-Bel-Komur LLC</t>
  </si>
  <si>
    <t xml:space="preserve">Construction Materials </t>
  </si>
  <si>
    <t>Bishkekstroymaterialy Open Joint-Stock Company, Kum-Shagyl Open Joint-Stock Company, Tokmok Plant KSM Open Joint-Stock Company, Silikat Open Joint-Stock Company, Iygilik Open Joint-Stock Company Company</t>
  </si>
  <si>
    <t>o/w Cement</t>
  </si>
  <si>
    <t>Volume from USGS Mineral Yearbook 2012. Price from USGS Mineral Commodity Summary 2009, and is the average mill price for cement in the US.</t>
  </si>
  <si>
    <t>o/w Clay</t>
  </si>
  <si>
    <t>o/w Gypsum</t>
  </si>
  <si>
    <t>o/w Kaolin clay</t>
  </si>
  <si>
    <t>o/w Lime</t>
  </si>
  <si>
    <t>Volume from USGS Mineral Yearbook 2012. Price from USGS Mineral Commodity Summary 2009, and is the average plant price for quicklime and hydrate products in the US.</t>
  </si>
  <si>
    <t>o/w Limestone</t>
  </si>
  <si>
    <t>o/w Sand-gravel aggregate</t>
  </si>
  <si>
    <t>o/w Sands</t>
  </si>
  <si>
    <t>Volume from USGS Mineral Yearbook 2012. Price from USGS Mineral Yearbook 2009, and is the price in the US for construction sand and gravel.</t>
  </si>
  <si>
    <t>Kumtor Gold Company Closed Joint-Stock Company</t>
  </si>
  <si>
    <t>Non-ferrous and rare metals</t>
  </si>
  <si>
    <t>Kadamjay Antimony Plant Open Joint-Stock Company, Saryjaz Mineral Mining Company, Bozymchak Mining Company, Khaidarkan Mercury Joint-Stock Company Open Joint-Stock, Kara-Balta Mining Plant Open Joint-Stock Company</t>
  </si>
  <si>
    <t>o/w Antimony</t>
  </si>
  <si>
    <t>Price from USGS Mineral Yearbook 2012 - defined as: New York dealer price for 99.5% to 99.6% metal, cost, insurance, freight U.S. ports - adjusted to account for the price given in the US Mining Industry Overview of Kyrgyzstan being an average 0.26% of this in 2004.</t>
  </si>
  <si>
    <t>Kadamjay Antimony Plant Open Joint-Stock Company</t>
  </si>
  <si>
    <t xml:space="preserve">   o/w Metal and compounds</t>
  </si>
  <si>
    <t xml:space="preserve">   o/w Antimony content</t>
  </si>
  <si>
    <t xml:space="preserve">   o/w Uranium content</t>
  </si>
  <si>
    <t xml:space="preserve">   o/w U3O8 content</t>
  </si>
  <si>
    <t xml:space="preserve">Materiality threshold: Not given. Unilateral declarations are included in the figures, mainly unreconciled voluntary social payments of US$3,206,788 that companies were asked to voluntarily report on. The 2011 Report indicates that exports were worth US$540m in 2009. One of the revenue streams is dividends from state shares, but the report does not specify whether the state is the majority shareholder in any of the companies. Disaggregation by commodity is based on the percentage breakdown in the report. The report does not provide actual figures for this.  </t>
  </si>
  <si>
    <t>Razrez Buzurmankul-T LLC, Shakhta Jyrgalan Open Joint-Stock Company, Kok-Bel-Komur LLC, Besh-Sary-K LLC, Ak-Jol-Komur LLC, Razrez Ak-Ulak State Joint-Stock Company, Sharbon Closed Joint-Stock Company, Kyzyl-Kyia komur Open Joint-Stock Company, Sulyukta-komur Joint-Stock Company</t>
  </si>
  <si>
    <t>Volume from USGS Mineral Yearbook 2012. Price from USGS Mineral Commodity Summary 2014, and is the average plant price for quicklime and hydrate products in the US.</t>
  </si>
  <si>
    <t>Kadamjay Antimony Plant Open Joint-Stock Company, Saryjaz Mineral Mining Company, Bozymchak Mining Company, Khaidarkan Mercury Joint-Stock Company Open Joint-Stock</t>
  </si>
  <si>
    <t>o/w Mercury</t>
  </si>
  <si>
    <t>Volume from USGS Mineral Yearbook 2012. Price from USGS Mineral Commodity Summary 2014, and is the price in the US.</t>
  </si>
  <si>
    <t>o/w Uranium processed)</t>
  </si>
  <si>
    <t>Kyrgyzneftegaz Open Joint-Stock Company, Ak-Jol Komur LLC, Tash Komur LLC, Sharbon JSC, Busurmankul T LLC, Shakhta Jyrgalan JSC, Kok-Bel Komur LLC, Kyzyl-Kiya Komur JSC, Sulyukta Komur JSC, Kara-Keche State Enterprise, Parity Coal LLC, Bishkekstroymaterialy JSC, Kum-Shagyl JSC, Tokmok plant KSM JSC, Silikat JSC, Iygilik JSC, South Plant of Construction Materials LLC, Kyrgyz Too-Tash JSC, ZhBI Plant JSC, Nur KM JSC, Dary-Bulak-Abshir LLC, South Kyrgyz Cement JSC, Dannur Yug LLC, Khaidarkan Mercury JSC, Kadamzhay Antimony Enterprise JSC, Saryjaz Mineral Mining Company LLC, Central Asian Tin Company LLC, Kutesay Mining LLC, Mineral Trade LLC, Polimetal Investstroi LLC, Kumtor Gold Company CJSC, Kyrgyzaltyn JSC, Vertex Gold Company LLC, Altynken LLC, Andash Mining Company LLC, Kazakhmys LLC, Full Gold Mining LLC, Kichi-Chaarat JSC, Fonta LLC, Eventys LLC, Dolina Kasana LLC, ELKO-service LLC, Interbusiness LLC, Kaidi Mining Investment Company LLC, Kumbel-Resource LLC</t>
  </si>
  <si>
    <t xml:space="preserve">KPMG Bishkek LLC </t>
  </si>
  <si>
    <t xml:space="preserve">Materiality threshold: Not given. Unilateral declarations are included in the figures. Voluntary social payments are not included in the figures as they are not disaggregated by company. Government reported voluntary social payments of US$6,458,023 while companies reported payments of US$2,691,182 (though the wording suggests these payment totals are the wrong idea). Some of these were payments in-kind, but the report does not specify the type or value of these. The 2011 Report indicates that exports were worth US$739m in 2010. One of the revenue streams is dividends from state shares, but the report does not specify whether the state is the majority shareholder in any of the companies. </t>
  </si>
  <si>
    <t>Ak-Jol Komur LLC, Tash Komur LLC, Sharbon JSC, Busurmankul T LLC, Shakhta Jyrgalan JSC, Kok-Bel Komur LLC, Kyzyl-Kiya Komur JSC, Sulyukta Komur JSC, Kara-Keche State Enterprise, Parity Coal LLC, Bishkekstroymaterialy JSC, Kum-Shagyl JSC, Tokmok plant KSM JSC, Silikat JSC, Iygilik JSC, South Plant of Construction Materials LLC, Kyrgyz Too-Tash JSC, ZhBI Plant JSC, Nur KM JSC, Dary-Bulak-Abshir LLC, South Kyrgyz Cement JSC, Dannur Yug LLC, Khaidarkan Mercury JSC, Kadamzhay Antimony Enterprise JSC, Saryjaz Mineral Mining Company LLC, Central Asian Tin Company LLC, Kutesay Mining LLC, Mineral Trade LLC, Polimetal Investstroi LLC, Kumtor Gold Company CJSC, Kyrgyzaltyn JSC, Vertex Gold Company LLC, Altynken LLC, Andash Mining Company LLC, Kazakhmys LLC, Full Gold Mining LLC, Kichi-Chaarat JSC, Fonta LLC, Eventys LLC, Dolina Kasana LLC, ELKO-service LLC, Interbusiness LLC, Kaidi Mining Investment Company LLC, Kumbel-Resource LLC</t>
  </si>
  <si>
    <t>13-15</t>
  </si>
  <si>
    <t>Ak-Jol Komur LLC, Tash Komur LLC,, Sharbon JSC, Busurmankul T LLC, Shakhta Jyrgalan JSC, Kok-Bel Komur LLC, Kyzyl-Kiya Komur JSC, Sulyukta Komur JSC, Kara-Keche State Enterprise, Parity Coal LLC</t>
  </si>
  <si>
    <t>Bishkekstroymaterialy JSC, Kum-Shagyl JSC, Tokmok plant KSM JSC, Silikat JSC, Iygilik JSC, South Plant of Construction Materials LLC, Kyrgyz Too-Tash JSC, ZhBI Plant JSC, Nur KM JSC, Dary-Bulak-Abshir LLC, South Kyrgyz Cement JSC, Dannur Yug LLC</t>
  </si>
  <si>
    <t>Khaidarkan Mercury JSC, Kadamzhay Antimony Enterprise JSC, Saryjaz Mineral Mining Company LLC, Central Asian Tin Company LLC, Kutesay Mining LLC, Mineral Trade LLC, Polimetal Investstroi LLC</t>
  </si>
  <si>
    <t>13-14</t>
  </si>
  <si>
    <t>Kyrgyzneftegaz Open Joint-Stock Company, Ak-Jol Komur LLC, Tash Komur LLC, Sharbon JSC, Busurmankul T LLC, Shakhta Jyrgalan JSC,  Kyzyl-Kiya Komur JSC, Sulyukta Komur JSC, Kara-Keche State Enterprise, Parity Coal LLC, Bereket JSC, Sulyukta Shakhakurulush LLC, AGK-Too Invest LLC, Pand-Sher LLC, Nur LLC, Ibraimov LLC, Maripov LLC, Kyzyl Bulak LLC, Ak Bulak LLC, Jumgal Suu Kurulush LLC, Tegene LLC, A Masaliev Shakhta Besh Burkhan LLC, Suliukta-Karabulak LLC, Bishkekstroymaterialy JSC, Kum-Shagyl JSC, Silikat JSC, Iygilik JSC, South Plant of Construction Materials LLC, Kyrgyz Too-Tash JSC, ZhBI Plant JSC, Nur KM JSC, Dary-Bulak-Abshir LLC, South Kyrgyz Cement JSC, Dannur Yug LLC, Kyrgyz Tash JSC, Onion Mining Company  LLC, Khaidarkan Mercury JSC, Kadamzhay Antimony Enterprise JSC, Saryjaz Mineral Mining Company LLC, Central Asian Tin Company LLC, Kutesay Mining LLC, Mineral Trade LLC, Kumtor Gold Company CJSC, Kyrgyzaltyn JSC, Altynken LLC, Andash Mining Company LLC, Kazakhmys LLC, Full Gold Mining LLC, Kichi-Chaarat JSC, Fonta LLC, Eventys LLC, Dolina Kasana LLC, ELKO-service LLC, Interbusiness LLC, Kaidi Mining Investment Company LLC, Vertex Gold Company LLC</t>
  </si>
  <si>
    <t>11</t>
  </si>
  <si>
    <t>Ak-Jol Komur LLC, Tash Komur LLC, Sharbon JSC, Busurmankul T LLC, Shakhta Jyrgalan JSC,  Kyzyl-Kiya Komur JSC, Sulyukta Komur JSC, Kara-Keche State Enterprise, Parity Coal LLC, Bereket JSC, Sulyukta Shakhakurulush LLC, AGK-Too Invest LLC, Pand-Sher LLC, Nur LLC, Ibraimov LLC, Maripov LLC, Kyzyl Bulak LLC, Ak Bulak LLC, Jumgal Suu Kurulush LLC, Tegene LLC, A Masaliev Shakhta Besh Burkhan LLC, Suliukta-Karabulak LLC, Bishkekstroymaterialy JSC, Kum-Shagyl JSC, Silikat JSC, Iygilik JSC, South Plant of Construction Materials LLC, Kyrgyz Too-Tash JSC, ZhBI Plant JSC, Nur KM JSC, Dary-Bulak-Abshir LLC, South Kyrgyz Cement JSC, Dannur Yug LLC, Kyrgyz Tash JSC, Onion Mining Company  LLC, Khaidarkan Mercury JSC, Kadamzhay Antimony Enterprise JSC, Saryjaz Mineral Mining Company LLC, Central Asian Tin Company LLC, Kutesay Mining LLC, Mineral Trade LLC, Kumtor Gold Company CJSC, Kyrgyzaltyn JSC, Altynken LLC, Andash Mining Company LLC, Kazakhmys LLC, Full Gold Mining LLC, Kichi-Chaarat JSC, Fonta LLC, Eventys LLC, Dolina Kasana LLC, ELKO-service LLC, Interbusiness LLC, Kaidi Mining Investment Company LLC, Vertex Gold Company LLC</t>
  </si>
  <si>
    <t>Ak-Jol Komur LLC, Tash Komur LLC, Sharbon JSC, Busurmankul T LLC, Shakhta Jyrgalan JSC,  Kyzyl-Kiya Komur JSC, Sulyukta Komur JSC, Kara-Keche State Enterprise, Parity Coal LLC, Bereket JSC, Sulyukta Shakhakurulush LLC, AGK-Too Invest LLC, Pand-Sher LLC, Nur LLC, Ibraimov LLC, Maripov LLC, Kyzyl Bulak LLC, Ak Bulak LLC, Jumgal Suu Kurulush LLC, Tegene LLC, A Masaliev Shakhta Besh Burkhan LLC, Suliukta-Karabulak LLC</t>
  </si>
  <si>
    <t>3, 14-15</t>
  </si>
  <si>
    <t>Bishkekstroymaterialy JSC, Kum-Shagyl JSC, Silikat JSC, Iygilik JSC, South Plant of Construction Materials LLC, Kyrgyz Too-Tash JSC, ZhBI Plant JSC, Nur KM JSC, Dary-Bulak-Abshir LLC, South Kyrgyz Cement JSC, Dannur Yug LLC, Kyrgyz Tash JSC, Onion Mining Company  LLC</t>
  </si>
  <si>
    <t>Kumtor Gold Company CJSC, Kyrgyzaltyn JSC, Altynken LLC, Andash Mining Company LLC, Kazakhmys LLC, Full Gold Mining LLC, Kichi-Chaarat JSC, Fonta LLC, Eventys LLC, Dolina Kasana LLC, ELKO-service LLC, Interbusiness LLC, Kaidi Mining Investment Company LLC, Vertex Gold Company LLC</t>
  </si>
  <si>
    <t>Khaidarkan Mercury JSC, Kadamzhay Antimony Enterprise JSC, Saryjaz Mineral Mining Company LLC, Central Asian Tin Company LLC, Kutesay Mining LLC, Mineral Trade LLC</t>
  </si>
  <si>
    <t>o/w Uranium</t>
  </si>
  <si>
    <t>Kyrgyzneftegaz Open Joint-Stock Company, Batkenneftegaz OJSC, South Derrik LLC, Textonic CJSC, GlavNefteGaz CJSC, Ak-Jol Komur LLC, Sharbon JSC, Busurmankul T LLC, Shakhta Jyrgalan JSC,  Kyzyl-Kiya Komur JSC, Sulyukta Komur JSC, Kara-Keche State Enterprise, Parity Coal LLC, Bereket JSC, Sulyukta Shakhakurulush LLC, AGK-Too Invest LLC, Pand-Sher LLC, Nur LLC, Ibraimov LLC, Maripov LLC, Kyzyl Bulak LLC, Ak Bulak LLC, Jumgal Suu Kurulush LLC, Tegene LLC, A Masaliev Shakhta Besh Burkhan LLC, Suliukta-Karabulak LLC, Shakhta Tulek LLC, Nark-Too LLC, UzgenEnergoUgol LLC, Bishkekstroymaterialy JSC, Kum-Shagyl JSC, Silikat JSC, Iygilik JSC, South Plant of Construction Materials LLC, Kyrgyz Too-Tash JSC, ZhBI Plant JSC, Nur KM JSC, Dary-Bulak-Abshir LLC, South Kyrgyz Cement JSC, Dannur Yug LLC, Kyrgyz Tash JSC, Onion Mining Company  LLC, ESK LTD LLC, Khaidarkan Mercury JSC, Kadamzhay Antimony Enterprise JSC, Saryjaz Mineral Mining Company LLC, Central Asian Tin Company LLC, Kutesay Mining LLC, Mineral Trade LLC, Merit More Investments Ltd, Sparkler Mining Inc, Kumtor Gold Company CJSC, Kyrgyzaltyn JSC, Altynken LLC, Andash Mining Company LLC, Kazakhmys LLC, Full Gold Mining LLC, Kichi-Chaarat JSC, Fonta LLC, Eventys LLC, Dolina Kasana LLC, ELKO-service LLC, Interbusiness LLC, Kaidi Mining Investment Company LLC, Vertex Gold Company LLC, Chaarat Zaav CJSC, Highland Exploration LLC, Kalton LLC, Kasansai-Ata LLC, Chatkal-17 LLC, GMK Alliance LLC, JENNAZTEM LLC, Kai Enterprise LLC</t>
  </si>
  <si>
    <t>10</t>
  </si>
  <si>
    <t>Materiality threshold: Companies that had an income of US$1,000,000 in 2012 should be reconciled. Unilateral declarations do not appear to be included in the figures. One of the revenue streams is dividends from state shares, but the report does not specify whether the state is the majority shareholder in any of the companies.</t>
  </si>
  <si>
    <t>Kyrgyzneftegaz Open Joint-Stock Company, Batkenneftegaz OJSC, South Derrik LLC, Textonic CJSC, GlavNefteGaz CJSC</t>
  </si>
  <si>
    <t xml:space="preserve">Production volume information from USGS Mineral Yearbook 2012 and price information from BPSR 2014. Price is an average of the UK, US and Canada Indices for natural gas. </t>
  </si>
  <si>
    <t>Production volume information from USGS Mineral Yearbook 2012 and price information from BPSR 2014. price is an average of the spot prices for Brent, Dubai, Nigerian Forcados and West Texas Intermediate crude oil.</t>
  </si>
  <si>
    <t>Ak-Jol Komur LLC, Sharbon JSC, Busurmankul T LLC, Shakhta Jyrgalan JSC,  Kyzyl-Kiya Komur JSC, Sulyukta Komur JSC, Kara-Keche State Enterprise, Parity Coal LLC, Bereket JSC, Sulyukta Shakhakurulush LLC, AGK-Too Invest LLC, Pand-Sher LLC, Nur LLC, Ibraimov LLC, Maripov LLC, Kyzyl Bulak LLC, Ak Bulak LLC, Jumgal Suu Kurulush LLC, Tegene LLC, A Masaliev Shakhta Besh Burkhan LLC, Suliukta-Karabulak LLC, Shakhta Tulek LLC, Nark-Too LLC, UzgenEnergoUgol LLC, Bishkekstroymaterialy JSC, Kum-Shagyl JSC, Silikat JSC, Iygilik JSC, South Plant of Construction Materials LLC, Kyrgyz Too-Tash JSC, ZhBI Plant JSC, Nur KM JSC, Dary-Bulak-Abshir LLC, South Kyrgyz Cement JSC, Dannur Yug LLC, Kyrgyz Tash JSC, Onion Mining Company  LLC, ESK LTD LLC, Khaidarkan Mercury JSC, Kadamzhay Antimony Enterprise JSC, Saryjaz Mineral Mining Company LLC, Central Asian Tin Company LLC, Kutesay Mining LLC, Mineral Trade LLC, Merit More Investments Ltd, Sparkler Mining Inc, Kumtor Gold Company CJSC, Kyrgyzaltyn JSC, Altynken LLC, Andash Mining Company LLC, Kazakhmys LLC, Full Gold Mining LLC, Kichi-Chaarat JSC, Fonta LLC, Eventys LLC, Dolina Kasana LLC, ELKO-service LLC, Interbusiness LLC, Kaidi Mining Investment Company LLC, Vertex Gold Company LLC, Chaarat Zaav CJSC, Highland Exploration LLC, Kalton LLC, Kasansai-Ata LLC, Chatkal-17 LLC, GMK Alliance LLC, JENNAZTEM LLC, Kai Enterprise LLC</t>
  </si>
  <si>
    <t>18-20</t>
  </si>
  <si>
    <t>Ak-Jol Komur LLC, Sharbon JSC, Busurmankul T LLC, Shakhta Jyrgalan JSC,  Kyzyl-Kiya Komur JSC, Sulyukta Komur JSC, Kara-Keche State Enterprise, Parity Coal LLC, Bereket JSC, Sulyukta Shakhakurulush LLC, AGK-Too Invest LLC, Pand-Sher LLC, Nur LLC, Ibraimov LLC, Maripov LLC, Kyzyl Bulak LLC, Ak Bulak LLC, Jumgal Suu Kurulush LLC, Tegene LLC, A Masaliev Shakhta Besh Burkhan LLC, Suliukta-Karabulak LLC, Shakhta Tulek LLC, Nark-Too LLC, UzgenEnergoUgol LLC</t>
  </si>
  <si>
    <t>Production volume information from USGS Mineral Yearbook 2012 and price information from BPSR 2014. Price is an average of the American Central Appalachian, Asian and Northwest Europe marker/spot prices.</t>
  </si>
  <si>
    <t>Bishkekstroymaterialy JSC, Kum-Shagyl JSC, Silikat JSC, Iygilik JSC, South Plant of Construction Materials LLC, Kyrgyz Too-Tash JSC, ZhBI Plant JSC, Nur KM JSC, Dary-Bulak-Abshir LLC, South Kyrgyz Cement JSC, Dannur Yug LLC, Kyrgyz Tash JSC, Onion Mining Company  LLC, ESK LTD LLC</t>
  </si>
  <si>
    <t>Kumtor Gold Company CJSC, Kyrgyzaltyn JSC, Altynken LLC, Andash Mining Company LLC, Kazakhmys LLC, Full Gold Mining LLC, Kichi-Chaarat JSC, Fonta LLC, Eventys LLC, Dolina Kasana LLC, ELKO-service LLC, Interbusiness LLC, Kaidi Mining Investment Company LLC, Vertex Gold Company LLC, Chaarat Zaav CJSC, Highland Exploration LLC, Kalton LLC, Kasansai-Ata LLC, Chatkal-17 LLC, GMK Alliance LLC, JENNAZTEM LLC, Kai Enterprise LLC</t>
  </si>
  <si>
    <t>Khaidarkan Mercury JSC, Kadamzhay Antimony Enterprise JSC, Saryjaz Mineral Mining Company LLC, Central Asian Tin Company LLC, Kutesay Mining LLC, Mineral Trade LLC, Merit More Investments Ltd, Sparkler Mining Inc</t>
  </si>
  <si>
    <t>o/w Lead</t>
  </si>
  <si>
    <t>Production volume information from USGS Mineral Yearbook 2012.</t>
  </si>
  <si>
    <t>http://www.leiti.org.lr/</t>
  </si>
  <si>
    <t>United States Dollar and Liberian Dollar</t>
  </si>
  <si>
    <t>Broadway Consolidated Plc, NOCAL, Oranto Petroleum Limited, Unitimber, UFC Regnais, African Aura Resources, Afro Minerals, Amlib United Minerals, ArcelorMittal Liberia, BEA Mountain Mining Corporation, BHP Billiton World Exploration, Broadway Consolidated Plc, Bukon Jedeh Resources, Crafton Development INC, Ducor Minerals Incorporated, G-10 Resources Inc, Golden Ventures Inc, Hummingbird Resources, Iron Resources Limited, KPO Resources Corporation, Liberia Gold Corporation, Liberty Gold &amp; Diamond Mining Inc, Magma Mineral Resources Inc., Mano River Resources Incorporated, Ousomar Mines &amp; Minerals, Precious Minerals &amp; Mining CO, Target Resources Inc., T-Rex Resources Inc, Universal Mining Corporation, Western Mineral Resources
Corporation</t>
  </si>
  <si>
    <t xml:space="preserve">Crane White and Associates </t>
  </si>
  <si>
    <t>The report covers the  financial year of 1 July 2007 to 30 June 2008. The report uses US dollars and the local currency, the Liberian Dollar. An exchange rate is not provided to convert the latter, so that of the World Bank, adjusted to account for the fiscal year, is used (http://data.worldbank.org/indicator/PA.NUS.FCRF). Materiality threshold: All known companies were requested to participate. Only the 30 companies that did are named in the report. The report doesn't specify what minerals are mined. Unilateral declarations do not appear to be included in the report. The National Oil COmpany of Liberia (NOCAL) was establised by Liberia's National Legislature to undertake and/or facilitate the exploration and establishment of the country's liquid and gaseous hydrocarbons deposits. Its actual role is not apparent is not clear from the report however.</t>
  </si>
  <si>
    <t>Broadway Consolidated Plc, NOCAL, Oranto Petroleum Limited</t>
  </si>
  <si>
    <t>Production volume information from EIA, adjusted to account for the fiscal year.</t>
  </si>
  <si>
    <t>African Aura Resources, Afro Minerals, Amlib United Minerals, ArcelorMittal Liberia, BEA Mountain Mining Corporation, BHP Billiton World Exploration, Broadway Consolidated Plc, Bukon Jedeh Resources, Crafton Development INC, Ducor Minerals Incorporated, G-10 Resources Inc, Golden Ventures Inc, Hummingbird Resources, Iron Resources Limited, KPO Resources Corporation, Liberia Gold Corporation, Liberty Gold &amp; Diamond Mining Inc, Magma Mineral Resources Inc., Mano River Resources Incorporated, Ousomar Mines &amp; Minerals, Precious Minerals &amp; Mining CO, Target Resources Inc., T-Rex Resources Inc, Universal Mining Corporation, Western Mineral Resources
Corporation</t>
  </si>
  <si>
    <t>Volume from USGS Mineral Yearbook 2011, adjusted to account for the fiscal year. Price from USGS Mineral Commodity Summary 2009, and is the average mill price for cement in the US, adjusted to account for the fiscal year.</t>
  </si>
  <si>
    <t>Production volume information from USGS Mineral Yearbook 2011, adjusted to account for the fiscal year.</t>
  </si>
  <si>
    <t>Volume from USGS Mineral Yearbook 2011, adjusted to account for the fiscal year. Price from kimberley Process Annual Summary 2007 and 2008, adjusted to account for the fiscal year.</t>
  </si>
  <si>
    <t>Volume from USGS Mineral Yearbook 2011, adjusted to account for the fiscal year. Price from World Bank (Global Economic Monitor (GEM) Commodities database) - defined as: Gold (UK), 99.5% fine, London afternoon fixing, average of daily rates - adjusted to account for the fiscal year and for the price given in the 2012 EITI Report being 86.63% of this in the fiscal year of 2011-12.</t>
  </si>
  <si>
    <t>Production volume information from USGS Mineral Yearbook 2011 and price information from World Bank (Global Economic Monitor (GEM) Commodities database), adjusted to account for the fiscal year. Price is defined as: Gold (UK), 99.5% fine, London afternoon fixing, average of daily rates.</t>
  </si>
  <si>
    <t>Volume from USGS Mineral Yearbook 2011, adjusted to account for the fiscal year. Price from USGS Mineral Yearbook 2009, and is the price in the US for construction sand and gravel, adjusted to account for the fiscal year.</t>
  </si>
  <si>
    <t>Stone (crushed)</t>
  </si>
  <si>
    <t>Volume from USGS Mineral Yearbook 2011, adjusted to account for the fiscal year. Price from USGS Mineral Yearbook 2009, and is the price in the US for crushed misecellaneous stone, adjusted to account for the fiscal year.</t>
  </si>
  <si>
    <t>Other</t>
  </si>
  <si>
    <t>Forestry</t>
  </si>
  <si>
    <t>Unitimber, UFC Regnais</t>
  </si>
  <si>
    <t>Broadway Consolidated Plc, NOCAL, Oranto Petroleum Limited, Anadarko Group, International Resources Strategic Liberia Energy, AmLib United Minerals, Bea Mountain Mining Corp, Putu Iron Ore Mining Inc, Liberia Gold Corporation, Western Mineral Resources Corp,
KPO Resources, Alex Stewart Assayers Ltd., Bokun Jedeh Resources Inc, ArcelorMittal Liberia, 
African Aura Resources,
B H P Billiton World Exploration, Broadway Consolidated PLC, Ducor Minerals, Inc. (Diamond Fields, Inc), Hummingbird Resources, Afro Minerals, Deveton Mining Company, Sinoe Exploration, Precious Minerals Mining Company, SubSea Resources DMCC, Italgems &amp; Malavasi Mining Company, Black Sand Mining Company, Kwakmas Inc. Texas International Group, Pride Land, KBL Mining Company, Mancnemo Incorporated,
China Union Investment (Liberia) Bong
Mines Company Ltd, China Union (Hong Kong) Gold Investment, Ocean Bottom Resource West Africa Inc., Fundy Minerals Ltd, Shine Star Business Corporation, Vision Inc, Golden Vision Trading, Royal Company, Nimba Diamond Enterprises, A D M T Company, Gemmacom Liberia Limited, Yuly Diam Company Inc, Tarpeh Timber Co., B&amp;V Timber Company, Bargor &amp; Bargor Enterprise Inc., Alpha Logging &amp; Wood Processing Inc., E J &amp; J Investment Corporation, Liberia Tree and Trading Company, Euro Logging, D. C. Wilson Incorporated, Geblo Logging, BOPOLU, UNITIMBER Corporation, UNIVERSAL Forestry Corporation, Malavasi Logging Company, Atlantic Resources LTA, Global Wood Industries Inc, Olam Liberia Ltd, International Consultant Capital, Omiejoe Group of Companies Inc., S &amp; Z Corporation Liberia Inc, Buchanan Renewable Energy, Salala Rubber Corp, Liberia Agricultural Company, Cavalla Rubber Corporation, Firestone Liberia, Cocopa, Sime Darby, LIBINC Oil Palm Inc., NOVEL Liberia Inc, Equatorial Bio-Fuels Liberia</t>
  </si>
  <si>
    <t>Broadway Consolidated Plc, NOCAL, Oranto Petroleum Limited, Anadarko Group, International Resources Strategic Liberia Energy</t>
  </si>
  <si>
    <t>AmLib United Minerals, Bea Mountain Mining Corp, Putu Iron Ore Mining Inc, Liberia Gold Corporation, Western Mineral Resources Corp,
KPO Resources, Alex Stewart Assayers Ltd., Bokun Jedeh Resources Inc, ArcelorMittal Liberia, 
African Aura Resources,
B H P Billiton World Exploration, Broadway Consolidated PLC, Ducor Minerals, Inc. (Diamond Fields, Inc), Hummingbird Resources, Afro Minerals, Deveton Mining Company, Sinoe Exploration, Precious Minerals Mining Company, SubSea Resources DMCC, Italgems &amp; Malavasi Mining Company, Black Sand Mining Company, Kwakmas Inc. Texas International Group, Pride Land, KBL Mining Company, Mancnemo Incorporated,
China Union Investment (Liberia) Bong
Mines Company Ltd, China Union (Hong Kong) Gold Investment, Ocean Bottom Resource West Africa Inc., Fundy Minerals Ltd, Shine Star Business Corporation, Vision Inc, Golden Vision Trading, Royal Company, Nimba Diamond Enterprises, A D M T Company, Gemmacom Liberia Limited, Yuly Diam Company Inc</t>
  </si>
  <si>
    <t>Volume from USGS Mineral Yearbook 2011, adjusted to account for the fiscal year. Price from kimberley Process Annual Summary 2008 and 2009, adjusted to account for the fiscal year.</t>
  </si>
  <si>
    <t>Tarpeh Timber Co., B&amp;V Timber Company, Bargor &amp; Bargor Enterprise Inc., Alpha Logging &amp; Wood Processing Inc., E J &amp; J Investment Corporation, Liberia Tree and Trading Company, Euro Logging, D. C. Wilson Incorporated, Geblo Logging, BOPOLU, UNITIMBER Corporation, UNIVERSAL Forestry Corporation, Malavasi Logging Company, Atlantic Resources LTA, Global Wood Industries Inc, Olam Liberia Ltd, International Consultant Capital, Omiejoe Group of Companies Inc., S &amp; Z Corporation Liberia Inc, Buchanan Renewable Energy</t>
  </si>
  <si>
    <t>Agriculture</t>
  </si>
  <si>
    <t>Salala Rubber Corp, Liberia Agricultural Company, Cavalla Rubber Corporation, Firestone Liberia, Cocopa, Sime Darby, LIBINC Oil Palm Inc., NOVEL Liberia Inc, Equatorial Bio-Fuels Liberia</t>
  </si>
  <si>
    <t>Broadway Consolidated Plc, NOCAL, Oranto Petroleum Limited, Anadarko Group, International Resources Strategic Liberia Energy, Regal Liberia Limited/European Hydrocarbons Limited - African Petroleum Corporation, AmLib United Minerals, Bea Mountain Mining Corp, Putu Iron Ore Mining Inc, KPO Resources, Alex Stewart Assayers Ltd., Bokun Jedeh Resources Inc, ArcelorMittal Liberia, B H P Billiton World Exploration, Ducor Minerals, Inc. (Diamond Fields, Inc), Hummingbird Resources, Afro Minerals, Deveton Mining Company, Sinoe Exploration, Precious Minerals Mining Company, SubSea Resources DMCC, Texas International Group, KBL Liberia Mining Company, China Union Mining Corporation Limited, Ocean Bottom Resource West Africa Inc., Shine Star Business Corporation, Vision Inc, Golden Vision Trading, Royal Company, A D M T Company, Yuly Diam Company Inc, Konblo Bumi Incorporated, Golden Mass Trading, Treco Mining company, West Africa Gold and Diamond Incorporated, Pedra Corporation, H10 International Incorporated, Star Diamond Company, Jamu Resources Incorporated, Ascension Resources Corporation, Global Mining Incorporated, N.E.S. Incorporated, Massa Investment Coporation, Larwuo-Wolu Incorporated, Thackett Mining Incorporated, Australian Exploration, G-10 Exploration Incorporated, Liberty Gold and Diamond Mning, Global Minerals Investment, YOussef Diamond Mining Company, African Aura Resources Liberia Limited, Horizon Investment Incorporated, Diasoma Mineral Incorporated, M &amp; G Infinity Incorporated, Noya Mining Company Limited, S.A.J. Minerals, Libera Tailing Incorporated, J.D.C. Diamond, Estmor Gold Mining Company, Five Talents Incorporated, Explorex Overseas Limited, Weajue Hill Mining Corporation, Fairview Mineral Incorporated, Hualee International Corporation, Sinlib Mining Company Liberia Limited, CIT Incorporated, Contact Internatonal Clearing Agency, RAFF Resouces Incorporated, GBF Investments Incorporated, Louise T Steele, BSG Resources Liberia Limited, Silla Enteprises Incorporated, Fine Minerals Inter Limited, Balaji Gems Export-Import Incorporated, Kights Group Incorporated, Liberia Mining Company, Explorex Liberia Company, KPO Resources Incorporated, Comptoire de Diamant du Liberia, International Mining Assciate Incorporated, Belle Resources Limited, Liberia Gold Refinery Corporation, Small Scale Miners (consolidated), Tarpeh Timber Co., B&amp;V Timber Company, Bargor &amp; Bargor Enterprise Inc., Alpha Logging &amp; Wood Processing Inc., E J &amp; J Investment Corporation, Liberia Tree and Trading Company, Euro Liberia Logging Company, Geblo Logging, Bopolu Development, Universal Forestry Corporation, Malavasi Logging Company, Atlantic Resources LTA, International Consultant Capital, Ecowood Incorporated/Texas International Incorporated, Mandra LTTC Incorporated, Mandra Forestry Liberia Limited, Bassa Timber and Logging Company, Eco Timber, Akewa Group of Companies, Pit Sawyers (consolidated), Salala Rubber Company, Liberian Agricultural Company, Cavalla Rubber Corporation, Firestone Liberia, The Liberia Company (LIBCO-COCOPA), Sime Darby, LIBINC Oil Palm Inc., NOVEL Liberia Inc, Equatorial Palm Oil, Buchanan Renewables Fuel Incorporated, Morris American Rubber Company, Liberia Forest Products Incorporated, The Lee Group of Companies, ADA/LAP</t>
  </si>
  <si>
    <t>Broadway Consolidated Plc, NOCAL, Oranto Petroleum Limited, Anadarko Group, International Resources Strategic Liberia Energy, Regal Liberia Limited/European Hydrocarbons Limited - African Petroleum Corporation</t>
  </si>
  <si>
    <t>AmLib United Minerals, Bea Mountain Mining Corp, Putu Iron Ore Mining Inc, KPO Resources, Alex Stewart Assayers Ltd., Bokun Jedeh Resources Inc, ArcelorMittal Liberia, B H P Billiton World Exploration, Ducor Minerals, Inc. (Diamond Fields, Inc), Hummingbird Resources, Afro Minerals, Deveton Mining Company, Sinoe Exploration, Precious Minerals Mining Company, SubSea Resources DMCC, Texas International Group, KBL Liberia Mining Company, China Union Mining Corporation Limited, Ocean Bottom Resource West Africa Inc., Shine Star Business Corporation, Vision Inc, Golden Vision Trading, Royal Company, A D M T Company, Yuly Diam Company Inc, Konblo Bumi Incorporated, Golden Mass Trading, Treco Mining company, West Africa Gold and Diamond Incorporated, Pedra Corporation, H10 International Incorporated, Star Diamond Company, Jamu Resources Incorporated, Ascension Resources Corporation, Global Mining Incorporated, N.E.S. Incorporated, Massa Investment Coporation, Larwuo-Wolu Incorporated, Thackett Mining Incorporated, Australian Exploration, G-10 Exploration Incorporated, Liberty Gold and Diamond Mning, Global Minerals Investment, YOussef Diamond Mining Company, African Aura Resources Liberia Limited, Horizon Investment Incorporated, Diasoma Mineral Incorporated, M &amp; G Infinity Incorporated, Noya Mining Company Limited, S.A.J. Minerals, Libera Tailing Incorporated, J.D.C. Diamond, Estmor Gold Mining Company, Five Talents Incorporated, Explorex Overseas Limited, Weajue Hill Mining Corporation, Fairview Mineral Incorporated, Hualee International Corporation, Sinlib Mining Company Liberia Limited, CIT Incorporated, Contact Internatonal Clearing Agency, RAFF Resouces Incorporated, GBF Investments Incorporated, Louise T Steele, BSG Resources Liberia Limited, Silla Enteprises Incorporated, Fine Minerals Inter Limited, Balaji Gems Export-Import Incorporated, Kights Group Incorporated, Liberia Mining Company, Explorex Liberia Company, KPO Resources Incorporated, Comptoire de Diamant du Liberia, International Mining Assciate Incorporated, Belle Resources Limited, Liberia Gold Refinery Corporation, Small Scale Miners (consolidated)</t>
  </si>
  <si>
    <t>6-7</t>
  </si>
  <si>
    <t>Volume from USGS Mineral Yearbook 2011, adjusted to account for the fiscal year. Price from USGS Mineral Commodity Summary 2014, and is the average mill price for cement in the US, adjusted to account for the fiscal year.</t>
  </si>
  <si>
    <t>Volume from USGS Mineral Yearbook 2011, adjusted to account for the fiscal year. Price from kimberley Process Annual Summary 2009 and 2010, adjusted to account for the fiscal year.</t>
  </si>
  <si>
    <t>Volume from USGS Mineral Yearbook 2011, adjusted to account for the fiscal year. Price from USGS Mineral Yearbook 2010, and is the price in the US for construction sand and gravel, adjusted to account for the fiscal year.</t>
  </si>
  <si>
    <t>Volume from USGS Mineral Yearbook 2011, adjusted to account for the fiscal year. Price from USGS Mineral Yearbook 2010, and is the price in the US for crushed misecellaneous stone, adjusted to account for the fiscal year.</t>
  </si>
  <si>
    <t>Tarpeh Timber Co., B&amp;V Timber Company, Bargor &amp; Bargor Enterprise Inc., Alpha Logging &amp; Wood Processing Inc., E J &amp; J Investment Corporation, Liberia Tree and Trading Company, Euro Liberia Logging Company, Geblo Logging, Bopolu Development, Universal Forestry Corporation, Malavasi Logging Company, Atlantic Resources LTA, International Consultant Capital, Ecowood Incorporated/Texas International Incorporated, Mandra LTTC Incorporated, Mandra Forestry Liberia Limited, Bassa Timber and Logging Company, Eco Timber, Akewa Group of Companies, Pit Sawyers (consolidated)</t>
  </si>
  <si>
    <t>7-8</t>
  </si>
  <si>
    <t>Salala Rubber Company, Liberian Agricultural Company, Cavalla Rubber Corporation, Firestone Liberia, The Liberia Company (LIBCO-COCOPA), Sime Darby, LIBINC Oil Palm Inc., NOVEL Liberia Inc, Equatorial Palm Oil, Buchanan Renewables Fuel Incorporated, Morris American Rubber Company, Liberia Forest Products Incorporated, The Lee Group of Companies, ADA/LAP</t>
  </si>
  <si>
    <t>See below</t>
  </si>
  <si>
    <t>African Petroleum, Anardarko, Chevron, National Oil Company, Oranto Petroleum, Peppercoast, AmLib United Minerals, Afric DIam Company Ltd, Bea Mountain Mining Corp, Putu Iron Ore Mining Inc, Bokun Jedeh Resources Inc, ArcelorMittal Liberia, B H P Billiton World Exploration, Hummingbird Resources, Afro Minerals, Sinoe Exploration, KBL Liberia Mining Company, China Union Mining Corporation Limited, Ocean Bottom Resource West Africa Inc., Golden Vision Trading, Royal Company, A D M T Liberia, Konblo Bumi Incorporated, Golden Mass, Treco Mining company, West Africa Gold and Diamond Incorporated, Pedra Mining, Star Diamond Company, Ascension Resources Corporation, Global Mining Incorporated, Massa Investment Coporation, Thackett Mining Incorporated, Global Mineral Investment, Youssef Diamond Mining Company, Diasoma Mineral Incorporated, Fine Minerals International Limited, Belle Resources Limited, African Gold Mining, Brown Stone Inc, Charis Mineral Inc, Gryphon Minerals, Hamana International, International Business Exchanges, Investment Developemtn Corporation, Iron Resources Limited, MIddle Island Resources, Pedra Mining, Planet Minerals Limited, Southern Cross, Spri Group Africa Ltd,  Star Diamond Company, Superior Mineral Resources Ltd, Task Investment Ltd, The Diamond Star Plus, Trade Right, VbgVale bsgr Liberia Ltd, Voila International Inc, West African Resources Co. Ltd, West peak Iron Ltd, Winestock Development Ltd, Hard Rock Crusher, Deveton Mining Company, Planet Minerals Mining, South East, Iron Bird Resources Inc., Jungle Water Group Of Investment, Comptoir De Diamant, Alpha B. Diallo, Bentley Business Center Mining, Dykov Dumar Mining, Good Brother Trading Mining, Millinarie Gold Mining, Taiti Trading Mining, Gemrocks Mining Inc, Across Africa Incorporated, Consolidated Brokers' License, Consolidated Class B Licenses, Consolidated Class C licenses, Consolidated Gold Dealers' Licenses, Consolidated Prospecting Licenses,  Tarpeh Timber Co., B&amp;V Timber Company, Bargor &amp; Bargor Enterprise Inc., Alpha Logging &amp; Wood Processing Inc., E J &amp; J Investment Corporation, Liberia Tree and Trading Company, Euro Liberia Logging Company, Geblo Logging, Atlantic Resources LTA, International Consultant Capital, Ecowood Incorporated, Mandra Forestry Liberia Limited, Bassa Logging &amp; Timber, Ecotimbers Liberia Limited, Akewa Group of Companies, K-Mark Indo Liberia Ltd, Mandra LTTC Incorporated, Thunder Bird International Limited, Sun Yeun Corporation, Pit Sawyers (consolidated), Salala Rubber Company, Liberian Agricultural Company, Cavalla Rubber Corporation, Firestone Liberia, The Liberia Company (LIBCO-COCOPA), Sime Darby, LIBINC Oil Palm Inc., Buchanan Renewables Fuel Incorporated, Morris American Rubber Company, Liberia Forest Products Incorporated, Golden Veroleum</t>
  </si>
  <si>
    <t>Ernst &amp; Young - MGI Monbo and Co.</t>
  </si>
  <si>
    <t>29, 50</t>
  </si>
  <si>
    <t>University of Liberia furniture, low cost housing, resettlement, youth support services (no volumes given)</t>
  </si>
  <si>
    <t>African Petroleum, Anardarko, Chevron, National Oil Company, Oranto Petroleum, Peppercoast</t>
  </si>
  <si>
    <t>29, 54</t>
  </si>
  <si>
    <t>&lt;50km road renovation, construction of a clinic/hospital, water and sanitation, youth support services</t>
  </si>
  <si>
    <t>AmLib United Minerals, Afric DIam Company Ltd, Bea Mountain Mining Corp, Putu Iron Ore Mining Inc, Bokun Jedeh Resources Inc, ArcelorMittal Liberia, B H P Billiton World Exploration, Hummingbird Resources, Afro Minerals, Sinoe Exploration, KBL Liberia Mining Company, China Union Mining Corporation Limited, Ocean Bottom Resource West Africa Inc., Golden Vision Trading, Royal Company, A D M T Liberia, Konblo Bumi Incorporated, Golden Mass, Treco Mining company, West Africa Gold and Diamond Incorporated, Pedra Mining, Star Diamond Company, Ascension Resources Corporation, Global Mining Incorporated, Massa Investment Coporation, Thackett Mining Incorporated, Global Mineral Investment, Youssef Diamond Mining Company, Diasoma Mineral Incorporated, Fine Minerals International Limited, Belle Resources Limited, African Gold Mining, Brown Stone Inc, Charis Mineral Inc, Gryphon Minerals, Hamana International, International Business Exchanges, Investment Developemtn Corporation, Iron Resources Limited, MIddle Island Resources, Pedra Mining, Planet Minerals Limited, Southern Cross, Spri Group Africa Ltd,  Star Diamond Company, Superior Mineral Resources Ltd, Task Investment Ltd, The Diamond Star Plus, Trade Right, VbgVale bsgr Liberia Ltd, Voila International Inc, West African Resources Co. Ltd, West peak Iron Ltd, Winestock Development Ltd, Hard Rock Crusher, Deveton Mining Company, Planet Minerals Mining, South East, Iron Bird Resources Inc., Jungle Water Group Of Investment,
Comptoir De Diamant, Alpha B. Diallo, Bentley Business Center Mining, Dykov Dumar Mining, Good Brother Trading Mining, Millinarie Gold Mining, Taiti Trading Mining, Gemrocks Mining Inc, Across Africa Incorporated, Consolidated Brokers' License, Consolidated Class B Licenses, Consolidated Class C licenses, Consolidated Gold Dealers' Licenses, Consolidated Prospecting Licenses</t>
  </si>
  <si>
    <t>29, 51-53</t>
  </si>
  <si>
    <t>Volume from USGS Mineral Yearbook 2011, adjusted to account for the fiscal year. Price from kimberley Process Annual Summary 2010 and 2011, adjusted to account for the fiscal year.</t>
  </si>
  <si>
    <t>Volume from USGS Mineral Yearbook 2011, adjusted to account for the fiscal year. Price from World Bank (Global Economic Monitor (GEM) Commodities database) - defined as: Iron ore (any origin) fines, spot price, c.f.r. China, 62% Fe - adjusted to account for the fiscal year.</t>
  </si>
  <si>
    <t>Volume from USGS Mineral Yearbook 2011, adjusted to account for the fiscal year. Price from USGS Mineral Yearbook 2012, and is the price in the US for construction sand and gravel, adjusted to account for the fiscal year.</t>
  </si>
  <si>
    <t>Volume from USGS Mineral Yearbook 2011, adjusted to account for the fiscal year. Price from USGS Mineral Yearbook 2012, and is the price in the US for crushed misecellaneous stone, adjusted to account for the fiscal year.</t>
  </si>
  <si>
    <t>Various including 200 miles road rehabilitation, 88 education scholarships, 52 teacher salaries, an adult education programme for 250 students, clinic/hospital supplies, water and sanitation</t>
  </si>
  <si>
    <t>Tarpeh Timber Co., B&amp;V Timber Company, Bargor &amp; Bargor Enterprise Inc., Alpha Logging &amp; Wood Processing Inc., E J &amp; J Investment Corporation, Liberia Tree and Trading Company, Euro Liberia Logging Company, Geblo Logging, Atlantic Resources LTA, International Consultant Capital, Ecowood Incorporated, Mandra Forestry Liberia Limited, Bassa Logging &amp; Timber, Ecotimbers Liberia Limited, Akewa Group of Companies, K-Mark Indo Liberia Ltd, Mandra LTTC Incorporated, Thunder Bird International Limited, Sun Yeun Corporation, Pit Sawyers (consolidated)</t>
  </si>
  <si>
    <t>29, 57</t>
  </si>
  <si>
    <t>Road construction, market building construction, education scholarships, water and sanitation, youth support services (no volumes given)</t>
  </si>
  <si>
    <t>Salala Rubber Company, Liberian Agricultural Company, Cavalla Rubber Corporation, Firestone Liberia, The Liberia Company (LIBCO-COCOPA), Sime Darby, LIBINC Oil Palm Inc., Buchanan Renewables Fuel Incorporated, Morris American Rubber Company, Liberia Forest Products Incorporated, Golden Veroleum</t>
  </si>
  <si>
    <t>29, 55-56</t>
  </si>
  <si>
    <t>Various including road rehabilitation, education scholarships, clinic/hospital supplies, water and sanitation, youth support services (volumes generally not given)</t>
  </si>
  <si>
    <t xml:space="preserve">African Petroleum, Anardarko, Chevron, National Oil Company, Oranto Petroleum, Broadway Peppercoast, Western Cluster Limited, Arcelor Mittal Liberia, China Union Investment (Liberia) Bong Mines Company Limited, BHP Biliton (Liberia) Incorporated, Putu Iron Mining Company, Amlib United Minerals Incorporated, Bea Mountain Mining Coporation, Hummingbird Resources Incorporated, Bukon Jedeh Resources Incorporated, Pedsam Mining Limited, Knights Group Incorporated, Souterhn Cross Investment Limited, Tietto Minerals (Liberia) Limited, Jonah Capital (BVI) Limited, Konblo Bumi Incorporated, Investment Development Corporation, BG Minerals (Liberia) Limited, West Peak Iron Limited, Birimian Gold Limited, BCM INternational, Iron Resources Limited, Deveton Mining Company, Sinoe Exploration Limited, Middle Island Resources Liberia Limited, Noya Mining Company, Tiawana Resources Liberia, Planet Mines and Mienrals Limited, Treco Mining Company, Global Minerals Investment LLC, Acquarian Commercial Holdings Inc., Youssef Diamond Mining Company, Bopulu Commercial Ltd, WInestock Development Liberia Corporation, West African Resources (Lib) Corp. Limtied, Archaen Gold, Superior Mineral Resources Incorporated, African Gold Mining Liberia Limited, Mount Belle Resources (Liberia) Limited, Aforo Resources/Indo Gold Ltd, Afro Minerals Incorporated (Kana Hills), Ironbird Resources Incorporated, BAO CHICO Resources Liberia Limited, Ascension Resources Corporation, Jamu Resources Incorporated, Salmec Resources Limited (Belle Resources Limited), THackett Mining Incorporated, Voila International Inc., Liberia Development corporation, Shankil Resources (Liberia) Inc., Royal COmpany, VBG Valle BSGR Liberia, The Diamond Star Plus Inc., Steinbock Mineral (lib) Ltd, Damaka Mining Inc., Sarama Mining Liberia Ltd, Sinoe Mining and Exploration Inc., Consor International (Liberia) ltd, Earthcons Inc., Weajue Hill Mining, Fine Mineral International Ltd, Alex Stewart (Assayers) Ltd, Mining and Geotechnical (Lib) Ltd, Elephant Fall Mining Company, Lofa Mineral Minerals Corporation, Nimba Mining Company, H-10 International Inc., Kidoon Enterprises Inc., Pedra Mining, Comptoire de Diamant, Xin Yuan Transnational Corporation Inc., Handin Resources Investment Corp. Lib. Ltd, Han-Uman Company, White Rock (lib) General Trading Inc., Kbl Liberia Mining Company, Liberia - Mineral Reosurces, Madansu's Incorporated, WDL Corporation, BSD Incorporated, Gryphon Minerals, South East Resources Inc., Golden Mass Trading, Golden Vision Trading, Afric Diam COmpany Inc., Trasn-Atlantic Petroleum and Oil Reosurces, West Africa Gold and Diamond Inc., Diamco Inc., Monnet Global (Liberia) Ltd, Castle Gem (Liberia) Ltd, Massa Investment Corp., Africa Diamond Resources, Gemrock Mining Inc., Nyan Bartee Corporation, Star Diamond Company, Rusalka Group, Abundant Resources Liberia Ltd, Estmor Gold Mining Company, Madas Corporaton, Task International Ltd, SRPI Group African Ltd, Charis Minerals Inc., Fortress (Liberia) Ltd, B-2 (Bereket D. Tesfamariam), Small scale miners (consolidated), Tarpeh Timber Co., B&amp;V Timber Company, Bargor &amp; Bargor Enterprise Inc., Alpha Logging &amp; Wood Processing Inc., E J &amp; J Investment Corporation/Mandra Forestry, Liberia Tree and Trading Company/Mandra LTTC Incorporated, Euro Logging Company, Geblo Logging, Atlantic Resources LTA, International Consultant Capital, Ecowood Incorporated, Bassa Logging &amp; Timber, Eco-Timber Liberia Limited, Akewa Group of Companies, K-Mark Indo Liberia Ltd, Thunder Bird International Limited, Sun Yeun Corporation, Liberia Hard Wood Corporation, Forest Venture, Global Logging, Tropical Timber Inc., Universal Forestry Corp, TImber Liberia, Nature Orientated, Cavalla Logging, Frank Brooks Ltd, Quantum Resource, Buchanan Renewable Energy, Pit Sawyers (consolidated), Salala Rubber Company, Liberia Agricultural Company, Cavalla Rubber Corporation, Firestone Liberia, The Liberia Company (LIBCO-COCOPA), Sime Darby, LIBINC Oil Palm Inc., Morris American Rubber Company, Liberia Forest Products Incorporated, Golden Veroleum, Lee Group of Enterprises, Equitorial Palm Oil   </t>
  </si>
  <si>
    <t>African Petroleum, Anardarko, Chevron, National Oil Company, Oranto Petroleum, Broadway Peppercoast</t>
  </si>
  <si>
    <t xml:space="preserve">Western Cluster Limited, Arcelor Mittal Liberia, China Union Investment (Liberia) Bong Mines Company Limited, BHP Biliton (Liberia) Incorporated, Putu Iron Mining Company, Amlib United Minerals Incorporated, Bea Mountain Mining Coporation, Hummingbird Resources Incorporated, Bukon Jedeh Resources Incorporated, Pedsam Mining Limited, Knights Group Incorporated, Souterhn Cross Investment Limited, Tietto Minerals (Liberia) Limited, Jonah Capital (BVI) Limited, Konblo Bumi Incorporated, Investment Development Corporation, BG Minerals (Liberia) Limited, West Peak Iron Limited, Birimian Gold Limited, BCM INternational, Iron Resources Limited, Deveton Mining Company, Sinoe Exploration Limited, Middle Island Resources Liberia Limited, Noya Mining Company, Tiawana Resources Liberia, Planet Mines and Mienrals Limited, Treco Mining Company, Global Minerals Investment LLC, Acquarian Commercial Holdings Inc., Youssef Diamond Mining Company, Bopulu Commercial Ltd, WInestock Development Liberia Corporation, West African Resources (Lib) Corp. Limtied, Archaen Gold, Superior Mineral Resources Incorporated, African Gold Mining Liberia Limited, Mount Belle Resources (Liberia) Limited, Aforo Resources/Indo Gold Ltd, Afro Minerals Incorporated (Kana Hills), Ironbird Resources Incorporated, BAO CHICO Resources Liberia Limited, Ascension Resources Corporation, Jamu Resources Incorporated, Salmec Resources Limited (Belle Resources Limited), THackett Mining Incorporated, Voila International Inc., Liberia Development corporation, Shankil Resources (Liberia) Inc., Royal COmpany, VBG Valle BSGR Liberia, The Diamond Star Plus Inc., Steinbock Mineral (lib) Ltd, Damaka Mining Inc., Sarama Mining Liberia Ltd, Sinoe Mining and Exploration Inc., Consor International (Liberia) ltd, Earthcons Inc., Weajue Hill Mining, Fine Mineral International Ltd, Alex Stewart (Assayers) Ltd, Mining and Geotechnical (Lib) Ltd, Elephant Fall Mining Company, Lofa Mineral Minerals Corporation, Nimba Mining Company, H-10 International Inc., Kidoon Enterprises Inc., Pedra Mining, Comptoire de Diamant, Xin Yuan Transnational Corporation Inc., Handin Resources Investment Corp. Lib. Ltd, Han-Uman Company, White Rock (lib) General Trading Inc., Kbl Liberia Mining Company, Liberia - Mineral Reosurces, Madansu's Incorporated, WDL Corporation, BSD Incorporated, Gryphon Minerals, South East Resources Inc., Golden Mass Trading, Golden Vision Trading, Afric Diam COmpany Inc., Trasn-Atlantic Petroleum and Oil Reosurces, West Africa Gold and Diamond Inc., Diamco Inc., Monnet Global (Liberia) Ltd, Castle Gem (Liberia) Ltd, Massa Investment Corp., Africa Diamond Resources, Gemrock Mining Inc., Nyan Bartee Corporation, Star Diamond Company, Rusalka Group, Abundant Resources Liberia Ltd, Estmor Gold Mining Company, Madas Corporaton, Task International Ltd, SRPI Group African Ltd, Charis Minerals Inc., Fortress (Liberia) Ltd, B-2 (Bereket D. Tesfamariam), small scale miners   </t>
  </si>
  <si>
    <t>Volume from USGS Mineral Yearbook 2012, adjusted to account for the fiscal year. Price from EITI Report, and is based on the reported value and quantity of exports.</t>
  </si>
  <si>
    <t>Volume from USGS Mineral Yearbook 2012 (adjusted to account for the fiscal year). Price from EITI Report, and is based on the reported value and quantity of exports (and is 86.63% of the  price for gold reported by the World Bank).</t>
  </si>
  <si>
    <t>Volume from USGS Mineral Yearbook 2012, adjusted to account for the fiscal year. Price from World Bank (Global Economic Monitor (GEM) Commodities database) - defined as: Iron ore (any origin) fines, spot price, c.f.r. China, 62% Fe - adjusted to account for the fiscal year.</t>
  </si>
  <si>
    <t>Total Forestry</t>
  </si>
  <si>
    <t>Tarpeh Timber Co., B&amp;V Timber Company, Bargor &amp; Bargor Enterprise Inc., Alpha Logging &amp; Wood Processing Inc., E J &amp; J Investment Corporation/Mandra Forestry, Liberia Tree and Trading Company/Mandra LTTC Incorporated, Euro Logging Company, Geblo Logging, Atlantic Resources LTA, International Consultant Capital, Ecowood Incorporated, Bassa Logging &amp; Timber, Eco-Timber Liberia Limited, Akewa Group of Companies, K-Mark Indo Liberia Ltd, Thunder Bird International Limited, Sun Yeun Corporation, Liberia Hard Wood Corporation, Forest Venture, Global Logging, Tropical Timber Inc., Universal Forestry Corp, TImber Liberia, Nature Orientated, Cavalla Logging, Frank Brooks Ltd, Quantum Resource, Buchanan Renewable Energy, Pit Sawyers (consolidated)</t>
  </si>
  <si>
    <t>Round Logs</t>
  </si>
  <si>
    <t>Sawn Timber</t>
  </si>
  <si>
    <t>pes.</t>
  </si>
  <si>
    <t>Total Agriculture</t>
  </si>
  <si>
    <t>Salala Rubber Company, Liberia Agricultural Company, Cavalla Rubber Corporation, Firestone Liberia, The Liberia Company (LIBCO-COCOPA), Sime Darby, LIBINC Oil Palm Inc., Morris American Rubber Company, Liberia Forest Products Incorporated, Golden Veroleum, Lee Group of Enterprises, Equitorial Palm Oil</t>
  </si>
  <si>
    <t>Cocoa</t>
  </si>
  <si>
    <t>Coffee</t>
  </si>
  <si>
    <t>Rubber</t>
  </si>
  <si>
    <t>http://www.eiti-madagascar.org/</t>
  </si>
  <si>
    <t>The 2007-2009 EITI Report does not disaggregate revenues by year - it's not clear where the payment totals on eiti.org come from.</t>
  </si>
  <si>
    <t>Volume from USGS Mineral Yearbook 2011. Price from USGS Mineral Commodity Summary 2012, and is the price for chromium metal in the US.</t>
  </si>
  <si>
    <t>Volume from USGS Mineral Yearbook 2012. Price from USGS Mineral Commodity Summary 2013, and is the price for chromium metal in the US.</t>
  </si>
  <si>
    <t>Ilmenite concentrate</t>
  </si>
  <si>
    <t>Volume from USGS Mineral Yearbook 2012. Price from USGS Mineral Commodity Summary 2013, and is the f.o.b. price in Australia for a bulk product with a minimum TiO2 content of 54%.</t>
  </si>
  <si>
    <t>Malagasy Ariary</t>
  </si>
  <si>
    <t>Voluntary social payments (but specific volumes are not given)</t>
  </si>
  <si>
    <t>Projet Ambatovy (Ambatovy Minerals S.A et Dynatec Minerals S.A)/ Holcim S.A/ Qit Madagascar Minerals / Wisco Madagascar / Groupe Pan African Mining (PAM Madagascar, PAM Sakoa, PAM Atomique) /HOLCIM SA/ Mainland Mining Limited/ Gold Sand / Madagascar Oil.</t>
  </si>
  <si>
    <t>6, 29-30, 39-40</t>
  </si>
  <si>
    <t>The report includes a US$ 100 million payment made by the Chinese company Wisco for the iron ore exploration permit in the Soalala region. Also included in EITI Report totals are payments made by companies to subnational governments and voluntary social payments (including the value of voluntary payments made in kind). In addition to the 9 companies required to report, 3 companies voluntarily submitted payment figures. Total Received by Govt includes receipts that fell below the materiality threshold (17.6 billion MGA, see p.29-30). The eiti.org payment/revenue totals were taken from Annex 6.1, where totals were given in USD; however, these totals don't appear to match the totals given in MGA elsewhere in the report. The figures given here are MGA converted to USD.</t>
  </si>
  <si>
    <t>Volume from USGS Mineral Yearbook 2012. Price from USGS Mineral Yearbook 2012, and is the average U.S. spot price for minimum 99.8% cobalt cathode reported by Platts Metals Week</t>
  </si>
  <si>
    <t>Nickel (nickel content of mine output)</t>
  </si>
  <si>
    <t>Volume from USGS Mineral Yearbook 2012. Price from World Bank (Global Economic Monitor (GEM) Commodities database), and is defined as: Nickel (LME), cathodes, minimum 99.8% purity, settlement price beginning 2005; previously cash price.</t>
  </si>
  <si>
    <t>Zirconium concentrate</t>
  </si>
  <si>
    <t>Volume from USGS Mineral Yearbook 2012. Price from USGS Mineral Commodity Summary 2013, and is the price of unwrought zirconium imports in the US.</t>
  </si>
  <si>
    <t>PROJET AMBATOVY, HOLCIM MADAGASCAR S.A., QIT MADAGASCAR MINERALS S.A., GROUPE PAM, KRAOMA S.A., TANTALUM RARE EARTH (MALAGASY) S.A.R.L.U, MADAGASCAR OIL, MADAGASCAR CONSOLIDATED MINING S.A., MAINLAND MINING LTD S.A.R.L.U, GOLD SAND S.A.R.L., ZISY DAVID MICHAEL, MPUMALANGA MINING RESOURCES S.A.U, MADAGASCAR CHROMIUM COMPANY LTD S.A.R.L.U, TOTAL EP1, NICOH-ENERMAD, MADA-AUST S.A.R.L., GALLOIS ETABLISSEMENT, MADAGASCAR WISCO GUANGXIN KAM WAH RESSOURCES S.A.U., CALIBRA RESOURCES &amp; ENGINEERS MADAGASCAR S.A.R.L.U, CALIBRA RESOURCES &amp; ENGINEERS MADAGASCAR S.A.R.L.U, TULLOW, MADAGASCAR INTERNATIONAL TAK MINING S.A.R.L., MADAGASCAR MINING RESOURCES LTD S.A.R.L., NOVA RESOURCES S.A.R.L.U, STERLING, LABRADOR MADAGASCAR, WILTON PETROLEUM, URAMAD S.A, AMICOH, COAL MINING MADAGASCAR S.A.R.L., ACCES MADAGASCAR S.A.R.L., ACCRINGTON MINERALS S.A., ROC OIL / SAPETRO, MINVEST MADAGASCAR S.A.U., MINERAL PRODUCTS INTERNATIONAL GROUP S.A.R.L., TOLIARA SANDS S.A.R.L., RAKOTOMALALA Herindrainy Olivier, GROUPE EXXON MOBIL.</t>
  </si>
  <si>
    <t>3-4, 43, 63</t>
  </si>
  <si>
    <t>Exchange rate is World Bank average. Eiti.org totals include only reconciled flows ("Group A") and use the USD value given in the report. Totals here are converted from MGA amounts. Total Received by Govt includes revenues from smaller companies reported unilaterally by govt (see figures for Groups B and C on p.4). Government and company totals in EITI Report include payments made by companies to local governments and voluntary social payments ("dons") made in cash and kind. Total In-Kind Payment Value is the value of in-kind donations, which are already included in revenue totals. The report also details subnational transfers made by central govt (BCMM) to communes/regions totalling 2 404 744 992 MGA, and payments owed to communes by BCMM totalling 573 503 006.69 MGA (p.5-6); these transfers are not included in revenue/payment figures. 3 companies did not report (ACCRINGTON MINERALS SA, ACCESS Madagascar, and GROUPE EXXON MOBIL); their payments were reported unilaterally by govt and included in Total Received by Govt.</t>
  </si>
  <si>
    <t>EITI Report gives export volumes only; Chrome exports reported by Kraoma and include both "chrome concentré" and "chrome rocheux" (p.63).</t>
  </si>
  <si>
    <t>Graphite</t>
  </si>
  <si>
    <t>Volume from USGS Mineral Yearbook 2012. Price from USGS Mineral Commodity Summary 2012, and is the average f.o.b. price for flake, lump and chip, and amorphous products.</t>
  </si>
  <si>
    <t>EITI Report gives export volumes only; Graphite exports reported by Etablissment Gallois SA (p.63).</t>
  </si>
  <si>
    <t>EITI Report gives export volumes only; Ilmenite exports reported by Mainland and QMM (p.63).</t>
  </si>
  <si>
    <t>Labradorite</t>
  </si>
  <si>
    <t xml:space="preserve"> EITI Report gives export volumes only; Labradorite exports reported by Labrador and Mada Aust (p.63).</t>
  </si>
  <si>
    <t>EITI Report gives export volumes only; Zircon exports reported by QMM (p.63).</t>
  </si>
  <si>
    <t>Volume from USGS Mineral Yearbook 2010. Price from World Bank (Global Economic Monitor (GEM) Commodities database) - defined as: Gold (UK), 99.5% fine, London afternoon fixing, average of daily rates - adjusted to account for the price given in the 2010 EITI Report being 113.50% of this in 2010.</t>
  </si>
  <si>
    <t>Mazars</t>
  </si>
  <si>
    <t xml:space="preserve">According to the EITI report, the total gold production of gold in Mali in 2006 was 58 tons, of which 3 were produced by artisanal miners. I subtracted 3 tons and converted 55 tons to toz to get thee EITI production figure. </t>
  </si>
  <si>
    <t>Volume from USGS Mineral Yearbook 2011. Price from World Bank (Global Economic Monitor (GEM) Commodities database) - defined as: Gold (UK), 99.5% fine, London afternoon fixing, average of daily rates - adjusted to account for the price given in the 2010 EITI Report being 113.50% of this in 2010.</t>
  </si>
  <si>
    <t>MINING - PRODUCTION PHASE: Société d'Exploitation des Mines d'Or de YATELA (YATELA), Société des Mines d'Or de LOULOU (SOMILO), Société des Mines de MORILA (MORILA), Société des Mines d'Or de Kalana (SOMIKA), Société des Mines d'Or de SYAMA (SOMISY), Société d'Exploitation des Mines d'Or de SADIOLA (SEMOS), Tamboura Mining CO SA (TAMICO), Wassoul’or, SegalaMiningCompany (SEMICO). MINING - EXPLORATION PHASE: SegalaMiningCompany (SEMICO), Etruscan Ressources Mali SARL, Etruscan Ressources Bermuda Ltd, Page Management, New Gold Mali, Axmin Mali (Ex Africa Gold), GlencarMining, Songhoï Ressources, Great QuestMetals, Tichitt Sa, Touba Mining JvMerrex Gold Inc, Mali Gold Mining, Golden Spear, Robex, Mali MineralResources. PETROLEUM - EXPLORATION PHASE: Société HeritageOil Block 7, Société HeritageOil Block 11, Mali Petroleum SA, Sipex, Petroma, Afex Global, MOH Oil PVT Ltd, JV Falcon Martagon, ENI Mali, SelierEnergy. SUBCONTRACTORS: MoolmanMiningYatela, AfricanMining Services, BCM - Bay Xater Construction And Mining, MARS - Mining And Rechandling Service, SFTP - Société de Forage et Travaux Publics, PW Mining International Limited.</t>
  </si>
  <si>
    <t>5, 9-10, 20-23</t>
  </si>
  <si>
    <t>"Compensation" (reimboursement of tax payments) was included in tax totals by EITI reconcilers (see p.16).</t>
  </si>
  <si>
    <t>Volume from USGS Mineral Yearbook 2011. Price from EITI Report, and is 113.50% of the price for gold given by the World Bank.</t>
  </si>
  <si>
    <t>MORILA, SEMOS, YATELA, SOMILO, SOMISY, SOMIKA, TAMICO, SEMICO, WASSOUL’OR</t>
  </si>
  <si>
    <t>5, 6, 7, 16-17</t>
  </si>
  <si>
    <t>Compensation (reimboursement of tax payments) was included in tax totals by EITI reconcilers (see p.16). Voluntary social payments were reported unilaterally by companies (759,744,000 FCFA) and have been added to Company Total Payments.</t>
  </si>
  <si>
    <t>Semos, Morila, Somilo, Yatela, Somisy, Tamico, Semico, Somika, Wassoul'or, Sahara mining</t>
  </si>
  <si>
    <t>7, 9, 10, 31-33, 39, 53</t>
  </si>
  <si>
    <t xml:space="preserve">Ten companies were required to report; 8 other companies' payments were reported unilaterally by govt--these revenues (170,210,465 FCFA, see p.29, 39) were included in government totals.Voluntary social payments were reported unilaterally by companies (1,198,782,000 FCFA) and have been added to Company Total Payments. </t>
  </si>
  <si>
    <t>http://www.itie.mines.gouv.ml/</t>
  </si>
  <si>
    <t>Morila SA, Semos, Somilo, Sté des Mines d'Or de Gounkoto, Resolute (SOMISY-SA), Segala Mining Company SA, Yatela SA, SOMIKA (Avnel), Toguna, Randgold Resources Mali SARL., Glencar Mali SARL., Wassoul’or, Goldfields Exploration Mali SARL., Mali Mineral Resources</t>
  </si>
  <si>
    <t>No exchange rate provided</t>
  </si>
  <si>
    <t>http://www.CNITIE.mr</t>
  </si>
  <si>
    <t>Host government's production entitlement, Royalties, Dividends, Bonuses</t>
  </si>
  <si>
    <t>Volume from USGS Mineral Yearbook 2009. Price from World Bank (Global Economic Monitor (GEM) Commodities database) - defined as: Iron ore (any origin) fines, spot price, c.f.r. China, 62% Fe -  adjusted to account for the price given in the 2010 EITI Report being 59.64% of this in 2010.</t>
  </si>
  <si>
    <t>Volume from EIA. Price from BPSR 2014, and is an average of the spot prices for Brent, Dubai, Nigerian Forcados and West Texas Intermediate crude oil, adjusted to account for the prices given in the 2010-11 EITI Reports being an average 101.64% of this in 2010-11.</t>
  </si>
  <si>
    <t>Copper (in concentrate)</t>
  </si>
  <si>
    <t>Volume from USGS Mineral Yearbook 2009. Price from World Bank (Global Economic Monitor (GEM) Commodities database) - defined as: Copper (LME), grade A, minimum 99.9935% purity, cathodes and wire bar shapes, settlement price -  adjusted to account for the price given in the 2010 EITI Report being 68.15% of this in 2010.</t>
  </si>
  <si>
    <t>Volume from USGS Mineral Yearbook 2009. Price from World Bank (Global Economic Monitor (GEM) Commodities database) - defined as: Gold (UK), 99.5% fine, London afternoon fixing, average of daily rates - adjusted to account for the price given in the 2010 EITI Report being 98.42% of this in 2010.</t>
  </si>
  <si>
    <t>Volume from USGS Mineral Yearbook 2011. Price from World Bank (Global Economic Monitor (GEM) Commodities database) - defined as: Copper (LME), grade A, minimum 99.9935% purity, cathodes and wire bar shapes, settlement price -  adjusted to account for the price given in the 2010 EITI Report being 68.15% of this in 2010.</t>
  </si>
  <si>
    <t>Volume from USGS Mineral Yearbook 2011. Price from World Bank (Global Economic Monitor (GEM) Commodities database) - defined as: Gold (UK), 99.5% fine, London afternoon fixing, average of daily rates - adjusted to account for the price given in the 2010 EITI Report being 98.42% of this in 2010.</t>
  </si>
  <si>
    <t>Volume from USGS Mineral Yearbook 2011. Price from World Bank (Global Economic Monitor (GEM) Commodities database) - defined as: Iron ore (any origin) fines, spot price, c.f.r. China, 62% Fe -  adjusted to account for the price given in the 2010 EITI Report being 59.64% of this in 2010.</t>
  </si>
  <si>
    <t>United States Dollar and Mauritanian Ouguiya</t>
  </si>
  <si>
    <t>PETROLEUM PRODUCTION: Petronas, Tullow Oil, Roc Oil, Premier Oil, Kufpec. PETROLEUM EXPLORATION: 4M Energy, Baraka Petroleum, Blue Chip, Brimax, CNPCI, Dana Petroleum, Groupe ASB, Groupe Hi-Tech Mauritanie, IPG, Repsol YPF, Total E&amp;P Mauritanie, Wintershall, Zaver Petroleum Gulf. NATIONAL OIL COMPANY: Societe Mauritanienne des Hydrocarbures (SMH). MINING PRODUCTION: SNIM (Societe Nationale Industrielle et Miniere), MCM (Mauritanian Copper Mines), Tasiast Mauritanie. MINING EXPLORATION: Agrineq, Alco Materials, Atlantic Metals, Aura Energy, BSA, Bumi Mauritanie, Bumi Ressources, Caracal Gold, CIFC, El Aouj Mining Company, ID Geoservices, Macoba-TP, Maghreb Mining (2M), Managem, Maurigold, Mauritania Mining, Mauritania Holding, Mining Resources, Murchison United, Peak Metals, Resource Investment International, Roxwell Mining, Segma, Shield Metal, Shield Saboussiri, Somaso, Sonko Lowenthal, Sphere Mauritania, THL Mauritania Gold, Uranimetrics, Wadi al Rawda.</t>
  </si>
  <si>
    <t>Profit-oil ("Etat-Puissance Publique") is received in-kind (see description of commercialization on p.10); the value of this oil is included in govt receipts. The value of cost-oil and profit-oil ("Etat Associé") received by the national oil company (SMH) from private companies is also included as government receipts. No volume or price information is given for in-kind receipts. Total In-kind Payment Value includes profit oil received by govt, profit oil received by SMH, and cost oil received by SMH. Note that SMH paid US$17,443,000 to Sterling Energy to finance state parternship in the Chinguetti field (see footnote on p.16) -- this payment is not reflected in payment/revenue totals.  SMH also pays dividends to the state (none reported).</t>
  </si>
  <si>
    <t>Host government's production entitlement, Profits/Taxes, Dividends, Bonuses, Licenses and concessions, Other significant benefits to government</t>
  </si>
  <si>
    <t>726,859 bbl of oil</t>
  </si>
  <si>
    <t>NATIONAL OIL COMPANY: Societe Maurtanienne des Hydrocarbures (SMH). PETROLEUM PRODUCTION: Petronas. PETROLEUM EXPLORATION: Dana Petroleum, International Petroleum Grouping (IPG), Repsol, Sonatrach, Total, Tullow Oil, Wintershall. STATE-OWNED MINING COMPANY: Societe Nationale Indtrielle et Minere (SNIM). MINING PRODUCTION: Mauritanian Copper Mines (MCM), Tasiast. MINING EXPLORATION: AGRINEQ, Alco Materials, Alecto Holdings International, Atlantic Metals, Aura Energy, Bofal Indo Mining Company, BSA, Bumi Mauritanie, Caracal Gold, CIFC, Curve Capital Ventures, Drake Resources, Durman International Group, Al Aouj Mining Company, ELite Earth Minerals and Metals, Forte Energy, Ghana Ressources, Ghazal Minerals, Gulf Western Mining, ID Geoservices, Lusitania Iron, Lusitania Metals, Lusitania Uranium, Macoba-TP, Maghreb Oil and Mining, Managem, Massadir, Mauriplat, Mauritania for Mining and Services, Mauritania Mining Resources, Mayritanian Minerals Company (MMC), Mauritania Ventures, Mauritanian Holding, Mineralis, Mining Resources, Mining Ventures, Murchison, Negoce International Mining, Peak Metals, Piedras Ornementales Hergha SL, Resource Investment International, Roxwell Mining, Shield Mining, Shield Mining Saboussiri, Silvrex, SMCRP, Somaso SA, Somaso 1, Sonko Lowenthal, Sphere Mauritania, Tafoli Minerals, Tayssir Resources, TransAfrika, THL Mauritania Gold, NMIN Limited, Uranimetrics, Wadi Al Rawda, Wafa Mining, Wirama Entiti Mauritania.</t>
  </si>
  <si>
    <t>8, 10, 12, 18-21</t>
  </si>
  <si>
    <t>eiti.org totals do not include "indirect payments" or the value of in-kind receipts recieved by SMH for its own account. Total In-kind Payment Volumes include oil received by SMH for its own account (Cost Oil/Profit Oil-Etat Associé = 280,025 bbl) and the volume received by SMH and commercialized on behalf of the state (Profit Oil-Puissance Publique = 446,834 bbl). Note that Total In-kind Payment Value includes the value of "Etat-Associe" in-kind receipts priced at $80.20/bbl (the state received $34,705,000, or  $77.67/bbl for the "Puissance-Publique" portion). Note also that SMH is considered both a receiving entity (for Cost Oil/Profit Oil-Etat Associé) and a paying company (for the commercialized value of Profit Oil-Puissance Publique and Dividends). The value of Profit Oil-Puissance Publique is included in the EITI Report's revenue totals, but the value of in-kind Cost Oil/Profit Oil-Etat Associé received by SMH from private companies is not; it has been added to totals here based on the average oil price given in the report ($80.20/bbl, see p.10). Of the 280,025 bbl received by SMH as Cost Oil/Profit Oil-Etat Associé, 173,983 bbl was "paid" to Sterling Energy to finance the state's interest in the Chinguetti field (see footnote p.18); the value of this payment is not reflected in Government receipts or company payments. "Indirect payments" were reported unilaterally by govt and have been included in Total Received by Govt.</t>
  </si>
  <si>
    <t>Volume from EIA. Price from EITI Report, and is an average of the spot prices for Brent, Dubai, Nigerian Forcados and West Texas Intermediate crude oil.</t>
  </si>
  <si>
    <t>Volume from USGS Mineral Yearbook 2011. Price from USGS Mineral Commodity Summary 2014, and is the average mill price for cement in the US.</t>
  </si>
  <si>
    <t>Copper exports were valued at $190,000,000 (p.12).</t>
  </si>
  <si>
    <t>Gold exports were valued at $310,000,000 (p.12).</t>
  </si>
  <si>
    <t>Iron ore exports were valued at $1,000,000,000 (p.12).</t>
  </si>
  <si>
    <t>767,817 bbl of oil</t>
  </si>
  <si>
    <t>NATIONAL OIL COMPANY: Societe Maurtanienne des Hydrocarbures (SMH). PETROLEUM PRODUCTION: Petronas. PETROLEUM EXPLORATION: Dana Petroleum, International Petroleum Grouping (IPG), Repsol, Sonatrach, Total, Tullow Oil, Wintershall. STATE-OWNED MINING COMPANY: Societe Nationale Indtrielle et Minere (SNIM). MINING PRODUCTION: Mauritanian Copper Mines (MCM), Tasiast. MINING EXPLORATION: AGRINEQ, Amssega Exploration, ARVG Specialty Mines (PVT), Atlantic Metals, Aura Energy, Bofal Indo Mining Company, BSA, Bumi Mauritanie, Caracal Gold, CIFC, Curve Capital Ventures, Drake Resources, Durman International Group, Earthstone RM, El Aouj Mining Company, Elite Earth Minerals and Metals, Energie Atlantique, Es Minerals, Forte Energy, Generale Miniere Mauritanienne, Ghazal Minerals, Global Mauritania Mining, ID Geoservices, Karfahane Co., Lusitania Iron, Lusitania Metals, Lusitania Uranium, Macoba-TP, Mauritania Energy Minerals, Mauritanian Minerals Company (MMC), Mauritania Mining Resources, Mauritania Ventures, Mauritanian Ressources, Mineralis, Negoce International Mining, Orecorp Mauritania, Pacific Andes Resources Development, Peak Metals, Sahara Minerals, Shield Mining, Shield Mining Saboussiri, Silvrex, Societe MAS, Somaso SA, Somaso 1, Sonko Lowenthal, Sphere Mauritania, Tafoli, Minerals, TAJ-Africa, Tamagot Bumi, Tayssir Resources, Tazadit Underground Mine, THL Mauritania Gold, TransAfrika, Wada Al Rawda, Wafa Mining, Wirama Entiti Mauritania.</t>
  </si>
  <si>
    <t>eiti.org totals do not include "indirect payments" or the value of in-kind receipts recieved by SMH for its own account. Total In-kind Payment Volumes include oil received by SMH for its own account (Cost Oil/Profit Oil-Etat Associé = 297,764 bbl) and the volume received by SMH and commercialized on behalf of the state (Profit Oil-Puissance Publique = 470,053 bbl). Note that Total In-kind Payment Value includes the value of "Etat Associé" in-kind receipts priced at $108.90/bbl (the state received $48,062,000, or  $102.25/bbl, for the Puissance-Publique portion). Note also that SMH is considered both a receiving entity (for Cost Oil/Profit Oil-Etat Associé) and a paying company (for the commercialized value of Profit Oil-Puissance Publique and Dividends). The value of Profit Oil-Puissance Publique is included in the EITI Report's revenue totals, but the value of in-kind Cost Oil/Profit Oil-Etat Associé received by SMH from private companies is not; it has been added to totals here based on the average oil price given in the report ($108.90/bbl, see p.10). Of the 297,764 bbl received by SMH as Cost Oil/Profit Oil-Etat Associé, 235,710 bbl was "paid" to Sterling Energy to finance the state's interest in the Chinguetti field (see footnote p.18); the value of this payment is not reflected in Government receipts or company payments. "Indirect payments" were reported unilaterally by govt and have been included in Total Received by Govt.</t>
  </si>
  <si>
    <t>Mauritanian Ouguiya</t>
  </si>
  <si>
    <t>SNIM, MCM, Tasiast Mauritanie, El Aouj Mining Company SA, Sphere Mauritania SA, Société Mauritanienne des Hydrocarbures et du Patrimoine Minier, Petronas, Dana Petroleum, International Petroleum Grouping (IPG), Repsol, Sonatrach (SIPEX), Total, Tullow Oil, Chariot Oil Gas Limited, Kosmos Energy</t>
  </si>
  <si>
    <t>Total payments by stream/company differ. Production value is export value and are figures reported by companies (not the government).</t>
  </si>
  <si>
    <t>Iron</t>
  </si>
  <si>
    <t xml:space="preserve">Mongolia2006 </t>
  </si>
  <si>
    <t>http://eitimongolia.mn/</t>
  </si>
  <si>
    <t>Host government's production entitlement, Profits/Taxes, Royalties, Dividends, Licenses and concessions, Other significant benefits to government</t>
  </si>
  <si>
    <t>Mongolian Tugrik</t>
  </si>
  <si>
    <t>AltanDornot Mongol, Aduunchuluun, Baganuur, Boroo Gold, Chinhua MAK Nariin Sukhait, Cold Gold, Datsan Trade, ErdesHolding, Erdenet Mining Corporation, Gatsuurt, Ivanhoe Mines Mongolia Inc, Jump LLC, MAK, MGH, Mongol Gazar, Mongolrostsvetment JV, Petro China Daqing Tamsag (Mongol) LLC, Sharyn Gol, Shim Technology LLC, Shin Shin LLC, Shivee Ovoo SC, Shizhir Alt LLC, Tavantolgoi, Tsairt Minerals LLC, Ulz Gol Cooperative</t>
  </si>
  <si>
    <t>Crane White and Associates</t>
  </si>
  <si>
    <t>Materiality threshold: Companies that made a payment of at least MNT200,000,000 in 2006 should be reconciled. The report does not provide post-adjustment figures by company. Unilateral declarations are included in the figures, including donations made to government entities that only companies reported on. Some of these donations were in-kind payments, and have been given a monetary value by companies, but the amount these account for is unclear. The report provides production volumes for some companies, but this is not comprehensive. The 2008 Report provides historical productions volumes however. Baganuur and  Shivee Ovoo SC are 75% and 90% state-owned respectively. Erdenet Mining Corporation (EMC) and Mongolrostsvetment JV are both 51% owned by the Government of Mongolia and 49% owned by the Government of Russia. EMC accounted for 90% of (pre-adjustment) revenues reported by Government.</t>
  </si>
  <si>
    <t>Volume from 2008 EITI Report</t>
  </si>
  <si>
    <t>Petro China Daqing Tamsag (Mongol) LLC</t>
  </si>
  <si>
    <t>AltanDornot Mongol, Aduunchuluun, Baganuur, Boroo Gold, Chinhua MAK Nariin Sukhait, Cold Gold, Datsan Trade, ErdesHolding, Erdenet Mining Corporation, Gatsuurt, Ivanhoe Mines Mongolia Inc, Jump LLC, MAK, MGH, Mongol Gazar, Mongolrostsvetment JV, Sharyn Gol, Shim Technology LLC, Shin Shin LLC, Shivee Ovoo SC, Shizhir Alt LLC, Tavantolgoi, Tsairt Minerals LLC, Ulz Gol Cooperative</t>
  </si>
  <si>
    <t>Volume from 2008 EITI Report. Price from BPSR 2014, and is an average of the American Central Appalachian, Asian and Northwest Europe marker/spot prices, adjusted to account for the prices given in the 2011-2012 EITI Reports being an average 80.60% of this in 2009-2012.</t>
  </si>
  <si>
    <t>Aduunchuluun, Baganuur, Chinhua MAK Nariin Sukhait, Mongolrostsvetment JV, Sharyn Gol, Shivee Ovoo SC, Tavantolgoi</t>
  </si>
  <si>
    <t>Volume from 2008 EITI Report. Price from World Bank (Global Economic Monitor (GEM) Commodities database) - defined as: Copper (LME), grade A, minimum 99.9935% purity, cathodes and wire bar shapes, settlement price - adjusted to account for the prices given in the 2011-2012 EITI Reports being an average 18.16% of this in 2009-2012.</t>
  </si>
  <si>
    <t>Ivanhoe Mines Mongolia Inc</t>
  </si>
  <si>
    <t>Fluorspar</t>
  </si>
  <si>
    <t>Volume from 2008 EITI Report. Price from USGS Mineral Yearbook 2006, and is the average of the medians of the f.o.b. price ranges for US imports of Mexican and South African acidspar, adjusted to account for the prices given in the 2011-2012 EITI Reports being an average 53.81% of this in 2009-2012.</t>
  </si>
  <si>
    <t>Mongolrostsvetment JV</t>
  </si>
  <si>
    <t>Volume from 2008 EITI Report. Price from World Bank (Global Economic Monitor (GEM) Commodities database) - defined as: Gold (UK), 99.5% fine, London afternoon fixing, average of daily rates - adjusted to account for the prices given in the 2011-2012 EITI Reports being an average 83.00% of this in 2009-2012.</t>
  </si>
  <si>
    <t>AltanDornot Mongol, Boroo Gold, Cold Gold, Datsan Trade, ErdesHolding, Erdenet Mining Corporation, Gatsuurt, Ivanhoe Mines Mongolia Inc,  Jump LLC, MGH, Mongol Gazar, Mongolrostsvetment JV, Shizhir Alt LLC, Ulz Gol Cooperative</t>
  </si>
  <si>
    <t>Volume from 2008 EITI Report. Price from World Bank (Global Economic Monitor (GEM) Commodities database) - defined as: Iron ore (any origin) fines, spot price, c.f.r. China, 62% Fe - adjusted to account for the prices given in the 2011-2012 EITI Reports being an average 54.74% of this in 2009-2012.</t>
  </si>
  <si>
    <t>Volume from USGS Mineral Yearbook 2010. Price from USGS Mineral Commodity Summary 2009, and is the price in the US, adjusted to account for the prices given in the 2011-2012 EITI Reports being an average 31.21% of this in 2009-2012.</t>
  </si>
  <si>
    <t>Erdenet Mining Corporation, Shim Technology LLC</t>
  </si>
  <si>
    <t>Tungsten (W content of mine output)</t>
  </si>
  <si>
    <t>Volume from USGS Mineral Yearbook 2010. Price from USGS Mineral Commodity Summary 2009, and is the average price on the US and European spot markets for a metric ton unit of tungsten trioxide, which contains 7.93kg of tungsten.</t>
  </si>
  <si>
    <t>Zinc concentrate</t>
  </si>
  <si>
    <t>Volume from 2008 EITI Report. Price from World Bank (Global Economic Monitor (GEM) Commodities database) - defined as: Zinc (LME), high grade, minimum 99.95% purity, settlement price beginning April 1990; previously special high grade, minimum 99.995%, cash prices - adjusted to account for the prices given in the 2011-2012 EITI Reports being an average 50.71% of this in 2009-2012.</t>
  </si>
  <si>
    <t>Shin Shin LLC, Tsairt Minerals LLC</t>
  </si>
  <si>
    <t>Petro China Daqing Tamsag (Mongol) LLC, Adamas Mining LLC, AltanDornot Mongol, Baganuur, Bold Tumur Eruu Gol LLC, Boroo Gold, Bud Invest LLC, Buurgent LLC, Chinhua MAK Nariin Sukhait, Cold Gold, Datsan Trade, Eltrana LLC, ErdesHolding, Erdenet Mining Corporation, Erdmin LLC, Gatsuurt, Gobi Coal and Energy LLC, Gurvan Tuhum LLC, Ivanhoe Mines Mongolia Inc, Jump LLC, Mon Dulaan Trade LLC, Mongol-Czech Metal SPIE, Mongolrostsvetment JV, Mongolyn Alt LLC, Monpolimet LLC, Shanlun LLC, Shariin Gol LLC, Shijir Alt SHC, Shim Technology LLC, Shin Shin LLC, Shivee Ovoo SC, Sonor Trade LLC, Tavantolgoi, Tethys Minig LLC, Tsairt Minerals LLC, Tun Shen LLC, Ulz Gol Cooperative</t>
  </si>
  <si>
    <t>Materiality threshold: Companies that made a payment of at least MNT200,000,000 in 2007 should be reconciled. Resolved discrepancies are not included in the final figures, but there is insufficent information to add these retrospectively. Unilateral declarations are included in the figures. Some donations to government entities and 'expenditures on environmental protection' are in-kind payments and have been given a monetary value by companies, but the amount these account for is unclear. Disaggregation by commodity is only indirect through disaggregation by company, and therefore limited. The report provides production volumes for some companies, but this is not comprehensive. The 2008 Report provides historical productions volumes however. Baganuur and  Shivee Ovoo SC are 75% and 90% state-owned respectively. Erdenet Mining Corporation (EMC) and Mongolrostsvetment JV are both 51% owned by the Government of Mongolia and 49% owned by the Government of Russia. EMC accounted for 80% of revenues reported by Government.</t>
  </si>
  <si>
    <t>Appendix C26</t>
  </si>
  <si>
    <t>Adamas Mining LLC, AltanDornot Mongol, Baganuur, Bold Tumur Eruu Gol LLC, Boroo Gold, Bud Invest LLC, Buurgent LLC, Chinhua MAK Nariin Sukhait, Cold Gold, Datsan Trade, Eltrana LLC, ErdesHolding, Erdenet Mining Corporation, Erdmin LLC, Gatsuurt, Gobi Coal and Energy LLC, Gurvan Tuhum LLC, Ivanhoe Mines Mongolia Inc, Jump LLC, Khan Shijir SHC, Mon Dulaan Trade LLC, Mongol-Czech Metal SPIE, Mongolrostsvetment JV, Mongolyn Alt LLC, Monpolimet LLC, Shanlun LLC, Shariin Gol LLC, Shijir Alt SHC, Shim Technology LLC, Shin Shin LLC, Shivee Ovoo SC, Sonor Trade LLC, Tavantolgoi, Tethys Minig LLC, Tsairt Minerals LLC, Tun Shen LLC, Ulz Gol Cooperative</t>
  </si>
  <si>
    <t>Ivanhoe Mines Mongolia Inc, Erdmin LLC, Mongolyn Alt LLC</t>
  </si>
  <si>
    <t>Volume from 2008 EITI Report. Price from USGS Mineral Yearbook 2008, and is the average of the medians of the f.o.b. price ranges for US imports of Mexican and South African acidspar, adjusted to account for the prices given in the 2011-2012 EITI Reports being an average 53.81% of this in 2009-2012.</t>
  </si>
  <si>
    <t>Mongolrostsvetment JV, Bud Invest LLC, Mongol-Czech Metal SPIE</t>
  </si>
  <si>
    <t>Adamas Mining LLC, AltanDornot Mongol, Boroo Gold, Buurgent LLC, Cold Gold, Datsan Trade, Eltrana LLC, ErdesHolding, Erdenet Mining Corporation, Gatsuurt, Gurvan Tuhum LLC, Ivanhoe Mines Mongolia Inc, Jump LLC, Khan Shijir SHC, Mon Dulaan Trade LLC, Mongol-Czech Metal SPIE, Mongolrostsvetment JV, Mongolyn Alt LLC, Monpolimet LLC, Shijir Alt SHC, Sonor Trade LLC, Tethys Minig LLC, Ulz Gol Cooperative</t>
  </si>
  <si>
    <t>Appendix C4 &amp; C37</t>
  </si>
  <si>
    <t>Bold Tumur Eruu Gol LLC, Tun Shen LLC</t>
  </si>
  <si>
    <t>Volume from USGS Mineral Yearbook 2010. Price from World Bank (Global Economic Monitor (GEM) Commodities database), and is defined as: Silver (Handy &amp; Harman), 99.9% grade refined, New York.</t>
  </si>
  <si>
    <t xml:space="preserve">Buurgent LLC, Datsan Trade, Eltrana LLC, Jump LLC, Khan Shijir SHC, </t>
  </si>
  <si>
    <t>Tin Concentrate</t>
  </si>
  <si>
    <t>Volume from 2008 EITI Report. Price from World Bank (Global Economic Monitor (GEM) Commodities database), and is defined as: Tin (LME), refined, 99.85% purity, settlement price.</t>
  </si>
  <si>
    <t>Shanlun LLC, Shin Shin LLC, Tsairt Minerals LLC</t>
  </si>
  <si>
    <t>AltanDornot Mongol, Aduunchuluun, Baganuur, Boroo Gold, Chinhua MAK Nariin Sukhait, Cold Gold, Datsan Trade, ErdesHolding, Erdenet Mining Corporation, Gatsuurt, Ivanhoe Mines Mongolia Inc, Jump LLC, Khan Shijir SHC, MAK, MGH, Mongol Gazar, Mongolrostsvetment JV, Petro China Daqing Tamsag (Mongol) LLC, Sharyn Gol, Shim Technology LLC, Shin Shin LLC, Shivee Ovoo SC, Shizhir Alt LLC, Tavantolgoi, Tsairt Minerals LLC, Ulz Gol Cooperative</t>
  </si>
  <si>
    <t>Hart Nurse &amp;amp; Ulaambaatar Audit Corp.</t>
  </si>
  <si>
    <t>Materiality threshold: Companies that made a payment of at least MNT100,000,000 in 2008 should be reconciled. Unilateral declarations are included in the figures. Some donations to government entities and 'expenditures on environmental protection' are in-kind payments and have been given a monetary value by companies, but the amount these account for is unclear. Disaggregation by commodity is only indirect through disaggregation by company, and therefore limited. Baganuur and  Shivee Ovoo SC are 75% and 90% state-owned respectively. Erdenet Mining Corporation (EMC) and Mongolrostsvetment JV are both 51% owned by the Government of Mongolia and 49% owned by the Government of Russia. EMC accounted for 77% of revenues reported by Government.</t>
  </si>
  <si>
    <t>Volume from EITI Report. Price from BPSR 2014, and is an average of the spot prices for Brent, Dubai, Nigerian Forcados and West Texas Intermediate crude oil, adjusted to account for the prices given in the 2011-2012 EITI Reports being an average 92.19% of this in 2009-2012.</t>
  </si>
  <si>
    <t>Adamas Mining LLC, Aduunchuluun JSC, Ankhai International LLC, AUM LLC, Baganuur, Berleg Mining LLC, Bold Tumur Eruu Gol LLC, Boroo Gold, Chinhua MAK Nariin Sukhait, Cold Gold, Datsan Trade, Eltrana LLC, Engui Tal LLC, Erdes Holding LLC, Erdenet Mining Corporation, Erel LLC, Gatsuurt, Gobi Coal and Energy LLC, Ivanhoe Mines Mongolia Inc, Jump LLC, Khan Shijir LLC, Khunanjinlen LLC, Mongolrostsvetment JV, Mongolyn Alt LLC, Mongol Gazar LLC, Mongol Tsamkhag LLC, Monpolimet LLC, Shanlun LLC, Shariin Gol LLC, Shijir Alt SHC, Shijir Taslst LLC, Shin Shin LLC, Shivee Ovoo SC, Sonor Trade LLC, Talbulag Trade LLC, Tavantolgoi, Ten Khun LLC, Tethys Mining LLC, Tsairt Minerals LLC, Tun Shen LLC, Uuls Zaamar LLC, Urmum Uul LLC, Uurt Gold LLC, Zurin Bulan LLC</t>
  </si>
  <si>
    <t>Volume from EITI Report. Price from BPSR 2014, and is an average of the American Central Appalachian, Asian and Northwest Europe marker/spot prices, adjusted to account for the prices given in the 2011-2012 EITI Reports being an average 80.60% of this in 2009-2012.</t>
  </si>
  <si>
    <t>Aduunchuluun JSC, Baganuur, Chinhua MAK Nariin Sukhait, Engui Tal LLC, Gobi Coal and Energy LLC, Mongolyn Alt LLC, Shariin Gol LLC, Shivee Ovoo SC, Tavantolgoi</t>
  </si>
  <si>
    <t>15, 61-224</t>
  </si>
  <si>
    <t>Volume from EITI Report. Price from World Bank (Global Economic Monitor (GEM) Commodities database) - defined as: Copper (LME), grade A, minimum 99.9935% purity, cathodes and wire bar shapes, settlement price - adjusted to account for the prices given in the 2011-2012 EITI Reports being an average 18.16% of this in 2009-2012.</t>
  </si>
  <si>
    <t>Ivanhoe Mines Mongolia Inc, Mongolyn Alt LLC</t>
  </si>
  <si>
    <t>Volume from EITI Report. Price from USGS Mineral Yearbook 2008, and is the average of the medians of the f.o.b. price ranges for US imports of Mexican and South African acidspar, adjusted to account for the prices given in the 2011-2012 EITI Reports being an average 53.81% of this in 2009-2012.</t>
  </si>
  <si>
    <t>Volume from EITI Report. Price from World Bank (Global Economic Monitor (GEM) Commodities database) - defined as: Gold (UK), 99.5% fine, London afternoon fixing, average of daily rates - adjusted to account for the prices given in the 2011-2012 EITI Reports being an average 83.00% of this in 2009-2012.</t>
  </si>
  <si>
    <t>Adamas Mining LLC, AUM LLC, Berleg Mining LLC, Boroo Gold, Buurgent LLC, Cold Gold, Datsan Trade, Eltrana LLC, ErdesHolding, Erdenet Mining Corporation, Erel LLC, Gatsuurt, Gurvan Tuhum LLC, Ivanhoe Mines Mongolia Inc, Jump LLC, Khan Shijir SHC, Khunanjinlen LLC, Mongolyn Alt LLC, Mongol Gazar LLC, Mongol Tsamkhag LLC, Monpolimet LLC, Shijir Alt SHC, Shijir Taslst LLC, Sonor Trade LLC, Talbulag Trade LLC, Ten Khun LLC, Tethys Minig LLC, Uuls Zaamar LLC, Urmum Uul LLC, Uurt Gold LLC, Zurin Bulan LLC</t>
  </si>
  <si>
    <t>Volume from EITI Report. Price from World Bank (Global Economic Monitor (GEM) Commodities database) - defined as: Iron ore (any origin) fines, spot price, c.f.r. China, 62% Fe - adjusted to account for the prices given in the 2011-2012 EITI Reports being an average 54.74% of this in 2009-2012.</t>
  </si>
  <si>
    <t>Bold Tumur Eruu Gol LLC, Ankhai International LLC, Tun Shen LLC</t>
  </si>
  <si>
    <t>Molybdenum Concentrate (47%)</t>
  </si>
  <si>
    <t>Volume from USGS Mineral Yearbook 2010. Price from USGS Mineral Commodity Summary 2013, and is the price in the US, adjusted to account for the prices given in the 2011-2012 EITI Reports being an average 31.21% of this in 2009-2012.</t>
  </si>
  <si>
    <t>Erdenet Mining Corporation</t>
  </si>
  <si>
    <t>Polimet</t>
  </si>
  <si>
    <t>Shin Shin LLC</t>
  </si>
  <si>
    <t>61-224</t>
  </si>
  <si>
    <t>This commodity is not mentioned in the USGS Mineral Yearbook 2012.</t>
  </si>
  <si>
    <t>Volume from EITI Report. Price from World Bank (Global Economic Monitor (GEM) Commodities database), and is defined as: Tin (LME), refined, 99.85% purity, settlement price.</t>
  </si>
  <si>
    <t>Shanlun LLC</t>
  </si>
  <si>
    <t>Volume from USGS Mineral Yearbook 2012. Price from USGS Mineral Commodity Summary 2013, and is the average price on the US and European spot markets for a metric ton unit of tungsten trioxide, which contains 7.93kg of tungsten.</t>
  </si>
  <si>
    <t>Volume from EITI Report. Price from World Bank (Global Economic Monitor (GEM) Commodities database) - defined as: Zinc (LME), high grade, minimum 99.95% purity, settlement price beginning April 1990; previously special high grade, minimum 99.995%, cash prices - adjusted to account for the prices given in the 2011-2012 EITI Reports being an average 50.71% of this in 2009-2012.</t>
  </si>
  <si>
    <t>Dongsheng petroleum LLC, Petro china dachin tamsag LLC, Zhong Chen Utian, Central Asiam Petroleum, Petro Matad, DWM Petroleum AG, NPI, MCS, Adamas mining LLC, Aduunchuluun LLC, Anian resources LLC, AFC tavt LLC, Adil och LLC, Almaz group LLC, Altai gold LLC, AUM LLC, Altain khuder LLC, Ankhai international LLC, Areva mongol LLC, Baganuur JSC, Berkh uul LLC, Bayan erch LLC, Bayalag jonsh LLC, Berkh uul LLC, Bayarsgold LLC, Boroo gold LLC, Bud invest LLC, Bulgangangat LLC, Bumbat LLC, Buurgent LLC, Bold tumur yruu gol LLC, Beren group LLC, Bayan airag exploration LLC, Braveheart resources LLC, Chinkhua MAK nariin sukhait LLC, Commod LLC, Centerra gold LLC, Childson LLC, Datsan trade LLC, Dun-Erdene LLC, Energy resources LLC, Erdene mongol LLC, Erdenet mining corporation LLC, Erdes Kholding LLC, Erel LLC, Erven khuder LLC, Emeelt mines LLC, Flink Mongolia LLC, Govi coal and energy LLC, Gatsuurt LLC, Guravt LLC, Gurvan tuhum LLC, Ivanhoe mines /Oyu tolgoi/ LLC, Ikh tokhoirol LLC, Ikh mongol mining LLC, Jump LLC, J and U gold LLC, Kojigovi LLC, Khan shijir LLC, KHOTU LLC, Khurai LLC, Kynar wolfram LLC, Khangad exploration LLC, Mongoliin alt corporation LLC, MonEnCo LLC, Mongolrustsevetmet LLC, Mongolchezmetal LLC, Mongol gazar LLC, Mongol tsamkhag LLC, Mongolbulgar geo LLC, Monpolimet LLC, Megaplast Mongolia LLC, Northwind LLC, Noyon Gary LLC, Odod LLC, Olon ovoot gold LLC, Ochir undraa LLC, Polo resources LLC, Rio LLC, Southgovi sands LLC, Shariin gol JSC, Shivee ovoo JSC, Sonor trade LLC, Suikhent LLC, Shijir alt LLC, MGH LLC, Shanlun LLC, Shin shin LLC, Suchigo LLC, Shijir talst LLC, SBF LLC, Tavan tolgoi JSC, T and Ch LLC, Tavan shuteen trade LLC, Tethys mining LLC, Tsogt onon LLC, Tsevdeg LLC, Tunsin LLC, Tsairt minerals LLC, Uuls zaamar LLC, Uuls noyon LLC, Uyan gan LLC, Uurt gold LLC, Urmun uul LLC, Western prospector LLC, Zaamariin ikh alt LLC, Zubgol LLC, Zuriin bulan LLC</t>
  </si>
  <si>
    <t>Materiality threshold: Companies that made a payment of at least MNT50,000,000 in 2009 should be reconciled. Unilateral declarations are included in the figures, including payments by six oil companies that were not requested to report and are therefore only reported on by government. Production volumes given in this report differ from those in the 2011 report. The latter are set out here. Some donations to government entities and 'expenditures on environmental protection' are in-kind payments and have been given a monetary value by companies, but the amount these account for is unclear. The report disaggregates government receipts by commodity (although aggregates copper and molybdenum), but only with reference to pre-adjustment figures. Post-adjustment figures are only provided indirectly through disaggregation by company. Where possible, post-adjustment figures have been given, but where this isn't, the breakdown of pre-adjustment figures have been used to estimate post-adjustment government receipts. Baganuur and  Shivee Ovoo SC are 75% and 90% state-owned respectively. Erdenet Mining Corporation (EMC) and Mongolrostsvetment JV are both 51% owned by the Government of Mongolia and 49% owned by the Government of Russia. EMC accounted for 48% of revenues reported by Government.</t>
  </si>
  <si>
    <t>Volume and price from 2011 EITI Report. Price is based on the reported value and quantity of exports.</t>
  </si>
  <si>
    <t>Dongsheng petroleum LLC, Petro china dachin tamsag LLC, Zhong Chen Utian, Central Asiam Petroleum, Petro Matad, DWM Petroleum AG, NPI, MCS</t>
  </si>
  <si>
    <t>Adamas mining LLC, Aduunchuluun LLC, Anian resources LLC, AFC tavt LLC, Adil och LLC, Almaz group LLC, Altai gold LLC, AUM LLC, Altain khuder LLC, Ankhai international LLC, Areva mongol LLC, Baganuur JSC, Berkh uul LLC, Bayan erch LLC, Bayalag jonsh LLC, Berkh uul LLC, Bayarsgold LLC, Boroo gold LLC, Bud invest LLC, Bulgangangat LLC, Bumbat LLC, Buurgent LLC, Bold tumur yruu gol LLC, Beren group LLC, Bayan airag exploration LLC, Braveheart resources LLC, Chinkhua MAK nariin sukhait LLC, Commod LLC, Centerra gold LLC, Childson LLC, Datsan trade LLC, Dun-Erdene LLC, Energy resources LLC, Erdene mongol LLC, Erdenet mining corporation LLC, Erdes Kholding LLC, Erel LLC, Erven khuder LLC, Emeelt mines LLC, Flink Mongolia LLC, Govi coal and energy LLC, Gatsuurt LLC, Guravt LLC, Gurvan tuhum LLC, Ivanhoe mines /Oyu tolgoi/ LLC, Ikh tokhoirol LLC, Ikh mongol mining LLC, Jump LLC, J and U gold LLC, Kojigovi LLC, Khan shijir LLC, KHOTU LLC, Khurai LLC, Kynar wolfram LLC, Khangad exploration LLC, Mongoliin alt corporation LLC, MonEnCo LLC, Mongolrustsevetmet LLC, Mongolchezmetal LLC, Mongol gazar LLC, Mongol tsamkhag LLC, Mongolbulgar geo LLC, Monpolimet LLC, Megaplast Mongolia LLC, Northwind LLC, Noyon Gary LLC, Odod LLC, Olon ovoot gold LLC, Ochir undraa LLC, Polo resources LLC, Rio LLC, Southgovi sands LLC, Shariin gol JSC, Shivee ovoo JSC, Sonor trade LLC, Suikhent LLC, Shijir alt LLC, MGH LLC, Shanlun LLC, Shin shin LLC, Suchigo LLC, Shijir talst LLC, SBF LLC, Tavan tolgoi JSC, T and Ch LLC, Tavan shuteen trade LLC, Tethys mining LLC, Tsogt onon LLC, Tsevdeg LLC, Tunsin LLC, Tsairt minerals LLC, Uuls zaamar LLC, Uuls noyon LLC, Uyan gan LLC, Uurt gold LLC, Urmun uul LLC, Western prospector LLC, Zaamariin ikh alt LLC, Zubgol LLC, Zuriin bulan LLC</t>
  </si>
  <si>
    <t>Adamas mining LLC, Aduunchuluun LLC, Anian resources LLC, Baganuur JSC, Berkh uul LLC, Govi coal and energy LLC, Mongoliin alt corporation LLC, MonEnCo LLC, Polo resources LLC, Southgovi sands LLC, Tavan tolgoi JSC, Chinkhua MAK nariin sukhait LLC, Shariin gol JSC, Shivee ovoo JSC, Energy resources LLC, Erdene mongol LLC</t>
  </si>
  <si>
    <t>69-376</t>
  </si>
  <si>
    <t>Copper Concentrate (35%)</t>
  </si>
  <si>
    <t>Ivanhoe mines /Oyu tolgoi/ LLC, AFC tavt LLC, Erdenet mining corporation LLC, Bayan erch LLC</t>
  </si>
  <si>
    <t>Adil och LLC, Bayalag jonsh LLC, Berkh uul LLC, Commod LLC, Mongolrustsevetmet LLC, Mongolchezmetal LLC, Northwind LLC</t>
  </si>
  <si>
    <t>Ivanhoe mines /Oyu tolgoi/ LLC, Almaz group LLC, Altai gold LLC, AUM LLC, AFC tavt LLC, Bayarsgold LLC, Boroo gold LLC, Bud invest LLC, Bulgangangat LLC, Bumbat LLC, Buurgent LLC, Berkh uul LLC, Gatsuurt LLC, Guravt LLC, Gurvan tuhum LLC, Datsan trade LLC, Dun-Erdene LLC, Jump LLC, J and U gold LLC, Zaamariin ikh alt LLC, Zubgol LLC, Zuriin bulan LLC, Ikh tokhoirol LLC, Kojigovi LLC, Mongol gazar LLC, Mongol tsamkhag LLC, Mongolbulgar geo LLC, Mongolrustsevetmet LLC, Monpolimet LLC, Noyon Gary LLC, Odod LLC, Olon ovoot gold LLC, Urmun uul LLC, Rio LLC, Centerra gold LLC, Sonor trade LLC, Suikhent LLC, T and Ch LLC, Tavan shuteen trade LLC, Tethys mining LLC, Uuls zaamar LLC, Uuls noyon LLC, Uyan gan LLC, Uurt gold LLC, Flink Mongolia LLC, Khan shijir LLC, KHOTU LLC, Khurai LLC, Tsogt onon LLC, Tsevdeg LLC, Childson LLC, Shijir alt LLC, MGH LLC, Erdes Kholding LLC, Erel LLC, SBF LLC</t>
  </si>
  <si>
    <t>Altain khuder LLC, Ankhai international LLC, Bold tumur yruu gol LLC, Beren group LLC, Kynar wolfram LLC, Tunsin LLC, Khangad exploration LLC, Erven khuder LLC</t>
  </si>
  <si>
    <t>AUM LLC, Boroo gold LLC, Buurgent LLC, Gatsuurt LLC, Datsan trade LLC, Jump LLC, J and U gold LLC, Zubgol LLC, Olon ovoot gold LLC, Uuls noyon LLC, Khan shijir LLC, Tsogt onon LLC</t>
  </si>
  <si>
    <t>Areva mongol LLC, Western prospector LLC</t>
  </si>
  <si>
    <t>Tsairt minerals LLC, Shanlun LLC</t>
  </si>
  <si>
    <t>Donations and assistance provided to Government organisations (type and volumes are not comprehensively given)</t>
  </si>
  <si>
    <t>Govi Energy partners LLC, Don Seng LLC, Zon heng yu tian LLC, Capcorp LLC, Petro Matad LLC, Petro China Dachin Tamsag LLC, Sansariin geology haiguul LLC, Sheiman LLC, MCS holding LLC, Agit Khangai LLC, AGM mining LLC, Adamas mining LLC, Adamas mountain LLC, Adil-Och LLC, Aduunchuluun JSC, Asia gold Mongolia LLC, Ivonhoe mines Mongolia inc /Oyu tolgoi/ LLC, Altain khuder LLC, Altan dornod Mongol LLC, Amin tsetseg LLC, Andin Ilch LLC, Andiin temuulel LLC, Ankhai International LLC, AUM LLC, AFK TAVT LLC, Baganur JSC
Baga Tayan LLC, Bayan airag exploration LLC, Bayan- Erch LLC, Buurgent LLC, Bold tumor eruu gol LLC, Boroo gold LLC, Brave heart resouces LLC, Bud Invest LLC, Bulgan Gangat LLC, Bumbat LLC, Bumbat resources LLC, Berkh resources LLC, Berkh-Uul LLC, Beren-Group LLC, Beren mining LLC, Western Prosector Mongolia LLC, Garryson-Asia LLC, Gatsuurt LLC, Geosan LLC, Geo-Erel LLC, Gun Bileg Trade LLC, Gobi Coal and Energy LLC, GoviEx Mongolia LLC, Gobigeo LLC, Golden cross LLC, Goldan Pogada LLC, Gurvan tuhum LLC, Datsan trade LLC, DQI International Mongolia LLC, Don young LLC, Dun-Erdene LLC, Urmon-Uul LLC, Jump-Alt LLC, Ten Khun LLC, GKMK LLC, G and U gold LLC, Jotoin bajuna LLC, Zaamariin Ikh Alt LLC, Zaraya holdings LLC, ZBAA LLC, Zuriin bulan LLC, IAM khukh adar LLC, Ilt gold LLC, Ikh mongol mining LLC, Ikh tokhoirol LLC, Uurt gold LLC, Kevin-Invest LLC, Kojigobi LLC, Commod LLC, QGX mongol LLC, Lon Shengda LLC, MGMK LLC, MES LLC, Mogoin gol LLC, Mogul International LLC, Mon Ajnai LLC, Mon poliment LLC, Mongol road prom LLC, Mongol Alt Mak LLC, Mongol bolgar geo LLC, Mongol gazar LLC, Mongol tsamkhag LLC, Mongolczechmetal LLC, Mongol-Alt LLC, Mongolia development resources LLC, Mongolrustsvetmet LLC, Mondulaan trade LLC, Monrosprom LLC, MONENCO LLC, Noyon Garry LLC, North wind LLC, Nuclear energy LLC, Odod LLC, Odod gold LLC, Olon ovoot gold LLC, ONTRE LLC, Ochir tuv LLC, Peabody winsway resources LLC, South gobi sands LLC, Centerra gold Mongolia LLC, Taats muron LLC, Tavantolgoi LLC, Tethys mining LLC, TRAMM LLC, Tumen and LLC, Tunderklap LLC, Tunsini LLC, Urt khoshuu LLC, Uyangan LLC, Khan shijir LLC, Khangad exploration LLC, Khar tarvagatai LLC, Khuder-Erdene LLC, HOTU LLC, Khotiin zam LLC, Khuusgul LLC, Kuady kyon LLC, Khunan jinlen LLC, Khunnu resources LLC, Khurai LLC, Tsairt mineral LLC, Chamin-Alt LLC, Chinhua Mac Nariin Sukhait LLC
Shanlun LLC, Shar narst LLC, Shariin gol JSC, Shivee-Ovoo JSC, Shijir talst LLC, Shijir-Alt LLC, Shin shin LLC, MOOICO LLC, Emeelt mines LLC, Engui tal LLC, Energy resources LLC, Erven khuder LLC, Erdene Jas LLC, Erdenes MGL LLC, Erdenet uildver LLC, Erdes holding LLC, Eringovi LLC, Erel LLC, SBF LLC, Universal copper LLC</t>
  </si>
  <si>
    <t>Materiality threshold: Companies that made a payment of at least MNT50,000,000 in 2010 should be reconciled. Some companies have been included that are not directly involved in mining activities, but provide services, such as catering, to companies that are. Unilateral declarations are included in the figures. Production volumes given in this report differ from those in the 2011 report. The latter are set out here. The report disaggregates government receipts by the main commodities (although aggregates copper and molybdenum). Some others are provided indirectly through disaggregation by company. Baganuur and  Shivee Ovoo SC are 75% and 90% state-owned respectively. Erdenet Mining Corporation (EMC) and Mongolrostsvetment JV are both 51% owned by the Government of Mongolia and 49% owned by the Government of Russia. EMC accounted for 51% of revenues reported by Government.  The report also includes: mineral reserves; FDI in the extractive sector; a detailed reconciliation of flows to some local government entities.</t>
  </si>
  <si>
    <t>Govi Energy partners LLC, Don Seng LLC, Zon heng yu tian LLC, Capcorp LLC, Petro Matad LLC, Petro China Dachin Tamsag LLC, Sansariin geology haiguul LLC, Sheiman LLC, MCS holding LLC</t>
  </si>
  <si>
    <t>Agit Khangai LLC, AGM mining LLC, Adamas mining LLC, Adamas mountain LLC, Adil-Och LLC, Aduunchuluun JSC, Asia gold Mongolia LLC, Ivonhoe mines Mongolia inc /Oyu tolgoi/ LLC, Altain khuder LLC, Altan dornod Mongol LLC, Amin tsetseg LLC, Andin Ilch LLC, Andiin temuulel LLC, Ankhai International LLC, AUM LLC, AFK TAVT LLC, Baganur JSC
Baga Tayan LLC, Bayan airag exploration LLC, Bayan- Erch LLC, Buurgent LLC, Bold tumor eruu gol LLC, Boroo gold LLC, Brave heart resouces LLC, Bud Invest LLC, Bulgan Gangat LLC, Bumbat LLC, Bumbat resources LLC, Berkh resources LLC, Berkh-Uul LLC, Beren-Group LLC, Beren mining LLC, Western Prosector Mongolia LLC, Garryson-Asia LLC, Gatsuurt LLC, Geosan LLC, Geo-Erel LLC, Gun Bileg Trade LLC, Gobi Coal and Energy LLC, GoviEx Mongolia LLC, Gobigeo LLC, Golden cross LLC, Goldan Pogada LLC, Gurvan tuhum LLC, Datsan trade LLC, DQI International Mongolia LLC, Don young LLC, Dun-Erdene LLC, Urmon-Uul LLC, Jump-Alt LLC, Ten Khun LLC, GKMK LLC, G and U gold LLC, Jotoin bajuna LLC, Zaamariin Ikh Alt LLC, Zaraya holdings LLC, ZBAA LLC, Zuriin bulan LLC, IAM khukh adar LLC, Ilt gold LLC, Ikh mongol mining LLC, Ikh tokhoirol LLC, Uurt gold LLC, Kevin-Invest LLC, Kojigobi LLC, Commod LLC, QGX mongol LLC, Lon Shengda LLC, MGMK LLC, MES LLC, Mogoin gol LLC, Mogul International LLC, Mon Ajnai LLC, Mon poliment LLC, Mongol road prom LLC, Mongol Alt Mak LLC, Mongol bolgar geo LLC, Mongol gazar LLC, Mongol tsamkhag LLC, Mongolczechmetal LLC, Mongol-Alt LLC, Mongolia development resources LLC, Mongolrustsvetmet LLC, Mondulaan trade LLC, Monrosprom LLC, MONENCO LLC, Noyon Garry LLC, North wind LLC, Nuclear energy LLC, Odod LLC, Odod gold LLC, Olon ovoot gold LLC, ONTRE LLC, Ochir tuv LLC, Peabody winsway resources LLC, South gobi sands LLC, Centerra gold Mongolia LLC, Taats muron LLC, Tavantolgoi LLC, Tethys mining LLC, TRAMM LLC, Tumen and LLC, Tunderklap LLC, Tunsini LLC, Urt khoshuu LLC, Uyangan LLC, Khan shijir LLC, Khangad exploration LLC, Khar tarvagatai LLC, Khuder-Erdene LLC, HOTU LLC, Khotiin zam LLC, Khuusgul LLC, Kuady kyon LLC, Khunan jinlen LLC, Khunnu resources LLC, Khurai LLC, Tsairt mineral LLC, Chamin-Alt LLC, Chinhua Mac Nariin Sukhait LLC
Shanlun LLC, Shar narst LLC, Shariin gol JSC, Shivee-Ovoo JSC, Shijir talst LLC, Shijir-Alt LLC, Shin shin LLC, MOOICO LLC, Emeelt mines LLC, Engui tal LLC, Energy resources LLC, Erven khuder LLC, Erdene Jas LLC, Erdenes MGL LLC, Erdenet uildver LLC, Erdes holding LLC, Eringovi LLC, Erel LLC, SBF LLC, Universal copper LLC</t>
  </si>
  <si>
    <t>Sulfide</t>
  </si>
  <si>
    <t>113-116</t>
  </si>
  <si>
    <t>Zinc concentrate (wet)</t>
  </si>
  <si>
    <t>Profits/Taxes, Dividends, Licenses and concessions</t>
  </si>
  <si>
    <r>
      <t xml:space="preserve">Petrochina dachin tamsag LLC, Magnai trade LLC, Dongsheng petroleum LLC, NPI LLC, Petro matad LLC, Golden sea petrolium LLC, Gobi energy partners LLC, Zon Xen U Tian LLC, Cupcorp Mongolia LLC, MCS petro mongolia LLC, Sansariin geologi khaiguul LLC, Shaiman LLC, </t>
    </r>
    <r>
      <rPr>
        <b/>
        <sz val="11"/>
        <color indexed="8"/>
        <rFont val="Calibri"/>
        <family val="2"/>
      </rPr>
      <t>APEXPRO LLC, Erdenet mining corporation LLC, Oyu tolgoi LLC, Erdenes Tavan tolgoi JSC, Tavantolgoi JSC, Mongol Alt Mak LLC, Energy resource LLC, South Govi Energy LLC, Bold tumur yruu gol LLC, Tsairt Mineral LLC, Boroo gold LLC, Altain khuder LLC, Chinkhua Mak nariin sukhait LLC, Shin Shin LLC, Mongolrustsevetmet LLC, Baganuur JSC, Monpolimet LLC, GEM international LLC, Olon Ovoot gold LLC, Centerra Gold Mongolia LLC, Mo En Ko LLC, Shijir Alt LLC, Ochir Undraa LLC, Mon dulaan trade LLC, Shivee-Ovoo JSC, Ankhai international LLC, Gatsuurt LLC, Marco Polo LLC, Kojegovi LLC, Erel LLC, Shariin gol JSC, AUM LLC, MPHCL LLC, ONTRE LLC, Hera Investment LLC, Lutchuluu LLC, Urmun-Uul LLC, Khangad exploration LLC, Peabody-Winsway resources LLC, Cascade mining LLC, Emeelt Mines LLC, Ikh Khan Uul LLC, Orchlon ord LLC, Beren mining LLC, Zhu Yu E LLC, Gunbileg trade LLC, Buman olz LLC, Erdes kholding LLC, Erdene jas LLC, Mongol metal mining LLC, Mongol gazar LLC, SBF LLC, Agmmining LLC, MRCMGL LLC, Zanadumetals mongolia LLC, Geomin LLC, JKMK LLC, Eermel LLC, Mongolczechmetal LLC, QGX Mongol LLC, Datsan trade LLC, MEC LLC, Ulzgol LLC, Samtan mores LLC, Mongol tsamkhag LLC, Camex LLC, Gobi consolidated LLC, Shine Ellion Neng Yuan LLC, Ejbaley LLC, Mongol altai resources LLC, Khurgatai khairkhan LLC, Adil och LLC, Broad LLC, KHOTU LLC, Tsevdeg LLC, Bayanteeg LLC, Berkh resources LLC, Mongol uranium resources LLC, Taats murun LLC, Gobi coal and Eenergy LLC, Shanlun LLC, Bayan erch LLC, Cazmon contact LLC, Khuadi khuonez LLC, Andiin ilch LLC, Tethys Mining LLC, Altan dorNod mongol LLC, OGCHL LLC, Ten khun LLC, Zaraya holdings LLC, Delger-Orchlon LLC, Jump alt LLC, Alshaakhairkhan LLC, Bulgan gangat LLC, Odod gold LLC, Remet LLC, Beren group LLC, Erdenes MGL LLC, Mon Laa LLC, Bayan airag exploration LLC, Redhill Mongolia LLC, Shine shivee LLC, Mongolbulgargeo LLC, Dun Yuan LLC, Gobi-exploration LLC, Aduunchuluun JSC, Jinghua ord LLC, CCM LLC, Tengre terra resources LLC, Terra-Energy LLC, GBNB LLC, Batu Mining Mongolia LLC, Munkh Noyon suvarga LLC, Tienjinsanjo LLC, Sinchi-Oil LLC, Mongolrudprom LLC, CMKI LLC, Dun erdene LLC, Khan shijir LLC, Asia gold Mongolia LLC, GLDB LLC, Mongoljuanli LLC, ZBAA LLC, Khotgor Shanaga LLC, Khotgor LLC, Belgravia mining LLC, Golden Govi mining LLC, Buurgent LLC, Khartarvagatai JSC, Sod Gazar LLC, Mogoin Gol LLC, Longshenda LLC, Khuree del LLC, CCEM LLC, Jotoin Bajuuna LLC, Dorniin Khuder LLC, GCB mining LLC, Bold Fo Ar Da LLC, Bayantegsh Impex LLC, Temuulel LLC, Mon Ajnai LLC, Gurvan zam LLC, COAL LLC, Bayalag ord LLC, Bumbat resources LLC, Oyut ulaan LLC, Gurvan tuhum LLC, Olova LLC, Berkh uul LLC, Chingisiin khar alt, Tugrug nuuriin energy LLC, Uurt Gold LLC, Kherlen energo LLC, Ilt gold LLC, KVP LLC, FMI LLC, TBE LLC, Commod LLC, Ikh Mongol mining LLC, Bumbat LLC, Golden cross LLC, Gunbileg gold LLC, Dedizi Yuan LLC, MCTT LLC, Erven khuder LLC, Shar narst LLC, North wind LLC, G and U gold LLC, Khuden LLC, SoNor Trade LLC, Zuun mod uul LLC, Khuslemj LLC, Khurai LLC, Bud invest LLC, Taisheng development LLC, Petro coal LLC, Avdar bayan LLC, Aivuun tes LLC, Bayajmal LLC, Khos khas LLC, Big Mogul Coal and Energy LLC, Peninsulamining LLC, Mongol alt LLC, Altai khangai burd LLC, Western prospector mongolia LLC, Treiga mountain international mining LLC, Khunanjinlen LLC, MGMK LLC</t>
    </r>
  </si>
  <si>
    <t>Materiality threshold: Companies that made a payment of at least MNT40,000,000 in 2011 should be reconciled. Some companies have been included that are not directly involved in mining activities, but provide services, such as catering, to companies that are. Unilateral declarations are included in the figures. The report disaggregates government receipts by the main commodities (although aggregates copper and molybdenum). Some others are provided indirectly through disaggregation by company. Post-adjustment figures are disaggregated by company for government receipts only, not for company payments. Baganuur, Oyu Tolgoi LLC, Shivee Ovoo SC and Tavantolgoi JSC are 75%, 34%, 90% and 51% state-owned respectively. Erdenet Mining Corporation (EMC) and Mongolrostsvetment JV are both 51% owned by the Government of Mongolia and 49% owned by the Government of Russia. EMC accounted for 26% of revenues reported by Government. The report also includes: mineral reserves; FDI in the extractive sector; mining activity and environmental protection reports by some companies; a detailed reconciliation of flows to some local government entities.</t>
  </si>
  <si>
    <t>Volume and price from EITI Report. Price is based on the reported value and quantity of exports.</t>
  </si>
  <si>
    <r>
      <t xml:space="preserve">Petrochina dachin tamsag LLC, Magnai trade LLC, Dongsheng petroleum LLC, NPI LLC, Petro matad LLC, Golden sea petrolium LLC, Gobi energy partners LLC, Zon Xen U Tian LLC, Cupcorp Mongolia LLC, MCS petro mongolia LLC, Sansariin geologi khaiguul LLC, Shaiman LLC, </t>
    </r>
    <r>
      <rPr>
        <b/>
        <sz val="11"/>
        <color indexed="8"/>
        <rFont val="Calibri"/>
        <family val="2"/>
      </rPr>
      <t>APEXPRO LLC</t>
    </r>
  </si>
  <si>
    <t>8-9, 19</t>
  </si>
  <si>
    <t>Erdenet mining corporation LLC, Oyu tolgoi LLC, Erdenes Tavan tolgoi JSC, Tavantolgoi JSC, Mongol Alt Mak LLC, Energy resource LLC, South Govi Energy LLC, Bold tumur yruu gol LLC, Tsairt Mineral LLC, Boroo gold LLC, Altain khuder LLC, Chinkhua Mak nariin sukhait LLC, Shin Shin LLC, Mongolrustsevetmet LLC, Baganuur JSC, Monpolimet LLC, GEM international LLC, Olon Ovoot gold LLC, Centerra Gold Mongolia LLC, Mo En Ko LLC, Shijir Alt LLC, Ochir Undraa LLC, Mon dulaan trade LLC, Shivee-Ovoo JSC, Ankhai international LLC, Gatsuurt LLC, Marco Polo LLC, Kojegovi LLC, Erel LLC, Shariin gol JSC, AUM LLC, MPHCL LLC, ONTRE LLC, Hera Investment LLC, Lutchuluu LLC, Urmun-Uul LLC, Khangad exploration LLC, Peabody-Winsway resources LLC, Cascade mining LLC, Emeelt Mines LLC, Ikh Khan Uul LLC, Orchlon ord LLC, Beren mining LLC, Zhu Yu E LLC, Gunbileg trade LLC, Buman olz LLC, Erdes kholding LLC, Erdene jas LLC, Mongol metal mining LLC, Mongol gazar LLC, SBF LLC, Agmmining LLC, MRCMGL LLC, Zanadumetals mongolia LLC, Geomin LLC, JKMK LLC, Eermel LLC, Mongolczechmetal LLC, QGX Mongol LLC, Datsan trade LLC, MEC LLC, Ulzgol LLC, Samtan mores LLC, Mongol tsamkhag LLC, Camex LLC, Gobi consolidated LLC, Shine Ellion Neng Yuan LLC, Ejbaley LLC, Mongol altai resources LLC, Khurgatai khairkhan LLC, Adil och LLC, Broad LLC, KHOTU LLC, Tsevdeg LLC, Bayanteeg LLC, Berkh resources LLC, Mongol uranium resources LLC, Taats murun LLC, Gobi coal and Eenergy LLC, Shanlun LLC, Bayan erch LLC, Cazmon contact LLC, Khuadi khuonez LLC, Andiin ilch LLC, Tethys Mining LLC, Altan dorNod mongol LLC, OGCHL LLC, Ten khun LLC, Zaraya holdings LLC, Delger-Orchlon LLC, Jump alt LLC, Alshaakhairkhan LLC, Bulgan gangat LLC, Odod gold LLC, Remet LLC, Beren group LLC, Erdenes MGL LLC, Mon Laa LLC, Bayan airag exploration LLC, Redhill Mongolia LLC, Shine shivee LLC, Mongolbulgargeo LLC, Dun Yuan LLC, Gobi-exploration LLC, Aduunchuluun JSC, Jinghua ord LLC, CCM LLC, Tengre terra resources LLC, Terra-Energy LLC, GBNB LLC, Batu Mining Mongolia LLC, Munkh Noyon suvarga LLC, Tienjinsanjo LLC, Sinchi-Oil LLC, Mongolrudprom LLC, CMKI LLC, Dun erdene LLC, Khan shijir LLC, Asia gold Mongolia LLC, GLDB LLC, Mongoljuanli LLC, ZBAA LLC, Khotgor Shanaga LLC, Khotgor LLC, Belgravia mining LLC, Golden Govi mining LLC, Buurgent LLC, Khartarvagatai JSC, Sod Gazar LLC, Mogoin Gol LLC, Longshenda LLC, Khuree del LLC, CCEM LLC, Jotoin Bajuuna LLC, Dorniin Khuder LLC, GCB mining LLC, Bold Fo Ar Da LLC, Bayantegsh Impex LLC, Temuulel LLC, Mon Ajnai LLC, Gurvan zam LLC, COAL LLC, Bayalag ord LLC, Bumbat resources LLC, Oyut ulaan LLC, Gurvan tuhum LLC, Olova LLC, Berkh uul LLC, Chingisiin khar alt, Tugrug nuuriin energy LLC, Uurt Gold LLC, Kherlen energo LLC, Ilt gold LLC, KVP LLC, FMI LLC, TBE LLC, Commod LLC, Ikh Mongol mining LLC, Bumbat LLC, Golden cross LLC, Gunbileg gold LLC, Dedizi Yuan LLC, MCTT LLC, Erven khuder LLC, Shar narst LLC, North wind LLC, G and U gold LLC, Khuden LLC, SoNor Trade LLC, Zuun mod uul LLC, Khuslemj LLC, Khurai LLC, Bud invest LLC, Taisheng development LLC, Petro coal LLC, Avdar bayan LLC, Aivuun tes LLC, Bayajmal LLC, Khos khas LLC, Big Mogul Coal and Energy LLC, Peninsulamining LLC, Mongol alt LLC, Altai khangai burd LLC, Western prospector mongolia LLC, Treiga mountain international mining LLC, Khunanjinlen LLC, MGMK LLC</t>
  </si>
  <si>
    <t>8-9</t>
  </si>
  <si>
    <t>9, 19</t>
  </si>
  <si>
    <t>9</t>
  </si>
  <si>
    <t>Gobi Energy Partners LLC, Golden Sea Petroleum LLC, Dongsheng Petroleum LLC, Zon Hen Yun Tian LLC, Catcorp Mongolia LLC, Magnai Trade LLC, Petro Matad LLC, Petro China Dachin Tamsag LLC, Sansaryn Geology Khaiguul LLC, Avdar Bayan LLC, AGM Mining LLC, Adamas Mining LLC, Adil-Och LLC, Aduunchuluun JSC, Asiagold Mongolia LLC, Altain Khuder LLC, Altan Dornod Mongol LLC, Altanrio Mongolia LLC, And Survey LLC, Andiin Ilch LLC, Anian Resources LLC, Ankhai-International LLC, AUM LLC, Baganuur JSC, Badmaarag Khash LLC, Batu Mining Mongolia LLC, Bayalag Ord LLC, Bayan-Erch LLC, Bayan Airag Exploration LLC, Bayantegsh Impex LLC, Bayanteeg JSC, BDBL LLC, BCMM LLC, BHM LLC, Bilguuntrade LLC, Blake Mount Mining LLC, Bold Tumur Eruu Gol LLC, Boroo Gold LLC, Bridge Construction LLC, Broad LLC, Bud Undram LLC, Bulgan Gangat LLC, Bumbat Resources LLC, Bumbat LLC, Berkh-Uul LLC, Berkh Resources LLC, Beren Group LLC, Beren Mining LLC, Vantage LLC, Voyager Gold LLC,  Galaxy Mining Mongolia, Gan-Ilch LLC, Gatsuurt LLC,GBNB LLC, Geosan LLC, Gobi Coal and Energy LLC, Gobi Exploration LLC, Golden Cross LLC, Grand Montana Mining LLC, Gurvan Tukhum LLC, Darkhan Bor Khujir LLC, Darkhan Tumurlugiin Uildver JSC, Darkhan Shar Burd LLC, Datsan Trade LLC, Duchin Delgerekh LLC, Dun Yuan LLC, Dun-Erdene LLC, DUN LI LLC, Jado Zambala LLC, Jinghua Ord LLC, Jotoin Bajuuna LLC, Jun Yuan LLC, Zanadu Copper Mongolia LLC, Zaraya Holdings LLC, Zhu Yu E LLC, Zuun Naiman Suvraga LLC, Ing Hu LLC, Ikh Gobi Energy LLC, Ikh Tokhoirol LLC, Casiop Contact LLC, Kojegobi LLC, KVP LLC, Lutchuluu LLC, Max Impex LLC, Mandal-Altai Group LLC, MARCO POLO LLC, Mon En Ko LLC, Mogol International LLC, Monvolfram LLC, Mongol Altai Resources LLC, Mongol Gazar LLC, Mongol Metal Mining LLC, Mongolbulgar Geo LLC, Mongolrustsvetmet LLC, Mongol Czech Metall LLC, Mongolyn Alt Mak LLC, Mondulaan Trade LLC, Monlaa LLC, Monpolimet LLC, Munkh Noyon Suvarga LLC, NABD LLC, Narantuul Trade LLC,NK LLC, Northwind LLC, Odod Gold LLC, Olova LLC, Olon Ovoot Gold LLC, ONTRE LLC, Ord Talst LLC, Orchlon Construction LLC, Ochir Tuv LLC, Ochir-Undraa LLC, Oyu Tolgoi LLC, Urmun-Uul LLC, OGCHL LLC, Poloresources - Peabody Winsway Resources, Reservoir Moly Mongolia LLC, Reo LLC, Redhill Mongolia LLC, Samton Morris LLC, South Gobi Blake Gold LLC, Southgobi Sands LLC, Centerra Gold Mongolia LLC, COAL LLC, CCM LLC, CMKI LLC, Sonor Trade LLC, Suuri LLC, Seruun Selbe LLC, Tavan Tolgoi Trans LLC, Tavantolgoi JSC, Taliin Shigtgee LLC, Terra Energy LLC, TBE LLC, Tegshtplant LLC,  Ten Khun LLC, Teso LLC, Tefis Mining LLC, Ulzgol LLC, Uugan Ilch LLC, Uuls Zaamar LLC, Focus Metal Mining LLC, Freegood Erin LLC, Fenchun International LLC, Khangad Exploration LLC, Khangi Prospecting LLC, Khangi Khuder LLC, Khartarvagatai JSC, Kharanga Khuder LLC, Hera Investment LLC, Khongor Khangain Erdenes LLC, Khotgor Shanaga LLC, Khukh Tur LLC, Huadi Kuonyez LLC, Khurgatai Khairkhan LLC, Khureedel LLC, Khuslemj LLC, Kheltrege LLC, Tsairtmineral LLC, Cement &amp; Lime JSC, Central Asian Cement LLC, Central Asia Mining LLC, Tsevdeg LLC, Tsengeg-Orog LLC, Tsetsens Mining and Energy LLC, Chandmani Tal LLC, Chinkhua MAK Nariin Sukhait LLC, Shanlun LLC, Shanjin Ord LLC, Shar Narst LLC, Shariin Gol JSC, Shengangyuntun LLC, Shivee Ovoo JSC, Shin Shin LLC, Shine Asia Mining Group LLC, Shine Ilion Nen Yuan LLC, Shine Longda LLC, Shine Shivee LLC, Sheiman LLC, Ejbalei LLC, APEXPRO LLC, HMMB LLC, MJB LLC, MPHCL LLC, MCGT LLC, MCTT LLC, MMRI LLC, Emeelt Mines LLC, NPI LLC, Energy Resource LLC, Erdene Mongol LLC, Erdenedalai Coal LLC, Erdenejas LLC, Erdenes MGL LLC, Erdenes Tavan Tolgoi JSC, Erdenet Mining Corporation LLC, Erel Cement LLC, SBF LLC, ESTO LLC, Universal Resources</t>
  </si>
  <si>
    <t>Moore Stephens LLP &amp;amp; Dalaivan Audit LLC</t>
  </si>
  <si>
    <t>6,13</t>
  </si>
  <si>
    <r>
      <t xml:space="preserve">Materiality threshold: Companies that made a payment of at least MNT40,000,000 in 2012 should be reconciled. Some companies have been included that are not directly involved in mining activities, but provide services to companies that are. Unilateral declarations are included in the figures. Company payments include additonal, unreconciled revenue streams of $1,052,182,778 that companies were asked to voluntarily report on. The figure for payments in-kind is that which government reported, companies reported paying $3,226,933. Baganuur, Oyu Tolgoi LLC, Shivee Ovoo SC and Tavantolgoi JSC are 75%, 34%, 90% and 51% state-owned respectively. Erdenet Mining Corporation (EMC) and Mongolrostsvetment JV are both 51% owned by the Government of Mongolia and 49% owned by the Government of Russia. </t>
    </r>
    <r>
      <rPr>
        <b/>
        <sz val="11"/>
        <color indexed="8"/>
        <rFont val="Calibri"/>
        <family val="2"/>
      </rPr>
      <t xml:space="preserve">Bayanteeg JSC, Erdenes MGL LLC, </t>
    </r>
    <r>
      <rPr>
        <sz val="11"/>
        <color indexed="8"/>
        <rFont val="Calibri"/>
        <family val="2"/>
      </rPr>
      <t xml:space="preserve">Erdenes Tavan Tolgoi JSC, </t>
    </r>
    <r>
      <rPr>
        <b/>
        <sz val="11"/>
        <color indexed="8"/>
        <rFont val="Calibri"/>
        <family val="2"/>
      </rPr>
      <t xml:space="preserve">Darkhan Tumurlugiin Uildver JSC and Cement &amp; Lime JSC are also state-owned. </t>
    </r>
    <r>
      <rPr>
        <sz val="11"/>
        <color indexed="8"/>
        <rFont val="Calibri"/>
        <family val="2"/>
      </rPr>
      <t>EMC accounted for 33% of revenues reported by Government.  The report also includes: production volumes and values for some companies; mineral reserves; FDI in the extractive sector; mining activity and environmental protection reports by some companies; a detailed reconciliation of flows to some local government entities.</t>
    </r>
  </si>
  <si>
    <t>Gobi Energy Partners LLC, Golden Sea Petroleum LLC, Dongsheng Petroleum LLC, Zon Hen Yun Tian LLC, Catcorp Mongolia LLC, Magnai Trade LLC, Petro Matad LLC, Petro China Dachin Tamsag LLC, Sansaryn Geology Khaiguul LLC</t>
  </si>
  <si>
    <t>Avdar Bayan LLC, AGM Mining LLC, Adamas Mining LLC, Adil-Och LLC, Aduunchuluun JSC, Asiagold Mongolia LLC, Altain Khuder LLC, Altan Dornod Mongol LLC, Altanrio Mongolia LLC, And Survey LLC, Andiin Ilch LLC, Anian Resources LLC, Ankhai-International LLC, AUM LLC, Baganuur JSC, Badmaarag Khash LLC, Batu Mining Mongolia LLC, Bayalag Ord LLC, Bayan-Erch LLC, Bayan Airag Exploration LLC, Bayantegsh Impex LLC, Bayanteeg JSC, BDBL LLC, BCMM LLC, BHM LLC, Bilguuntrade LLC, Blake Mount Mining LLC, Bold Tumur Eruu Gol LLC, Boroo Gold LLC, Bridge Construction LLC, Broad LLC, Bud Undram LLC, Bulgan Gangat LLC, Bumbat Resources LLC, Bumbat LLC, Berkh-Uul LLC, Berkh Resources LLC, Beren Group LLC, Beren Mining LLC, Vantage LLC, Voyager Gold LLC,  Galaxy Mining Mongolia, Gan-Ilch LLC, Gatsuurt LLC,GBNB LLC, Geosan LLC, Gobi Coal and Energy LLC, Gobi Exploration LLC, Golden Cross LLC, Grand Montana Mining LLC, Gurvan Tukhum LLC, Darkhan Bor Khujir LLC, Darkhan Tumurlugiin Uildver JSC, Darkhan Shar Burd LLC, Datsan Trade LLC, Duchin Delgerekh LLC, Dun Yuan LLC, Dun-Erdene LLC, DUN LI LLC, Jado Zambala LLC, Jinghua Ord LLC, Jotoin Bajuuna LLC, Jun Yuan LLC, Zanadu Copper Mongolia LLC, Zaraya Holdings LLC, Zhu Yu E LLC, Zuun Naiman Suvraga LLC, Ing Hu LLC, Ikh Gobi Energy LLC, Ikh Tokhoirol LLC, Casiop Contact LLC, Kojegobi LLC, KVP LLC, Lutchuluu LLC, Max Impex LLC, Mandal-Altai Group LLC, MARCO POLO LLC, Mon En Ko LLC, Mogol International LLC, Monvolfram LLC, Mongol Altai Resources LLC, Mongol Gazar LLC, Mongol Metal Mining LLC, Mongolbulgar Geo LLC, Mongolrustsvetmet LLC, Mongol Czech Metall LLC, Mongolyn Alt Mak LLC, Mondulaan Trade LLC, Monlaa LLC, Monpolimet LLC, Munkh Noyon Suvarga LLC, NABD LLC, Narantuul Trade LLC,NK LLC, Northwind LLC, Odod Gold LLC, Olova LLC, Olon Ovoot Gold LLC, ONTRE LLC, Ord Talst LLC, Orchlon Construction LLC, Ochir Tuv LLC, Ochir-Undraa LLC, Oyu Tolgoi LLC, Urmun-Uul LLC, OGCHL LLC, Poloresources - Peabody Winsway Resources, Reservoir Moly Mongolia LLC, Reo LLC, Redhill Mongolia LLC, Samton Morris LLC, South Gobi Blake Gold LLC, Southgobi Sands LLC, Centerra Gold Mongolia LLC, COAL LLC, CCM LLC, CMKI LLC, Sonor Trade LLC, Suuri LLC, Seruun Selbe LLC, Tavan Tolgoi Trans LLC, Tavantolgoi JSC, Taliin Shigtgee LLC, Terra Energy LLC, TBE LLC, Tegshtplant LLC,  Ten Khun LLC, Teso LLC, Tefis Mining LLC, Ulzgol LLC, Uugan Ilch LLC, Uuls Zaamar LLC, Focus Metal Mining LLC, Freegood Erin LLC, Fenchun International LLC, Khangad Exploration LLC, Khangi Prospecting LLC, Khangi Khuder LLC, Khartarvagatai JSC, Kharanga Khuder LLC, Hera Investment LLC, Khongor Khangain Erdenes LLC, Khotgor Shanaga LLC, Khukh Tur LLC, Huadi Kuonyez LLC, Khurgatai Khairkhan LLC, Khureedel LLC, Khuslemj LLC, Kheltrege LLC, Tsairtmineral LLC, Cement &amp; Lime JSC, Central Asian Cement LLC, Central Asia Mining LLC, Tsevdeg LLC, Tsengeg-Orog LLC, Tsetsens Mining and Energy LLC, Chandmani Tal LLC, Chinkhua MAK Nariin Sukhait LLC, Shanlun LLC, Shanjin Ord LLC, Shar Narst LLC, Shariin Gol JSC, Shengangyuntun LLC, Shivee Ovoo JSC, Shin Shin LLC, Shine Asia Mining Group LLC, Shine Ilion Nen Yuan LLC, Shine Longda LLC, Shine Shivee LLC, Sheiman LLC, Ejbalei LLC, APEXPRO LLC, HMMB LLC, MJB LLC, MPHCL LLC, MCGT LLC, MCTT LLC, MMRI LLC, Emeelt Mines LLC, NPI LLC, Energy Resource LLC, Erdene Mongol LLC, Erdenedalai Coal LLC, Erdenejas LLC, Erdenes MGL LLC, Erdenes Tavan Tolgoi JSC, Erdenet Mining Corporation LLC, Erel Cement LLC, SBF LLC, ESTO LLC, Universal Resources</t>
  </si>
  <si>
    <t>14,15</t>
  </si>
  <si>
    <t>Mongolian Tughrik</t>
  </si>
  <si>
    <t>Hart Nurse LTD and Ulaanbaatar Audit Corporation LLC</t>
  </si>
  <si>
    <t>Exchange rate not in EITI report. Reporting companies differ from report to website. Value of payments differ from report to EITI website.</t>
  </si>
  <si>
    <t>Tungsten</t>
  </si>
  <si>
    <t>Tungsten Concentrate</t>
  </si>
  <si>
    <t>Zinc Concentrate</t>
  </si>
  <si>
    <t>http://www.itie.org.mz</t>
  </si>
  <si>
    <t>Host government's production entitlement, Profits/Taxes, Royalties, Dividends, Licenses and concessions</t>
  </si>
  <si>
    <t>Mozambique Meticais</t>
  </si>
  <si>
    <t>2,528,854 gigajoules (66,096,657 cubic metres) of gas</t>
  </si>
  <si>
    <t xml:space="preserve"> Vale Mozambique Ltd, Kenmare Moma Mining (Mauritius) Ltd, HAMC (Highland African Mining Co.), Rio Tinto Mining and Exploration MozambiqueCompanhia Moçambicana de Hidro-carbonetos Sarl, Sasol Petroleum Temane Ltd,</t>
  </si>
  <si>
    <t>Materiality threshold: Companies that made a payment of at least 1,500,000MT in 2008 should be reconciled. The report gives the volumes but not values for the payments in kind. The values are calculated using the relevant commodity price from the BPSR 2014 (detailed below). Unilateral declarations are included in the figures. Sasol Petroleum Temane Ltd, a South African Energy Company, currently operates the Pande and Temane Natural Gas Fields with Companhia Moçambicana de Hidrocarbonetos SARL (CMH) and the International Finance Corporation (IFC). Sasol Petroleum is the operator and majority shareholder with 70% shares, with CMH having 25% and IFC with 5% share interest. The Pande-Temane gas project includes a gas pipeline, completed in 2004, stretching over 865 km between Temane and a Sasol gas processing petrochemical complex in Secunda, South Africa. CMH's shareholding structure comprises 70% to Empresa Nactional de Hidrocarbonetos Company (ENH), 20% to the Government of Mozambique and 10% owned by corporate bodies and individuals. ENH is the National Oil Company of Mozambique and is 100% owned by the State. Sasol Petroleum accounted for 57% of payments reported by the companies, with CMH accouting for a further 35%. The payment in kind of natural gas is for part of Sasol Petroleum Temane Ltd's royalty obligations.</t>
  </si>
  <si>
    <t>Companhia Moçambicana de Hidro-carbonetos Sarl, Sasol Petroleum Temane Ltd</t>
  </si>
  <si>
    <t>26-27, 32</t>
  </si>
  <si>
    <t>Pande-Temane gas project is currently the only producer of gas.</t>
  </si>
  <si>
    <t>Vale Mozambique Ltd, Kenmare Moma Mining (Mauritius) Ltd, HAMC (Highland African Mining Co.), Rio Tinto Mining and Exploration Mozambique</t>
  </si>
  <si>
    <t>26-27</t>
  </si>
  <si>
    <t>Volume from EIA. Price from BPSR 2014, and is an average of the American Central Appalachian, Asian and Northwest Europe marker/spot prices.</t>
  </si>
  <si>
    <t>Vale Mozambique Ltd</t>
  </si>
  <si>
    <t>HAMC (Highland African Mining Co.)</t>
  </si>
  <si>
    <t>US$/kg</t>
  </si>
  <si>
    <t>Titanium minerals &amp; zircon</t>
  </si>
  <si>
    <t>Kenmare Moma Mining (Mauritius) Ltd, Rio Tinto Mining and Exploration Mozambique</t>
  </si>
  <si>
    <t>o/w Ilmenite</t>
  </si>
  <si>
    <t>o/w Rutile</t>
  </si>
  <si>
    <t>Volume from USGS Mineral Yearbook 2012. Price from USGS Mineral Commodity Summary 2013, and is the f.o.b. price in Australia for a bulk product with a minimum TiO2 content of 95%.</t>
  </si>
  <si>
    <t>o/w Zircon</t>
  </si>
  <si>
    <t>Volume from USGS Mineral Yearbook 2012. Price from USGS Mineral Commodity Summary 2013, and is the f.o.b. price for US imports.</t>
  </si>
  <si>
    <t>3,226,666 gigajoules (84,335,369 cubic metres) of gas</t>
  </si>
  <si>
    <t>Anadarko Mocambique Area 1 Ltd, Companhia Moçambicana de Hidro-carbonetos Sarl, D N O Asa, Empresa Nacional de Hidrocarbonetos-EP, Eni East Africa S.P.A., Petronas Carigali Mozambique E &amp; P Ltd, Sasol Petroleum Sofala Ltd, Sasol Petroleum Temane Ltd, Wentworth Mocambqiue Petroleos Ltd, Buzi Hydrocarbons, Statoil Ltd, Sasol Petroleum Mocambique Ltd, Rovuma Resources Ltd, Capitol Resources Ltd, Africa Drilling Company -Afrodroll, Twigg Exploration and Mining Ltd, Mozambique Minerals Ltd, Manica Minerals (Moz) Ltd, Opti Metal Trading Mocambique Ltd, Afriminas Minerais Ltd, Riversdale Mocambique Ltd, JWS Natural Resources Mozambique Ltd, Essar Minas de Mocambique Ltd, Rio Tinto Mining and Exploration Ltd, JSPL Mozambique Minerais Ltd, Kenmare Moma Mining Ltd, Cimentos de Mozambique Sarl, AP Capital Ltd, Tantalum Mineracao Prospeccao Ltd, Highland African Mining Company Ltd, Omegacorp Minerais Ltd</t>
  </si>
  <si>
    <t>7, 36, 42</t>
  </si>
  <si>
    <t>An exchange rate is not provided to convert the figures from the local currency, so that of the World Bank is used (http://data.worldbank.org/indicator/PA.NUS.FCRF). Materiality threshold: all oil &amp; gas companies should be reconciled; mining companies that made a payment of at least 500,000MT and were directly involed in mining activities should be reconciled. The report gives the volumes but not values for the payments in kind. The values are calculated using the relevant commodity price from the BPSR 2014 (detailed below). Unilateral declarations are included in the figures, including unreconciled social payments of US$3,705,376 that companies were asked to voluntarily report on. Disaggregation by commodity is only indirect through disaggregation by company, and therefore limited. Sasol Petroleum Temane Ltd, a South African Energy Company, currently operates the Pande and Temane Natural Gas Fields with Companhia Moçambicana de Hidrocarbonetos SARL (CMH) and the International Finance Corporation (IFC). Sasol Petroleum Temane Ltd is the operator and majority shareholder with 70% shares, with CMH having 25% and IFC with 5% share interest. CMH's shareholding structure comprises 70% to Empresa Nactional de Hidrocarbonetos Company (ENH), 20% to the Government of Mozambique and 10% owned by corporate bodies and individuals. ENH is the National Oil Company of Mozambique and is 100% owned by the State. The payment in kind of natural gas is for part of Sasol Petroleum Temane Ltd's royalty obligations.</t>
  </si>
  <si>
    <t>Total Gas</t>
  </si>
  <si>
    <t>Anadarko Mocambique Area 1 Ltd, Companhia Moçambicana de Hidro-carbonetos Sarl, D N O Asa, Empresa Nacional de Hidrocarbonetos-EP, Eni East Africa S.P.A., Petronas Carigali Mozambique E &amp; P Ltd, Sasol Petroleum Sofala Ltd, Sasol Petroleum Temane Ltd, Wentworth Mocambqiue Petroleos Ltd, Buzi Hydrocarbons, Statoil Ltd, Sasol Petroleum Mocambique Ltd</t>
  </si>
  <si>
    <t>Rovuma Resources Ltd, Capitol Resources Ltd, Africa Drilling Company -Afrodroll, Twigg Exploration and Mining Ltd, Mozambique Minerals Ltd, Manica Minerals (Moz) Ltd, Opti Metal Trading Mocambique Ltd, Afriminas Minerais Ltd, Rio Doce Mocambique/Vale, Riversdale Mocambique Ltd, JWS Natural Resources Mozambique Ltd, Minas Moatize Ltd, Eta Star Mozambique SA, Essar Minas de Mocambique Ltd, Rio Tinto Mining and Exploration Ltd, JSPL Mozambique Minerais Ltd, Kenmare Moma Mining Ltd, Cimentos de Mozambique Sarl, AP Capital Ltd, Grinaker Mocambique Ltd, Acosterras Mocambique Ltd, Tantalum Mineracao Prospeccao Ltd, Highland African Mining Company Ltd, Omegacorp Minerais Ltd</t>
  </si>
  <si>
    <t>7, 42</t>
  </si>
  <si>
    <t>Volume from USGS Mineral Yearbook 2012. Price from USGS Mineral Yearbook 2009, and is the price in the US for crushed limestone.</t>
  </si>
  <si>
    <t>8, 42</t>
  </si>
  <si>
    <t>Stone</t>
  </si>
  <si>
    <t>o/w Granite</t>
  </si>
  <si>
    <t>Volume from USGS Mineral Yearbook 2012. Price from USGS Mineral Yearbook 2009, and is the price in the US for crushed granite.</t>
  </si>
  <si>
    <t>o/w Gravel &amp; crushed rock</t>
  </si>
  <si>
    <t>o/w Marble</t>
  </si>
  <si>
    <t>Volume from USGS Mineral Yearbook 2012. Price from USGS Mineral Yearbook 2009, and is the price in the US for crushed marble.</t>
  </si>
  <si>
    <t>3,249,722 gigajoules (84,937,984 cubic metres) of gas</t>
  </si>
  <si>
    <t>Anadarko Mocambique Area 1 Ltd, Buzi Hydrocarbons, Companhia Moçambicana de Hidro-carbonetos Sarl, Empresa Nacional de Hidrocarbonetos-EP, Eni East Africa S.P.A., Petronas Carigali Mozambique E &amp; P Ltd, Sasol Petroleum M-10 Ltd, Sasol Petroleum Mocambique Ltd, Sasol Petroleum Sengala Ltd, Sasol Petroleum Sofala Ltd, Sasol Petroleum Temane Ltd, Statoil, Acosterras Mocambique Ltd, Africa Great Wall Mining Development Company Ltd, Afrifocus Reosuces Ltd, Afriminas Minerais Ltd, Biworld International Ltd, Capitol Resources Ltd, Companhia Carvoeira de Samoa Ltd, Enrc Mozambique Ltd, Essar Minas de Mocambique Ltd, Eta Star Mozambique SA, Global Mineral Resources (Mozambique) Ltd, Highland African Mining Company Ltd, JSPL Mozambique Minerais Ltd, JWS Natural Resources Mozambique Ltd, Kenmare Moma Mining Ltd, Magmas de Mocambique Ltd, Manica Lands Corporation Ltd, Midwest Africa Ltd, Mimoc - Minerais Industrias de Mocambique Ltd, Minas Moatize Ltd, Mozambqiue Gems Ltd, Mozambique Minerals Ltd, Omegacorp Minerais Ltd, Patel Mining Concession Ltd, Rio Tinto Benga Ltd, Rio TInto Changarra Ltd, Rio Tinto Zambeze Ltd, Rio Tinto Mining and Exploration Ltd, Rovuma Resources Ltd, Tantalum Mineracao Prospeccao Ltd, Twigg Exploration and Mining Ltd, Vale Mocambique, Vale Projectos e Desenvolvimento Mocambique Ltd, Zambezi Energy Corporation Ltd/Nconcdezi Coal Company Mozambique Ltd</t>
  </si>
  <si>
    <t>9, 41</t>
  </si>
  <si>
    <t>An exchange rate is not provided to convert the figures from the local currency, so that of the World Bank is used (http://data.worldbank.org/indicator/PA.NUS.FCRF). Materiality threshold: all oil &amp; gas companies should be reconciled; mining companies that made a payment of at least 500,000MT and were directly involed in mining activities should be reconciled. The report gives the volumes but not values for the payments in kind. The values are calculated using the relevant commodity price from the BPSR 2014 (detailed below). Unilateral declarations are not included in the figures. Disaggregation by commodity is only indirect through disaggregation by company, and therefore limited. Sasol Petroleum Temane Ltd, a South African Energy Company, currently operates the Pande and Temane Natural Gas Fields with Companhia Moçambicana de Hidrocarbonetos SARL (CMH) and the International Finance Corporation (IFC). Sasol Petroleum Temane Ltd is the operator and majority shareholder with 70% shares, with CMH having 25% and IFC with 5% share interest. CMH's shareholding structure comprises 70% to Empresa Nactional de Hidrocarbonetos Company (ENH), 20% to the Government of Mozambique and 10% owned by corporate bodies and individuals. ENH is the National Oil Company of Mozambique and is 100% owned by the State. The payment in kind of natural gas is part of Sasol Petroleum Temane Ltd's royalty obligations. The payment in kind of natural gas is for part of Sasol Petroleum Temane Ltd's royalty obligations.</t>
  </si>
  <si>
    <t>Anadarko Mocambique Area 1 Ltd, Buzi Hydrocarbons, Companhia Moçambicana de Hidro-carbonetos Sarl, Empresa Nacional de Hidrocarbonetos-EP, Eni East Africa S.P.A., Petronas Carigali Mozambique E &amp; P Ltd, Sasol Petroleum M-10 Ltd, Sasol Petroleum Mocambique Ltd, Sasol Petroleum Sengala Ltd, Sasol Petroleum Sofala Ltd, Sasol Petroleum Temane Ltd, Statoil</t>
  </si>
  <si>
    <r>
      <t xml:space="preserve">Acosterras Mocambique Ltd, Africa Great Wall Mining Development Company Ltd, Afrifocus Reosuces Ltd, </t>
    </r>
    <r>
      <rPr>
        <b/>
        <sz val="11"/>
        <color indexed="8"/>
        <rFont val="Calibri"/>
        <family val="2"/>
      </rPr>
      <t xml:space="preserve">Afriminas Minerais Ltd, Biworld International Ltd, Capitol Resources Ltd, Companhia Carvoeira de Samoa Ltd, Enrc Mozambique Ltd, Essar Minas de Mocambique Ltd, Eta Star Mozambique SA, Global Mineral Resources (Mozambique) Ltd, Highland African Mining Company Ltd, JSPL Mozambique Minerais Ltd, JWS Natural Resources Mozambique Ltd, Kenmare Moma Mining Ltd, Magmas de Mocambique Ltd, Manica Lands Corporation Ltd, Midwest Africa Ltd, Mimoc - Minerais Industrias de Mocambique Ltd, Minas Moatize Ltd, Mozambqiue Gems Ltd, Mozambique Minerals Ltd, Omegacorp Minerais Ltd, Patel Mining Concession Ltd, Rio Tinto Benga Ltd, Rio TInto Changarra Ltd, Rio Tinto Zambeze Ltd, Rio Tinto Mining and Exploration Ltd, </t>
    </r>
    <r>
      <rPr>
        <sz val="11"/>
        <color indexed="8"/>
        <rFont val="Calibri"/>
        <family val="2"/>
      </rPr>
      <t>Rovuma Resources Ltd, Tantalum Mineracao Prospeccao Ltd, Twigg Exploration and Mining Ltd, Vale Mocambique, Vale Projectos e Desenvolvimento Mocambique Ltd, Zambezi Energy Corporation Ltd/Nconcdezi Coal Company Mozambique Ltd</t>
    </r>
  </si>
  <si>
    <t xml:space="preserve">Gold </t>
  </si>
  <si>
    <t>Rutile concentrate</t>
  </si>
  <si>
    <t>Zircon concentrate</t>
  </si>
  <si>
    <t>Mozambique2011</t>
  </si>
  <si>
    <t>Host government's production entitlement, Profits/Taxes, Dividends, Licenses and concessions, Other significant benefits to government</t>
  </si>
  <si>
    <t>3,503,780 gigajoules (91,578,298 cubic metres) of gas</t>
  </si>
  <si>
    <t>Anadarko Mocambique Area 1 Ltd, Buzi Hydrocarbons, Companhia Moçambicana de Hidro-carbonetos Sarl, Empresa Nacional de Hidrocarbonetos-EP, Eni East Africa S.P.A., Petronas Rovuma Basin, Petronas Carigali Mozambique E &amp; P Ltd, Republic of Mozambique Pipeline Company (Rompco), Sasol Gas, Sasol Petroleum M-10 Ltd, Sasol Petroleum Mocambique Ltd, Sasol Petroleum Mozambique Exploration, Sasol Petroleum Sengala Ltd, Sasol Petroleum Sofala Ltd, Sasol Petroleum Temane Ltd, Statoil Oil &amp; Gas Mozambique AS, África Great Wall Mining Development Company Lda, Afrifocus Resources Lda, Biworld International Limited, Capital Resources Lda, Companhia Carvoeira de Samoa Lda, ENRC Moçambique Lda, Eta Star Moçambique S.A., Highland African Mining Company Lda, JSPL Mozambique Minerais Lda, JSW Natural Resources Mozambique Lda, Kenmare Moma Mining (Mauritius) Lda, Midwest Africa, Minas Moatize, Mozambique Minerals Ltd,   Patel Mining Concession Lda, Rio Tinto Benga Lda, Rio Tinto Zambeze Lda, Rio Tinto Mining and Exploration (Moçambique) Lda, Rovuma Resources Lda, Twigg Exploration e Mining Lda, VALE Projectos e Desenvolvimento Lda, Vale Moçambique S.A., Ncondezi Coal Company Mozambique Lda</t>
  </si>
  <si>
    <t>Intellica</t>
  </si>
  <si>
    <t>11,22</t>
  </si>
  <si>
    <t>Materiality threshold: all oil &amp; gas companies should be reconciled; mining companies that made a payment of at least 500,000MT and were directly involed in mining activities should be reconciled. Reporting companies accounted for 99.93% of revenues reported by government from companies directly involved in the oil, gas and mining sectors in 2011. The report doesn't distinguish between oil and gas producers. The report gives the volumes but not values for the payments in kind. The values are calculated using the relevant commodity price from the BPSR 2014 (detailed below). Unilateral declarations are included in the figures. Disaggregation by commodity is only indirect through disaggregation by company, and therefore limited. Sasol Petroleum Temane Ltd, a South African Energy Company, currently operates the Pande and Temane Natural Gas Fields with Companhia Moçambicana de Hidrocarbonetos SARL (CMH) and the International Finance Corporation (IFC). Sasol Petroleum Temane Ltd is the operator and majority shareholder with 70% shares, with CMH having 25% and IFC with 5% share interest. CMH's shareholding structure comprises of 70% to Empresa Nactional de Hidrocarbonetos Company (ENH), 20% to the Government of Mozambique and 10% owned by corporate bodies and individuals. ENH is the National Oil Company of Mozambique and is 100% owned by the State. The Pande-Temane gas project includes a gas pipeline between Temane and a Sasol gas processing petrochemical complex in Secunda, South Africa. This is operated by Republic of Mozambique Pipeline Company (Rompco), which is owned by SASOL (50%), CMH (25%) and iGas, a subsidiary of the South Africa Energy Fund (25%). Sasol Petroleum Mocambique Ltd is also involved in this project. The payment in kind of natural gas is for part of Sasol Petroleum Temane Ltd's royalty obligations. Its value is calculated with a 'weight factor' in use by the National Oil Institute. The report provides production volumes for some companies, but this is not comprehensive. The report also covers: the areas in which the oil &amp; gas companies operate; employment information for some companies.</t>
  </si>
  <si>
    <t>Anadarko Mocambique Area 1 Ltd, Buzi Hydrocarbons, Companhia Moçambicana de Hidro-carbonetos Sarl, Empresa Nacional de Hidrocarbonetos-EP, Eni East Africa S.P.A., Petronas Rovuma Basin, Petronas Carigali Mozambique E &amp; P Ltd, Republic of Mozambique Pipeline Company (Rompco), Sasol Gas, Sasol Petroleum M-10 Ltd, Sasol Petroleum Mocambique Ltd, Sasol Petroleum Mozambique Exploration, Sasol Petroleum Sengala Ltd, Sasol Petroleum Sofala Ltd, Sasol Petroleum Temane Ltd, Statoil Oil &amp; Gas Mozambique AS</t>
  </si>
  <si>
    <r>
      <t xml:space="preserve">África Great Wall Mining Development Company Lda, Afrifocus Resources Lda, Biworld International Limited, Capital Resources Lda, Companhia Carvoeira de Samoa Lda, ENRC Moçambique Lda, Eta Star Moçambique S.A., Highland African Mining Company Lda, JSPL Mozambique Minerais Lda, JSW Natural Resources Mozambique Lda, Kenmare Moma Mining (Mauritius) Lda, </t>
    </r>
    <r>
      <rPr>
        <b/>
        <sz val="11"/>
        <color indexed="8"/>
        <rFont val="Calibri"/>
        <family val="2"/>
      </rPr>
      <t>Midwest Africa, Minas Moatize, Mozambique Minerals Ltd,   Patel Mining Concession Lda, Rio Tinto Benga Lda, Rio Tinto Zambeze Lda, Rio Tinto Mining and Exploration (Moçambique) Lda, Rovuma Resources Lda, Twigg Exploration e Mining Lda, VALE Projectos e Desenvolvimento Lda, Vale Moçambique S.A., Ncondezi Coal Company Mozambique Lda</t>
    </r>
  </si>
  <si>
    <t>Volume from USGS Mineral Yearbook 2012. Price from USGS Mineral Yearbook 2012, and is the price in the US for crushed limestone.</t>
  </si>
  <si>
    <t>http://www.itieniger.ne</t>
  </si>
  <si>
    <t>Ibrahim Issoufou</t>
  </si>
  <si>
    <t>Volume from USGS Mineral Yearbook 2009. Price from BPSR 2014, is an average of the American Central Appalachian, Asian and Northwest Europe marker/spot prices.</t>
  </si>
  <si>
    <t>Volume from USGS Mineral Yearbook 2009. Price from USGS Mineral Commodity Summary 2009, and is the average f.o.b. mine and plant price for bulk, pellets and packaged vacuum and open pan salt, solar salt, rock salt and salt in brine.</t>
  </si>
  <si>
    <t>Guilbert &amp; Associates</t>
  </si>
  <si>
    <t>Volume from USGS Mineral Yearbook 2011. Price from BPSR 2014, is an average of the American Central Appalachian, Asian and Northwest Europe marker/spot prices.</t>
  </si>
  <si>
    <r>
      <t xml:space="preserve">Production: CNPC INTERNATIONAL NIGER, CNPC INTERNATIONAL TENERE, CNPC NIGER PETROLEUM, COMINAK, IMOURAREN SA, SML, SNC MALBAZA, SOMAIR, SOMINA, SONICHAR SA, SOPAMIN SA, SORAZ. Exploration:AFRICAN URANIUM SARL, AGADEZ LTD, AGMDC, AMI AFRICA EXPLORATION, AREVA NC, CARACAL GOLD BURKINA, CLUFF AFRICA ASSOCIATES, COOPER MINERALS, COOPERATIVE ALHER AGADEZ, DELTA EXPLORATION, DREYFUS JULES, ETS NADIA GOLD SHOP, FARIA ASIA GROUP NIGER, GECKO GOLD NIGER, GLOBAL URANIUM, GOLDEN STAR EXPLORATION, GOVIEX NIGER HOLDING, GRADOUA SA, INDO ENERGY LIMITED, ISLAND ARC EXPLORATION, LIPTAKO INVESTMENT, </t>
    </r>
    <r>
      <rPr>
        <b/>
        <sz val="11"/>
        <color indexed="8"/>
        <rFont val="Calibri"/>
        <family val="2"/>
      </rPr>
      <t xml:space="preserve">MOHAN EXPORT INDIA, MOHAN EXPORT PVT LTD, NEW URANIUM NIGER, NIGER MINING SERVICES,NIGER RESOURCES INC (OREZONE),  NIGER URANIUM SA, </t>
    </r>
    <r>
      <rPr>
        <sz val="11"/>
        <color indexed="8"/>
        <rFont val="Calibri"/>
        <family val="2"/>
      </rPr>
      <t>ROCKGATE CAPITAL, SAHEL LAB SA, SAHEL MINING CONS., SAVIGNY MINING NIGER SA, SEMAFO, SEMMOUS LION MINING LTD, SIPEX/SONATRACH, STE DES CIMENTS DU NIGER, TAURIAN RESOURCES, TREND FIELD GOLD MINING, URANIUM EXPLORATION, URANIUM INTERNATIONAL.</t>
    </r>
  </si>
  <si>
    <t>6, 14-18</t>
  </si>
  <si>
    <t>Revenues include receipts from small-scale miners, reported unilaterally by govt. The report notes that the state's production share of oil is commercialized by SOPAMIN; however the report doesn't include data on in-kind receipts.</t>
  </si>
  <si>
    <t>851.80 tonnes of uranium</t>
  </si>
  <si>
    <t>See notes</t>
  </si>
  <si>
    <t>Cabinet Expertise Comptable Ibrahim Issoufou</t>
  </si>
  <si>
    <t>15, 23</t>
  </si>
  <si>
    <t xml:space="preserve">Slight differences with eiti.org totals probably due to exchange rate. The report descibes in-kind ("quote-part") uranium receipts by SOPAMIN, the state mining company, of 851.80 tonnes valued at FCFA 68,730,445 (see p.15); this value has been added to Total Received by Govt. Declaration of some payments was optional (droits de doane et taxes assimilées, etc, see p.19-21); these payments are included in totals. Company names (including individual miners) are too numerous to input manually; see list of producing companies on p.12-14 and company-by-company data in Annex, which includes company-reported payments for only 20 companies). </t>
  </si>
  <si>
    <t>Profits/Taxes, Royalties, Dividends, Bonuses, Licenses and concessions
Other significant benefits to government</t>
  </si>
  <si>
    <t>CCII Ibrahim Issoufou</t>
  </si>
  <si>
    <t>Companies requested to report / reporting section unclear (and discrepancy with the website). Exchange rate not indicated in the report. In-kind payments not included (as opposed to what is stated on EITI website).</t>
  </si>
  <si>
    <t>http://neiti.org.ng/</t>
  </si>
  <si>
    <t>430,000,000 bbl of oil</t>
  </si>
  <si>
    <t>Addax Petroleum, Agip Energy &amp; Natural Resources Limited, AMNI International Petroleum Development Company, Atlas Petroleum International, Chevron Nigeria Ltd, Chevron Oil Company Nigeria, Chevron Texaco, Canoil Producing, Continental Oil and gas, Dubri Oil Company, Elf Petroleum, Express Petroleum, Mobil Producing Nigeria Unlimited, Moni Pulo Petroleum Development Company, Nigerian Agip Exploration, Nigerian Agip Oil Company, Nigerian LNG Ltd, Nigerian Petroleum Development Company, Panocean, Phillips Oil Company (Nigeria), Shell Exploration, Shell Petroleum Development Company, Texaco Overseas</t>
  </si>
  <si>
    <t>Hart group</t>
  </si>
  <si>
    <t>Materiality threshold: not given. The report does not clearly compare government receipts and company payments for all revenue streams, but implies that those with differences are listed. Unilateral declarations are not included. Government has a majority share in joint ventures through the National Nigerian Petroleum Company's (NPCC) upstream subsidiary, the Nigerian Petroleum Development Company (NPDC), with Chevron, Elf, Mobil, NAOC, Panocean, SPDC, Topcon. It also has a 49% shareholding in Nigerian LNG Ltd. The report also reports on: the calculation of the petroleum profits tax, including company costs; the financing of joint ventures.</t>
  </si>
  <si>
    <t>Volume from BPSR 2014. Price from EITI Report, and is based on the reported value and quantity of payments in-kind.</t>
  </si>
  <si>
    <t>462,000,000 bbl of oil</t>
  </si>
  <si>
    <t>473,000,000 bbl of oil</t>
  </si>
  <si>
    <t>407,000,000 bbl of oil</t>
  </si>
  <si>
    <t xml:space="preserve">Nigeria </t>
  </si>
  <si>
    <t>424,000,000 bbl of oil</t>
  </si>
  <si>
    <t>455,000,000 bbl of oil</t>
  </si>
  <si>
    <t>United States Dollar and Nigerian Naira</t>
  </si>
  <si>
    <t>The report uses US dollars and the local currency, the Nigerian Naira. An exchange rate is not provided to convert the latter, so that of the World Bank is used (http://data.worldbank.org/indicator/PA.NUS.FCRF). Materiality threshold: all companies involved in the production of oil &amp; gas should be reconciled. The report does not clearly compare government receipts and company payments for all revenue streams, but indicates that those with differences are listed. The appendix which contains information such as the names of reporting companies is not available on either the International or National Secretariat websites. Government has a majority share in joint ventures with Chevron, Elf, Mobil, NAOC, Panocean, SPDC, Topcon. It also has a 49% shareholding in Nigerian LNG Ltd. The value or volume of oil transferred to Government as payment made in-kind are not provided in the report. The report also reports on: the calculation of the petroleum profits tax, including company costs; the financing of joint ventures (classified here as a subsidy).</t>
  </si>
  <si>
    <t>Volume and price from BPSR 2014. Price is spot price for Nigerian Forcados.</t>
  </si>
  <si>
    <t>15-19</t>
  </si>
  <si>
    <t xml:space="preserve">The report uses US dollars and the local currency, the Nigerian Naira. Materiality threshold: all companies involved in the production of oil &amp; gas should be reconciled. The report does not clearly compare government receipts and company payments for all revenue streams, but indicates that those with differences are listed. The appendix which contains information such as the names of reporting companies is not available on either the International or National Secretariat websites. Government has a majority share in six joint ventures, through the National Nigerian Petroleum Company, with the composition of these provided in the report. It also has a 49% shareholding in Nigerian LNG Ltd. The value or volume of oil transferred to Government as payment made in-kind are not clearly provided in the report. </t>
  </si>
  <si>
    <t xml:space="preserve">The report uses US dollars and the local currency, the Nigerian Naira. Materiality threshold: all companies involved in the production of oil &amp; gas should be reconciled.  The report does not clearly compare government receipts and company payments for all revenue streams, but indicates that those with differences are listed. The appendix which contains information such as the names of reporting companies is not available on either the International or National Secretariat websites. Government has a majority share in six joint ventures, through the National Nigerian Petroleum Company, with the composition of these provided in the report. It also has a 49% shareholding in Nigerian LNG Ltd. The value or volume of oil transferred to Government as payment made in-kind are not clearly provided in the report. </t>
  </si>
  <si>
    <t>336,161,000 bbl of oil</t>
  </si>
  <si>
    <t>Sada, Idris &amp; Co</t>
  </si>
  <si>
    <t>43, 51, 53, 62, 70, 74</t>
  </si>
  <si>
    <t>The report uses US dollars and the local currency, the Nigerian Naira. Materiality threshold: all companies involved in the production of oil &amp; gas should be reconciled. The report does not clearly compare government receipts and company payments for all revenue streams, but implies that those with differences are listed. The appendix which contains information such as the names of reporting companies is not available on either the International or National Secretariat websites. Government has a majority share in eight joint ventures, through the National Nigerian Petroleum Company, with the composition of these provided in the report. It also has a 49% shareholding in Nigerian LNG Ltd. The report also covers: the financing of its joint venture operations and subsidies to the NPCC (both classified as subsidies here).</t>
  </si>
  <si>
    <t>Volume from BPSR 2014. Price from EITI Report.</t>
  </si>
  <si>
    <t>387,632,000 bbl of oil</t>
  </si>
  <si>
    <t>385,937,000 bbl of oil</t>
  </si>
  <si>
    <t>Sada, Idris &amp; Co (oil &amp; gas report); Haruna Yahaya &amp; Co (mining report)</t>
  </si>
  <si>
    <t>43, 51, 53, 62, 70, 74 (of the oil &amp; gas report); 10 (of the mining report)</t>
  </si>
  <si>
    <t>The report uses US dollars and the local currency, the Nigerian Naira. Materiality threshold: all companies involved in the production of oil &amp; gas should be reconciled; mining companies that have paid at least N10,000,000 for the relevant revenue streams should be reconciled. Disagreggation by company is given in the mining report, but not in the oil &amp; gas report. The oil &amp; gas report does not clearly compare government receipts and company payments for all revenue streams in the oil &amp; gas sector, but implies that those with differences are listed. The appendix of the oil &amp; gas report which contains information such as the names of reporting companies is not available on either the International or National Secretariat websites. Government has a majority share in eight oil &amp; gas joint ventures, through the National Nigerian Petroleum Company, with the composition of these provided in the report. It also has a 49% shareholding in Nigerian LNG Ltd. The oil &amp; gas report also covers: the financing of its joint venture operations and subsidies to the NPCC (both classified as subsidies here). The mining report also covers: production volumes of reconciled companies; volume and value of exports; amount of royalty outstanding.</t>
  </si>
  <si>
    <t>43, 51, 53, 74 (of the oil &amp; gas report)</t>
  </si>
  <si>
    <t>5 (of the oil &amp; gas report)</t>
  </si>
  <si>
    <t xml:space="preserve">A.G. Vision, ABL Granite Co Ltd, Ahmu International Mining Company, Alren Construction Nigeria Ltd, Arab Construction Nig. Ltd, Ashaka Cement Plc, Associated Granite Ind. Limited, Astro Minerals Ltd, BiwaterNig Ltd, Blackstone Crushing Company Limited, BoriniProno&amp; constr. Nig. Ltd., Bulletine Construction Company Limited, C &amp;.C. Construction Comp. Ltd., Cement Company of Northern Nigeria Plc., CCC Construction Nigeria Ltd, CCECC Nig. Ltd, CGC Nig. Ltd, CIBI Nigeria Limited, CNC Engineering Company, Construction Surport Nig. Ltd, Crushed Rock Nig Ltd, Crush Stones Industries Ltd, Dangote Cement Plc, Dantata&amp;Sawoe Construction Co., De Crown Quarry Ltd, Ebenezer mining &amp; ceramic Ind. Ltd, Elegant One Nigeria Ltd, EnercoProrox, ENL Construction Ltd, Freedom Development Co. Ltd, FW San He Concepts Ltd, Georgio Rock Ltd, GilmorEng’g Ltd, Gitto Construction Company, Glossands Ltd, Gyartagere Stone Crushing Co. Ltd, Habibu Engineering Nig. Ltd., Hajaig Const. Ltd, Harvey Ltd, Hitec Construction Company, Hongyun Mining Ind. Co. Ltd, Inter-Bau Construction Company Ltd, Japaul Mines &amp; Products Limited, JiaBao Quarry Nig Ltd, Julius Berger Nig. Plc, Kopek Nig. Limited, LadliceNig Ltd, Levant Construction Ltd, M.F.W Dredging &amp;Marine, Mac Daniels Quarry Ltd, MAC Engineering Const. Ltd., Madodel Eng. and Construction Com., Magcobar Manufacturing Nig. Ltd, Master Rock Nig Ltd, Moulds Nig. Limited, Milatex Nigeria Limited, Moelink Company Ltd, Mother CAT Ltd., Multiverse Resources Limited, NRC Ltd, P. W. Nigeria Limited, Para Crushing Nig. Ltd, Paul B Nigeria Plc, Perfect Stone Quarry, Piccolo Bruneill Eng. Ltd, Porcelainware Industries Ltd, Purechem Industries Limited, Qumecs Nig. Ltd, R.C.C (Nig) Ltd, Ratcon Construction Company Limited, Roads Nigeria Limited, Rockbridge Const. Co.Ltd, S.CC (Nig) Ltd, Salini Nig. Ltd, Samchase Nig. Limited, Saydoun Ltd, Serena Nigeria Limited, SetracoNig Limited, Soject Nigeria Ltd, Spectrums Minerals Ltd, Star Advantage Co. Ltd, State Quarry, Triacta Nigeria Ltd, Unichem Cement Company, West African Portland Cement Plc, Zeberceed Ltd, Zenith Const. Ltd.  </t>
  </si>
  <si>
    <t>10 (of the mining report)</t>
  </si>
  <si>
    <t>Clay (inc. Kaolin)</t>
  </si>
  <si>
    <t>Volume from USGS Mineral Yearbook 2012. Price from USGS Mineral Commodity Summary 2014, and is the average price for clay in the US.</t>
  </si>
  <si>
    <t>81 (of the mining report)</t>
  </si>
  <si>
    <t>Columbium and tantalum concentrate</t>
  </si>
  <si>
    <t>Price from EITI Report, and is based on the reported volume and value of exports.</t>
  </si>
  <si>
    <t>83 (of the mining report)</t>
  </si>
  <si>
    <t>The USGS Mineral Yearbook 2012 indicates that there was insufficent data to estimate production volumes.</t>
  </si>
  <si>
    <t>Dolerite</t>
  </si>
  <si>
    <t>Volume from USGS Mineral Yearbook 2012. Price from USGS Mineral Yearbook 2012, and is the price in the US for crushed granite.</t>
  </si>
  <si>
    <t>Volume from USGS Mineral Yearbook 2012. Price from World Bank (Global Economic Monitor (GEM) Commodities database), and is defined as: Iron ore (any origin) fines, spot price, c.f.r. China, 62% Fe.</t>
  </si>
  <si>
    <t>Laterite</t>
  </si>
  <si>
    <t>Lead-zinc ore</t>
  </si>
  <si>
    <t>Marble (crushed)</t>
  </si>
  <si>
    <t>Nitrogen (fixed - ammonia)</t>
  </si>
  <si>
    <t>Volume from USGS Mineral Yearbook 2012. Price from USGS Mineral Commodity Summary 2013, and is the f.o.b price in the US.</t>
  </si>
  <si>
    <t>Red Alluvium</t>
  </si>
  <si>
    <t>Volume from EITI Report, but is only that of the covered companies</t>
  </si>
  <si>
    <t>Sandstone</t>
  </si>
  <si>
    <t>Shale</t>
  </si>
  <si>
    <t>Tin (cassiterite concentrate)</t>
  </si>
  <si>
    <t>81, 83 (of the mining report)</t>
  </si>
  <si>
    <t>Topaz</t>
  </si>
  <si>
    <t>Volume from USGS Mineral Yearbook 2012. Price from the USGS Mineral Yearbook 2011, and is the median of the price range for cut blue topaz in the US.</t>
  </si>
  <si>
    <t>Tourmaline</t>
  </si>
  <si>
    <t>Volume from EITI Report, but is only that of the covered companies. Price from the USGS Mineral Yearbook 2011, and is the average of the medians of the year-end price ranges for cut green and pink tourmaline in the US.</t>
  </si>
  <si>
    <t>Zircon</t>
  </si>
  <si>
    <t xml:space="preserve">Profits/Taxes, Royalties, Dividends, Licenses and concessions, Other significant benefits to government
</t>
  </si>
  <si>
    <t>Nigerian Naira</t>
  </si>
  <si>
    <t>Dangote Cement Plc., Levant Const. Ltd., West African Portland Cement Plc., Madodel Eng’g Nig. Ltd., Julius Berger (Nig.) Plc., Zenith Const. Co. Ltd., United Cement Nig. Ltd., Perfect Stone Quarries, Setraco Nig. Ltd., Asphalt Unity Const Ltd., Crushed Rock Ind. Ltd., Brothers Quarry Nig. Ltd., Rcc (Nig.) Ltd., First Tipper Drivers Mining Entrp., Arab Contractor (Oao) Nig Ltd., Habibu Eng. Nig. Ltd., Gilmor Engineering Nig. Ltd., Kunlun Nig. Ltd., Ashaka Cem Plc., Ratcon Construction Co. Ltd., Dantata &amp; Sawoe Ng Ltd., Japaul Mines &amp; Prd., Tongyi Allied Mining Ltd., Mac Daniel’s Quarry &amp; Conc Ltd., P.W. Nig Ltd., Purechem Industries Limited, Ccnn Plc., Saydoun Ltd., C.C.E.C.C. (Nig.) Ltd., Equishare Nig. Ltd., Mother Cat Nig. Ltd., Paras Crushing Company Ltd., Georgio Rock Ltd., Mould Nig. Ltd., Kopek Construction Limited, Ahmu International Mining Ltd., Petra Quarries Ltd., Dantata Land And Sea, F.W. Dredging Co, Salini Nig Ltd., Pzan International Ltd., Elegant One Co. Ltd., Zeberced Nig Ltd., Porcelainware Industries Ltd., Borini Prono &amp; Constr. Co. Ltd., Gitto Quarry Project, Triacta Nig. Ltd., C.G.C Nig. Ltd., Moelinks Company Ltd., Ccc Construction Nig. Ltd., Rockwell Quarry, Hitech Cost. Co. Ltd., Multiverse Resources Limited, Magcobar Manufacturing Nig Ltd., Fw San He Concepts Limited Buying Centres, Astro Minerals, Inter- Bau Const Ltd., Spectrum Minerals Ltd.</t>
  </si>
  <si>
    <t>Dolorite</t>
  </si>
  <si>
    <t>Kaoline</t>
  </si>
  <si>
    <t>http://www.eiti.no</t>
  </si>
  <si>
    <t>State-owned company production entitlement, Profits/Taxes, Licenses and concessions, Other significant benefits to government</t>
  </si>
  <si>
    <t>Norwegian Kroner</t>
  </si>
  <si>
    <t>4Sea Energy AS, Aker Exploration AS, Altinex Oil Norway AS, A/S Norske Shell, Bayerngas Norge AS, Bayerngas Produksjon Norge AS, BG Norge AS, BP Norge AS, Bridge Energy AS, Centrica Resources (Norge) AS, Concedo AS, ConocoPhilips Skandinavia AS, Dana Petroleum Norway AS, Det norske oljeselskap ASA (incl NOIL Energy), Discover Petroleum AS, DONG E&amp;P Norge AS, Edison International Spa, Eni Norge AS, Enterprise Oil Norge AS, E.ON Ruhrgas Norge AS, ExxonMobil Exploration &amp; Production Norway AS, Faroe Petroleum Norge AS, GDF SUEZ E&amp;P Norge AS, Genesis Petroleum Norway AS, Hess Norge AS, Idemitsu Petroleum Norge AS, Lotos Exploration and Production Norge AS, Lundin Norway AS, Maersk Oil Norway AS, Maersk Oil PL 018C Norway AS, Marathon Petroleum Norge AS, Nexen Exploration Norge AS, Norske AEDC A/S, North Energy AS, Norwegian Energy Company ASA, OMV (Norge) AS, PGNiG Norway AS, Petoro AS, Petro-Canada Norge AS, Premier Oil Norge AS, Repsol Exploracion S.A, Rocksource ASA, RWE Dea Norge AS, Sagex Petroleum Norge AS, Skagen 44 AS, Skeie Energy AS, Spring Energy Exploration AS, Spring Energy Norway AS, StatoilHydro Petroleum AS inkl StatoilHydro ASA, Svenska Petroleum Exploration AS, Talisman Energy Norge AS, Total E&amp;P Norge AS, VNG Norge (Operations) AS inkl Endeavour, VNG Norge AS, Wintershall Norge NUF, Wintershall Norge ASA inkl Revus Energy AS, Skeie Oil &amp; Gas AS, Wintershall Norge AS, Noble Energy Europe Ltd, Norpipe Oil AS, Norsea Gas AS, Petrofac Resources Ltf NUF, Maersk Oil GB Limited, Total Norge AS, Serica Energy UK Ltd, Shell International pipelines Inc, Excel Expro Norge AS, Marathon Petroleum Company</t>
  </si>
  <si>
    <t>The report uses the local currency, the Norwegian Kroner. Materiality threshold: not given. The report does not distinguish between oil and gas producers. Unilateral declarations are not included in the figures. Petoro AS is 100% state-owned, and is responsible for the management of the state’s ownerships in license permits on the Norwegian Continental Shelf. StatoilHydro ASA is 67% state-owned, and markets and sells the oil and gas from these. Revenues raised from state-ownership accounted for 39% of total revenues. The report also covers transfer of revenues to the Government Pension Fund.</t>
  </si>
  <si>
    <t>4Sea Energy AS, Altinex Oil Norway AS, A/S Norske Shell, Bayerngas Norge AS, Bayerngas Produksjon Norge AS, BG Norge AS, BP Norge AS, Bridge Energy AS, Centrica Resources (Norge) AS, Chevron Norge AS, Concedo AS, ConocoPhilips Skandinavia AS, Dana Petroleum Norway AS, Det norske oljeselskap AS, Det norske oljeselskap ASA, DONG E&amp;P Norge AS, Edison International Spa, Eni Norge AS, Enterprise Oil Norge AS, E.ON Ruhrgas Norge AS, Excel Expro Norge AS, ExxonMobil Exploration &amp; Production Norway AS, Faroe Petroleum Norge AS, Front Exploration AS, GDF SUEZ E&amp;P Norge AS, Genesis Petroleum Norway AS, Hess Norge AS, Idemitsu Petroleum Norge AS, Lotos Exploration and Production Norge AS, Lundin Norway AS, Maersk Oil Norway AS, Maersk Oil PL 018C Norway AS, Marathon Petroleum Norge AS, Nexen Exploration Norge AS, Norpipe Oil AS, Norsea Gas AS, Norske AEDC A/S, North Energy AS, Norwegian Energy Company ASA, OMV (Norge) AS, Petoro AS, Petro-Canada Norge AS, Petrofac Norge AS, PGNiG Norway AS, Premier Oil Norge AS, Repsol Exploration Norge AS, Rocksource ASA, RWE Dea Norge AS, Sagex Petroleum Norge AS, Skagen 44 AS, Skele Energy AS, Skele Oil&amp;Gas AS, Spring Energy Exploration AS, Spring Energy Norway AS, StatoilHydro Petroleum AS inkl StatoilHydro ASA, Svenska Petroleum Exploration AS, Talisman Energy Norge AS, Total E&amp;P Norge AS, VNG Norge AS, Wintershall Norge NUF, Wintershall Norge ASA inkl Revus Energy AS, Wintershall Norge AS, Shell International pipelines Inc</t>
  </si>
  <si>
    <t>The report uses the local currency, the Norwegian Kroner. Materiality threshold: not given. The report does not distinguish between oil and gas producers. Unilateral declarations are not included in the figures. Petoro AS is 100% state-owned, and is responsible for the management of the state’s ownerships in license permits on the Norwegian Continental Shelf. StatoilHydro ASA is 67% state-owned, and markets and sells the oil and gas from these. Revenues raised from state-ownership accounted for 36% of total revenues. The report also covers transfer of revenues to the Government Pension Fund.</t>
  </si>
  <si>
    <t>Host government's production entitlement, State-owned company production entitlement, Profits/Taxes, Licenses and concessions, Other significant benefits to government</t>
  </si>
  <si>
    <t xml:space="preserve">The income from the "Petroleum tax" accounted for 62.1% of the reported amounts. The Report is not available yet in English. </t>
  </si>
  <si>
    <t>4Sea Energy AS, Agora Oil &amp; Gas AS, Altinex Oil Norway AS, A/S Norske Shell, Bayerngas Norge AS, Bayerngas Produksjon Norge AS, BG Norge AS, BP Norge AS, Bridge Energy AS, Centrica Resources (Norge) AS, Chevron Norge AS, Concedo AS, ConocoPhilips Skandinavia AS, Dana Petroleum Norway AS, Det norske oljeselskap AS, Det norske oljeselskap ASA, DONG E&amp;P Norge AS, Edison International Spa, Eni Norge AS, Enterprise Oil Norge AS, E.ON Ruhrgas Norge AS, ExxonMobil Exploration &amp; Production Norway AS, Faroe Petroleum Norge AS, Fortis Petroleum Norway AS, Front Exploration AS, GDF SUEZ E&amp;P Norge AS, Genesis Petroleum Norway AS, Hess Norge AS, Idemitsu Petroleum Norge AS, Lotos Exploration and Production Norge AS, Lundin Norway AS, Maersk Oil Norway AS, Maersk Oil PL 018C Norway AS, Marathon Petroleum Norge AS, Nexen Exploration Norge AS, Njord Gas Infrastructure AS, Norpipe Oil AS, Norsea Gas AS, Norske AEDC A/S, North Energy AS, Norwegian Energy Company ASA, OMV (Norge) AS, Petoro AS, PGNiG Norway AS, Premier Oil Norge AS, Repsol Exploration Norge AS, Rocksource ASA, RWE Dea Norge AS, Sagex Petroleum Norge AS, Skagen 44 AS, Skeie Energy AS, Spring Energy Exploration AS, Spring Energy Norway AS, StatoilHydro Petroleum AS inkl StatoilHydro ASA, Suncor Energy Norge AS, Svenska Petroleum Exploration AS, Talisman Energy Norge AS, Total E&amp;P Norge AS, VNG Norge AS, Wintershall Norge NUF, Wintershall Norge ASA inkl Revus Energy AS, Wintershall Norge AS, Shell International pipelines Inc</t>
  </si>
  <si>
    <t>The report uses the local currency, the Norwegian Kroner. Materiality threshold: not given. The report does not distinguish between oil and gas producers. Unilateral declarations are not included in the figures. Petoro AS is 100% state-owned, and is responsible for the management of the state’s ownerships in license permits on the Norwegian Continental Shelf. StatoilHydro ASA is 67% state-owned, and markets and sells the oil and gas from these. Revenues raised from state-ownership accounted for 38% of total revenues. The report also covers transfer of revenues to the Government Pension Fund.</t>
  </si>
  <si>
    <t>4Sea Energy AS, A/S Norske Shell, Bayerngas Norge AS, Bayerngas Produksjon Norge AS, BG Norge AS, BP Norge AS, Bridge Energy AS, Capricorn Norge AS, Centrica Resources (Norge) AS, Chevron Norge AS, Concedo AS, ConocoPhilips Skandinavia AS, Core Energy AS, Dana Petroleum Norway AS, Det norske oljeselskap ASA, DONG E&amp;P Norge AS, E&amp;P Holding AS, Edison International Spa, Eni Norge AS, EnQuest Norge AS, Enterprise Oil Norge AS, E.ON Ruhrgas Norge AS, Explora Petroleum AS, ExxonMobil Exploration &amp; Production Norway AS, Faroe Petroleum Norge AS, Fortis Petroleum Norway AS, Front Exploration AS, GDF SUEZ E&amp;P Norge AS, Hess Norge AS, Idemitsu Petroleum Norge AS, Infragas Norge AS, Lotos Exploration and Production Norge AS, Lukoil Oil Company, Lundin Norway AS, Maersk Oil Norway AS, Marathon Oil Norge AS, Nexen Exploration Norge AS, Njord Gas Infrastructure AS, Noreco Norway AS, Norpipe Oil AS, Norsea Gas AS, Norske AEDC A/S, North Energy AS, Norwegian Energy Company ASA, OMV (Norge) AS, Petoro AS, Petrolia Norway AS, PGNiG Norway AS, Premier Oil Norge AS, Repsol Exploration SA, Repsol Exploration Norge AS, RN Nordic Oil AS, Rocksource ASA, RWE Dea Norge AS, Silex Gas Norway AS, Skagen 44 AS, Skeie Energy AS, Solveig Gas Norway AS, StatoilHydro Petroleum AS inkl StatoilHydro ASA, Stratum Energy AS, Suncor Energy Norge AS, Svenska Petroleum Exploration AS, Talisman Energy Norge AS, Total E&amp;P Norge AS, Tullow Oil (Bream) Norge AS, Tullow Oil Norge AS, Valiant Petroleum Norge AS, VNG Norge AS, Wintershall Norge AS</t>
  </si>
  <si>
    <t>http://eitiperu.minem.gob.pe/</t>
  </si>
  <si>
    <t>Profits/Taxes, Royalties, Licenses and concessions</t>
  </si>
  <si>
    <t>United States Dollar and the Peruvian neuvo sol</t>
  </si>
  <si>
    <t>Hunt Oil Company of Perú L.L.C., Maple Gas Corporation del Perú S.R.L., Olympic Perú INC Sucursal del Perú, Petrobras Energía Perú S.A., Pluspetrol Norte S.A., Pluspetrol Perú Corporation S.A., Pluspetrol Camisea S.A., Repsol Exploración Perú Sucursal del Perú, Perenco Perú Limited Sucursal del Perú, 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Inversiones Mineras del Sur S.A., Cedimin S.A.C., Anglo American Michiquillay S.A., Anglo American Quellaveco S.A., Anglo American Exploration Perú S.A., Río Tinto Minera Perú Limitada S.A.C, Río Tinto Mining and Exploration S.A.C.</t>
  </si>
  <si>
    <t>63-65</t>
  </si>
  <si>
    <t>The report uses US dollars and the local currency, the Peruvian nuevo sol. An exchange rate is not provided to convert the latter, so that of the World Bank is used (http://data.worldbank.org/indicator/PA.NUS.FCRF). Materiality threshold: Companies volunteered to participate in the process. These accounted for the following shares of production in 2004: Oil - 74%, Gas - 27%, Copper - 96%, Gold - 70%, Lead - 37%, Molybendum - 100%, Silver - 51%, Tin - 100%, Zinc - 52%. Only disaggregation by revenue stream is comprehensive as some companies requested that their individual information was not provided. Unilateral declarations do not appear to be included in the figures. The report also covers the distribution of revenues across government.</t>
  </si>
  <si>
    <t>Hunt Oil Company of Perú L.L.C., Maple Gas Corporation del Perú S.R.L., Olympic Perú INC Sucursal del Perú, Petrobras Energía Perú S.A., Pluspetrol Norte S.A., Pluspetrol Perú Corporation S.A., Pluspetrol Camisea S.A., Repsol Exploración Perú Sucursal del Perú, Perenco Perú Limited Sucursal del Perú</t>
  </si>
  <si>
    <t>Hunt Oil Company of Perú L.L.C., Olympic Perú INC Sucursal del Perú, Petrobras Energía Perú S.A., Pluspetrol Perú Corporation S.A., Pluspetrol Camisea S.A., Repsol Exploración Perú Sucursal del Perú</t>
  </si>
  <si>
    <t>Hunt Oil Company of Perú L.L.C., Maple Gas Corporation del Perú S.R.L., Olympic Perú INC Sucursal del Perú, Petrobras Energía Perú S.A., Pluspetrol Norte S.A., Pluspetrol Perú Corporation S.A., Pluspetrol Camisea S.A., Repsol Exploración Perú Sucursal del Perú</t>
  </si>
  <si>
    <t>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Inversiones Mineras del Sur S.A., Cedimin S.A.C., Anglo American Michiquillay S.A., Anglo American Quellaveco S.A., Anglo American Exploration Perú S.A., Río Tinto Minera Perú Limitada S.A.C, Río Tinto Mining and Exploration S.A.C.</t>
  </si>
  <si>
    <t>Bismuth (metal)</t>
  </si>
  <si>
    <t>Volume from USGS Mineral Yearbook 2008. Price from USGS Mineral Commodity Summary 2009, and is the price in the US.</t>
  </si>
  <si>
    <t xml:space="preserve">Southern Perú Copper Corporation Sucursal del Perú, Compañía Minera Antamina S.A., Xstrata Tintaya S.A., Sociedad Minera Cerro Verde S.A.A, Empresa Minera Los Quenuales S.A., Compañía Minera Argentum S.A., Sociedad Minera El Brocal S.A.A., Inversiones Mineras del Sur S.A., Compañía de Minas Buenaventura S.A.A., Minera Pampa de Cobre S.A., Minsur S.A., Minera Bateas S.A.C., Cedimin S.A.C. </t>
  </si>
  <si>
    <t>Minera Yanacocha S.R.L., Minera Barrick Misquichilca S.A., Compañía de Minas Buenaventura S.A.A., Inversiones Mineras del Sur S.A., Xstrata Tintaya S.A., Cedimin S.A.C., Southern Perú Copper Corporation Sucursal del Perú, Pan American Silver S.A.C. Mina Quiruvilca, Compañía Minera Milpo S.A.A., Minera Bateas S.A.C., Sociedad Minera El Brocal S.A.A.</t>
  </si>
  <si>
    <t>Indium</t>
  </si>
  <si>
    <t>Volume from USGS Mineral Yearbook 2008. Price from USGS Mineral Commodity Summary 2009, and is the price of Indium Corp, a US producer, for 99.97% purity metal.</t>
  </si>
  <si>
    <t>Volume from USGS Mineral Yearbook 2008. Price from World Bank (Global Economic Monitor (GEM) Commodities database), and is defined as: Iron ore (any origin) fines, spot price, c.f.r. China, 62% Fe.</t>
  </si>
  <si>
    <t>Price from World Bank (Global Economic Monitor (GEM) Commodities database), and is defined as: Lead (LME), refined, 99.97% purity, settlement price</t>
  </si>
  <si>
    <t>Sociedad Minera El Brocal S.A.A., Empresa Minera Los Quenuales S.A., Compañía Minera Milpo S.A.A., Perubar S.A., Compañía Minera Raura S.A., Compañía de Minas Buenaventura S.A.A., Pan American Silver S.A.C. Mina Quiruvilca,  Compañía Minera Antamina S.A., Compañía Minera Argentum S.A., Minera Bateas S.A.C.</t>
  </si>
  <si>
    <t>o/w Lead content of mine output</t>
  </si>
  <si>
    <t>Selenium (metal, refined)</t>
  </si>
  <si>
    <t>Volume from USGS Mineral Yearbook 2008. Price from the USGS Mineral Commodity Summary 2009, and is the price for the refined product in the US.</t>
  </si>
  <si>
    <t>Compañía de Minas Buenaventura S.A.A., Compañía Minera Antamina S.A., Empresa Minera Los Quenuales S.A., Southern Perú Copper Corporation Sucursal del Perú, Sociedad Minera El Brocal S.A.A., Minera Yanacocha S.R.L., Pan American Silver S.A.C. Mina Quiruvilca, Compañía Minera Milpo S.A.A., Compañía Minera Raura S.A., Minera Barrick Misquichilca S.A., Xstrata Tintaya S.A., Compañía Minera Argentum S.A., Cedimin S.A.C., Inversiones Mineras del Sur S.A., Minera Bateas S.A.C.</t>
  </si>
  <si>
    <t>o/w Native</t>
  </si>
  <si>
    <t>o/w Sulfuric acid</t>
  </si>
  <si>
    <t>Tellurium (metal)</t>
  </si>
  <si>
    <t>Volume from USGS Mineral Yearbook 2008. Price is from the USGS Mineral Commodity Summary 2009, and is the price for a lump and powder product of minimum 99.95% quality in the US.</t>
  </si>
  <si>
    <t>Minsur S.A.</t>
  </si>
  <si>
    <t>o/w Tin content of mine output</t>
  </si>
  <si>
    <t>Price from World Bank (Global Economic Monitor (GEM) Commodities database), and is defined as: Zinc (LME), high grade, minimum 99.95% purity, settlement price beginning April 1990; previously special high grade, minimum 99.995%, cash prices</t>
  </si>
  <si>
    <t xml:space="preserve">Compañía Minera Antamina S.A.,  Empresa Minera Los Quenuales S.A., Compañía Minera Milpo S.A.A., Sociedad Minera El Brocal S.A.A., Compañía Minera Raura S.A., Perubar S.A., Pan American Silver S.A.C. Mina Quiruvilca, Compañía de Minas Buenaventura S.A.A., Compañía Minera Argentum S.A., Minera Bateas S.A.C., Perubar S.A., </t>
  </si>
  <si>
    <t>o/w Zinc content of mine output</t>
  </si>
  <si>
    <t>The report uses US dollars and the local currency, the Peruvian nuevo sol. Materiality threshold: Companies volunteered to participate in the process. These accounted for the following shares of production in 2005: Oil - 71%, Gas - 41%, Copper - 95%, Gold - 74%, Lead - 30%, Molybendum - 100%, Silver - 55%, Tin - 100%, Zinc - 52%. Only disaggregation by revenue stream is comprehensive as some companies requested that their individual information was not provided. Unilateral declarations do not appear to be included in the figures. The report also covers the distribution of revenues across government.</t>
  </si>
  <si>
    <t>The report uses US dollars and the local currency, the Peruvian nuevo sol. Materiality threshold: Companies volunteered to participate in the process. These accounted for the following shares of production in 2006: Oil - 70%, Gas - 44%, Copper - 95%, Gold - 73%, Lead - 44%, Molybendum - 100%, Silver - 58%, Tin - 100%, Zinc - 52%. Only disaggregation by revenue stream is comprehensive as some companies requested that their individual information was not provided. Unilateral declarations do not appear to be included in the figures. The report also covers the distribution of revenues across government.</t>
  </si>
  <si>
    <t>The report uses US dollars and the local currency, the Peruvian nuevo sol. Materiality threshold: Companies volunteered to participate in the process. These accounted for the following shares of production in 2007: Oil - 71%, Gas - 50%, Copper - 95%, Gold - 66%, Lead - 43%, Molybendum - 100%, Silver - 53%, Tin - 100%, Zinc - 56%. Only disaggregation by revenue stream is comprehensive as some companies requested that their individual information was not provided. Unilateral declarations do not appear to be included in the figures. The report also covers the distribution of revenues across government.</t>
  </si>
  <si>
    <t>Volume from USGS Mineral Yearbook 2011. Price from USGS Mineral Commodity Summary 2009, and is the price in the US.</t>
  </si>
  <si>
    <t>Volume from USGS Mineral Yearbook 2011. Price from USGS Mineral Commodity Summary 2009, and is the price of Indium Corp, a US producer, for 99.97% purity metal.</t>
  </si>
  <si>
    <t>Volume from USGS Mineral Yearbook 2011. Price from the USGS Mineral Commodity Summary 2009, and is the price for the refined product in the US.</t>
  </si>
  <si>
    <t>Shell</t>
  </si>
  <si>
    <t>Volume from USGS Mineral Yearbook 2008. Price from USGS Mineral Yearbook 2007, and is the price in the US for crushed shell.</t>
  </si>
  <si>
    <t>Volume from USGS Mineral Yearbook 2011. Price is from the USGS Mineral Commodity Summary 2009, and is the price for a lump and powder product of minimum 99.95% quality in the US.</t>
  </si>
  <si>
    <t>Hunt Oil Company of Perú L.L.C., Maple Gas Corporation del Perú S.R.L., Olympic Perú INC Sucursal del Perú, Petrobras Energía Perú S.A., Pluspetrol Norte S.A., Pluspetrol Perú Corporation S.A., Pluspetrol Camisea S.A., Repsol Exploración Perú Sucursal del Perú, Perenco Perú Limited Sucursal del Perú, Ecopetrol del Perú S.A., Graña y Montero Petrolera S.A., Talisman Perú B.V. PeruDivision, SK Innovation Peruvian Division, Pacific Stratus Energy S.A. PeruDivision, Savia Perú S.A., Pluspetrol Lote 56 S.A, Interoil Perú S.A., Sonatrach Perú Corporation S.A.C, 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Anglo American Michiquillay S.A., Anglo American Quellaveco S.A., Anglo American Exploration Perú S.A., Río Tinto Minera Perú Limitada S.A.C, Castrovirreyna Compañía Minera S.A., Catalina Huanca Sociedad Minera S.A.C., Compañía Minera Ares S.A.C, Compañía Minera Condestable S.A, Gold Fields La Cima S.A.A., Lumina Copper S.A.C., Minera Suyamarca S.A.C, Anglo American Perú S.A., Compañía Minera Atacocha S.A.A, Compañía Minera Poderosa S.A., Compañía Minera San Juan (Perú) S.A., Consorcio Minero Horizonte S.A., Volcan Compañía Minera S.A.A.</t>
  </si>
  <si>
    <t>76-78</t>
  </si>
  <si>
    <t>The report uses US dollars and the local currency, the Peruvian nuevo sol. Materiality threshold: oil &amp; gas companies representing a share of no less than 85% of the net annual total for national hydrocarbon production, including all oil companies with production exceeding 2% and all gas companies with production exceeding 1% of national production volumes, should be reconciled; mining companies representing a share of no less than 75% of the net annual total for national mining production, including all mining companies with production exceeding 2% of national production volumes, should be reconciled. The report actually accounts for 88% of national oil &amp; gas production and 87% of national mining production in 2008, which is given in the report as US$5,469,782,913 and US$21,360,787,879. The report doesn't distinguish between oil and gas companies, or between mining companies producing different commodities. Only disaggregation by revenue stream is comprehensive as some companies requested that their individual information was not provided. Unilateral declarations do not appear to be included in the figures. The report also covers the distribution of revenues across government, and their use.</t>
  </si>
  <si>
    <t>Hunt Oil Company of Perú L.L.C., Maple Gas Corporation del Perú S.R.L., Olympic Perú INC Sucursal del Perú, Petrobras Energía Perú S.A., Pluspetrol Norte S.A., Pluspetrol Perú Corporation S.A., Pluspetrol Camisea S.A., Repsol Exploración Perú Sucursal del Perú, Perenco Perú Limited Sucursal del Perú, Ecopetrol del Perú S.A., Graña y Montero Petrolera S.A., Talisman Perú B.V. PeruDivision, SK Innovation Peruvian Division, Compañía de Minas Buenaventura S.A.A., Pacific Stratus Energy S.A. PeruDivision, Savia Perú S.A., Pluspetrol Lote 56 S.A, Interoil Perú S.A., Sonatrach Perú Corporation S.A.C</t>
  </si>
  <si>
    <t>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Anglo American Michiquillay S.A., Anglo American Quellaveco S.A., Anglo American Exploration Perú S.A., Río Tinto Minera Perú Limitada S.A.C, Castrovirreyna Compañía Minera S.A., Catalina Huanca Sociedad Minera S.A.C., Compañía Minera Ares S.A.C, Compañía Minera Condestable S.A, Gold Fields La Cima S.A.A., Lumina Copper S.A.C., Minera Suyamarca S.A.C, Anglo American Perú S.A., Compañía Minera Atacocha S.A.A, Compañía Minera Poderosa S.A., Compañía Minera San Juan (Perú) S.A., Consorcio Minero Horizonte S.A., Volcan Compañía Minera S.A.A.</t>
  </si>
  <si>
    <t>Antimony (metal)</t>
  </si>
  <si>
    <t>Arsenic (white)</t>
  </si>
  <si>
    <t>Boron materials (crude)</t>
  </si>
  <si>
    <t>Cadmium (metal)</t>
  </si>
  <si>
    <t>Chalk</t>
  </si>
  <si>
    <t>Common clay</t>
  </si>
  <si>
    <t>Diatomite</t>
  </si>
  <si>
    <t xml:space="preserve">Dolomite </t>
  </si>
  <si>
    <t>Fire clay</t>
  </si>
  <si>
    <t>Flagstone</t>
  </si>
  <si>
    <t>Lime</t>
  </si>
  <si>
    <t>Onyx</t>
  </si>
  <si>
    <t>Phosphate rock</t>
  </si>
  <si>
    <t>Quartz and quartzite (crushed)</t>
  </si>
  <si>
    <t>Steel</t>
  </si>
  <si>
    <t>Stone (construction)</t>
  </si>
  <si>
    <t>Sulfur (elemental)</t>
  </si>
  <si>
    <t>Travertine</t>
  </si>
  <si>
    <t>Tungsten (metal)</t>
  </si>
  <si>
    <t>The report uses US dollars and the local currency, the Peruvian nuevo sol. Materiality threshold: oil &amp; gas companies representing a share of no less than 85% of the net annual total for national hydrocarbon production, including all oil companies with production exceeding 2% and all gas companies with production exceeding 1% of national production volumes, should be reconciled; mining companies representing a share of no less than 75% of the net annual total for national mining production, including all mining companies with production exceeding 2% of national production volumes, should be reconciled. The report actually accounts for 90% of national oil &amp; gas production and 84% of national mining production in 2009, which is given in the report as US$3,764,019,399 and US$18,161,827,319. The report doesn't distinguish between oil and gas companies, or between mining companies producing different commodities. Only disaggregation by revenue stream is comprehensive as some companies requested that their individual information was not provided. Unilateral declarations do not appear to be included in the figures. The report also covers the distribution of revenues across government, and their use.</t>
  </si>
  <si>
    <t>o/w P2O5 content</t>
  </si>
  <si>
    <t>The report uses US dollars and the local currency, the Peruvian nuevo sol. Materiality threshold: oil &amp; gas companies representing a share of no less than 85% of the net annual total for national hydrocarbon production, including all oil companies with production exceeding 2% and all gas companies with production exceeding 1% of national production volumes, should be reconciled; mining companies representing a share of no less than 75% of the net annual total for national mining production, including all mining companies with production exceeding 2% of national production volumes, should be reconciled. The report actually accounts for 90% of national oil &amp; gas production and 83% of national mining production in 2010, which is given in the report as US$5,687,106,188 and US$23,412,898,360. The report doesn't distinguish between oil and gas companies, or between mining companies producing different commodities. Only disaggregation by revenue stream is comprehensive as some companies requested that their individual information was not provided. Unilateral declarations do not appear to be included in the figures. The report also covers the distribution of revenues across government, and their use.</t>
  </si>
  <si>
    <t xml:space="preserve">The Report is partially disaggregated by company.  </t>
  </si>
  <si>
    <t>Volume from USGS Mineral Yearbook 2011. Price from USGS Mineral Commodity Summary 2014, and is the estimated f.o.b. mine price in the US.</t>
  </si>
  <si>
    <t>Volume from USGS Mineral Yearbook 2011. Price from USGS Mineral Commodity Summary 2014, and is price for bentonite clay in the US.</t>
  </si>
  <si>
    <t>Volume from USGS Mineral Yearbook 2011. Price from USGS Mineral Yearbook 2012, and is the price in the US.</t>
  </si>
  <si>
    <t>Volume from USGS Mineral Yearbook 2011. Price is from BPSR 2014, and is an average of the American Central Appalachian, Asian and Northwest Europe marker/spot prices.</t>
  </si>
  <si>
    <t>Volume from USGS Mineral Yearbook 2011. Price from USGS Mineral Commodity Summary 2014, and is price for common clay in the US.</t>
  </si>
  <si>
    <t>Volume from USGS Mineral Yearbook 2011. Price from USGS Mineral Commodity Summary 2013, and is the f.o.b. plant price in the US.</t>
  </si>
  <si>
    <t>Volume from USGS Mineral Yearbook 2011. Price from USGS Mineral Yearbook 2012, and is the price in the US for crushed dolomite.</t>
  </si>
  <si>
    <t>Volume from USGS Mineral Yearbook 2011. Price from USGS Mineral Commodity Summary 2014, and is the price for marketable production in the US.</t>
  </si>
  <si>
    <t>Volume from USGS Mineral Yearbook 2011. Price from USGS Mineral Commodity Summary 2014, and is price for fire clay in the US.</t>
  </si>
  <si>
    <t>Volume from USGS Mineral Yearbook 2011. Price from USGS Mineral Yearbook 2012, and is the price in the US for crushed granite.</t>
  </si>
  <si>
    <t>Volume from USGS Mineral Yearbook 2011. Price from USGS Mineral Commodity Summary 2013, and is the average f.o.b. price for crude and calcined products.</t>
  </si>
  <si>
    <t>Volume from USGS Mineral Yearbook 2011. Price from USGS Mineral Commodity Summary 2014, and is price for kaolin clay in the US.</t>
  </si>
  <si>
    <t>Volume from USGS Mineral Yearbook 2011. Price from USGS Mineral Commodity Summary 2014, and is the average plant price for quicklime and hydrate products in the US.</t>
  </si>
  <si>
    <t>Volume from USGS Mineral Yearbook 2011. Price from USGS Mineral Yearbook 2012, and is the price in the US for crushed limestone.</t>
  </si>
  <si>
    <t xml:space="preserve">Volume from USGS Mineral Yearbook 2011. Price from USGS Mineral Commodity Summary 2013, and is the c.i.f. price at US ports for metallurgical ore with 46-48% manganese content. </t>
  </si>
  <si>
    <t>Volume from USGS Mineral Yearbook 2011. Price from USGS Mineral Commodity Summary 2013, and is the price in the US.</t>
  </si>
  <si>
    <t>Volume from USGS Mineral Yearbook 2011. Price from USGS Mineral Commodity Summary 2013, and is the f.o.b price in the US.</t>
  </si>
  <si>
    <t>Volume from USGS Mineral Yearbook 2011. Price from USGS Mineral Yearbook 2012, and is the price in the US for crushed quartzite.</t>
  </si>
  <si>
    <t>Volume from USGS Mineral Yearbook 2011. Price from USGS Mineral Yearbook 2012, and is the price in the US for construction sand and gravel.</t>
  </si>
  <si>
    <t>Volume from USGS Mineral Yearbook 2011. Price from the USGS Mineral Commodity Summary 2014, and is the price for the refined product in the US.</t>
  </si>
  <si>
    <t xml:space="preserve">Shell </t>
  </si>
  <si>
    <t>Volume from USGS Mineral Yearbook 2011. Price from USGS Mineral Yearbook 2012, and is the price in the US for crushed shell.</t>
  </si>
  <si>
    <t>Volume from USGS Mineral Yearbook 2011. Price from USGS Mineral Yearbook 2012, and is the price in the US for crushed slate.</t>
  </si>
  <si>
    <t>Steel (various)</t>
  </si>
  <si>
    <t>Volume from USGS Mineral Yearbook 2011. Price from World Bank (Global Economic Monitor (GEM) Commodities database), and is an average of the prices for steel coilsheets, wirerods and rebars.</t>
  </si>
  <si>
    <t>Volume from USGS Mineral Yearbook 2011. Price from USGS Mineral Yearbook 2012, and is the price in the US for crushed miscellaneous stone.</t>
  </si>
  <si>
    <t>Volume from USGS Mineral Yearbook 2011. Price from USGS Mineral Commodity Summary 2013, and is f.o.b. mine and/or plant price for elemental sulfur in the US.</t>
  </si>
  <si>
    <t>Volume from USGS Mineral Yearbook 2011. Price from USGS Mineral Commodity Summary 2013, and is the price for processed talc in the US.</t>
  </si>
  <si>
    <t>Volume from USGS Mineral Yearbook 2011. Price from USGS Mineral Commodity Summary 2013, and is the average price on the US and European spot markets for a metric ton unit of tungsten trioxide, which contains 7.93kg of tungsten.</t>
  </si>
  <si>
    <t>Volume from USGS Mineral Yearbook 2012. Price from USGS Mineral Commodity Summary 2014, and is the estimated f.o.b. mine price in the US.</t>
  </si>
  <si>
    <t>Volume from USGS Mineral Yearbook 2012. Price from USGS Mineral Commodity Summary 2014, and is price for bentonite clay in the US.</t>
  </si>
  <si>
    <t>Volume from USGS Mineral Yearbook 2012. Price from USGS Mineral Commodity Summary 2013, and is the average f.a.s. price of US imports.</t>
  </si>
  <si>
    <t>Volume from USGS Mineral Yearbook 2012. Price from USGS Mineral Yearbook 2012, and is the price in the US.</t>
  </si>
  <si>
    <t>Volume from USGS Mineral Yearbook 2012. Price is from BPSR 2014, and is an average of the American Central Appalachian, Asian and Northwest Europe marker/spot prices.</t>
  </si>
  <si>
    <t>Volume from USGS Mineral Yearbook 2012. Price from USGS Mineral Commodity Summary 2014, and is price for common clay in the US.</t>
  </si>
  <si>
    <t>Volume from USGS Mineral Yearbook 2012. Price from USGS Mineral Commodity Summary 2013, and is the f.o.b. plant price in the US.</t>
  </si>
  <si>
    <t>Volume from USGS Mineral Yearbook 2012. Price from USGS Mineral Commodity Summary 2014, and is the price of Indium Corp, a US producer, for 99.97% purity metal.</t>
  </si>
  <si>
    <t>Volume from USGS Mineral Yearbook 2012. Price from USGS Mineral Commodity Summary 2014, and is price for kaolin clay in the US.</t>
  </si>
  <si>
    <t>Volume from USGS Mineral Yearbook 2012. Price from USGS Mineral Commodity Summary 2013, and is the price in the US.</t>
  </si>
  <si>
    <t>Volume from USGS Mineral Yearbook 2012. Price from World Bank (Global Economic Monitor (GEM) Commodities database), and is defined as: Phosphate rock (Morocco), 70% BPL, contract, f.a.s. Casablanca.</t>
  </si>
  <si>
    <t>Volume from USGS Mineral Yearbook 2012. Price from USGS Mineral Yearbook 2012, and is the price in the US for crushed quartzite.</t>
  </si>
  <si>
    <t>Volume from USGS Mineral Yearbook 2012. Price from the USGS Mineral Commodity Summary 2014, and is the price for the refined product in the US.</t>
  </si>
  <si>
    <t>Volume from USGS Mineral Yearbook 2012. Price from USGS Mineral Yearbook 2012, and is the price in the US for crushed slate.</t>
  </si>
  <si>
    <t>Volume from USGS Mineral Yearbook 2012. Price from World Bank (Global Economic Monitor (GEM) Commodities database), and is an average of the prices for steel coilsheets, wirerods and rebars in 2011 (steel prices in 2012 are not given by the World Bank or USGS).</t>
  </si>
  <si>
    <t>The price for this year is not available from the World Bank or USGS.</t>
  </si>
  <si>
    <t>Volume from USGS Mineral Yearbook 2012. Price from USGS Mineral Yearbook 2012, and is the price in the US for crushed miscellaneous stone.</t>
  </si>
  <si>
    <t>Ghelber &amp; Gourdon</t>
  </si>
  <si>
    <t>61, 134</t>
  </si>
  <si>
    <t xml:space="preserve">EITI Report for 2004-2006 does not include revenue/payment totals or company/govt reconciliated figures, and eiti.org does not give data on payments or revenues. Four fields were selected for reconciliation and in-kind receipts from these fields were reported (see p.58-59), but it is not clear whether these are government or company reported amounts, or both, and what these in-kind payments include. Project-by-project production data is given on p.134; production figures are taken from the totals given here. Total production value in FCFA is given on p.61; value was determined by "prix fiscale", which is defined in Article 8 of the CPP (contrat de partage de production). The "prix fiscale" is given for each quarter on p.69; prices here are annual averages of these prices. (Note slight differences between EITI production volume x price and the producton values given). Total Received by Govt is "Recettes constatées du Trésor" from p.61; however, this appears to be revenues from the government's production share only. Total In-kind Payment Value is production share ("droits") from p.61. Note that the value of the state's share of production (column AB) is greater than the total received by the Treasury (column R); the report states that fees and debts are deducted from production share (p.61). The value of oil delivered to CORAF, the state refinery, for domestic consumption is equivalent to US$11,792,881 (p.65-66). Also, information on how in-kind receipts (profit oil, cost oil, etc) are calculated is on p.18, p.33; project-by-project profit oil and royalties are given on p.132-133. 17 upstream petroleum companies were covered by the report (p.99); company names are not given, and it's not clear how many actually participated (according to eiti.org, 25 companies reported; it's unclear where this number comes from). </t>
  </si>
  <si>
    <t xml:space="preserve">EITI Report for 2004-2006 does not include revenue/payment totals or company/govt reconciliated figures. Four fields were selected for reconciliation and in-kind receipts from these fields were reported (see p.58-59), but it is not clear whether these are government or company reported amounts, or both, and what these in-kind payments include. Project-by-project production data is given on p.134; production figures are taken from the totals given here. Total production value in FCFA is given on p.61; value was determined by "prix fiscale", which is defined in Article 8 of the CPP (contrat de partage de production). The "prix fiscale" is given for each quarter on p.69; prices here are annual averages of these prices. (Note slight differences between EITI production volume x price and the producton values given). Total Received by Govt is "Recettes constatées du Trésor" from p.61; however, this appears to be revenues from the government's production share only. Total In-kind Payment Value is production share ("droits") from p.61. Note that the value of the state's share of production (column W) is greater than the total received by the treasury (column Q); the report states that fees and debts are deducted from production share (p.61). The value of oil delivered to CORAF, the state refinery, for domestic consumption is given on p.65-66; these values are included in the Subsidy column. Also, information on how in-kind receipts (profit oil, cost oil, etc) are caluclated is on p.18, p.33; project-by-project profit oil and royalties are given on p.132-133. 17 upstream petroleum companies were covered by the report (p.99); company names are not given, and it's not clear how many actually participated (according to eiti.org, 25 companies reported; it's unclear where this number comes from). </t>
  </si>
  <si>
    <t>http://www.itie-congo.org/</t>
  </si>
  <si>
    <t>Volume and price from BPSR 2014. Price is an average of the spot prices for Brent, Dubai, Nigerian Forcados and West Texas Intermediate crude oil, adjusted to account for the prices given in the 2004-2006 and 2010-2012 EITI Reports being an average 87.94% of this in 2004-2006 and 2010-2012.</t>
  </si>
  <si>
    <t>56,430,394 bbl of oil</t>
  </si>
  <si>
    <t>SNPC, TOTAL, ENI CONGO, CONGOREP, PERENCO EP CONGO, PERENCO EP CONGO, CMS NOMECO, NUEVO CONGO COMPANY, NUEVO CONGO LIMITED, MURPHY, PRESTOIL, AOGC, CHEVRON, MAUREL &amp; PROM CONGO, SOCO, ENGEN, BUREN, TULLOW, PREMIER, PILATUS, CLIVEDEN, CNOOC, SVENSKA, WING WAH, OPHIR CONGO</t>
  </si>
  <si>
    <t>6, 7, 8, 24-27</t>
  </si>
  <si>
    <t>Voluntary social payments were reported unilaterally by companies are and included here under Total Payments by Company.  Revenue/payment totals given in FCFA in the report include the earnings of the state from the commercialization of in-kind oil receipts (commercialized on behalf of the state by SNPC). To avoid double counting, in-kind flows received by SNPC on behalf of the state have not been added to revenue/payment totals.  The exchange rate used in the EITI Report is 495 FCFA/$, which is different from the WB rate used here. In-kind receipts include state (51,334,916 bbl) and SNPC (5,095,478 bbl) production share, as reported by the government (p.26). Note, however, that Total In-kind Payment Value reflects only the amount SNPC paid to the state after commercializing the state's share of production, as reported by govt (ie, for 51.3 mill bbl the state received $2.86 bill). CORAF, the state refinery, also received a portion of the state's production share (for provision of subsidized fuel to the domestic market), but these volumes were not included in the report. Note that some revenue streams were not reported by govt and couldn't be reconciled (see p.4).</t>
  </si>
  <si>
    <t>Volume from BPSR 2014. Price from EITI Report, and is basd on the value and volume of payments made in-kind.</t>
  </si>
  <si>
    <t>58,610,387 bbl of oil</t>
  </si>
  <si>
    <t>5,038,537,547 (commercialized value of the portion of Govt in-kind receipts that go to the Treasury only)</t>
  </si>
  <si>
    <t>Total (TEP Congo), ENI Congo, SNPC, Congorep, Societe Chevron, Burren, Murphy West Africa, PA Ressources, CMS Nomeco, Tullow, Nuevo Congo Company, Nuevo Congo Limited, Presoil, Maurel &amp; Prom Congo, AOGC, Petroci, Prevail.</t>
  </si>
  <si>
    <t>5, 6, 29-31, 35, 36</t>
  </si>
  <si>
    <t>Total Payments by Companies includes unilaterally reported "taxe maritime" and voluntary social payments.  Reported amounts cover the earnings of the state from the commercialization of the oil; SNPC commercializes the state's production share on the international market (p.12), so all in-kind receipts are received by SNPC and converted to cash before being remitted to the state. To avoid double counting, in-kind flows received by SNPC on behalf of the state have not been added to revenue/payment totals. The state receives a total of 55,600,658 bbl, of which 4,350,547 bbl (see p.41) goes to CORAF for the domestic market. The remainder (51,035,686 bbl) is commercialized by SNPC on behalf of the state, for which the state received FCFA 2,386,755,236,000. In addition, SNPC received 3,009,729 bbl for its own account. Here, Total In-kind Payment Volume includes State and SNPC in-kind receipts (55,600,658 bbl+3,009,729 bbl, as reported by the government). But note that the Total In-Kind Payment Value is for commercialized barrels only (ie, 51 million bbl sold for 2.39 trillion FCFA, or about $99/bbl). The repor also includes mining revenues reported unilaterally by the state but these are not included in Total Revenues Reported by Government</t>
  </si>
  <si>
    <t>Central African CFA Franc and United States Dollar</t>
  </si>
  <si>
    <t>54,922,000 bbl of oil (includes total govt in-kind receipts and SNPC receipts)</t>
  </si>
  <si>
    <t>2,748,286,000 (commercialized value of the portion of Govt in-kind receipts that go to the Treasury only)</t>
  </si>
  <si>
    <t>PETROLEUM SOC: Societe Nationale des Petroles du Congo (SNPC). PETROLEUM PRODUCTION: Africa Oil and Gas Corporation (AOGC), Chevron Overseas Congo, CMS Nomeco, Congorep, ENI Congo, Murphy West Africa, Prestoil, Nuevo Congo Company, Nuevo Congo Ltd, PA Resources Congo, Petro Kouilou, Total E&amp;P Congo, Maurel &amp; Prom Congo. PETROLEUM EXPLORATION: China National Offshore Oil Corporation (CNOOC), Ophir Congo, Perenco Exploration &amp; Production Congo, Pilatus, Premier Oil, SOCO Exploration and Production Congo, Wing Wah. MINING PRODUCTION: Lulu, Magminerals Potasses Congo, Societe de Recherche et d'Exploitation Miniere (SOREMI).</t>
  </si>
  <si>
    <t>4-7, 30-34</t>
  </si>
  <si>
    <t xml:space="preserve">Total Received by Govt includes revenues from mining companies in the exploratory phase reported unilaterally by the state. Total Payments by Companies includes unilaterally reported "taxe maritime" and voluntary social payments. SNPC, the state oil company, is included as both a paying company (in-kind royalties and tax oil paid to state and some financial flows) and a receiving entity (production share received for SNPC's own account and SNPC dividends are included in govt totals). Reported dollar amounts include the earnings of the state from the commercialization of the oil; SNPC commercializes the state's production share on the international market (p.15), so all in-kind receipts are received by SNPC and converted to cash before being remitted to the state. To avoid double counting, in-kind flows received by SNPC on behalf of the state have not been added to revenue/payment totals. The state received a total of 53,078,000 bbl of oil (before "prelevements" were deducted), valued at $5,573,156,000. Of this production share, 5,959,000 bbl went to CORAF for refining and sale at subsidized prices to the domestic market (this transfer was valued at $600 million, see p.6). The in-kind receipts to the treasury (26,681,000 bbl) were commercialized by SNPC on behalf of the state, for which the state received $2,748,286,000. In addition, SNPC received 1,694,000 bbl for its own account. Here, Total In-kind Payment Volume includes all State and SNPC in-kind receipts, before deductions (ie, 53,228,000 bbl+1,694,000 bbl, as reported by the government). But note that the Total In-Kind Payment Value is for commercialized barrels only (ie, 26.7 million bbl sold for $2.75 bill, or about $103/bbl). </t>
  </si>
  <si>
    <t>Export value reported as $10 billion, but this does not reflect total production value as some oil is refined and used domestically</t>
  </si>
  <si>
    <t>Volume from USGS Mineral Yearbook 2012. Price from kimberley Process Annual Summary 2012.</t>
  </si>
  <si>
    <t xml:space="preserve">Total </t>
  </si>
  <si>
    <t>Congo Iron*, Magminerals Potasses Congo*, Core Mining Congo, Sintoukola Potash*, Dmc, Iron Congo*, Societe De Recherche Et D'exploitation Miniere (Soremi)*, Lulu B, African Iron, Macpela Mining, Afrimines, Managem, Agil Congo, Maud Congo, Alassane Geomines, Million Well Holding, Alector Congo, Mpd Congo*, Allante Resources Congo, Natural Resources Exploration, Alpha Minerals, Newco Mining, Amd, Niel Congo, Avima Gold, Nyanga Congo, China Development Resources, Nyive Congo, Cominco*, Oky Services International, Comisa, Sadem, Congo Gold, Potasses Du Congo, Congo Mining*, Sai Congo, Coredem, Saison Zhong, Corem, Sanu Resources, Distribution Internationale, Sino Congo Development, Eni Congo, Sino Congo Gold, Equamineral, Sino Congo Resources, Gan Congo, Societe Des Potasses Du Congo, Golden Lion, Societe Des Potasses Et Des Mines, Guided By Grace Ministries, Soneco, Kimin Congo, Srem, La Congolaise Des Mines, Yuan Wang, Luyan Des Mines, Zhong Jin Hui Da Beijing, Mac Congo C, African Minerals Compagny (Amc), Niall Mellon, Bikonga Mining, Oyabi Gold Mine, Dimension Finances, Panex, Equateur Mining Congo, Qatar Mining, First Republic Resources, Renaissance Copper, Gbgm, Societe Congolaise Des Mines Et Des Potasses (Socomip), Hind Metal Corp, Societe D'exploitation Miniere Du Congo (Emc), La Congolaise De Graphite, Transfrontiergroup Compagny Mayombe Gold Societe Nationale Des Petroles Du Congo (Snpc) B, Africa Oil And Gas Corporation (Aogc), Nuevo Congo Company, Cms Nomeco, Nuevo Congo Limited, Congorep, Pa Resources Congo, Eni Congo, Petro Kouilou (Ex Prestoil), Murphy West Africa, Total E&amp;P Congo C, China National Offshore Oil Corporation (Cnooc), Perenco Exploration &amp; Production Congo, Chevron Overseas Congo, Philia*, Dig Oil*, Pilatus, Maurel &amp; Prom Congo, Soco Exploration And Production Congo, Ophir Congo, Wing Wah</t>
  </si>
  <si>
    <t>Missing a Great Deal of Information and Clarification (Information on EITI website is innacurate). Payments from companies and government revenues unclear.</t>
  </si>
  <si>
    <t>SierraLeone2006</t>
  </si>
  <si>
    <t>http://www.sleiti.gov.sl</t>
  </si>
  <si>
    <t>United States Dollar and the Sierra Leone Leone</t>
  </si>
  <si>
    <t>African Minerals, Andre Hope, Cluff Gold, Hisham Mackie (H.M. Diamonds), Kassim Basma, Koidu Holdings SA, London Mining Co, Sierra Minerals, Sierra Rutile</t>
  </si>
  <si>
    <t>Verdi Consulting</t>
  </si>
  <si>
    <t xml:space="preserve">The report uses both US dollars and the local currency, the Sierra Leone Leone. Materiality threshold: not given. Unilateral declarations are included in the figures. </t>
  </si>
  <si>
    <t>Volume from USGS Mineral Yearbook 2010. Price from USGS Mineral Yearbook 2007, and is the average f.a.s. price of US imports of crude and dried bauxite.</t>
  </si>
  <si>
    <t>Sierra Minerals</t>
  </si>
  <si>
    <t>Andre Hope, Hisham Mackie (H.M. Diamonds), Kassim Basma, Koidu Holdings SA</t>
  </si>
  <si>
    <t>Cluff Gold</t>
  </si>
  <si>
    <t>Volume from USGS Mineral Yearbook 2010</t>
  </si>
  <si>
    <t>African Minerals, London Mining Co</t>
  </si>
  <si>
    <t>Titanium minerals &amp; Zircon</t>
  </si>
  <si>
    <t>Sierra Rutile</t>
  </si>
  <si>
    <t>o/w Ilmenite concentrate</t>
  </si>
  <si>
    <t>Volume from USGS Mineral Yearbook 2010. Price from USGS Mineral Commodity Summary 2009, and is the f.o.b. price in Australia for a bulk product with a minimum TiO2 content of 54%.</t>
  </si>
  <si>
    <t>o/w Rutile concentrate</t>
  </si>
  <si>
    <t>Volume from USGS Mineral Yearbook 2010. Price from USGS Mineral Commodity Summary 2009, and is the f.o.b. price in Australia for a bulk product with a minimum TiO2 content of 95%.</t>
  </si>
  <si>
    <t>o/w Zirconconium concentrate</t>
  </si>
  <si>
    <t xml:space="preserve">The USGS Mineral Yearbook 2010 indicates that there was insufficent data to estimate production volumes. </t>
  </si>
  <si>
    <t>SierraLeone2007</t>
  </si>
  <si>
    <t>Volume from USGS Mineral Yearbook 2010. Price from Kimberly Process Annual Summary 2007.</t>
  </si>
  <si>
    <t>SierraLeone2008</t>
  </si>
  <si>
    <t>African Minerals Ltd, Cluff Gold Resources, Koidu Holdings SA, London Mining Co Ltd, Nimini Mining Ltd, Sierra Minerals Ltd, Sierra Rutile Ltd, HM Diamonds, Kassim Basma, Anardako Petroleum, Prontinal Ltd, Oranto Ltd</t>
  </si>
  <si>
    <t>23-29</t>
  </si>
  <si>
    <t xml:space="preserve">The report uses both US dollars and the local currency, the Sierra Leone Leone. Materiality threshold: all active oil &amp; gas companies should be reconciled; all mining entities that have made a payment of at least $4,000 in 2008 should be reconciled. The report doesn't distinguish between oil and gas producers. Resolved discrepancies do not appear to be included in the final figures, but there is insufficent information to add these retrospectively. Unilateral declarations do not appear to be included in the figures. </t>
  </si>
  <si>
    <t>Anardako Petroleum, Prontinal Ltd, Oranto Ltd</t>
  </si>
  <si>
    <t>cbf</t>
  </si>
  <si>
    <t>Volume from EIA</t>
  </si>
  <si>
    <t>African Minerals Ltd, Cluff Gold Resources, Koidu Holdings SA, London Mining Co Ltd, Nimini Mining Ltd, Sierra Minerals Ltd, Sierra Rutile Ltd, HM Diamonds, Kassim Basma</t>
  </si>
  <si>
    <t>Volume from USGS Mineral Yearbook 2012. Price from USGS Mineral Yearbook 2008, and is the average f.a.s. price of US imports of crude and dried bauxite.</t>
  </si>
  <si>
    <t>Sierra Minerals Ltd</t>
  </si>
  <si>
    <t>Volume from USGS Mineral Yearbook 2012. Price from Kimberly Process Annual Summary 2008.</t>
  </si>
  <si>
    <t>Koidu Holdings SA, HM Diamonds, Kassim Basma</t>
  </si>
  <si>
    <t>Cluff Gold Resources, Nimini Mining Ltd</t>
  </si>
  <si>
    <t>African Minerals Ltd, London Mining Co Ltd</t>
  </si>
  <si>
    <t>Sierra Rutile Ltd</t>
  </si>
  <si>
    <t>SierraLeone2009</t>
  </si>
  <si>
    <t>African Minerals Ltd, Cluff Gold Resources, Koidu Holdings SA, London Mining Co Ltd, Nimini Mining Ltd Sierra Minerals Ltd, Sierra Rutile Ltd, Chang Feng, HM Diamonds, Kassim Basma, Anardako Petroleum, Prontinal Ltd, Oranto Ltd</t>
  </si>
  <si>
    <t>30-37</t>
  </si>
  <si>
    <t xml:space="preserve">The report uses both US dollars and the local currency, the Sierra Leone Leone. Materiality threshold: all active oil &amp; gas companies should be reconciled; all mining entities that have made a payment of at least $4,000 in 2009 should be reconciled. The report doesn't distinguish between oil and gas producers. Resolved discrepancies do not appear to be included in the final figures, but there is insufficent information to add these retrospectively. Unilateral declarations are included in the figures. </t>
  </si>
  <si>
    <t>African Minerals Ltd, Cluff Gold Resources, Koidu Holdings SA, London Mining Co Ltd, Nimini Mining Ltd, Sierra Minerals Ltd, Sierra Rutile Ltd, Chang Feng, HM Diamonds, Kassim Basma</t>
  </si>
  <si>
    <t>Volume from USGS Mineral Yearbook 2012. Price from Kimberly Process Annual Summary 2009.</t>
  </si>
  <si>
    <t>Cluff Gold Resources, Nimini Mining Ltd, Chang Feng</t>
  </si>
  <si>
    <t>SierraLeone2010</t>
  </si>
  <si>
    <t>African Minerals Ltd, Cluff Gold Resources, Kingho Investment Co Ltd, Koidu Holdings SA, London Mining Co Ltd, Nimini Mining Ltd Sierra Minerals Ltd, Sierra Rutile Ltd, West African Zircon Ltd, Chang Feng, HM Diamonds, Kassim Basma, Anardako Petroleum, Prontinal Ltd, Oranto Ltd</t>
  </si>
  <si>
    <t>38-44</t>
  </si>
  <si>
    <t xml:space="preserve">The report uses both US dollars and the local currency, the Sierra Leone Leone. Materiality threshold: all active oil &amp; gas companies should be reconciled; all mining entities that made a payment of at least $4,000 in 2010 should be reconciled. The report doesn't distinguish between oil and gas producers. Resolved discrepancies do not appear to be included in the final figures, but there is insufficent information to add these retrospectively. Unilateral declarations are included in the figures. </t>
  </si>
  <si>
    <t>Anardako Petroleum, Prontinal Ltd</t>
  </si>
  <si>
    <t>African Minerals Ltd, Cluff Gold Resources, Kingho Investment Co Ltd, Koidu Holdings SA, London Mining Co Ltd, Nimini Mining Ltd, Sierra Minerals Ltd, Sierra Rutile Ltd, West African Zircon Ltd, Chang Feng, HM Diamonds, Kassim Basma</t>
  </si>
  <si>
    <t>Volume from USGS Mineral Yearbook 2012. Price from Kimberly Process Annual Summary 2010.</t>
  </si>
  <si>
    <t>African Minerals Ltd, Kingho Investment Co Ltd, London Mining Co Ltd</t>
  </si>
  <si>
    <t>Sierra Rutile Ltd, West African Zircon</t>
  </si>
  <si>
    <t>SierraLeone2011</t>
  </si>
  <si>
    <t>African Minerals Ltd, AMR Gold (SL) Ltd, Cluff Gold (SL) Ltd, Danasha Gem (SL) Ltd, Diam Investment (SL) Ltd, Hasanein Ibrahim Akar, Kingho Investment Co Ltd, Koidu Holdings SA, Lion Stones (SL) Ltd, London Mining Co Ltd, Marampa Iron Ore (SL) Ltd, Metal Exploration (SL) Ltd, Murray Investment Company Ltd, Shanti Sierra Ltd, Shawke B Shour, Sierra Minerals Holdings Ltd, Sierra Rutile Ltd, West Africa Group for Mining Gold and Diamonds (SL) Ltd, West African Zircon Ltd, HM Diamonds, Kassim Basma, Anardako Petroleum, European Hydrocarbon Ltd. UK, Lukoil Overseas Sierra Leone, Talisman Sierra Leone BV/Prontinal Ltd</t>
  </si>
  <si>
    <t xml:space="preserve">Materiality threshold: all active oil &amp; gas companies should be reconciled; all mining entities that made a payment of at least $99,360 in 2011 should be reconciled. This means over 85% of payments for the revenue streams covered in the report are accounted for. The report doesn't distinguish between oil and gas producers. Unilateral declarations are included in the figures. </t>
  </si>
  <si>
    <t>Anardako Petroleum, European Hydrocarbon Ltd. UK, Lukoil Overseas Sierra Leone, Talisman Sierra Leone BV/Prontinal Ltd</t>
  </si>
  <si>
    <t>African Minerals Ltd, AMR Gold (SL) Ltd, Cluff Gold (SL) Ltd, Danasha Gem (SL) Ltd, Diam Investment (SL) Ltd, Hasanein Ibrahim Akar, Kingho Investment Co Ltd, Koidu Holdings SA, Lion Stones (SL) Ltd, London Mining Co Ltd, Marampa Iron Ore (SL) Ltd, Metal Exploration (SL) Ltd, Murray Investment Company Ltd, Shanti Sierra Ltd, Shawke B Shour, Sierra Minerals Holdings Ltd, Sierra Rutile Ltd, West Africa Group for Mining Gold and Diamonds (SL) Ltd, West African Zircon Ltd, HM Diamonds, Kassim Basma</t>
  </si>
  <si>
    <t>Volume from USGS Mineral Yearbook 2012. Price from Kimberly Process Annual Summary 2011.</t>
  </si>
  <si>
    <t>Danasha Gem (SL) Ltd, Diam Investment (SL) Ltd, Hasanein Ibrahim Akar, Koidu Holdings SA, HM Diamonds, Kassim Basma, Lion Stones (SL) Ltd, Murray Investment Company, Shanti Sierra Ltd, Shawke B Shour Ltd, West Africa Group for Mining Gold and Diamonds (SL) Ltd</t>
  </si>
  <si>
    <t>AMR Gold (SL) Ltd, Cluff Gold Resources</t>
  </si>
  <si>
    <t>African Minerals Ltd, Kingho Investment Co Ltd, London Mining Co Ltd, Marampa Iron Ore (SL) Ltd, Metal Exploration (SL) Ltd</t>
  </si>
  <si>
    <t>http://www.teiti.or.tz/</t>
  </si>
  <si>
    <t>United States Dollar and Tanzania Shilling</t>
  </si>
  <si>
    <t>Bulyanhulu Gold Mine Limited, Pangea Minerals Limited, North Mara Gold Mine Limited, Geita Gold Mine Limited, Resolute (Tanzania) Limited, Williamson Diamonds Limited, El-Hillal Minerals Limited, Tanzaniteone Mining Limited, Pan African Energy Tanzania Ltd, Artumas Group &amp; Partners (Gas) Ltd, Tanzania Petroleum Development Corporation (TPDC)</t>
  </si>
  <si>
    <t>Hart Group &amp;amp; BDO East Africa</t>
  </si>
  <si>
    <t>23-24</t>
  </si>
  <si>
    <t>The report covers the  financial year of 1 July 2008 to 30 June 2009. The report uses both US dollars and the local currency, the Tanzania shilling. Materiality threshold: the three largest gas producers should be reconciled; the nine largest mining companies (which classifies one company operating in two geographical areas as two companies) should be reconciled. Unilateral declarations are included in the figures. The figures for company payments provided in the company disaggregation do not total to the same amount as the figures for company payments provided in the revenue stream disaggregation. The gas sector in Tanzania is currently managed by PSAs, where the Tanzania Petroleum Development Corporation (TPDC) is granted licences by the Ministry of Energy and Minerals, mandating TPDC to enter into PSAs with oil and gas companies.The production of gas sector in Tanzania is currently managed by Production Sharing Agreement (PSA), whereas the Tanzania Petroleum Development Corporation (TPDC) is granted licences under the Act by the Ministry of Energy and Minerals, mandating TPDC to enter into PSAs with private companies. The report also covers the majority shareowner of the companies.</t>
  </si>
  <si>
    <t>Pan African Energy Tanzania Ltd, Artumas Group &amp; Partners (Gas) Ltd, Tanzania Petroleum Development Corporation (TPDC)</t>
  </si>
  <si>
    <t>59-61</t>
  </si>
  <si>
    <t>Bulyanhulu Gold Mine Limited, Pangea Minerals Limited, North Mara Gold Mine Limited, Geita Gold Mine Limited, Resolute (Tanzania) Limited, Williamson Diamonds Limited, El-Hillal Minerals Limited, Tanzanite One Mining Limited</t>
  </si>
  <si>
    <t>44-58</t>
  </si>
  <si>
    <t>Volume from USGS Mineral Yearbook 2012, adjusted to account for the fiscal year. Price from Kimberley Process Annual Summary 2008 and 2009, adjusted to account for the fiscal year.</t>
  </si>
  <si>
    <t>Williamson Diamonds Limited, El-Hillal Minerals Limited</t>
  </si>
  <si>
    <t>54-56</t>
  </si>
  <si>
    <t>Volume from USGS Mineral Yearbook 2012, adjusted to account for the fiscal year. Price from World Bank (Global Economic Monitor (GEM) Commodities database) - defined as: Gold (UK), 99.5% fine, London afternoon fixing, average of daily rates - adjusted to account for the fiscal year and for the price given in the 2011 EITI Report being 109.53% of this in the fiscal year of 2010-11.</t>
  </si>
  <si>
    <t>Bulyanhulu Gold Mine Limited, Pangea Minerals Limited, North Mara Gold Mine Limited, Geita Gold Mine Limited, Resolute (Tanzania) Limited</t>
  </si>
  <si>
    <t>44-53</t>
  </si>
  <si>
    <t>Tanzanite</t>
  </si>
  <si>
    <t>Volume from USGS Mineral Yearbook 2012, adjusted to account for the fiscal year. Price from the USGS Mineral Yearbook 2008 and 2009, and is the median of the year-end price range for cut tanzanite in the US, adjusted to account for the fiscal year and for the price given in the 2011 EITI Report being 3.21% of this in the fiscal year of 2010-11.</t>
  </si>
  <si>
    <t>Tanzaniteone Mining Limited</t>
  </si>
  <si>
    <t>57-58</t>
  </si>
  <si>
    <t>Etablissement Maurel et Prom, Orphir Tanzania Limited, Pan African Energy Tanzania Limited, Petrobras Tanzania Limited, Songas Limited, Statoil Tanzania AS, Tullow Tanzania, B.V, Wentworth Gas Limited, Tanzania Petroleum Development Corporation (TPDC), Barrick Exploration Africa Limited, Bulyanhulu Gold Mine Limited, Geita Gold Mining Limited, Mbeya Cement Company Limited, Mineral Extraction Technologies Limited, North Mara Gold Mine Limited, Pangea Minerals Limited, Resolute Tanzania Limited, Seasalt Limited, Shanta Mining Company Limited, Tancan Mining Company Limited, Tanga Cement Company Limited, Tanzania Portland Cement Company Limited, Tanzaniteone Mining Limited, Williamson Diamonds Limited</t>
  </si>
  <si>
    <t>BDO East Africa &amp;amp; Paulsam Geo-Engineering Ltd</t>
  </si>
  <si>
    <t>39-40</t>
  </si>
  <si>
    <t>Etablissement Maurel et Prom, Orphir Tanzania Limited, Pan African Energy Tanzania Limited, Petrobras Tanzania Limited, Songas Limited, Statoil Tanzania AS, Tullow Tanzania B.V, Wentworth Gas Limited, Tanzania Petroleum Development Corporation (TPDC)</t>
  </si>
  <si>
    <t>Barrick Exploration Africa Limited, Bulyanhulu Gold Mine Limited, Geita Gold Mining Limited, Mbeya Cement Company Limited, Mineral Extraction Technologies Limited, North Mara Gold Mine Limited, Pangea Minerals Limited, Resolute Tanzania Limited, Seasalt Limited, Shanta Mining Company Limited, Tancan Mining Company Limited, Tanga Cement Company Limited, Tanzania Portland Cement Company Limited, Tanzaniteone Mining Limited, Williamson Diamonds Limited</t>
  </si>
  <si>
    <t>Volume from USGS Mineral Yearbook 2012, adjusted to account for the fiscal year. Price from BPSR 2014, and is  an average of the American Central Appalachian, Asian and Northwest Europe marker/spot prices, adjusted to account for the fiscal year.</t>
  </si>
  <si>
    <t>Volume from USGS Mineral Yearbook 2012, adjusted to account for the fiscal year. Price from Kimberley Process Annual Summary 2009 and 2010, adjusted to account for the fiscal year.</t>
  </si>
  <si>
    <t>Williamson Diamonds Limited</t>
  </si>
  <si>
    <t>Bulyanhulu Gold Mine Limited, Pangea Minerals Limited, North Mara Gold Mine Limited, Geita Gold Mine Limited, Resolute (Tanzania) Limited, Shanta Mining Company Limited</t>
  </si>
  <si>
    <t>Mbeya Cement Company Limited, Tanga Cement Company Limited, Tanzania Portland Cement Company Limited</t>
  </si>
  <si>
    <t>Volume from USGS Mineral Yearbook 2012, adjusted to account for the fiscal year. Price from USGS Mineral Commodity Summary 2013, and is the average f.o.b. mine and plant price for bulk, pellets and packaged vacuum and open pan salt, solar salt, rock salt and salt in brine, adjusted to account for the fiscal year.</t>
  </si>
  <si>
    <t>Seasalt Limited</t>
  </si>
  <si>
    <t>Volume from USGS Mineral Yearbook 2012, adjusted to account for the fiscal year. Price from the USGS Mineral Yearbook 2009 and 2010, and is the median of the year-end price range for cut tanzanite in the US, adjusted to account for the fiscal year and for the price given in the 2011 EITI Report being 3.21% of this in the fiscal year of 2010-11.</t>
  </si>
  <si>
    <t>Tanzanite One Mining Limited</t>
  </si>
  <si>
    <t>Others (inc. exploration of an unspecified mineral)</t>
  </si>
  <si>
    <t>Barrick Exploration Africa Limited, Mineral Extraction Technologies Limited, Tancan Mining Company Limited</t>
  </si>
  <si>
    <t>Etablissement Maurel et Prom, Orphir Tanzania Limited, Pan African Energy Tanzania Limited, Petrobras Tanzania Limited, Songas Limited, Statoil Tanzania AS, Tullow Tanzania B.V, Wentworth Gas Limited, Tanzania Petroleum Development Corporation (TPDC), BG International Limited, Beach Petroleum Tanzania Limited, Dominion Oil &amp; Gas Limited, Barrick Exploration Africa Limited, Bulyanhulu Gold Mine Limited, Geita Gold Mining Limited, Mbeya Cement Company Limited, North Mara Gold Mine Limited, Pangea Minerals Limited, Resolute Tanzania Limited, Shanta Mining Company Limited, Tancan Mining Company Limited, Tanga Cement Company Limited, Tanzania Portland Cement Company Limited, Tanzaniteone Mining Limited, , Tanzanite One Trading Limited, Williamson Diamonds Limited, Mantra Tanzania Limited, Bafex Tanzania Ltd, Tanzania American International, Canaco Tanzania Limited</t>
  </si>
  <si>
    <t>55-56</t>
  </si>
  <si>
    <t>Etablissement Maurel et Prom, Orphir Tanzania Limited, Pan African Energy Tanzania Limited, Petrobras Tanzania Limited, Songas Limited, Statoil Tanzania AS, Tullow Tanzania B.V, Wentworth Gas Limited, Tanzania Petroleum Development Corporation (TPDC), BG International Limited, Beach Petroleum Tanzania Limited, Dominion Oil &amp; Gas Limited</t>
  </si>
  <si>
    <t>The price inferred from the reported volume and value of sales in the EITI Report (p21) is US$135.5/m³.</t>
  </si>
  <si>
    <t>Barrick Exploration Africa Limited, Bulyanhulu Gold Mine Limited, Geita Gold Mining Limited, Mbeya Cement Company Limited, North Mara Gold Mine Limited, Pangea Minerals Limited, Resolute Tanzania Limited, Shanta Mining Company Limited, Tancan Mining Company Limited, Tanga Cement Company Limited, Tanzania Portland Cement Company Limited, Tanzaniteone Mining Limited, Williamson Diamonds Limited, Mantra Tanzania Limited, Bafex Tanzania Ltd, Tanzania American International, Canaco Tanzania Limited</t>
  </si>
  <si>
    <t>US$/carats</t>
  </si>
  <si>
    <t>Volume from USGS Mineral Yearbook 2012, adjusted to account for the fiscal year. Price from EITI Report, and is based on the reported volume and value of exports.</t>
  </si>
  <si>
    <t>21, 55-56</t>
  </si>
  <si>
    <t>Tanzanite One Mining Limited, Tanzanite One Trading Limited</t>
  </si>
  <si>
    <t>Mantra Tanzania Limited</t>
  </si>
  <si>
    <t>Bafex Tanzania Ltd, Tanzania American International, Canaco Tanzania Limited</t>
  </si>
  <si>
    <t>Etablissement Maurel et Prom, Orphir Tanzania Limited, Pan African Energy Tanzania Limited, Petrobras Tanzania Limited, Songas Limited, Statoil Tanzania AS, Tullow Tanzania B.V, Wentworth Gas Limited, Tanzania Petroleum Development Corporation (TPDC), BG International Limited, Dominion Oil &amp; Gas Limited, Dominion TZ, BG Tanzania Ltd, Ndovu Resources Ltd, National Oil (Tanzania) Ltd, Ras Al Khaimah Gas Tanzania Ltd, Heritage Rukwa, Afren Gabon Ltd, Heritage Oil, Swala Energy, Bulyanhulu Gold Mine Limited, Geita Gold Mining Limited, Mbeya Cement Company Limited, North Mara Gold Mine Limited, Pangea Minerals Limited, Resolute Tanzania Limited, Shanta Mining Company Limited, Tancan Mining Company Limited, Tanga Cement Company Limited, Tanzania Portland Cement Company Limited, Tanzaniteone Mining Limited, Williamson Diamonds Limited, Mantra Tanzania Limited, Bafex Tanzania Ltd, Tanzania American International, Willy Enterprises, Mdn Tanzania Ltd, Geo Can Resources Co Ltd, State Mining Corporation, TOL Gases Ltd, Dhahabu Resources Tanzania Ltd, Minesite Tanzania Ltd, Maweni Limestone Ltd, Midwest Minerals Processor Ltd</t>
  </si>
  <si>
    <t>35-36</t>
  </si>
  <si>
    <t>Etablissement Maurel et Prom, Orphir Tanzania Limited, Pan African Energy Tanzania Limited, Petrobras Tanzania Limited, Songas Limited, Statoil Tanzania AS, Tullow Tanzania B.V, Wentworth Gas Limited, Tanzania Petroleum Development Corporation (TPDC), BG International Limited, Dominion Oil &amp; Gas Limited, Dominion TZ, BG Tanzania Ltd, Ndovu Resources Ltd, National Oil (Tanzania) Ltd, Ras Al Khaimah Gas Tanzania Ltd, Heritage Rukwa, Afren Gabon Ltd, Heritage Oil, Swala Energy</t>
  </si>
  <si>
    <t>Bulyanhulu Gold Mine Limited, Geita Gold Mining Limited, Mbeya Cement Company Limited, North Mara Gold Mine Limited, Pangea Minerals Limited, Resolute Tanzania Limited, Shanta Mining Company Limited, Tancan Mining Company Limited, Tanga Cement Company Limited, Tanzania Portland Cement Company Limited, Tanzaniteone Mining Limited, Williamson Diamonds Limited, Mantra Tanzania Limited, Bafex Tanzania Ltd, Tanzania American International, Willy Enterprises, Mdn Tanzania Ltd, Geo Can Resources Co Ltd, State Mining Corporation, TOL Gases Ltd, Dhahabu Resources Tanzania Ltd, Minesite Tanzania Ltd, Maweni Limestone Ltd, Midwest Minerals Processor Ltd</t>
  </si>
  <si>
    <t>Copper (contained in concentrates and dore)</t>
  </si>
  <si>
    <t>Volume from USGS Mineral Yearbook 2012, adjusted to account for the fiscal year. Price from World Bank (Global Economic Monitor (GEM) Commodities database) - defined as: Copper (LME), grade A, minimum 99.9935% purity, cathodes and wire bar shapes, settlement price - adjusted to account for the fiscal year.</t>
  </si>
  <si>
    <t>Volume from USGS Mineral Yearbook 2012, adjusted to account for the fiscal year. Price from Kimberley Process Annual Summary 2011 and 2012, adjusted to account for the fiscal year.</t>
  </si>
  <si>
    <t>Garnet</t>
  </si>
  <si>
    <t>Volume from USGS Mineral Yearbook 2012, adjusted to account for the fiscal year. Price from the USGS Mineral Yearbook 2011 and 2012, and is the median of the year-end price range for cut rhodolite garnet in the US, adjusted to account for the fiscal year.</t>
  </si>
  <si>
    <t>10, 35-36</t>
  </si>
  <si>
    <t>Volume from USGS Mineral Yearbook 2012, adjusted to account for the fiscal year. Price from the USGS Mineral Yearbook 2011 and 2012, and is the median of the year-end price range for cut tanzanite in the US, adjusted to account for the fiscal year and for the price given in the 2011 EITI Report being 3.21% of this in the fiscal year of 2010-11.</t>
  </si>
  <si>
    <t>http://www.eiti.tl/</t>
  </si>
  <si>
    <t>ConocoPhillips (Emet) Pty Ltd, ConocoPhilips JPDA Pty Ltd, ConocoPhillps (03-13) Pty Ltd, ConocoPhillps (03-12) Pty Ltd, ConocoPhillips (Timor Sea) Pty Ltd, Conoco Phillips (03-19) Pty Ltd, PC (Timor Sea 06-102) Ltd, Santos JPDA (91-12) Pty Ltd, ENI JPDA 03-13 Limited, ENI Timor-Leste S.P.A (PSC 1-5), ENI JPDA 06-105 PTY LTD, Oilex (JPDA 06-103) Ltd, Tokyo Timor Sea Resource Pty Ltd, Inpex Sahul Co. Ltd, Woodside Petroleum (Timor Sea 19) Pty Ltd, Woodside Petroleum (Timor Sea 20) Pty Ltd, Reliance Exploration &amp; Production DMCC</t>
  </si>
  <si>
    <t>Materiality threshold: not given. The report does not distinguish between oil and gas producers. Unilateral declarations are not included in the figures. Company subsidiaries are reported separately based on which license they are operating under. Timor-Leste petroleum sector consists of two different jurisdictions with relevant legal and fiscal regimes: the Joint Petroleum Development Area (JPDA), which is jointly managed by Australia and Timor-Leste, and the Timor-Leste Exclusive Area (TLEA) and onshore prospects. There was only one field in operation in 2008, Bayu Undan. This is operated by ConocoPhilips and is located in the JPDA. The state's share of revenue from this field is transferred to Timor-Leste and Australia in accordance with the Timor Sea Treaty (90% toTimor-Leste and 10% to Australia). The Government of Timor-Leste's entitlement to revenues derived from oil &amp; gas activities through production-sharing agreements accounted for 65% of its revenues from the sector in 2008.</t>
  </si>
  <si>
    <t>Materiality threshold: not given. The report does not distinguish between oil and gas producers. Unilateral declarations are not included in the figures. Company subsidiaries are reported separately based on which license they are operating under. Timor-Leste petroleum sector consists of two different jurisdictions with relevant legal and fiscal regimes: the Joint Petroleum Development Area (JPDA), which is jointly managed by Australia and Timor-Leste, and the Timor-Leste Exclusive Area (TLEA) and onshore prospects. There were two fields in operation in 2009, Bayu Undan and Kitan. There was only one field in operation in 2008, Bayu Undan. These are operated by ConocoPhilips and Eni respectively and are both located in the JPDA. The state's share of revenue from these fields are transferred to Timor-Leste and Australia in accordance with the Timor Sea Treaty (90% toTimor-Leste and 10% to Australia). The Government of Timor-Leste's entitlement to revenues derived from oil &amp; gas activities through production-sharing agreements accounted for 63% of its revenues from the sector in 2009.</t>
  </si>
  <si>
    <t>Host government's production entitlement, Profits/Taxes, Licenses and concessions, Other significant benefits to government</t>
  </si>
  <si>
    <t>ConocoPhillips (03-12) Pty Ltd, ConocoPhillips JPDA Pty Ltd, ConocoPhillips (Timor Sea) Pty Ltd, ConocoPhillips (03-13) Pty Ltd, ConocoPhillips (Emet) Pty Ltd, ConocoPhillips (03-19) Pty Ltd, Eni JPDA 03-103 Limited, Eni JPDA 06-105 Pty Ltd, Eni Timor Leste SpA, Santos, Inpex Sahul, Tokyo Timor Sea Resources, Woodside Petroleum, Minza Oil &amp; Gas, Petronas, Oilex, Reliance Exploration &amp; Production, Talisman, Japan Energy E and P, AusAid</t>
  </si>
  <si>
    <t>Materiality threshold: not given. The report does not comprehensively distinguish between oil and gas producers. Unilateral declarations are not included in the figures. Company subsidiaries are reported separately based on which license they are operating under. Timor-Leste petroleum sector consists of two different jurisdictions with relevant legal and fiscal regimes: the Joint Petroleum Development Area (JPDA), which is jointly managed by Australia and Timor-Leste, and the Timor-Leste Exclusive Area (TLEA) and onshore prospects. The state's share of revenue from fields in the JPDA are transferred to Timor-Leste and Australia in accordance with the Timor Sea Treaty (90% to Timor-Leste and 10% to Australia). The state's entitlement to revenues derived from oil &amp; gas activities through production-sharing agreements accounted for 58% of government revenues from the sector in 2010. ConocoPhilips (as a whole) accounted for 61% of government revenues in 2010. The Timor-Leste Government set up a special Petroleum Fund in 2005 to facilitate the sustainable use of its revenues over the long term. Petroleum Fund assets reached $6.9 billion in 2010.</t>
  </si>
  <si>
    <t>Materiality threshold: not given. The report does not comprehensively distinguish between oil and gas producers. Unilateral declarations are not included in the figures. Company subsidiaries are reported separately based on which license they are operating under. Timor-Leste petroleum sector consists of two different jurisdictions with relevant legal and fiscal regimes: the Joint Petroleum Development Area (JPDA), which is jointly managed by Australia and Timor-Leste, and the Timor-Leste Exclusive Area (TLEA) and onshore prospects. The state's share of revenue from fields in the JPDA are transferred to Timor-Leste and Australia in accordance with the Timor Sea Treaty (90% to Timor-Leste and 10% to Australia). The state's entitlement to revenues derived from oil &amp; gas activities through production-sharing agreements accounted for 61% of government revenues from the sector in 2011. ConocoPhilips (as a whole) accounted for 58% of government revenues in 2011.</t>
  </si>
  <si>
    <t>http://www.itietogo.org/</t>
  </si>
  <si>
    <t>MINING PRODUCTION: SNPT (state-owned), WACEM, MM Mining, Scantogo Mines. MINING EXPLORATION: G&amp;B African Resources, RRCC, Silverhill Enterprises Ltd, Global Merchants, Future Investment, Togo Minerals SA. PETROLEUM EXPLORATION: ENI Togo. QUARRY PRODUCTION ("EXPLOITATION DE ROCHE"): Togo Rail, Togo Carriere, Colas, ENCOTRA, CEMAT Industrie, EBOMAF. WATER SECTOR ("NAPPE SOUTERRAINE"): Voltic, BB/Eau Vitale, Horizon Oxygene Clever SARL, Societe Togolaise des Eaux (state-owned).</t>
  </si>
  <si>
    <t>27-30, 42, 66</t>
  </si>
  <si>
    <t>This report also included the water sector.  Note that some companies included in the report are involved in non-extractive sectors as well and the figures given in the report do not distinguish between extractive and non-extractive payments/receipts (see p.16, 21). The state receives no in-kind revenues (p.17). Voluntary social payments were reported unilaterally by companies and have been included in Total Payments by Companies.</t>
  </si>
  <si>
    <t xml:space="preserve">Mining totals include mineral production companies, mineral exploration companies and quarrying ("exploitation de roche") companies. </t>
  </si>
  <si>
    <t>Volume from USGS Mineral Yearbook 2012. Price from Kimberley Process Annual Summary 2010.</t>
  </si>
  <si>
    <t>Gravel</t>
  </si>
  <si>
    <t>Volume from EITI Report. Price from USGS Mineral Yearbook 2010, and is the price in the US for construction sand and gravel.</t>
  </si>
  <si>
    <t>This commodity is not mentioned in the USGS Mineral Yearbook 2012</t>
  </si>
  <si>
    <t>Phosphate rock (beneficiated)</t>
  </si>
  <si>
    <t>Water</t>
  </si>
  <si>
    <t>PETROLEUM: ENI Togo. NON-PETROLEUM PRODUCTION: WACEM, SNPT (state-owned), POMAR, SCANTOGO Mines, MM Mining, BB/Eau Vitale, TdE (state-owned), Voltic Togo, Horizon Oxygene Clever, Colas, Etoile de Golfe, EBOMAF, Togo Carriere, ENCOTRA, Togo Rail, Les Aigles, SATEM Sarlu, CEMAT, TGC SA. PRECIOUS METALS: WAFEX, Soltrans. EXPLORATION: Granutogo, RRCC, G&amp;B AR.</t>
  </si>
  <si>
    <t>27-29, 42</t>
  </si>
  <si>
    <t>This report also included the water sector.  Some companies included in the report are involved in non-extractive sectors as well; unlike in the 2010 EITI Report, 2011 totals only include extractive revenues, except in the case of Les Aigles (see p.18). The state receives no in-kind revenues (p.19). Most voluntary social payments were reported unilaterally by companies and have been included in Total Payments by Companies for a total of FCFA 66,749,775 (social payments by ENI Togo and SNPT were included in reconciliation and are not included in this total, see p.6). Subnational paid by companies to local governments (via central govt) were reported unilaterally by the central government and have been added to Total Received by Govt (FCFA 66,669,843); the governments unilaterally-reported revenues from companies not covered by the report (FCFA 9,105,360) were also included in Total Received by Govt. Unlike the 2010 report, reconciled figures were not presented in disaggregated form by sector, so total mining/oil/water figures are not given.</t>
  </si>
  <si>
    <t>Cement (hydraulic &amp; clinker)</t>
  </si>
  <si>
    <t>Volume from USGS Mineral Yearbook 2012. Price from Kimberley Process Annual Summary 2011.</t>
  </si>
  <si>
    <t>Volume from EITI Report. Price from USGS Mineral Yearbook 2012, and is the price in the US for construction sand and gravel.</t>
  </si>
  <si>
    <t>SNPT, WACEM, SCANTOGO Mines, MM Mining, POMAR, BB/Eau Vitale, Voltic Togo Sarl, ACI Togo, TdE, WAFEX, SOLTRANS, Granutogo, RRCC, SGM, G&amp;B African Resources, Global Merchants, GTOA Sarl, Les Aigles, Togo Rail, Etoile Du Golfe, COLAS, Togo Carrière, TGC SA, ADEOTI, MIDNIGHT SUN, SHEHU DAN FODIO, SILME-BTP Sarl</t>
  </si>
  <si>
    <t>Divergent production data between companies and state</t>
  </si>
  <si>
    <t>Phosphate</t>
  </si>
  <si>
    <t>Sand and Gravel</t>
  </si>
  <si>
    <t>http://www.tteiti.org.tt</t>
  </si>
  <si>
    <t>Trinidad and Tobago Dollar</t>
  </si>
  <si>
    <t>Amoco Trinidad Gas BV, Anadarko, Bayfield Energy (Galeota) Limited, Bayfield Energy Trinidad Ltd, BG International Ltd, BG Manatee Limited, BG Trinidad 5A Limited, BG Trinidad and Tobago Ltd, BG Trinidad Central Block Ltd, BG Trinidad EC Limited, BHP Billiton (Trinidad 3A) Limited, BHP Billiton Trinidad 2AB, BHP Billiton Trinidad 2C Ltd, BP EOC Trinidad Branch, BP Trinidad and Tobago LLC Trinidad Branch, Centrica (Horne &amp; Wren) Ltd , Centrica North Sea Gas Limited, Centrica North Sea Oil Limited,  Trinidad and Tobago  Centrica Group, Centrica Resources (Amada) Limited, Centrica Resources Ltd, Centrica Trinidad and Tobago Limited, Centrica Upstream Limited, Chaoyang Petroleum 2C Ltd, Chevron Texaco Trinidad &amp; Tobago Resources, Chevron Trinidad and Tobago Resources SRL, Elf Exploration Trinidad BV, ENI Trinidad &amp; Tobago Exploration, ENI Trinidad Limited, EOG Resources Trinidad Blk 4A Unlimited, EOG Resources Trinidad U(A) Block Limited, EOG Resources Trinidad Ltd, EOG Resources U(B) Block Ltd, Lease Operators Ltd, Mora Oil Ventures, The National Gas Company of Trinidad and Tobago, Niko Resources (Block 4B Caribbean) Limited, Niko Resources (Block 5C Caribbean)Limited, Niko Resources (Caribbean) limited, Niko Resources (NCMA2 Caribbean) Limited, Niko Resources (NCMA3 Caribbean) Limited, Niko Resources (Trinidad and Tobago Ltd), NSGP (Ensign) Ltd, Petroleum Company of Trinidad and Tobago Limited (Petrotin), Primera Block 3(B) limited, Primera Block 4(A) Limited, Primera East Brighton Limited, Primera Modified U(B) Limited, Primera Oil &amp; Gas Ltd, Primera Rock Dome Limited, Repsol E&amp;P T&amp;T Limited, Sonde Resources Corp, Ten Degrees North Operations Company Ltd, Total E&amp;P Trinidad Block 3A, Total E&amp;P Trinidad BV, Trintomar, Venture North Sea Gas Ltd, Voyager Energy (Trinidad) Ltd</t>
  </si>
  <si>
    <t>BDO Trinity Ltd/Hart-Nurse Group</t>
  </si>
  <si>
    <t>The report covers the fiscal year of 1 October 2010 to 30 September 2011. Materiality threshold: not given. The report doesn't comprehensively distinguish between oil and gas producers. Unilateral declarations do not appear to be included in the report. The report provides production volumes for some companies, but this is not comprehensive. It also provides production volumes for the country as a whole on a chart, but not actual amounts. The Petroleum Company of Trinidad and Tobago Limited (Petrotin) is a SOC involved in upstream activities, while The National Gas Company of Trinidad and Tobago is a SOC involved in midstream activities, purchasing, compressing, selling, transmitting and distributing natural gas to a crosssection of consumers including petrochemical, steel and power generation plants. The report also covers: downstream activites in the oil &amp; gas industry; export destinations; royalties received from quarries; expenditure of oil &amp; gas revenues, including the Heritage and Stabilisation Fund; extractive industries pricing mechanisms; which companies operate in each block (though there isn't comprehensive disaggregation of revenue to this level).</t>
  </si>
  <si>
    <t>Volume and price from BPSR 2014, adjusted to account for the fiscal year. Price is an average of the UK, US and Canada Indices for natural gas.</t>
  </si>
  <si>
    <t>Volume and price from BPSR 2014, adjusted to account for the fiscal year. Price is an average of the spot prices for Brent, Dubai, Nigerian Forcados and West Texas Intermediate crude oil.</t>
  </si>
  <si>
    <t>http://www.yemeneiti.org/english/</t>
  </si>
  <si>
    <t>Volume from BPSR 2014. Price from EITI Report, and is based on the volume and value of payments made in-kind.</t>
  </si>
  <si>
    <t>Host government's production entitlement, State-owned company production entitlement, Bonuses, Other significant benefits to government</t>
  </si>
  <si>
    <t>89,700,742 bbl of oil</t>
  </si>
  <si>
    <t>Dove Energy Yemen Limited, DNO Yemen, Calvalley Petroleum (Cyprus) Ltd, Occidental Of Yemen (Block S-1) Inc., Canadian Nexen Petroleum Yemen, Canadian Nexen East Al Hajr Ltd, Total E&amp;P Yemen, OMV (Yemen Block S2) Exploration GmbH, Jannah Hunt Oil Company, Safer E&amp;P Operation Company, Yemen Company For Investment In Oil And Minerals, KNOC Yemen Ltd</t>
  </si>
  <si>
    <t xml:space="preserve">Materiality threshold: Not given. Unilateral declarations are not included. The report doesn't indicate how the value of payments in-kind are calculated, though does include a reconciliation of the volumes of crude oil received by the Government which are then exported or transferred to government refineries. Safer E&amp;P Operation Company and Yemen Company For Investment In Oil And Minerals are both SOCs. </t>
  </si>
  <si>
    <t>89,425,150 bbl of oil</t>
  </si>
  <si>
    <t>72,952,303 bbl of oil</t>
  </si>
  <si>
    <t>73,251,000 bbl of oil</t>
  </si>
  <si>
    <t>24, 35</t>
  </si>
  <si>
    <t>Materiality threshold: companies that are in production should be reconciled. Unilateral declarations are not included, but some revenue streams which companies weren't requested to provide information for are reported on. Both Government and the companies report on the volume of oil received by Government as payment in-kind, but only Government reports the value of this. The report doesn't indicate how the value of payments in-kind is calculated, though does include a reconciliation of the volumes of crude oil received by the Government which are then exported or transferred to government refineries. Safer E&amp;P Operation Company and Yemen Company For Investment In Oil And Minerals (YCOM) are both SOCs. Although the report disagggregates financial flows by company, it does not do this for payments in-kind. The report also provides: information on the mining sector; a list of companies operating in each oil block.</t>
  </si>
  <si>
    <t>59,845,000 bbl of oil</t>
  </si>
  <si>
    <t>25, 37</t>
  </si>
  <si>
    <t>Materiality threshold: companies that are in production should be reconciled. Unilateral declarations are not included, but some revenue streams which companies weren't requested to provide information for are reported on. Both Government and the companies report on the volume of oil received by Government as payment in-kind, but only Government reports the value of this. The report doesn't indicate how the value of payments in-kind is calculated, though does include a reconciliation of the volumes of crude oil received by the Government which are then exported or transferred to government refineries. Safer E&amp;P Operation Company and Yemen Company For Investment In Oil And Minerals (YCOM) are both SOCs. The report also provides: information on the mining sector; a list of companies operating in each oil block.</t>
  </si>
  <si>
    <t>61,690,000 bbl of oil</t>
  </si>
  <si>
    <t>Dove Energy Yemen Limited, DNO Yemen, Calvalley Petroleum (Cyprus) Ltd, Occidental Of Yemen (Block S-1) Inc., Canadian Nexen Petroleum Yemen, Canadian Nexen East Al Hajr Ltd, Total E&amp;P Yemen, OMV (Yemen Block S2) Exploration GmbH, Jannah Hunt Oil Company, Safer E&amp;P Operation Company, Yemen Company For Investment In Oil And Minerals, KNOC Yemen Ltd, Yemen Liquefied Natural Gas (YLNG)/Yemen Gas Company</t>
  </si>
  <si>
    <t>26, 28, 39</t>
  </si>
  <si>
    <t>Materiality threshold: companies that are in production should be reconciled. Unilateral declarations are not included, but some revenue streams which companies weren't requested to provide information for are reported on. Both Government and the companies report on the volume of oil received by Government as payment in-kind, but only Government reports the value of this. The report doesn't indicate how the value of payments in-kind are calculated, though does include a reconciliation of the volumes of crude oil received by the Government which are then exported or transferred to government refineries. Although the Government is entitled to a share of the gas produced, this is settled in cash. YLNG is a joint venture between Yemen Gas Company, a SOC,  and international companies, including Total, Hunt, SK Innovation, Koreas Gas Corporation, Hyundai Corporation and The General Authority for Social Security and Pensions. Exports of Liquefied Natural Gas by YLNG in 2010, its first year of production, were 186.8 billion cubic feet. Safer E&amp;P Operation Company and Yemen Company For Investment In Oil And Minerals (YCOM) are also SOCs. The report also provides: information on the mining sector; a list of companies operating in each oil block.</t>
  </si>
  <si>
    <t>Volume from BPSR 2014</t>
  </si>
  <si>
    <t>Yemen Liquefied Natural Gas (YLNG)/Yemen Gas Company</t>
  </si>
  <si>
    <t>26, 39</t>
  </si>
  <si>
    <t>46,961,000 bbl of oil</t>
  </si>
  <si>
    <t>YLNG, Safer (Block 18), Petro Masila (Block 14), YICOM (Block 4), KNOC (Block 4), Total (Block 10), DNO Yemen (Block 32), DNO Yemen (Block 43), DNO Yemen (Block 47), Dove Energy Yemen Limited (Block 53), Jannah Hunt (Block 5), Canadian Nexen Petroleum Yemen (Block 14), Canadian Nexen Petroleum East Al Hajr Ltd (block 51), Occidental of Yemen (Block S-1 Inc), Calvalley Petroleum (Cyprus) Ltd (Block 9), OMV (Yemen Block S2) Exploration GMBH, Sincopec (Block 1), Sincopec (Block 69), Sincopec (Block 71), OMV (Block 2), OMV (Block 29), Oil Search (Block 3), Oil Search (Block 71), Gallo Oil (Block 13), Gallo Oil (Block R2), GSPC (Block 19), GSPC (Block 28), GSPC (Block 57), CCC (Block 33), CCC (Block 45), Reliance (Block 34), Reliance (Block 37), Kuwait Energy (Block 49), Midas (Block 68), Total (Block 70), DNO (Block 72), Occidental (Block 75), Medco (Block 82), Medco (Block 83), Total (Block 72)</t>
  </si>
  <si>
    <t>39, 40, 47</t>
  </si>
  <si>
    <t>Materiality threshold: companies that are in production should be reconciled. Unilateral declarations are included. Some revenue streams which companies weren't requested to provide information for are reported on, but this is in an appendix which is not available on either the International or National website. Both Government and the companies report on the volume of oil received by Government as payment in-kind, but only Government reports the value of this. The report doesn't indicate how the value of payments in-kind are calculated, though does include a reconciliation of the volumes of crude oil received by the Government which are then exported or transferred to government refineries. Although the Government is entitled to a share of the gas produced, this is settled in cash. YLNG is a joint venture between Yemen Gas Company, a SOC, and international companies, including Total, Hunt, SK Innovation, Koreas Gas Corporation, Hyundai Corporation and The General Authority for Social Security and Pensions. Exports of Liquefied Natural Gas by YLNG in 2011 were 309.4 billion cubic feet. Safer E&amp;P Operation Company and Yemen Company For Investment In Oil And Minerals (YCOM) are also SOCs. Total Government income from the oil, gas and mining sectors in 2011 was US$5,683,499,532. Income from the mining sector accounts for, at most, 0.4% of this. Though it is not included in the reconciliation, the report provides information on the mining sector. Although the main report provides a disagggregation financial flows by company and project, it does not do this for payments in-kind. It appears this is provided in the appendix. The appendix also includes production by project.</t>
  </si>
  <si>
    <t>YLNG</t>
  </si>
  <si>
    <t>Safer (Block 18), Petro Masila (Block 14), YICOM (Block 4), KNOC (Block 4), Total (Block 10), DNO Yemen (Block 32), DNO Yemen (Block 43), DNO Yemen (Block 47), Dove Energy Yemen Limited (Block 53), Jannah Hunt (Block 5), Canadian Nexen Petroleum Yemen (Block 14), Canadian Nexen Petroleum East Al Hajr Ltd (block 51), Occidental of Yemen (Block S-1 Inc), Calvalley Petroleum (Cyprus) Ltd (Block 9), OMV (Yemen Block S2) Exploration GMBH, Sincopec (Block 1), Sincopec (Block 69), Sincopec (Block 71), OMV (Block 2), OMV (Block 29), Oil Search (Block 3), Oil Search (Block 71), Gallo Oil (Block 13), Gallo Oil (Block R2), GSPC (Block 19), GSPC (Block 28), GSPC (Block 57), CCC (Block 33), CCC (Block 45), Reliance (Block 34), Reliance (Block 37), Kuwait Energy (Block 49), Midas (Block 68), Total (Block 70), DNO (Block 72), Occidental (Block 75), Medco (Block 82), Medco (Block 83), Total (Block 72)</t>
  </si>
  <si>
    <t>39, 47</t>
  </si>
  <si>
    <t>http://www.zambiaeiti.org</t>
  </si>
  <si>
    <t>Zambian Kwacha</t>
  </si>
  <si>
    <t>Albidon Zambia Limited, Chambeshi Metals Plc, Chibuluma Mines Plc, CNMC - Luanshya Copper Mines, Kagem Mining Limited, Kansanshi Mining Plc, Konkola Copper Mines Plc, Lafarge Cement Zambia Plc, Lumwana Mining Limited, Maamba Colleries Limited, Mopani Copper Mines Plc, Ndola Lime Limited, NFC Africa Mining Plc, Sino Leach Metals Limited, Grizzly Mining Limited, Zambia Consolidated Copper Mines – Investment Holdings Plc</t>
  </si>
  <si>
    <t>PriceWaterhouseCoopers</t>
  </si>
  <si>
    <t xml:space="preserve">Materiality threshold: all companies with large scale mining licences operational in 2008 that paid over K200 million in mineral royalties in 2008 should be reconciled. Zambia Consolidated Copper Mines – Investment Holdings Plc (ZCCM-IH) is also included even though it does not meet this criteria as the state owns 87.6% of it. ZCCM-IH receives dividends from companies it holds equity in, and 'price participation fees' (when commodity prices go above an agreed price) from companies which bought the mines ZCCM-IH previously operated. The companies ZCCM-IH holds equity in include Chambishi Metals Plc, Equinox Minerals (owner of Lumwana Mining Limited), Ndola Lime Limited, Chibuluma Mines Plc, Kansanshi Mining Plc, Konkola Copper Mines Plc, Luanshya Copper Mines Plc, Mopani Copper Mines Plc and NFC Africa Mining Plc. Disaggregation by commodity is only indirect through disaggregation by company, and therefore limited. Resolved discrepancies are not included in the final figures, but there is insufficent information to add these retrospectively. Unilateral declarations are included in these pre-adjustment figures, as are the two revenue streams paid to ZCCM-IH (these are not included in the post-adjustment figures as they are not necessarily then remitted in full to the Government with Government only receiving dividends from ZCCM-IH and any remittance of profits being equitable to all shareholders). Production volumes for the major mines are given in the 2010 report. </t>
  </si>
  <si>
    <t>Maamba Colleries Limited</t>
  </si>
  <si>
    <t>Appendix 4</t>
  </si>
  <si>
    <t>Volume from USGS Mineral Yearbook 2012. Price from USGS Mineral Yearbook 2012, and is the average U.S. spot price for minimum 99.8% cobalt cathode reported by Platts Metals Week, adjusted to account for the prices given in the 2010-2011 EITI Reports being an average 79.24% of this in 2010-2011.</t>
  </si>
  <si>
    <t>Chambeshi Metals Plc, Mopani Copper Mines Plc</t>
  </si>
  <si>
    <t>o/w Cobalt content in mine output</t>
  </si>
  <si>
    <t>Chambeshi Metals Plc, Chibuluma Mines Plc, CNMC - Luanshya Copper Mines, Kansanshi Mining Plc, Konkola Copper Mines Plc, Lumwana Mining Limited, Mopani Copper Mines Plc, NFC Africa Mining Plc, Sino Leach Metals Limited</t>
  </si>
  <si>
    <t>Gemstones</t>
  </si>
  <si>
    <t>Kagem Mining Limited, Grizzly Mining Limited</t>
  </si>
  <si>
    <t>o/w Amethyst</t>
  </si>
  <si>
    <t>Volume from USGS Mineral Yearbook 2012. Price from the USGS Mineral Yearbook 2008, and is the median of the price range for cut amethyst in the US.</t>
  </si>
  <si>
    <t>o/w Beryl</t>
  </si>
  <si>
    <t>o/w Emerald</t>
  </si>
  <si>
    <t>Volume from USGS Mineral Yearbook 2012. Price from the USGS Mineral Yearbook 2008, and is the median of the price range for cut emerald in the US.</t>
  </si>
  <si>
    <t>o/w Tourmaline</t>
  </si>
  <si>
    <t>Volume from USGS Mineral Yearbook 2012. Price from the USGS Mineral Yearbook 2008, and is the average of the medians of the year-end price ranges for cut green and pink tourmaline in the US.</t>
  </si>
  <si>
    <t>Kansanshi Mining Plc</t>
  </si>
  <si>
    <t>Lead (metal, secondary)</t>
  </si>
  <si>
    <t>Volume from USGS Mineral Yearbook 2012. Price from World Bank (Global Economic Monitor (GEM) Commodities database), and is defined as: Lead (LME), refined, 99.97% purity, settlement price.</t>
  </si>
  <si>
    <t>Lafarge Cement Zambia Plc, Ndola Lime Limited</t>
  </si>
  <si>
    <t>Nickel (nickel content of concentrates)</t>
  </si>
  <si>
    <t>Albidon Zambia Limited</t>
  </si>
  <si>
    <t>Aggregates Ltd, Albidon Zambia Limited, BHP Billiton World Exploration Inc, Chambishi Metals Plc, Chambishi Copper Smelter Ltd, Chibuluma Mines Plc, CNMC - Luanshya Copper Mines, Denison Mines Zambia Ltd, First Quantum Mining And Operations Ltd, Gemfields Holdings Zambia Ltd, Grizzly Mining Limited, Kagem Mining Limited, Kansanshi Mining Plc, Kariba Minerals Ltd, Konkola Copper Mines Plc, Lafarge Cement Zambia Plc, Lumwana Mining Limited, Maamba Colleries Limited, Mopani Copper Mines Plc, Ndola Lime Limited, NFC Africa Mining Plc, Scirocco Enterprises Ltd, San He Zambia Ltd, Sino-Metals Leach Limited, Teal Zambia Ltd, Universal Mining &amp; Chemical Industries Ltd, Zambian Goldcommon Resources Holdings Ltd, Zambia Consolidated Copper Mines – Investment Holdings Plc</t>
  </si>
  <si>
    <t>5, 39</t>
  </si>
  <si>
    <t>Materiality threshold: Companies that made a payment of at least 500,000,000ZMK in 2009 should be reconciled. These companies accounted for 99.8% of total mining revenues collected by the Zambia Revenue Authority. Four of these companies are excluded however as they are contractors and do not mining licenses. Zambia Consolidated Copper Mines – Investment Holdings Plc (ZCCM-IH) is included as the state owns 87.6% of it. The companies ZCCM-IH holds equity in include Chambishi Metals Plc, Equinox Minerals (owner of Lumwana Mining Limited), Ndola Lime Limited, Chibuluma Mines Plc, Kansanshi Mining Plc, Konkola Copper Mines Plc, Luanshya Copper Mines Plc, Mopani Copper Mines Plc and NFC Africa Mining Plc. Unilateral declarations are included in the figures, including unreconciled social payments and transfers of $34,593,277 that companies were asked to voluntarily report on. The report doesn't provide comprehensive information on which commodities are produced by individual mining companies. The report provides production volumes for some companies, but this is not comprehensive. Production volumes for the major mines are given in the 2010 report. The report also includes company payments to ZCCM-IH, though these are not fully remitted to Government.</t>
  </si>
  <si>
    <t>Amethyst</t>
  </si>
  <si>
    <t>Volume from USGS Mineral Yearbook 2012. Price from the USGS Mineral Yearbook 2009, and is the median of the price range for cut amethyst in the US.</t>
  </si>
  <si>
    <t>Production volumes declared by extractive companies p.37 and 38</t>
  </si>
  <si>
    <t>Beryl</t>
  </si>
  <si>
    <t>Emerald</t>
  </si>
  <si>
    <t>Volume from USGS Mineral Yearbook 2012. Price from the USGS Mineral Yearbook 2009, and is the median of the price range for cut emerald in the US.</t>
  </si>
  <si>
    <t>Manganese Ore</t>
  </si>
  <si>
    <t>Albidon Zambia Limited, BHP Billiton World Exploration Inc, Chambishi Metals Plc, Chambishi Copper Smelter Ltd, Chibuluma Mines Plc, CNMC - Luanshya Copper Mines, First Quantum Mining And Operations Ltd, Kagem Mining Limited, Kansanshi Mining Plc, Konkola Copper Mines Plc, Lafarge Cement Zambia Plc, Lumwana Mining Limited, Maamba Colleries Limited, Mopani Copper Mines Plc, Ndola Lime Limited, NFC Africa Mining Plc, Scirocco Enterprises Ltd, San He Zambia Ltd, Sino-Metals Leach Limited, Zambezi Portland Cement Limited, Zambian Nonferrous Metals Exploration &amp; Con Co Ltd, Zambia Consolidated Copper Mines – Investment Holdings Plc</t>
  </si>
  <si>
    <t xml:space="preserve">Hart Nurse Ltd &amp; Baker Tilly Meralis </t>
  </si>
  <si>
    <t>Materiality threshold: Companies that made a payment of at least 2,500,000,000ZMK in 2010 should be reconciled. Zambia Consolidated Copper Mines – Investment Holdings Plc (ZCCM-IH) is also included as the state owns 87.6% of it. These companies accounted for 99.6% of total mining revenues collected by the Zambia Revenue Authority. The report doesn't provide comprehensive information on which commodities are produced by individual mining companies. Unilateral declarations do not appear to be included in the figures. The report also includes: production volumes of some companies; the value of exports of some commodities; information on ZCCM-IH's shareholdings; company payments to ZCCM-IH (these are not fully remitted to Government); information on the Environmental Protection Fund; a listing of licenses for each company (though there isn't disaggregation of revenue to this level).</t>
  </si>
  <si>
    <t>Volume from USGS Mineral Yearbook 2012. Price from the USGS Mineral Yearbook 2010, and is the median of the price range for cut amethyst in the US.</t>
  </si>
  <si>
    <t>Price from 2011 EITI Report</t>
  </si>
  <si>
    <t>Volume from USGS Mineral Yearbook 2012. Price from the USGS Mineral Yearbook 2010, and is the median of the price range for cut emerald in the US.</t>
  </si>
  <si>
    <t>Manganese ore</t>
  </si>
  <si>
    <t>Albidon Zambia Limited, BHP Billiton World Exploration Inc, Chambishi Metals Plc, Chambishi Copper Smelter Ltd, Chibuluma Mines Plc, CNMC - Luanshya Copper Mines, First Quantum Mining And Operations Ltd, Grizzly Mining Limited, Kagem Mining Limited, Kalumbila Minerals Limited, Kansanshi Mining Plc, Konkola Copper Mines Plc, Lafarge Cement Zambia Plc, Lubambe Copper Mines Limited, Lumwana Mining Limited, Maamba Colleries Limited, Mopani Copper Mines Plc, Ndola Lime Limited, NFC Africa Mining Plc, Sable Zinc Kabwe Limited, Scirocco Enterprises Ltd, San He Zambia Ltd, Sino-Metals Leach Limited, Universal Mining and Chemical INdustries Ltd, Zambian Nonferrous Metals Exploration &amp; Con Co Ltd, Zambia Consolidated Copper Mines – Investment Holdings Plc</t>
  </si>
  <si>
    <t>Materiality threshold: Companies that made a payment of at least 2,000,000,000ZMK in 2011 should be reconciled. These companies accounted for 99.8% of total mining revenues collected by the Zambia Revenue Authority. Zambia Consolidated Copper Mines – Investment Holdings Plc (ZCCM-IH) is also included as the state owns 87.6% of it. ZCCM-IH is now also classified as a government entity, unlike previous reports. Unilateral declarations are included in the figures, mainly company payments including unreconciled social payments and transfers of $22,018,519 that companies were asked to voluntarily report on ($15,165,226 of this were payments in-kind). The report doesn't provide comprehensive information on which commodities are produced by individual mining companies. The report also includes: the production volume of some companies; the value of exports of some commodities; information on ZCCM-IH's shareholdings; company shareholdings; a listing of licenses for each company (though there isn't disaggregation of revenue to this level); a list of oil and gas companies. 5 companies contributed approximately 88% of total Government mining revenues in 2011, while Kansanchi Mining Plc on its own accounts for almost 56%.</t>
  </si>
  <si>
    <t>Volume from USGS Mineral Yearbook 2012. Price from the USGS Mineral Yearbook 2011, and is the median of the price range for cut amethyst in the US.</t>
  </si>
  <si>
    <t>Price from EITI Report</t>
  </si>
  <si>
    <t>18, 27</t>
  </si>
  <si>
    <t>Volume from USGS Mineral Yearbook 2012. Price from the USGS Mineral Yearbook 2011, and is the median of the price range for cut emerald in the US.</t>
  </si>
  <si>
    <t>Sand &amp; gravel (construction)</t>
  </si>
  <si>
    <t>Kansanshi Mining Plc, Konkola Copper Mines Plc, First Quantum Mining And Operations Ltd-Bm M S, Mopani Copper Mines Plc, Lumwana Mining Company Limited, Chibuluma Mines Plc, Lafarge Cement Zambia Plc, Nfc Africa Mining Plc, Kagem Mining Limited ,Cnmc Luanshya Copper Mines Plc, Zambezi Portland Cement Limited (*), Lions Group Quarries Limited (*), Scirocco Enterprises Limited, Lubambe Copper Mine Limited, Chambishi Metals Plc, Sino-Metals Leach Zambia Ltd, Ndola Lime Company Limited, Maamba Collieries Limited, San He (Zambia) Limited, Sable Zinc Kabwe Limited, Albidon Zambia Limited, Kalumbila Minerals Limited, Grizzly Mining Limited, Dolomite Aggregates Limited(*), Universal Mining &amp; Chemical Industries Limited, Chambishi Copper Smelter Limited, Denison Mines Zambia Limited (*), Bhp Billiton World Exploration Inc, Zambian Nonferrous Metals Exploration &amp; Con Co Ltd</t>
  </si>
  <si>
    <t>Company payments differ from website. Missing production values.</t>
  </si>
  <si>
    <t>Troy oz</t>
  </si>
  <si>
    <t>Pyrite</t>
  </si>
  <si>
    <t>Phylite</t>
  </si>
  <si>
    <t>Shale/Phylite</t>
  </si>
  <si>
    <t>Emerald/Premium</t>
  </si>
  <si>
    <t>Emerald/Rough stones</t>
  </si>
  <si>
    <t>Beryl-l</t>
  </si>
  <si>
    <t>Beryl-ll</t>
  </si>
  <si>
    <t>Specimen</t>
  </si>
  <si>
    <t>Fines</t>
  </si>
  <si>
    <t>Hydrated Lime</t>
  </si>
  <si>
    <t>Quicklime</t>
  </si>
  <si>
    <t>Kansanshi Mining PLC., Konkola Copper Mines PLC., First Quantum Mining And Operations LTD., Mopani Copper Mines PLC., Lumwana Mining Company LTD., Chibuluma Mines PLC., Lafarge Cement Zambia PLC., NFC Africa Mining PLC., Kagem Mining LTD., CNMC Luanshya Copper Mines PLC., Zambezi Portland Cement LTD., Lions Group Quarries LTD., Scirocco Enterprises LTD., Lubambe Copper Mine LTD., Chambishi Metals PLC., Sino-Metals Leach Zambia LTD., Ndola Lime Company LTD., Maamba Collieries LTD., San He (Zambia) LTD., Sable Zinc Kabwe LTD., Albidon Zambia LTD., Kalumbila Minerals LTD., Grizzly Mining LTD., Dolomite Aggregates LTD., Universal Mining &amp; Chemical Industries LTD., Chambishi Copper Smelter LTD., Denison Mines Zambia LTD., BHP Billiton World Exploration Inc., Zambian Nonferrous Metals Exploration &amp; Con Co LTD., ZCCM-IH</t>
  </si>
  <si>
    <t>Exchange rate differs from EITI website. Company payments differ from website</t>
  </si>
  <si>
    <t>Phylilite</t>
  </si>
  <si>
    <t>Emerald/Rough Stones</t>
  </si>
  <si>
    <t>Beryl-I</t>
  </si>
  <si>
    <t>Beryl-II</t>
  </si>
  <si>
    <t>Aggregate</t>
  </si>
  <si>
    <t>Year</t>
  </si>
  <si>
    <t>Unit</t>
  </si>
  <si>
    <t>Jubilee Field</t>
  </si>
  <si>
    <t>bbls</t>
  </si>
  <si>
    <t>Tullow Ghana Limited (Operator and holder of 34.7% interest)</t>
  </si>
  <si>
    <t>Kosmos Energy (23.5%)</t>
  </si>
  <si>
    <t>Anadarko Petroleum (23.5%)</t>
  </si>
  <si>
    <t>Ghana National Petroleum Company (13.8%)</t>
  </si>
  <si>
    <t>Sabre Oil &amp; Gas (2.8%)</t>
  </si>
  <si>
    <t>E.O. Group (1.7%)</t>
  </si>
  <si>
    <t>Tullow Ghana Limited (Operator and holder of 35.5% interest)</t>
  </si>
  <si>
    <t>19, 21</t>
  </si>
  <si>
    <t>Kosmos Energy (24%)</t>
  </si>
  <si>
    <t>Anadarko Petroleum (24%)</t>
  </si>
  <si>
    <t>Ghana National Petroleum Company (13.6%)</t>
  </si>
  <si>
    <t>Sabre Oil &amp; Gas (2.7%)</t>
  </si>
  <si>
    <t>Rokan</t>
  </si>
  <si>
    <t>Oil/Gas</t>
  </si>
  <si>
    <t>PT Chevron Pacific Indonesia</t>
  </si>
  <si>
    <t>6.4/1</t>
  </si>
  <si>
    <t>East Kalimantan</t>
  </si>
  <si>
    <t>Chevron Indonesia Company</t>
  </si>
  <si>
    <t>6.4/2</t>
  </si>
  <si>
    <t>Makassar Strait</t>
  </si>
  <si>
    <t>Chevron Makassar Ltd.</t>
  </si>
  <si>
    <t>6.4/3</t>
  </si>
  <si>
    <t>Siak</t>
  </si>
  <si>
    <t>Chevron Siak Inc.</t>
  </si>
  <si>
    <t>6.4/4</t>
  </si>
  <si>
    <t>MFK</t>
  </si>
  <si>
    <t>Chevron Mountain Front Kuantan Inc.</t>
  </si>
  <si>
    <t>6.4/5</t>
  </si>
  <si>
    <t>Mahakam</t>
  </si>
  <si>
    <t>Total E&amp;P Indonesie</t>
  </si>
  <si>
    <t>6.4/6</t>
  </si>
  <si>
    <t>Inpex Corporation</t>
  </si>
  <si>
    <t>6.4/7</t>
  </si>
  <si>
    <t>South Natuna Sea B</t>
  </si>
  <si>
    <t>ConocoPhillips Indonesia Inc. Ltd.</t>
  </si>
  <si>
    <t>6.4/8</t>
  </si>
  <si>
    <t>Corridor</t>
  </si>
  <si>
    <t>ConocoPhillips (Grissik) Ltd.</t>
  </si>
  <si>
    <t>6.4/9</t>
  </si>
  <si>
    <t>South Jambi B</t>
  </si>
  <si>
    <t>ConocoPhillips (South Jambi) Ltd.</t>
  </si>
  <si>
    <t>6.4/10</t>
  </si>
  <si>
    <t>Indonesia (Nation-wide)</t>
  </si>
  <si>
    <t>PT Pertamina EP</t>
  </si>
  <si>
    <t>6.4/11</t>
  </si>
  <si>
    <t>Sanga-Sanga</t>
  </si>
  <si>
    <t>Virginia Indonesia Co.</t>
  </si>
  <si>
    <t>6.4/12</t>
  </si>
  <si>
    <t>North Sumatra Offshore</t>
  </si>
  <si>
    <t>Mobil Expl. Indo (NSO) Inc.</t>
  </si>
  <si>
    <t>6.4/13</t>
  </si>
  <si>
    <t>B Block</t>
  </si>
  <si>
    <t>ExxonMobil Oil Indonesia Inc.</t>
  </si>
  <si>
    <t>6.4/14</t>
  </si>
  <si>
    <t>Cepu</t>
  </si>
  <si>
    <t>Mobil Cepu Ltd.</t>
  </si>
  <si>
    <t>6.4/15</t>
  </si>
  <si>
    <t>Pase</t>
  </si>
  <si>
    <t>Mobil Pase Inc.</t>
  </si>
  <si>
    <t>6.4/16</t>
  </si>
  <si>
    <t>South East Sumatera</t>
  </si>
  <si>
    <t>CNOOC SES Ltd.</t>
  </si>
  <si>
    <t>6.4/17</t>
  </si>
  <si>
    <t>Coastal Plains Pekanbaru</t>
  </si>
  <si>
    <t>PT Bumi Siak Pusako</t>
  </si>
  <si>
    <t>6.4/18</t>
  </si>
  <si>
    <t>West Madura</t>
  </si>
  <si>
    <t>PT Pertamina Hulu Energi West Madura</t>
  </si>
  <si>
    <t>6.4/19</t>
  </si>
  <si>
    <t>Kodeco Energy Co., Ltd.</t>
  </si>
  <si>
    <t>6.4/44</t>
  </si>
  <si>
    <t>Tuban</t>
  </si>
  <si>
    <t>PT Pertamina Hulu Energi East Java</t>
  </si>
  <si>
    <t>6.4/20</t>
  </si>
  <si>
    <t>PetroChina East Java</t>
  </si>
  <si>
    <t>6.4/26</t>
  </si>
  <si>
    <t>Ogan Komering</t>
  </si>
  <si>
    <t>PT Pertamina Hulu Energi Ogan Komering</t>
  </si>
  <si>
    <t>6.4/21</t>
  </si>
  <si>
    <t>Talisman (Ogan Komering) Ltd.</t>
  </si>
  <si>
    <t>6.4/46</t>
  </si>
  <si>
    <t>Kepala Burung</t>
  </si>
  <si>
    <t>PT Pertamina Hulu Energi Salawati</t>
  </si>
  <si>
    <t>6.4/22</t>
  </si>
  <si>
    <t>PetroChina International Salawati Ltd</t>
  </si>
  <si>
    <t>6.4/27</t>
  </si>
  <si>
    <t>Senoro - Toili, Sulawesi</t>
  </si>
  <si>
    <t>PT Pertamina Hulu Energi Tomori Sulawesi</t>
  </si>
  <si>
    <t>6.4/23</t>
  </si>
  <si>
    <t>PT Medco E&amp;P Tomori Sulawesi</t>
  </si>
  <si>
    <t>6.4/37</t>
  </si>
  <si>
    <t>Raja</t>
  </si>
  <si>
    <t>PT Pertamina Hulu Energi Raja Tempirai</t>
  </si>
  <si>
    <t>6.4/24</t>
  </si>
  <si>
    <t>Golden Spike Ltd.</t>
  </si>
  <si>
    <t>6.4/51</t>
  </si>
  <si>
    <t>Jabung</t>
  </si>
  <si>
    <t>PetroChina International Jabung Ltd.</t>
  </si>
  <si>
    <t>6.4/25</t>
  </si>
  <si>
    <t>Salawati Basin</t>
  </si>
  <si>
    <t>PetroChina International (Bermuda) Ltd.</t>
  </si>
  <si>
    <t>6.4/28</t>
  </si>
  <si>
    <t>Bangko</t>
  </si>
  <si>
    <t>PetroChina International Bangko Ltd.</t>
  </si>
  <si>
    <t>6.4/29</t>
  </si>
  <si>
    <t>Offshore Northwest Java</t>
  </si>
  <si>
    <t>Pertamina Hulu Energi ONWJ Ltd.</t>
  </si>
  <si>
    <t>6.4/30</t>
  </si>
  <si>
    <t>Berau</t>
  </si>
  <si>
    <t>BP Berau Ltd.</t>
  </si>
  <si>
    <t>6.4/31</t>
  </si>
  <si>
    <t>Muturi</t>
  </si>
  <si>
    <t>BP Muturi Ltd.</t>
  </si>
  <si>
    <t>6.4/32</t>
  </si>
  <si>
    <t>Wiriagar</t>
  </si>
  <si>
    <t>BP Wiriagar Ltd.</t>
  </si>
  <si>
    <t>6.4/33</t>
  </si>
  <si>
    <t>Barisan Rimau</t>
  </si>
  <si>
    <t>PT Medco E&amp;P Rimau</t>
  </si>
  <si>
    <t>6.4/34</t>
  </si>
  <si>
    <t>South &amp; Central Sumatra</t>
  </si>
  <si>
    <t>PT Medco E&amp;P Indonesia</t>
  </si>
  <si>
    <t>6.4/35</t>
  </si>
  <si>
    <t>Tarakan</t>
  </si>
  <si>
    <t>PT Medco E&amp;P Tarakan</t>
  </si>
  <si>
    <t>6.4/36</t>
  </si>
  <si>
    <t>Lematang</t>
  </si>
  <si>
    <t>PT Medco E&amp;P Lematang</t>
  </si>
  <si>
    <t>6.4/38</t>
  </si>
  <si>
    <t>Natuna Sea - A</t>
  </si>
  <si>
    <t>Premier Oil Natuna SEA BV</t>
  </si>
  <si>
    <t>6.4/39</t>
  </si>
  <si>
    <t>Malacca Strait</t>
  </si>
  <si>
    <t>Kondur Petroleum S.A</t>
  </si>
  <si>
    <t>6.4/40</t>
  </si>
  <si>
    <t>Kangean</t>
  </si>
  <si>
    <t>Kangean Energy Indonesia Ltd.</t>
  </si>
  <si>
    <t>6.4/41</t>
  </si>
  <si>
    <t>Korinci</t>
  </si>
  <si>
    <t>Kalila (Korinci) Ltd.</t>
  </si>
  <si>
    <t>6.4/42</t>
  </si>
  <si>
    <t>Brantas</t>
  </si>
  <si>
    <t>Lapindo Brantas Inc.</t>
  </si>
  <si>
    <t>6.4/43</t>
  </si>
  <si>
    <t>Kakap</t>
  </si>
  <si>
    <t>Star Energy Kakap Ltd.</t>
  </si>
  <si>
    <t>6.4/45</t>
  </si>
  <si>
    <t>Pangkah, East Java</t>
  </si>
  <si>
    <t>Hess (Indonesia-Pangkah) Ltd.</t>
  </si>
  <si>
    <t>6.4/47</t>
  </si>
  <si>
    <t>Sampang, East Java Sea</t>
  </si>
  <si>
    <t>Santos (Sampang) Pty. Ltd</t>
  </si>
  <si>
    <t>6.4/48</t>
  </si>
  <si>
    <t>Madura Offshore</t>
  </si>
  <si>
    <t>Santos (Madura Offshore) Pty. Ltd.</t>
  </si>
  <si>
    <t>6.4/49</t>
  </si>
  <si>
    <t>Sengkang, South Sulawesi</t>
  </si>
  <si>
    <t>Energy Equity Epic (Sengkang) Pty. Ltd.</t>
  </si>
  <si>
    <t>6.4/50</t>
  </si>
  <si>
    <t>Seram Non Bula</t>
  </si>
  <si>
    <t>CITIC Seram Energy Ltd.</t>
  </si>
  <si>
    <t>6.4/52</t>
  </si>
  <si>
    <t>Bula - Seram</t>
  </si>
  <si>
    <t>Kalrez Petroleum (Seram) Ltd.</t>
  </si>
  <si>
    <t>6.4/53</t>
  </si>
  <si>
    <t>Tungkal</t>
  </si>
  <si>
    <t>Pearl Oil (Tungkal) Ltd.</t>
  </si>
  <si>
    <t>6.4/54</t>
  </si>
  <si>
    <t>Selat Panjang</t>
  </si>
  <si>
    <t>Petroselat Ltd.</t>
  </si>
  <si>
    <t>6.4/55</t>
  </si>
  <si>
    <t>Wailawi</t>
  </si>
  <si>
    <t>Perusda Benuo Taka</t>
  </si>
  <si>
    <t>6.4/56</t>
  </si>
  <si>
    <t>Gebang</t>
  </si>
  <si>
    <t>Costa International Group Ltd.</t>
  </si>
  <si>
    <t>6.4/57</t>
  </si>
  <si>
    <t>barrels</t>
  </si>
  <si>
    <t>Appendix C11-12 (of oil &amp; gas report), Appendix D (of oil &amp; gas report)</t>
  </si>
  <si>
    <t>MSCF</t>
  </si>
  <si>
    <t>Inpex Offshore North Mahakam Ltd</t>
  </si>
  <si>
    <t>PT PHE Makassar Strait</t>
  </si>
  <si>
    <t>PT PHE MFK</t>
  </si>
  <si>
    <t>Appendix D (of oil &amp; gas report)</t>
  </si>
  <si>
    <t>Indonesia Petroleum Ltd</t>
  </si>
  <si>
    <t>Chevron South Natuna B Inc</t>
  </si>
  <si>
    <t>Inpex Natuna Ltd</t>
  </si>
  <si>
    <t>Talisman Energi</t>
  </si>
  <si>
    <t>Pertamina EP</t>
  </si>
  <si>
    <t>PT PHE South Jambi</t>
  </si>
  <si>
    <t>Petrochina</t>
  </si>
  <si>
    <t>Pertamina</t>
  </si>
  <si>
    <t>Koperasi Energi Indonesia</t>
  </si>
  <si>
    <t>Appendix C11-12 (of oil &amp; gas report)</t>
  </si>
  <si>
    <t>BP East Kalimantan</t>
  </si>
  <si>
    <t>Lasmo Sanga-sanga Ltd</t>
  </si>
  <si>
    <t>Opicoil Houston Inc</t>
  </si>
  <si>
    <t>Virginia International Company</t>
  </si>
  <si>
    <t>Universe Gas&amp;Oil Company</t>
  </si>
  <si>
    <t>Ampolex (Cepu) PTE. Ltd</t>
  </si>
  <si>
    <t>PT Pertamina EP Cepu</t>
  </si>
  <si>
    <t>PT Sarana Patra Hulu Cepu</t>
  </si>
  <si>
    <t>PT Blora Patragas Hulu</t>
  </si>
  <si>
    <t>PT Asri Dharma Sejahtera</t>
  </si>
  <si>
    <t>PT Petrogas Jatim Utama Cendana</t>
  </si>
  <si>
    <t>Inpex Sumatra Ltd/PHE Sumatra</t>
  </si>
  <si>
    <t>KNOC Sumatra Ltd</t>
  </si>
  <si>
    <t>Salamander Energy (Sumatra) BV</t>
  </si>
  <si>
    <t>Orchard Energy Sumatra BV</t>
  </si>
  <si>
    <t>Fortuna Resources (Sunda) Ltd</t>
  </si>
  <si>
    <t>Talisman UK (South East Sumatra) Ltd</t>
  </si>
  <si>
    <t>Talisman Resources (Bahamas) Ltd</t>
  </si>
  <si>
    <t>BP Muturi Holdings BV</t>
  </si>
  <si>
    <t>CNOOC Muturia Ltd</t>
  </si>
  <si>
    <t>Indonesia Natural Gas Resources Muturi Inc</t>
  </si>
  <si>
    <t>JOB PT Bumi Siak Pusako-Pertamina Hulu</t>
  </si>
  <si>
    <t>PT PHE CPP</t>
  </si>
  <si>
    <t>CNOOC ONWJ Ltd</t>
  </si>
  <si>
    <t>Itochu Oil Exploration Co. Ltd</t>
  </si>
  <si>
    <t>PT PHE Jawa Ltd</t>
  </si>
  <si>
    <t>Salamander Energy (Java) BV</t>
  </si>
  <si>
    <t>Talisman Energy</t>
  </si>
  <si>
    <t>Pertamina Hulu Energi West Madura Offshore</t>
  </si>
  <si>
    <t>JOB Pertamina - PetroChina East Java Ltd</t>
  </si>
  <si>
    <t>PT PHE Tuban East Java</t>
  </si>
  <si>
    <t>PT PHE Tuban</t>
  </si>
  <si>
    <t>Salawati Island JOB</t>
  </si>
  <si>
    <t>JOB Pertamina - PetroChina Salawati Ltd</t>
  </si>
  <si>
    <t xml:space="preserve">PT PHE Salawati </t>
  </si>
  <si>
    <t>Lundin Indonesia BV/RHP Salawati Island BV</t>
  </si>
  <si>
    <t>Pearl Oil (Island) Ltd/Petrogas (Island) Ltd</t>
  </si>
  <si>
    <t>PT Pertamina - Medco E&amp;P Tomori Sulawesi</t>
  </si>
  <si>
    <t>PT PHE Tomori</t>
  </si>
  <si>
    <t>Pendopo-Raja JOB</t>
  </si>
  <si>
    <t>JOB Pertamina-Golden Spike Energy Indonesia Ltd</t>
  </si>
  <si>
    <t>PT PHE Raja Tempirai</t>
  </si>
  <si>
    <t>PP Oil&amp;Gas (Jabung-Indonesia) Ltd</t>
  </si>
  <si>
    <t>Petronas Carigali Jabung Ltd</t>
  </si>
  <si>
    <t>PT PHE Jabung</t>
  </si>
  <si>
    <t>Petrochina International Bermuda Ltd</t>
  </si>
  <si>
    <t>Pearl Oil (Basin) Ltd/Petrogas (Basin) Ltd</t>
  </si>
  <si>
    <t>Lundin International BV/RHP Salawati Basin BV</t>
  </si>
  <si>
    <t>Patrogas (Basin) td</t>
  </si>
  <si>
    <t>RHP Salawati Basin</t>
  </si>
  <si>
    <t>PT PHE Salawati Basin</t>
  </si>
  <si>
    <t>Ml Berau BV</t>
  </si>
  <si>
    <t>Nippon Oil Exploration (Berau) Ltd</t>
  </si>
  <si>
    <t>KG Berau Petroleum Ltd</t>
  </si>
  <si>
    <t>Talisman Wiriagar Overseas Ltd</t>
  </si>
  <si>
    <t>KG Wiriagar Petroleum Ltd</t>
  </si>
  <si>
    <t>Rimau</t>
  </si>
  <si>
    <t>Perusda Pertambangan &amp; Energi</t>
  </si>
  <si>
    <t>Lematang E&amp;P Limited</t>
  </si>
  <si>
    <t>Lundin Lematang BV</t>
  </si>
  <si>
    <t>Block A</t>
  </si>
  <si>
    <t>PT Medco E&amp;P Malaka</t>
  </si>
  <si>
    <t>Premier Oil Sumatra (North) BV</t>
  </si>
  <si>
    <t>Japex Block A Ltd</t>
  </si>
  <si>
    <t>Natuna Sea Block A</t>
  </si>
  <si>
    <t>Kupfec Indonesia (Natuna) BV</t>
  </si>
  <si>
    <t>Natuna 2 BV</t>
  </si>
  <si>
    <t>Natuna 1 BV</t>
  </si>
  <si>
    <t>EMP Malacca Strait S.A</t>
  </si>
  <si>
    <t>OOGC Malacca</t>
  </si>
  <si>
    <t>Malacca Petroleum Limited</t>
  </si>
  <si>
    <t>PT Imbang Tata Alam</t>
  </si>
  <si>
    <t>EMP Exploration (Kangean)</t>
  </si>
  <si>
    <t>PT Prakarsa Brantas</t>
  </si>
  <si>
    <t>Minarak Labuan Co</t>
  </si>
  <si>
    <t>Bentu</t>
  </si>
  <si>
    <t>EMP Bentu Limited</t>
  </si>
  <si>
    <t>Tonga</t>
  </si>
  <si>
    <t>PT EMP Tonga</t>
  </si>
  <si>
    <t>PT Kencana Surya Perkasa</t>
  </si>
  <si>
    <t>PT Petross Exploration Production</t>
  </si>
  <si>
    <t>Star Energy (Kakap) Ltd.</t>
  </si>
  <si>
    <t>Premier Oil Kakap BV</t>
  </si>
  <si>
    <t>SPC Kakap Limited</t>
  </si>
  <si>
    <t>Novus UK (Kakap) Ltd</t>
  </si>
  <si>
    <t>PT PHE Kakap</t>
  </si>
  <si>
    <t>Novus Petroleum Canada (Kakap) Ltd</t>
  </si>
  <si>
    <t>Natuna UK (Kakap 2) Ltd</t>
  </si>
  <si>
    <t>Novus Nominees Pty Ltd</t>
  </si>
  <si>
    <t>JOB Pertamina - Talisman (Ogan Konering) Ltd</t>
  </si>
  <si>
    <t>PT PHE Ogan Komering</t>
  </si>
  <si>
    <t>BUT Talisman (Ogan Komering) Ltd.</t>
  </si>
  <si>
    <t>Pangkah</t>
  </si>
  <si>
    <t>Kupfec Indonesia Pangkah BV</t>
  </si>
  <si>
    <t>Hess (Indonesia-Pangkah) LLC</t>
  </si>
  <si>
    <t>Sampang</t>
  </si>
  <si>
    <t>Singapore Petroleum Company Ltd</t>
  </si>
  <si>
    <t>Cue Sampang Pty Ltd</t>
  </si>
  <si>
    <t>Madura</t>
  </si>
  <si>
    <t>Petronas Carigali Madura lrd</t>
  </si>
  <si>
    <t>Petrogas Pantai Madura</t>
  </si>
  <si>
    <t>Sengkang</t>
  </si>
  <si>
    <t>Kufpec (Indonesia) Limited</t>
  </si>
  <si>
    <t>Gulf petroleum Investment Co</t>
  </si>
  <si>
    <t>Lion International Investment Ltd</t>
  </si>
  <si>
    <t>Bula</t>
  </si>
  <si>
    <t>Mont D'Or Oil Tungkai Ltd</t>
  </si>
  <si>
    <t>Fuel-X</t>
  </si>
  <si>
    <t>Petrochina International Selat Panjang ltd</t>
  </si>
  <si>
    <t>International Mineral Resources Inc.</t>
  </si>
  <si>
    <t>BUMD Benuo Taka</t>
  </si>
  <si>
    <t>JOB Pertamina-Costa International Group Ltd</t>
  </si>
  <si>
    <t>PT PHE Gebang</t>
  </si>
  <si>
    <t>EMP Genbang Ltd</t>
  </si>
  <si>
    <t>Langgak</t>
  </si>
  <si>
    <t>SPR Langgak</t>
  </si>
  <si>
    <t>Kingswood Capital Ltd</t>
  </si>
  <si>
    <t>Merangin II</t>
  </si>
  <si>
    <t>PT Sele Raya Merangin Dua</t>
  </si>
  <si>
    <t>Merangin BV</t>
  </si>
  <si>
    <t>Sinochem Merangin Ltd</t>
  </si>
  <si>
    <t>Bawean</t>
  </si>
  <si>
    <t>Camar Resources Canada Inc</t>
  </si>
  <si>
    <t>Camar Bawean Petroleum Ltd</t>
  </si>
  <si>
    <t>Triangle Pase</t>
  </si>
  <si>
    <t>Jambi Merang Block, Ons. Jambi</t>
  </si>
  <si>
    <t>JOB Pertamina - Talisman Jambi Merang</t>
  </si>
  <si>
    <t>PT PHE Jambi Merang</t>
  </si>
  <si>
    <t>Talisman (Jambi Merang) Limited</t>
  </si>
  <si>
    <t>Pacific Oil &amp; Gas (Jami Merang) Limited</t>
  </si>
  <si>
    <t>West Madura, Off. East Java</t>
  </si>
  <si>
    <t>JOA Pertamina Kodeco</t>
  </si>
  <si>
    <t>PT PHE Madura</t>
  </si>
  <si>
    <t>CNOOC Madura Ltd</t>
  </si>
  <si>
    <t>Tengah Block, Off. East Kal.</t>
  </si>
  <si>
    <t>JOA Total E&amp;P Indonesi</t>
  </si>
  <si>
    <t>PT PHE Tengah Area</t>
  </si>
  <si>
    <t>Inpex Tengah</t>
  </si>
  <si>
    <t>Pertamina JOA Tengah</t>
  </si>
  <si>
    <t>Indonesia Participant</t>
  </si>
  <si>
    <t>West Kampar Block</t>
  </si>
  <si>
    <t>PT Sumatera Persada Energy</t>
  </si>
  <si>
    <t>Appendix E11-12 (of oil &amp; gas report), Appendix F (of oil &amp; gas report)</t>
  </si>
  <si>
    <t>Tiptop Makassar Ltd</t>
  </si>
  <si>
    <t>Appendix F (of oil &amp; gas report)</t>
  </si>
  <si>
    <t>Belida International Ltd</t>
  </si>
  <si>
    <t>Appendix E11-12 (of oil &amp; gas report)</t>
  </si>
  <si>
    <t>Pt PHE OSES</t>
  </si>
  <si>
    <t>EMP ONWJ Ltd</t>
  </si>
  <si>
    <t>Risco Energy ONWJ BV</t>
  </si>
  <si>
    <t>Lundin Indonesia BV / RHP Salawati Island BV</t>
  </si>
  <si>
    <t>Petrogas (Island) Ltd</t>
  </si>
  <si>
    <t>BUT Tomori E&amp;P Limited</t>
  </si>
  <si>
    <t>SK Corporation</t>
  </si>
  <si>
    <t>EMP Korinci Baru Ltd</t>
  </si>
  <si>
    <t>Pande-Temane gas project</t>
  </si>
  <si>
    <t>Condensed Gas</t>
  </si>
  <si>
    <t>bbj</t>
  </si>
  <si>
    <t>Sasol Petroleum Temane Ltd (Operator and holder of 70% interest)</t>
  </si>
  <si>
    <t>3,770,300 and 2,528,854 gigajoules of natural gas</t>
  </si>
  <si>
    <t>4,811,781 and 2,528,854 gigajoules of natural gas</t>
  </si>
  <si>
    <t>Natural Gas</t>
  </si>
  <si>
    <t>gigajoules</t>
  </si>
  <si>
    <t>Companhia Moçambicana de Hidrocarbonetos SARL (25%)</t>
  </si>
  <si>
    <t>International Finance Corporation (5%)</t>
  </si>
  <si>
    <t>9,344,396 and 3,503,780 gigajoules of gas</t>
  </si>
  <si>
    <t>9,344,407 and 3,503,780 gigajoules of gas</t>
  </si>
  <si>
    <t>14, 22, 36</t>
  </si>
  <si>
    <t>Sasol Petroleum Mocambique Ltd</t>
  </si>
  <si>
    <t>Republic of Mozambique Pipeline Company (Operator of the pipeline)</t>
  </si>
  <si>
    <t>East Asia &amp; Pacific</t>
  </si>
  <si>
    <t>JPDA 03-12</t>
  </si>
  <si>
    <t>Crude Oil, Natural Gas, Liquefied Petroleum Gas</t>
  </si>
  <si>
    <t>ConocoPhillips (03-12) Pty Ltd (Operator)</t>
  </si>
  <si>
    <t>Santos</t>
  </si>
  <si>
    <t>Not available</t>
  </si>
  <si>
    <t>Inpex Sahul</t>
  </si>
  <si>
    <t>Eni</t>
  </si>
  <si>
    <t>Tokyo Timor Sea Resources</t>
  </si>
  <si>
    <t>JPDA 03-13</t>
  </si>
  <si>
    <t>ConocoPhillips (03-13) Pty Ltd (Operator)</t>
  </si>
  <si>
    <t>JPDA 03-19</t>
  </si>
  <si>
    <t>Woodside Petroleum (Operator)</t>
  </si>
  <si>
    <t>Shell Development</t>
  </si>
  <si>
    <t>Osaka Gas Sunrise</t>
  </si>
  <si>
    <t>Conoco Philips</t>
  </si>
  <si>
    <t>JPDA 03-20</t>
  </si>
  <si>
    <t>JPDA 06-101 A</t>
  </si>
  <si>
    <t>Minza Oil &amp; Gas</t>
  </si>
  <si>
    <t>JPDA 06-102</t>
  </si>
  <si>
    <t>Petronas (Operator)</t>
  </si>
  <si>
    <t>Korean Gas</t>
  </si>
  <si>
    <t>Samsung Oil &amp; Gas</t>
  </si>
  <si>
    <t>LG</t>
  </si>
  <si>
    <t>JPDA 06-103</t>
  </si>
  <si>
    <t>Oilex (Operator)</t>
  </si>
  <si>
    <t>Japan Energy Corporation</t>
  </si>
  <si>
    <t>Vidoecon</t>
  </si>
  <si>
    <t>Bharat PetroResources</t>
  </si>
  <si>
    <t>GSPC</t>
  </si>
  <si>
    <t>Pan Pacific Petroleum</t>
  </si>
  <si>
    <t>JPDA 06-105</t>
  </si>
  <si>
    <t>Crude Oil</t>
  </si>
  <si>
    <t>Eni JPDA 06-105 Pty Ltd (Operator)</t>
  </si>
  <si>
    <t>Inpex</t>
  </si>
  <si>
    <t>Talisman</t>
  </si>
  <si>
    <t>S-06-01 (Block A)</t>
  </si>
  <si>
    <t>Eni (Operator)</t>
  </si>
  <si>
    <t>GALP Exploracao Producao</t>
  </si>
  <si>
    <t>Petrolifera</t>
  </si>
  <si>
    <t>Korea Gas Corporation</t>
  </si>
  <si>
    <t>S-06-02 (Block B)</t>
  </si>
  <si>
    <t>S-06-03 (Block C)</t>
  </si>
  <si>
    <t>S-06-04 (Block E)</t>
  </si>
  <si>
    <t>S-06-05 (Block H)</t>
  </si>
  <si>
    <t>S-06-06 (Block K)</t>
  </si>
  <si>
    <t>Reliance Exploration &amp; Production (Operator)</t>
  </si>
  <si>
    <t>Oil India Limited</t>
  </si>
  <si>
    <t>India Oil Corporation Limited</t>
  </si>
  <si>
    <t>Balata East Shallow Horizons (Petrotrin F)</t>
  </si>
  <si>
    <t>Petrotin</t>
  </si>
  <si>
    <t>Central Block</t>
  </si>
  <si>
    <t>BG Trinidad Central Block Limited (Operator)</t>
  </si>
  <si>
    <t>45, 48</t>
  </si>
  <si>
    <t>cubic feet</t>
  </si>
  <si>
    <t>Columbus Basin</t>
  </si>
  <si>
    <t>BP Trinidad and Tobago LLC</t>
  </si>
  <si>
    <t>Columbus Basin Shallow (Teak, Samaan, Poui)</t>
  </si>
  <si>
    <t>Repsol E&amp;P T&amp;T Limited (Operator and holder of 70% interest)</t>
  </si>
  <si>
    <t>46, 48</t>
  </si>
  <si>
    <t>National Gas Company of Trinidad and Tobago Limited (15%)</t>
  </si>
  <si>
    <t>Petrotin (15%)</t>
  </si>
  <si>
    <t>Cory Moruga Block</t>
  </si>
  <si>
    <t>Parex Resources (Trinidad) Ltd (Operator and holder of 50% interest)</t>
  </si>
  <si>
    <t>Primera Oil and Gas Limited (33.8%)</t>
  </si>
  <si>
    <t>Primera Energy Resources Limited (16.2%)</t>
  </si>
  <si>
    <t>Cruse Horizons (Petrotrin A)</t>
  </si>
  <si>
    <t>East Brighton Area, Offshore</t>
  </si>
  <si>
    <t>SOOGL Antilles (Trinidad) Limited (Operator)</t>
  </si>
  <si>
    <t>Primera East Brighton Limited</t>
  </si>
  <si>
    <t>Fyzabad Block</t>
  </si>
  <si>
    <t>Primera Oil and Gas Limited</t>
  </si>
  <si>
    <t>Galeota Area</t>
  </si>
  <si>
    <t>Bayfield Energy (Galeota) Limited (Operator)</t>
  </si>
  <si>
    <t>Guapo Bay/Brighton Marine Block Trinidad, Offshore (Block B)</t>
  </si>
  <si>
    <t>Venture Production (Trinidad) Limited</t>
  </si>
  <si>
    <t>Guapo-Oropouche-Brighton Horizons (Petrotrin D)</t>
  </si>
  <si>
    <t>Herrera Horizons (Petrotrin C)</t>
  </si>
  <si>
    <t>Icacos</t>
  </si>
  <si>
    <t>Mayaro-Guayaguayare Block</t>
  </si>
  <si>
    <t>Sonde Resources Corp. (Operator)</t>
  </si>
  <si>
    <t>Mayaro-
Guayaguayare Horizons (Petrotrin B)</t>
  </si>
  <si>
    <t>Mora Field (Block 44/57)</t>
  </si>
  <si>
    <t>Mora Oil Ventures Limited</t>
  </si>
  <si>
    <t>Moruga North</t>
  </si>
  <si>
    <t>Advance Oil Company (Trindad) Limited</t>
  </si>
  <si>
    <t>Moruga West</t>
  </si>
  <si>
    <t>Neal &amp; Massy Energy Resources Limited (Operator and holder of 60% interest)</t>
  </si>
  <si>
    <t>Petrotin (40%)</t>
  </si>
  <si>
    <t>Palo Seco Block</t>
  </si>
  <si>
    <t>Parrylands</t>
  </si>
  <si>
    <t>New Horizon Exploration Trinidad and Tobago Limited (Operator and 75% of interest)</t>
  </si>
  <si>
    <t>Pt. Ligoure Block</t>
  </si>
  <si>
    <t>Petrotin (Operator)</t>
  </si>
  <si>
    <t>Trinidad Exploration and Development Limited</t>
  </si>
  <si>
    <t>Southeast Coast Consortium (SECC) Blocks 1, 2, 3</t>
  </si>
  <si>
    <t>EOG Resources Trinidad Limited (Operator and holder of 80% interest)</t>
  </si>
  <si>
    <t>Petrotin (16%)</t>
  </si>
  <si>
    <t>National Gas Company of Trinidad and Tobago Limited (4%)</t>
  </si>
  <si>
    <t>Southeast Coast Consortium (SECC) Pelican Field</t>
  </si>
  <si>
    <t>Trinidad and Tobago Marine Petroleum Company Limited (20%)</t>
  </si>
  <si>
    <t>Southwest Peninsula Block- Erin Bay</t>
  </si>
  <si>
    <t>Trinidad Exploration and Development Company Unlimited (Operator)</t>
  </si>
  <si>
    <t>Southwest Peninsula Block- Islote Bay</t>
  </si>
  <si>
    <t>Southwest Peninsula Block- Onshore</t>
  </si>
  <si>
    <t>Southwest Peninsula Onshore Trinidad</t>
  </si>
  <si>
    <t>Tabaquite (Petrotrin E)</t>
  </si>
  <si>
    <t>Block 1(a)</t>
  </si>
  <si>
    <t>Centrica (Horne &amp; Wren) Limited (Operator and holder of 80% interest)</t>
  </si>
  <si>
    <t>Petrotin (20%)</t>
  </si>
  <si>
    <t>Block 1(b)</t>
  </si>
  <si>
    <t>Venture North Sea Gas Limited (Operator and holder of 80% interest)</t>
  </si>
  <si>
    <t>Block 2(ab)</t>
  </si>
  <si>
    <t>Niko Resources (Trinidad and Tobago) Ltd (Operator)</t>
  </si>
  <si>
    <t>Voyager Energy (Trinidad) Ltd</t>
  </si>
  <si>
    <t>Centrica Resources (Armada) Limited</t>
  </si>
  <si>
    <t>Block 2(c)</t>
  </si>
  <si>
    <t>BHP Billiton (Trinidad-2C) Ltd (Operator and holder of 45% interest)</t>
  </si>
  <si>
    <t>Total E&amp;P (Trinidad) B.V. (30%)</t>
  </si>
  <si>
    <t>Chaoyang Petroleum (Trinidad) Ltd (25%)</t>
  </si>
  <si>
    <t>Block 3(a)</t>
  </si>
  <si>
    <t>BHP Billiton (Trinidad-3A) Ltd (Operator and holder of 25.5% interest)</t>
  </si>
  <si>
    <t>Kerr-McGee TT Offshore Petroleum Ltd (25.5%)</t>
  </si>
  <si>
    <t>Chaoyang Petroleum (Trinidad) Block 3A Limited (25.5%)</t>
  </si>
  <si>
    <t>Total E&amp;P (Trinidad) B.V. (8.5%)</t>
  </si>
  <si>
    <t>Block 3(b)</t>
  </si>
  <si>
    <t>Kerr-McGee TT Offshore Petroleum Ltd (35.5%)</t>
  </si>
  <si>
    <t>Primera Block 3(b) Limited (25%)</t>
  </si>
  <si>
    <t>BHP Billiton (25.5%)</t>
  </si>
  <si>
    <t>Diamond Energy T&amp;T Ltd (15%)</t>
  </si>
  <si>
    <t>Block 4(a)</t>
  </si>
  <si>
    <t>EOG Resources Trinidad Block 4(a) Unlimited</t>
  </si>
  <si>
    <t>Block 4(b)</t>
  </si>
  <si>
    <t>Niko Resources (Block 4b Caribbean) Limited</t>
  </si>
  <si>
    <t>Block 5(a), Offshore</t>
  </si>
  <si>
    <t>BG Trinidad 5(a) Limited (Operator)</t>
  </si>
  <si>
    <t>Texaco Trinidad Inc.</t>
  </si>
  <si>
    <t>Block 5(b), Offshore</t>
  </si>
  <si>
    <t>BP Trinidad and Tobago LLC (Operator)</t>
  </si>
  <si>
    <t>Repsol Exploracion Tobago S.A.</t>
  </si>
  <si>
    <t>Block 5(c), Offshore</t>
  </si>
  <si>
    <t>BG International Limited (Operator and holder of 30% interest)</t>
  </si>
  <si>
    <t>Canadian Superior Energy Inc. (70%)</t>
  </si>
  <si>
    <t>Block 6 (East Coast, Trinidad)</t>
  </si>
  <si>
    <t>BG Trinidad Inc (Operator)</t>
  </si>
  <si>
    <t>Block 22</t>
  </si>
  <si>
    <t>Centrica Resources Limited (Operator and holder of 90% interest)</t>
  </si>
  <si>
    <t>Petrotin (10%)</t>
  </si>
  <si>
    <t>Block E</t>
  </si>
  <si>
    <t>BG Trinidad and Tobago Limited (Operator)</t>
  </si>
  <si>
    <t>Block Modified U(a)</t>
  </si>
  <si>
    <t>EOG Resources Trinidad –U(a) Block Limited</t>
  </si>
  <si>
    <t>Block Modified U(b)</t>
  </si>
  <si>
    <t>EOG Resources Trinidad U(b) Block Unlimited</t>
  </si>
  <si>
    <t>Central Range Block- Deep Horizons</t>
  </si>
  <si>
    <t>Parex Resources (Trinidad) Ltd. (Operator)</t>
  </si>
  <si>
    <t>Petro Andina (Trinidad) Ltd (50%)</t>
  </si>
  <si>
    <t>Voyager Energy (Trinidad) Ltd (30%)</t>
  </si>
  <si>
    <t>Central Range Block-Shallow Horizons</t>
  </si>
  <si>
    <t>Petrotin (35%)</t>
  </si>
  <si>
    <t>Voyager Energy (Trinidad) Ltd (15%)</t>
  </si>
  <si>
    <t>Guayaguayare Block- Deep Horizons</t>
  </si>
  <si>
    <t>Guayaguayare Block-Shallow Horizons</t>
  </si>
  <si>
    <t>North Coast Marine Area 1 (NCMA 1)</t>
  </si>
  <si>
    <t>BG Trinidad and Tobago Limited (Operator and holder of 57% interest)</t>
  </si>
  <si>
    <t>NSGP (Ensign) Limited (21.5%)</t>
  </si>
  <si>
    <t>ENI Trinidad and Tobago Limited (21.5%)</t>
  </si>
  <si>
    <t>North Coast Marine Area 2 (NCMA 2)</t>
  </si>
  <si>
    <t>Niko Resources (NCMA2 Caribbean) Limited (Operator)</t>
  </si>
  <si>
    <t>RWE Dea Trinidad and Tobago GmbH</t>
  </si>
  <si>
    <t>North Coast Marine Area 3 (NCMA 3)</t>
  </si>
  <si>
    <t>Niko Resources (NCMA3 Caribbean) Limited (Operator)</t>
  </si>
  <si>
    <t>North Coast Marine Area 4 (NCMA 4)</t>
  </si>
  <si>
    <t>Centrica North Sea Oil Ltd (Operator)</t>
  </si>
  <si>
    <t>Venture North Sea Oil Limited</t>
  </si>
  <si>
    <t>LNG</t>
  </si>
  <si>
    <t>Yemen Gas Company</t>
  </si>
  <si>
    <t>17 (of the 2011 report), 28</t>
  </si>
  <si>
    <t>Hunt</t>
  </si>
  <si>
    <t>SK Innovation</t>
  </si>
  <si>
    <t>Hyundai Corporation</t>
  </si>
  <si>
    <t>The General Authority for Social Security and Pensions</t>
  </si>
  <si>
    <t>17, 40</t>
  </si>
  <si>
    <t>Conversions</t>
  </si>
  <si>
    <t>1 British thermal unit (Btu) = 0.0357 cubic metres (m³)</t>
  </si>
  <si>
    <t>1 carat = 0.0002 kilograms (kg)</t>
  </si>
  <si>
    <t>1 cubic foot (cbf) = 0.0283168 cubic metres (m³)</t>
  </si>
  <si>
    <t>1 cubic metre (m³) = metric tons (t) from http://www.aqua-calc.com/calculate/volume-to-weight</t>
  </si>
  <si>
    <t>1 flask = 0.035 metric tons (t)</t>
  </si>
  <si>
    <t>1 gigajoule (GJ) = 26.173 cubic metres (m³)</t>
  </si>
  <si>
    <t>1 kilogram (kg) = 32.150743126506 troy ounces (toz)</t>
  </si>
  <si>
    <t>1 metric ton (t) = 7.33 barrels (bbl) of crude oil</t>
  </si>
  <si>
    <t>1 metric ton (t) = 32,150.7466 troy ounces (toz)</t>
  </si>
  <si>
    <t>1 ounce (oz) = 0.911458333 troy ounces (toz)</t>
  </si>
  <si>
    <t>1 pound (lb) = 0.453592 kilograms (kg)</t>
  </si>
  <si>
    <t>1 pound (lb) = 0.000453592 metric tons (t)</t>
  </si>
  <si>
    <t>1 short ton = 0.90718474 metric tons (t)</t>
  </si>
  <si>
    <t>1 short ton = 29,166.6667 troy ounces (toz)</t>
  </si>
  <si>
    <t>Extractive revenues (% GDP)</t>
  </si>
  <si>
    <t>..</t>
  </si>
  <si>
    <t>Guinea</t>
  </si>
  <si>
    <t>Timor-Leste</t>
  </si>
  <si>
    <t>Trinidad and Tobago</t>
  </si>
  <si>
    <t>Yemen, Rep.</t>
  </si>
  <si>
    <t>Data from database: World Development Indicators</t>
  </si>
  <si>
    <t>Last Updated: 03/12/2015</t>
  </si>
  <si>
    <t>Time</t>
  </si>
  <si>
    <t>Lookup</t>
  </si>
  <si>
    <t>GDP (current US$) [NY.GDP.MKTP.CD]</t>
  </si>
  <si>
    <t>Population, total [SP.POP.TOTL]</t>
  </si>
  <si>
    <t>Revenue, excluding grants (% of GDP) [GC.REV.XGRT.GD.ZS]</t>
  </si>
  <si>
    <t>Net official development assistance and official aid received (current US$) [DT.ODA.ALLD.CD]</t>
  </si>
  <si>
    <t>Net official development assistance received (current US$) [DT.ODA.ODAT.CD]</t>
  </si>
  <si>
    <t>Public spending on education, total (% of GDP) [SE.XPD.TOTL.GD.ZS]</t>
  </si>
  <si>
    <t>Health expenditure, public (% of GDP) [SH.XPD.PUBL.ZS]</t>
  </si>
  <si>
    <t>Poverty headcount ratio at national poverty lines (% of population) [SI.POV.NAHC]</t>
  </si>
  <si>
    <t>Life expectancy at birth, total (years) [SP.DYN.LE00.IN]</t>
  </si>
  <si>
    <t>Mortality rate, infant (per 1,000 live births) [SP.DYN.IMRT.IN]</t>
  </si>
  <si>
    <t>MEASURE</t>
  </si>
  <si>
    <t>US Dollars at current prices and current exchange rates in millions</t>
  </si>
  <si>
    <t>Percentage of total trade in goods and services</t>
  </si>
  <si>
    <t>FLOW</t>
  </si>
  <si>
    <t>Exports</t>
  </si>
  <si>
    <t>Imports</t>
  </si>
  <si>
    <t>Balance</t>
  </si>
  <si>
    <t>SERIES</t>
  </si>
  <si>
    <t xml:space="preserve">Total trade in services </t>
  </si>
  <si>
    <t>Total trade in goods and services</t>
  </si>
  <si>
    <t>Total trade in goods</t>
  </si>
  <si>
    <t>YEAR</t>
  </si>
  <si>
    <t>ECONOMY</t>
  </si>
  <si>
    <t>1999</t>
  </si>
  <si>
    <t>_</t>
  </si>
  <si>
    <t>2000</t>
  </si>
  <si>
    <t>2001</t>
  </si>
  <si>
    <t>2002</t>
  </si>
  <si>
    <t>2003</t>
  </si>
  <si>
    <t>2004</t>
  </si>
  <si>
    <t>2005</t>
  </si>
  <si>
    <t>2006</t>
  </si>
  <si>
    <t>2007</t>
  </si>
  <si>
    <t>2008</t>
  </si>
  <si>
    <t>2009</t>
  </si>
  <si>
    <t>2010</t>
  </si>
  <si>
    <t>2011</t>
  </si>
  <si>
    <t>2012</t>
  </si>
  <si>
    <t>2013</t>
  </si>
  <si>
    <t xml:space="preserve"> Cameroon</t>
  </si>
  <si>
    <t xml:space="preserve"> Chad</t>
  </si>
  <si>
    <t xml:space="preserve"> Equatorial Guinea</t>
  </si>
  <si>
    <t xml:space="preserve"> Gabon</t>
  </si>
  <si>
    <t xml:space="preserve"> Guinea</t>
  </si>
  <si>
    <t>Kyrgyzstan</t>
  </si>
  <si>
    <t>country</t>
  </si>
  <si>
    <t>Brazil</t>
  </si>
  <si>
    <t>Russia</t>
  </si>
  <si>
    <t>Mexico</t>
  </si>
  <si>
    <t>Chile</t>
  </si>
  <si>
    <t>Colombia</t>
  </si>
  <si>
    <t>Ecuador</t>
  </si>
  <si>
    <t>United States</t>
  </si>
  <si>
    <t>Venezuela</t>
  </si>
  <si>
    <t>South Africa</t>
  </si>
  <si>
    <t>Bolivia</t>
  </si>
  <si>
    <t>Papua New Guinea</t>
  </si>
  <si>
    <t>Malaysia</t>
  </si>
  <si>
    <t>Botswana</t>
  </si>
  <si>
    <t>China</t>
  </si>
  <si>
    <t>Sudan</t>
  </si>
  <si>
    <t>Iran</t>
  </si>
  <si>
    <t>Angola</t>
  </si>
  <si>
    <t>Saudi Arabia</t>
  </si>
  <si>
    <t>Kuwait</t>
  </si>
  <si>
    <t>Algeria</t>
  </si>
  <si>
    <t>DRC</t>
  </si>
  <si>
    <t>Turkmenistan</t>
  </si>
  <si>
    <t>average</t>
  </si>
  <si>
    <t>Control of Corruption: Estimate [CC.EST]</t>
  </si>
  <si>
    <t>Government Effectiveness: Estimate [GE.EST]</t>
  </si>
  <si>
    <t>Political Stability and Absence of Violence/Terrorism: Estimate [PV.EST]</t>
  </si>
  <si>
    <t>Regulatory Quality: Estimate [RQ.EST]</t>
  </si>
  <si>
    <t>Rule of Law: Estimate [RL.EST]</t>
  </si>
  <si>
    <t>Voice and Accountability: Estimate [VA.EST]</t>
  </si>
  <si>
    <t>Control of Corruption: Percentile Rank [CC.PER.RNK]</t>
  </si>
  <si>
    <t>Government Effectiveness: Percentile Rank [GE.PER.RNK]</t>
  </si>
  <si>
    <t>Political Stability and Absence of Violence/Terrorism: Percentile Rank [PV.PER.RNK]</t>
  </si>
  <si>
    <t>Regulatory Quality: Percentile Rank [RQ.PER.RNK]</t>
  </si>
  <si>
    <t>Rule of Law: Percentile Rank [RL.PER.RNK]</t>
  </si>
  <si>
    <t>Voice and Accountability: Percentile Rank [VA.PER.RNK]</t>
  </si>
  <si>
    <t>Data from database: Worldwide Governance Indicators</t>
  </si>
  <si>
    <t>Last Updated: 03/02/2015</t>
  </si>
  <si>
    <t>Estimates</t>
  </si>
  <si>
    <t>Rank</t>
  </si>
  <si>
    <t>Somalia</t>
  </si>
  <si>
    <t>Korea (North)</t>
  </si>
  <si>
    <t>South Sudan</t>
  </si>
  <si>
    <t>Uzbekistan</t>
  </si>
  <si>
    <t>Libya</t>
  </si>
  <si>
    <t>Eritrea</t>
  </si>
  <si>
    <t>Haiti</t>
  </si>
  <si>
    <t>Guinea-Bissau</t>
  </si>
  <si>
    <t>Syria</t>
  </si>
  <si>
    <t>Burundi</t>
  </si>
  <si>
    <t>Zimbabwe</t>
  </si>
  <si>
    <t>Myanmar</t>
  </si>
  <si>
    <t>Cambodia</t>
  </si>
  <si>
    <t>Democratic Republic of the Congo</t>
  </si>
  <si>
    <t>Tajikistan</t>
  </si>
  <si>
    <t>Congo Republic</t>
  </si>
  <si>
    <t>Paraguay</t>
  </si>
  <si>
    <t>Laos</t>
  </si>
  <si>
    <t>Kenya</t>
  </si>
  <si>
    <t>Bangladesh</t>
  </si>
  <si>
    <t>Ukraine</t>
  </si>
  <si>
    <t>Uganda</t>
  </si>
  <si>
    <t>Comoros</t>
  </si>
  <si>
    <t>Lebanon</t>
  </si>
  <si>
    <t>Nicaragua</t>
  </si>
  <si>
    <t>Pakistan</t>
  </si>
  <si>
    <t>Nepal</t>
  </si>
  <si>
    <t>Honduras</t>
  </si>
  <si>
    <t>Gambia</t>
  </si>
  <si>
    <t>Guyana</t>
  </si>
  <si>
    <t>Vietnam</t>
  </si>
  <si>
    <t>Belarus</t>
  </si>
  <si>
    <t>Dominican Republic</t>
  </si>
  <si>
    <t>Côte d´Ivoire</t>
  </si>
  <si>
    <t>Malawi</t>
  </si>
  <si>
    <t>Kosovo</t>
  </si>
  <si>
    <t>Ethiopia</t>
  </si>
  <si>
    <t>Djibouti</t>
  </si>
  <si>
    <t>Argentina</t>
  </si>
  <si>
    <t>Moldova</t>
  </si>
  <si>
    <t>Suriname</t>
  </si>
  <si>
    <t>Panama</t>
  </si>
  <si>
    <t>Egypt</t>
  </si>
  <si>
    <t>Armenia</t>
  </si>
  <si>
    <t>Thailand</t>
  </si>
  <si>
    <t>Sri Lanka</t>
  </si>
  <si>
    <t>Philippines</t>
  </si>
  <si>
    <t>Jamaica</t>
  </si>
  <si>
    <t>India</t>
  </si>
  <si>
    <t>Morocco</t>
  </si>
  <si>
    <t>El Salvador</t>
  </si>
  <si>
    <t>Bosnia and Herzegovina</t>
  </si>
  <si>
    <t>Benin</t>
  </si>
  <si>
    <t>Tunisia</t>
  </si>
  <si>
    <t>Serbia</t>
  </si>
  <si>
    <t>Sao Tome and Principe</t>
  </si>
  <si>
    <t>Montenegro</t>
  </si>
  <si>
    <t>Swaziland</t>
  </si>
  <si>
    <t>Senegal</t>
  </si>
  <si>
    <t>Romania</t>
  </si>
  <si>
    <t>Italy</t>
  </si>
  <si>
    <t>Greece</t>
  </si>
  <si>
    <t>Bulgaria</t>
  </si>
  <si>
    <t>Turkey</t>
  </si>
  <si>
    <t>The FYR of Macedonia</t>
  </si>
  <si>
    <t>Oman</t>
  </si>
  <si>
    <t>Cuba</t>
  </si>
  <si>
    <t>Croatia</t>
  </si>
  <si>
    <t>Rwanda</t>
  </si>
  <si>
    <t>Namibia</t>
  </si>
  <si>
    <t>Lesotho</t>
  </si>
  <si>
    <t>Jordan</t>
  </si>
  <si>
    <t>Bahrain</t>
  </si>
  <si>
    <t>Slovakia</t>
  </si>
  <si>
    <t>Czech Republic</t>
  </si>
  <si>
    <t>Samoa</t>
  </si>
  <si>
    <t>Georgia</t>
  </si>
  <si>
    <t>Mauritius</t>
  </si>
  <si>
    <t>Hungary</t>
  </si>
  <si>
    <t>Costa Rica</t>
  </si>
  <si>
    <t>Seychelles</t>
  </si>
  <si>
    <t>Malta</t>
  </si>
  <si>
    <t>Latvia</t>
  </si>
  <si>
    <t>Korea (South)</t>
  </si>
  <si>
    <t>Cape Verde</t>
  </si>
  <si>
    <t>Slovenia</t>
  </si>
  <si>
    <t>Lithuania</t>
  </si>
  <si>
    <t>Dominica</t>
  </si>
  <si>
    <t>Spain</t>
  </si>
  <si>
    <t>Israel</t>
  </si>
  <si>
    <t>Taiwan</t>
  </si>
  <si>
    <t>Poland</t>
  </si>
  <si>
    <t>Puerto Rico</t>
  </si>
  <si>
    <t>Portugal</t>
  </si>
  <si>
    <t>Cyprus</t>
  </si>
  <si>
    <t>Bhutan</t>
  </si>
  <si>
    <t>Saint Vincent and the Grenadines</t>
  </si>
  <si>
    <t>Qatar</t>
  </si>
  <si>
    <t>France</t>
  </si>
  <si>
    <t>Estonia</t>
  </si>
  <si>
    <t>United Arab Emirates</t>
  </si>
  <si>
    <t>Bahamas</t>
  </si>
  <si>
    <t>Austria</t>
  </si>
  <si>
    <t>Uruguay</t>
  </si>
  <si>
    <t>Ireland</t>
  </si>
  <si>
    <t>Hong Kong</t>
  </si>
  <si>
    <t>Barbados</t>
  </si>
  <si>
    <t>Japan</t>
  </si>
  <si>
    <t>Belgium</t>
  </si>
  <si>
    <t>United Kingdom</t>
  </si>
  <si>
    <t>Iceland</t>
  </si>
  <si>
    <t>Germany</t>
  </si>
  <si>
    <t>Australia</t>
  </si>
  <si>
    <t>Canada</t>
  </si>
  <si>
    <t>Luxembourg</t>
  </si>
  <si>
    <t>Netherlands</t>
  </si>
  <si>
    <t>Singapore</t>
  </si>
  <si>
    <t>Switzerland</t>
  </si>
  <si>
    <t>Sweden</t>
  </si>
  <si>
    <t>Finland</t>
  </si>
  <si>
    <t>New Zealand</t>
  </si>
  <si>
    <t>Denmark</t>
  </si>
  <si>
    <t>Upper</t>
  </si>
  <si>
    <t>Lower</t>
  </si>
  <si>
    <t>90% Confidence interval</t>
  </si>
  <si>
    <t>Standard Error</t>
  </si>
  <si>
    <t>Surveys Used</t>
  </si>
  <si>
    <t>CPI 2014 Score</t>
  </si>
  <si>
    <t>Country / Territory</t>
  </si>
  <si>
    <t>Country Rank</t>
  </si>
  <si>
    <t>1998_Afghanistan</t>
  </si>
  <si>
    <t>1998_Albania</t>
  </si>
  <si>
    <t>1998_Azerbaijan</t>
  </si>
  <si>
    <t>1998_Burkina Faso</t>
  </si>
  <si>
    <t>1998_Central African Republic</t>
  </si>
  <si>
    <t>1998_Chad</t>
  </si>
  <si>
    <t>1998_Democratic Republic of Congo</t>
  </si>
  <si>
    <t>1998_Republic of the Congo</t>
  </si>
  <si>
    <t>1998_Cameroon</t>
  </si>
  <si>
    <t>1998_Equatorial Guinea</t>
  </si>
  <si>
    <t>1998_Gabon</t>
  </si>
  <si>
    <t>1998_Ghana</t>
  </si>
  <si>
    <t>1998_Guatemala</t>
  </si>
  <si>
    <t>1998_Guinea</t>
  </si>
  <si>
    <t>1998_Indonesia</t>
  </si>
  <si>
    <t>1998_Iraq</t>
  </si>
  <si>
    <t>1998_Kazakhstan</t>
  </si>
  <si>
    <t>1998_Kyrgyz Republic</t>
  </si>
  <si>
    <t>1998_Liberia</t>
  </si>
  <si>
    <t>1998_Madagascar</t>
  </si>
  <si>
    <t>1998_Mali</t>
  </si>
  <si>
    <t>1998_Mauritania</t>
  </si>
  <si>
    <t>1998_Mozambique</t>
  </si>
  <si>
    <t>1998_Niger</t>
  </si>
  <si>
    <t>1998_Nigeria</t>
  </si>
  <si>
    <t>1998_Peru</t>
  </si>
  <si>
    <t>1998_Sierra Leone</t>
  </si>
  <si>
    <t>1998_Tanzania</t>
  </si>
  <si>
    <t>1998_Togo</t>
  </si>
  <si>
    <t>1998_Timor-Leste</t>
  </si>
  <si>
    <t>1998_Trinidad and Tobago</t>
  </si>
  <si>
    <t>1998_Yemen, Rep.</t>
  </si>
  <si>
    <t>1998_Zambia</t>
  </si>
  <si>
    <t>1998_Mongolia</t>
  </si>
  <si>
    <t>2000_Afghanistan</t>
  </si>
  <si>
    <t>2000_Albania</t>
  </si>
  <si>
    <t>2000_Azerbaijan</t>
  </si>
  <si>
    <t>2000_Burkina Faso</t>
  </si>
  <si>
    <t>2000_Central African Republic</t>
  </si>
  <si>
    <t>2000_Chad</t>
  </si>
  <si>
    <t>2000_Democratic Republic of Congo</t>
  </si>
  <si>
    <t>2000_Republic of the Congo</t>
  </si>
  <si>
    <t>2000_Cameroon</t>
  </si>
  <si>
    <t>2000_Equatorial Guinea</t>
  </si>
  <si>
    <t>2000_Gabon</t>
  </si>
  <si>
    <t>2000_Ghana</t>
  </si>
  <si>
    <t>2000_Guatemala</t>
  </si>
  <si>
    <t>2000_Guinea</t>
  </si>
  <si>
    <t>2000_Indonesia</t>
  </si>
  <si>
    <t>2000_Iraq</t>
  </si>
  <si>
    <t>2000_Kazakhstan</t>
  </si>
  <si>
    <t>2000_Kyrgyz Republic</t>
  </si>
  <si>
    <t>2000_Liberia</t>
  </si>
  <si>
    <t>2000_Madagascar</t>
  </si>
  <si>
    <t>2000_Mali</t>
  </si>
  <si>
    <t>2000_Mauritania</t>
  </si>
  <si>
    <t>2000_Mozambique</t>
  </si>
  <si>
    <t>2000_Niger</t>
  </si>
  <si>
    <t>2000_Nigeria</t>
  </si>
  <si>
    <t>2000_Peru</t>
  </si>
  <si>
    <t>2000_Sierra Leone</t>
  </si>
  <si>
    <t>2000_Tanzania</t>
  </si>
  <si>
    <t>2000_Togo</t>
  </si>
  <si>
    <t>2000_Timor-Leste</t>
  </si>
  <si>
    <t>2000_Trinidad and Tobago</t>
  </si>
  <si>
    <t>2000_Yemen, Rep.</t>
  </si>
  <si>
    <t>2000_Zambia</t>
  </si>
  <si>
    <t>2000_Mongolia</t>
  </si>
  <si>
    <t>2002_Afghanistan</t>
  </si>
  <si>
    <t>2002_Albania</t>
  </si>
  <si>
    <t>2002_Azerbaijan</t>
  </si>
  <si>
    <t>2002_Burkina Faso</t>
  </si>
  <si>
    <t>2002_Central African Republic</t>
  </si>
  <si>
    <t>2002_Chad</t>
  </si>
  <si>
    <t>2002_Democratic Republic of Congo</t>
  </si>
  <si>
    <t>2002_Republic of the Congo</t>
  </si>
  <si>
    <t>2002_Cameroon</t>
  </si>
  <si>
    <t>2002_Equatorial Guinea</t>
  </si>
  <si>
    <t>2002_Gabon</t>
  </si>
  <si>
    <t>2002_Ghana</t>
  </si>
  <si>
    <t>2002_Guatemala</t>
  </si>
  <si>
    <t>2002_Guinea</t>
  </si>
  <si>
    <t>2002_Indonesia</t>
  </si>
  <si>
    <t>2002_Iraq</t>
  </si>
  <si>
    <t>2002_Kazakhstan</t>
  </si>
  <si>
    <t>2002_Kyrgyz Republic</t>
  </si>
  <si>
    <t>2002_Liberia</t>
  </si>
  <si>
    <t>2002_Madagascar</t>
  </si>
  <si>
    <t>2002_Mali</t>
  </si>
  <si>
    <t>2002_Mauritania</t>
  </si>
  <si>
    <t>2002_Mozambique</t>
  </si>
  <si>
    <t>2002_Niger</t>
  </si>
  <si>
    <t>2002_Nigeria</t>
  </si>
  <si>
    <t>2002_Peru</t>
  </si>
  <si>
    <t>2002_Sierra Leone</t>
  </si>
  <si>
    <t>2002_Tanzania</t>
  </si>
  <si>
    <t>2002_Togo</t>
  </si>
  <si>
    <t>2002_Timor-Leste</t>
  </si>
  <si>
    <t>2002_Trinidad and Tobago</t>
  </si>
  <si>
    <t>2002_Yemen, Rep.</t>
  </si>
  <si>
    <t>2002_Zambia</t>
  </si>
  <si>
    <t>2002_Mongolia</t>
  </si>
  <si>
    <t>2003_Afghanistan</t>
  </si>
  <si>
    <t>2003_Albania</t>
  </si>
  <si>
    <t>2003_Azerbaijan</t>
  </si>
  <si>
    <t>2003_Burkina Faso</t>
  </si>
  <si>
    <t>2003_Central African Republic</t>
  </si>
  <si>
    <t>2003_Chad</t>
  </si>
  <si>
    <t>2003_Democratic Republic of Congo</t>
  </si>
  <si>
    <t>2003_Republic of the Congo</t>
  </si>
  <si>
    <t>2003_Cameroon</t>
  </si>
  <si>
    <t>2003_Equatorial Guinea</t>
  </si>
  <si>
    <t>2003_Gabon</t>
  </si>
  <si>
    <t>2003_Ghana</t>
  </si>
  <si>
    <t>2003_Guatemala</t>
  </si>
  <si>
    <t>2003_Guinea</t>
  </si>
  <si>
    <t>2003_Indonesia</t>
  </si>
  <si>
    <t>2003_Iraq</t>
  </si>
  <si>
    <t>2003_Kazakhstan</t>
  </si>
  <si>
    <t>2003_Kyrgyz Republic</t>
  </si>
  <si>
    <t>2003_Liberia</t>
  </si>
  <si>
    <t>2003_Madagascar</t>
  </si>
  <si>
    <t>2003_Mali</t>
  </si>
  <si>
    <t>2003_Mauritania</t>
  </si>
  <si>
    <t>2003_Mozambique</t>
  </si>
  <si>
    <t>2003_Niger</t>
  </si>
  <si>
    <t>2003_Nigeria</t>
  </si>
  <si>
    <t>2003_Peru</t>
  </si>
  <si>
    <t>2003_Sierra Leone</t>
  </si>
  <si>
    <t>2003_Tanzania</t>
  </si>
  <si>
    <t>2003_Togo</t>
  </si>
  <si>
    <t>2003_Timor-Leste</t>
  </si>
  <si>
    <t>2003_Trinidad and Tobago</t>
  </si>
  <si>
    <t>2003_Yemen, Rep.</t>
  </si>
  <si>
    <t>2003_Zambia</t>
  </si>
  <si>
    <t>2003_Mongolia</t>
  </si>
  <si>
    <t>2004_Afghanistan</t>
  </si>
  <si>
    <t>2004_Albania</t>
  </si>
  <si>
    <t>2004_Azerbaijan</t>
  </si>
  <si>
    <t>2004_Burkina Faso</t>
  </si>
  <si>
    <t>2004_Central African Republic</t>
  </si>
  <si>
    <t>2004_Chad</t>
  </si>
  <si>
    <t>2004_Democratic Republic of Congo</t>
  </si>
  <si>
    <t>2004_Republic of the Congo</t>
  </si>
  <si>
    <t>2004_Cameroon</t>
  </si>
  <si>
    <t>2004_Equatorial Guinea</t>
  </si>
  <si>
    <t>2004_Gabon</t>
  </si>
  <si>
    <t>2004_Ghana</t>
  </si>
  <si>
    <t>2004_Guatemala</t>
  </si>
  <si>
    <t>2004_Guinea</t>
  </si>
  <si>
    <t>2004_Indonesia</t>
  </si>
  <si>
    <t>2004_Iraq</t>
  </si>
  <si>
    <t>2004_Kazakhstan</t>
  </si>
  <si>
    <t>2004_Kyrgyz Republic</t>
  </si>
  <si>
    <t>2004_Liberia</t>
  </si>
  <si>
    <t>2004_Madagascar</t>
  </si>
  <si>
    <t>2004_Mali</t>
  </si>
  <si>
    <t>2004_Mauritania</t>
  </si>
  <si>
    <t>2004_Mozambique</t>
  </si>
  <si>
    <t>2004_Niger</t>
  </si>
  <si>
    <t>2004_Nigeria</t>
  </si>
  <si>
    <t>2004_Peru</t>
  </si>
  <si>
    <t>2004_Sierra Leone</t>
  </si>
  <si>
    <t>2004_Tanzania</t>
  </si>
  <si>
    <t>2004_Togo</t>
  </si>
  <si>
    <t>2004_Timor-Leste</t>
  </si>
  <si>
    <t>2004_Trinidad and Tobago</t>
  </si>
  <si>
    <t>2004_Yemen, Rep.</t>
  </si>
  <si>
    <t>2004_Zambia</t>
  </si>
  <si>
    <t>2004_Mongolia</t>
  </si>
  <si>
    <t>2005_Afghanistan</t>
  </si>
  <si>
    <t>2005_Albania</t>
  </si>
  <si>
    <t>2005_Azerbaijan</t>
  </si>
  <si>
    <t>2005_Burkina Faso</t>
  </si>
  <si>
    <t>2005_Central African Republic</t>
  </si>
  <si>
    <t>2005_Chad</t>
  </si>
  <si>
    <t>2005_Democratic Republic of Congo</t>
  </si>
  <si>
    <t>2005_Republic of the Congo</t>
  </si>
  <si>
    <t>2005_Cameroon</t>
  </si>
  <si>
    <t>2005_Equatorial Guinea</t>
  </si>
  <si>
    <t>2005_Gabon</t>
  </si>
  <si>
    <t>2005_Ghana</t>
  </si>
  <si>
    <t>2005_Guatemala</t>
  </si>
  <si>
    <t>2005_Guinea</t>
  </si>
  <si>
    <t>2005_Indonesia</t>
  </si>
  <si>
    <t>2005_Iraq</t>
  </si>
  <si>
    <t>2005_Kazakhstan</t>
  </si>
  <si>
    <t>2005_Kyrgyz Republic</t>
  </si>
  <si>
    <t>2005_Liberia</t>
  </si>
  <si>
    <t>2005_Madagascar</t>
  </si>
  <si>
    <t>2005_Mali</t>
  </si>
  <si>
    <t>2005_Mauritania</t>
  </si>
  <si>
    <t>2005_Mozambique</t>
  </si>
  <si>
    <t>2005_Niger</t>
  </si>
  <si>
    <t>2005_Nigeria</t>
  </si>
  <si>
    <t>2005_Peru</t>
  </si>
  <si>
    <t>2005_Sierra Leone</t>
  </si>
  <si>
    <t>2005_Tanzania</t>
  </si>
  <si>
    <t>2005_Togo</t>
  </si>
  <si>
    <t>2005_Timor-Leste</t>
  </si>
  <si>
    <t>2005_Trinidad and Tobago</t>
  </si>
  <si>
    <t>2005_Yemen, Rep.</t>
  </si>
  <si>
    <t>2005_Zambia</t>
  </si>
  <si>
    <t>2005_Mongolia</t>
  </si>
  <si>
    <t>2006_Afghanistan</t>
  </si>
  <si>
    <t>2006_Albania</t>
  </si>
  <si>
    <t>2006_Azerbaijan</t>
  </si>
  <si>
    <t>2006_Burkina Faso</t>
  </si>
  <si>
    <t>2006_Central African Republic</t>
  </si>
  <si>
    <t>2006_Chad</t>
  </si>
  <si>
    <t>2006_Democratic Republic of Congo</t>
  </si>
  <si>
    <t>2006_Republic of the Congo</t>
  </si>
  <si>
    <t>2006_Cameroon</t>
  </si>
  <si>
    <t>2006_Equatorial Guinea</t>
  </si>
  <si>
    <t>2006_Gabon</t>
  </si>
  <si>
    <t>2006_Ghana</t>
  </si>
  <si>
    <t>2006_Guatemala</t>
  </si>
  <si>
    <t>2006_Guinea</t>
  </si>
  <si>
    <t>2006_Indonesia</t>
  </si>
  <si>
    <t>2006_Iraq</t>
  </si>
  <si>
    <t>2006_Kazakhstan</t>
  </si>
  <si>
    <t>2006_Kyrgyz Republic</t>
  </si>
  <si>
    <t>2006_Liberia</t>
  </si>
  <si>
    <t>2006_Madagascar</t>
  </si>
  <si>
    <t>2006_Mali</t>
  </si>
  <si>
    <t>2006_Mauritania</t>
  </si>
  <si>
    <t>2006_Mozambique</t>
  </si>
  <si>
    <t>2006_Niger</t>
  </si>
  <si>
    <t>2006_Nigeria</t>
  </si>
  <si>
    <t>2006_Peru</t>
  </si>
  <si>
    <t>2006_Sierra Leone</t>
  </si>
  <si>
    <t>2006_Tanzania</t>
  </si>
  <si>
    <t>2006_Togo</t>
  </si>
  <si>
    <t>2006_Timor-Leste</t>
  </si>
  <si>
    <t>2006_Trinidad and Tobago</t>
  </si>
  <si>
    <t>2006_Yemen, Rep.</t>
  </si>
  <si>
    <t>2006_Zambia</t>
  </si>
  <si>
    <t>2006_Mongolia</t>
  </si>
  <si>
    <t>2007_Afghanistan</t>
  </si>
  <si>
    <t>2007_Albania</t>
  </si>
  <si>
    <t>2007_Azerbaijan</t>
  </si>
  <si>
    <t>2007_Burkina Faso</t>
  </si>
  <si>
    <t>2007_Central African Republic</t>
  </si>
  <si>
    <t>2007_Chad</t>
  </si>
  <si>
    <t>2007_Democratic Republic of Congo</t>
  </si>
  <si>
    <t>2007_Republic of the Congo</t>
  </si>
  <si>
    <t>2007_Cameroon</t>
  </si>
  <si>
    <t>2007_Equatorial Guinea</t>
  </si>
  <si>
    <t>2007_Gabon</t>
  </si>
  <si>
    <t>2007_Ghana</t>
  </si>
  <si>
    <t>2007_Guatemala</t>
  </si>
  <si>
    <t>2007_Guinea</t>
  </si>
  <si>
    <t>2007_Indonesia</t>
  </si>
  <si>
    <t>2007_Iraq</t>
  </si>
  <si>
    <t>2007_Kazakhstan</t>
  </si>
  <si>
    <t>2007_Kyrgyz Republic</t>
  </si>
  <si>
    <t>2007_Liberia</t>
  </si>
  <si>
    <t>2007_Madagascar</t>
  </si>
  <si>
    <t>2007_Mali</t>
  </si>
  <si>
    <t>2007_Mauritania</t>
  </si>
  <si>
    <t>2007_Mozambique</t>
  </si>
  <si>
    <t>2007_Niger</t>
  </si>
  <si>
    <t>2007_Nigeria</t>
  </si>
  <si>
    <t>2007_Peru</t>
  </si>
  <si>
    <t>2007_Sierra Leone</t>
  </si>
  <si>
    <t>2007_Tanzania</t>
  </si>
  <si>
    <t>2007_Togo</t>
  </si>
  <si>
    <t>2007_Timor-Leste</t>
  </si>
  <si>
    <t>2007_Trinidad and Tobago</t>
  </si>
  <si>
    <t>2007_Yemen, Rep.</t>
  </si>
  <si>
    <t>2007_Zambia</t>
  </si>
  <si>
    <t>2007_Mongolia</t>
  </si>
  <si>
    <t>2008_Afghanistan</t>
  </si>
  <si>
    <t>2008_Albania</t>
  </si>
  <si>
    <t>2008_Azerbaijan</t>
  </si>
  <si>
    <t>2008_Burkina Faso</t>
  </si>
  <si>
    <t>2008_Central African Republic</t>
  </si>
  <si>
    <t>2008_Chad</t>
  </si>
  <si>
    <t>2008_Democratic Republic of Congo</t>
  </si>
  <si>
    <t>2008_Republic of the Congo</t>
  </si>
  <si>
    <t>2008_Cameroon</t>
  </si>
  <si>
    <t>2008_Equatorial Guinea</t>
  </si>
  <si>
    <t>2008_Gabon</t>
  </si>
  <si>
    <t>2008_Ghana</t>
  </si>
  <si>
    <t>2008_Guatemala</t>
  </si>
  <si>
    <t>2008_Guinea</t>
  </si>
  <si>
    <t>2008_Indonesia</t>
  </si>
  <si>
    <t>2008_Iraq</t>
  </si>
  <si>
    <t>2008_Kazakhstan</t>
  </si>
  <si>
    <t>2008_Kyrgyz Republic</t>
  </si>
  <si>
    <t>2008_Liberia</t>
  </si>
  <si>
    <t>2008_Madagascar</t>
  </si>
  <si>
    <t>2008_Mali</t>
  </si>
  <si>
    <t>2008_Mauritania</t>
  </si>
  <si>
    <t>2008_Mozambique</t>
  </si>
  <si>
    <t>2008_Niger</t>
  </si>
  <si>
    <t>2008_Nigeria</t>
  </si>
  <si>
    <t>2008_Peru</t>
  </si>
  <si>
    <t>2008_Sierra Leone</t>
  </si>
  <si>
    <t>2008_Tanzania</t>
  </si>
  <si>
    <t>2008_Togo</t>
  </si>
  <si>
    <t>2008_Timor-Leste</t>
  </si>
  <si>
    <t>2008_Trinidad and Tobago</t>
  </si>
  <si>
    <t>2008_Yemen, Rep.</t>
  </si>
  <si>
    <t>2008_Zambia</t>
  </si>
  <si>
    <t>2008_Mongolia</t>
  </si>
  <si>
    <t>2009_Afghanistan</t>
  </si>
  <si>
    <t>2009_Albania</t>
  </si>
  <si>
    <t>2009_Azerbaijan</t>
  </si>
  <si>
    <t>2009_Burkina Faso</t>
  </si>
  <si>
    <t>2009_Central African Republic</t>
  </si>
  <si>
    <t>2009_Chad</t>
  </si>
  <si>
    <t>2009_Democratic Republic of Congo</t>
  </si>
  <si>
    <t>2009_Republic of the Congo</t>
  </si>
  <si>
    <t>2009_Cameroon</t>
  </si>
  <si>
    <t>2009_Equatorial Guinea</t>
  </si>
  <si>
    <t>2009_Gabon</t>
  </si>
  <si>
    <t>2009_Ghana</t>
  </si>
  <si>
    <t>2009_Guatemala</t>
  </si>
  <si>
    <t>2009_Guinea</t>
  </si>
  <si>
    <t>2009_Indonesia</t>
  </si>
  <si>
    <t>2009_Iraq</t>
  </si>
  <si>
    <t>2009_Kazakhstan</t>
  </si>
  <si>
    <t>2009_Kyrgyz Republic</t>
  </si>
  <si>
    <t>2009_Liberia</t>
  </si>
  <si>
    <t>2009_Madagascar</t>
  </si>
  <si>
    <t>2009_Mali</t>
  </si>
  <si>
    <t>2009_Mauritania</t>
  </si>
  <si>
    <t>2009_Mozambique</t>
  </si>
  <si>
    <t>2009_Niger</t>
  </si>
  <si>
    <t>2009_Nigeria</t>
  </si>
  <si>
    <t>2009_Peru</t>
  </si>
  <si>
    <t>2009_Sierra Leone</t>
  </si>
  <si>
    <t>2009_Tanzania</t>
  </si>
  <si>
    <t>2009_Togo</t>
  </si>
  <si>
    <t>2009_Timor-Leste</t>
  </si>
  <si>
    <t>2009_Trinidad and Tobago</t>
  </si>
  <si>
    <t>2009_Yemen, Rep.</t>
  </si>
  <si>
    <t>2009_Zambia</t>
  </si>
  <si>
    <t>2009_Mongolia</t>
  </si>
  <si>
    <t>2010_Afghanistan</t>
  </si>
  <si>
    <t>2010_Albania</t>
  </si>
  <si>
    <t>2010_Azerbaijan</t>
  </si>
  <si>
    <t>2010_Burkina Faso</t>
  </si>
  <si>
    <t>2010_Central African Republic</t>
  </si>
  <si>
    <t>2010_Chad</t>
  </si>
  <si>
    <t>2010_Democratic Republic of Congo</t>
  </si>
  <si>
    <t>2010_Republic of the Congo</t>
  </si>
  <si>
    <t>2010_Cameroon</t>
  </si>
  <si>
    <t>2010_Equatorial Guinea</t>
  </si>
  <si>
    <t>2010_Gabon</t>
  </si>
  <si>
    <t>2010_Ghana</t>
  </si>
  <si>
    <t>2010_Guatemala</t>
  </si>
  <si>
    <t>2010_Guinea</t>
  </si>
  <si>
    <t>2010_Indonesia</t>
  </si>
  <si>
    <t>2010_Iraq</t>
  </si>
  <si>
    <t>2010_Kazakhstan</t>
  </si>
  <si>
    <t>2010_Kyrgyz Republic</t>
  </si>
  <si>
    <t>2010_Liberia</t>
  </si>
  <si>
    <t>2010_Madagascar</t>
  </si>
  <si>
    <t>2010_Mali</t>
  </si>
  <si>
    <t>2010_Mauritania</t>
  </si>
  <si>
    <t>2010_Mozambique</t>
  </si>
  <si>
    <t>2010_Niger</t>
  </si>
  <si>
    <t>2010_Nigeria</t>
  </si>
  <si>
    <t>2010_Peru</t>
  </si>
  <si>
    <t>2010_Sierra Leone</t>
  </si>
  <si>
    <t>2010_Tanzania</t>
  </si>
  <si>
    <t>2010_Togo</t>
  </si>
  <si>
    <t>2010_Timor-Leste</t>
  </si>
  <si>
    <t>2010_Trinidad and Tobago</t>
  </si>
  <si>
    <t>2010_Yemen, Rep.</t>
  </si>
  <si>
    <t>2010_Zambia</t>
  </si>
  <si>
    <t>2010_Mongolia</t>
  </si>
  <si>
    <t>2011_Afghanistan</t>
  </si>
  <si>
    <t>2011_Albania</t>
  </si>
  <si>
    <t>2011_Azerbaijan</t>
  </si>
  <si>
    <t>2011_Burkina Faso</t>
  </si>
  <si>
    <t>2011_Central African Republic</t>
  </si>
  <si>
    <t>2011_Chad</t>
  </si>
  <si>
    <t>2011_Democratic Republic of Congo</t>
  </si>
  <si>
    <t>2011_Republic of the Congo</t>
  </si>
  <si>
    <t>2011_Cameroon</t>
  </si>
  <si>
    <t>2011_Equatorial Guinea</t>
  </si>
  <si>
    <t>2011_Gabon</t>
  </si>
  <si>
    <t>2011_Ghana</t>
  </si>
  <si>
    <t>2011_Guatemala</t>
  </si>
  <si>
    <t>2011_Guinea</t>
  </si>
  <si>
    <t>2011_Indonesia</t>
  </si>
  <si>
    <t>2011_Iraq</t>
  </si>
  <si>
    <t>2011_Kazakhstan</t>
  </si>
  <si>
    <t>2011_Kyrgyz Republic</t>
  </si>
  <si>
    <t>2011_Liberia</t>
  </si>
  <si>
    <t>2011_Madagascar</t>
  </si>
  <si>
    <t>2011_Mali</t>
  </si>
  <si>
    <t>2011_Mauritania</t>
  </si>
  <si>
    <t>2011_Mozambique</t>
  </si>
  <si>
    <t>2011_Niger</t>
  </si>
  <si>
    <t>2011_Nigeria</t>
  </si>
  <si>
    <t>2011_Peru</t>
  </si>
  <si>
    <t>2011_Sierra Leone</t>
  </si>
  <si>
    <t>2011_Tanzania</t>
  </si>
  <si>
    <t>2011_Togo</t>
  </si>
  <si>
    <t>2011_Timor-Leste</t>
  </si>
  <si>
    <t>2011_Trinidad and Tobago</t>
  </si>
  <si>
    <t>2011_Yemen, Rep.</t>
  </si>
  <si>
    <t>2011_Zambia</t>
  </si>
  <si>
    <t>2011_Mongolia</t>
  </si>
  <si>
    <t>2012_Afghanistan</t>
  </si>
  <si>
    <t>2012_Albania</t>
  </si>
  <si>
    <t>2012_Azerbaijan</t>
  </si>
  <si>
    <t>2012_Burkina Faso</t>
  </si>
  <si>
    <t>2012_Central African Republic</t>
  </si>
  <si>
    <t>2012_Chad</t>
  </si>
  <si>
    <t>2012_Democratic Republic of Congo</t>
  </si>
  <si>
    <t>2012_Republic of the Congo</t>
  </si>
  <si>
    <t>2012_Cameroon</t>
  </si>
  <si>
    <t>2012_Equatorial Guinea</t>
  </si>
  <si>
    <t>2012_Gabon</t>
  </si>
  <si>
    <t>2012_Ghana</t>
  </si>
  <si>
    <t>2012_Guatemala</t>
  </si>
  <si>
    <t>2012_Guinea</t>
  </si>
  <si>
    <t>2012_Indonesia</t>
  </si>
  <si>
    <t>2012_Iraq</t>
  </si>
  <si>
    <t>2012_Kazakhstan</t>
  </si>
  <si>
    <t>2012_Kyrgyz Republic</t>
  </si>
  <si>
    <t>2012_Liberia</t>
  </si>
  <si>
    <t>2012_Madagascar</t>
  </si>
  <si>
    <t>2012_Mali</t>
  </si>
  <si>
    <t>2012_Mauritania</t>
  </si>
  <si>
    <t>2012_Mozambique</t>
  </si>
  <si>
    <t>2012_Niger</t>
  </si>
  <si>
    <t>2012_Nigeria</t>
  </si>
  <si>
    <t>2012_Peru</t>
  </si>
  <si>
    <t>2012_Sierra Leone</t>
  </si>
  <si>
    <t>2012_Tanzania</t>
  </si>
  <si>
    <t>2012_Togo</t>
  </si>
  <si>
    <t>2012_Timor-Leste</t>
  </si>
  <si>
    <t>2012_Trinidad and Tobago</t>
  </si>
  <si>
    <t>2012_Yemen, Rep.</t>
  </si>
  <si>
    <t>2012_Zambia</t>
  </si>
  <si>
    <t>2012_Mongolia</t>
  </si>
  <si>
    <t>2013_Afghanistan</t>
  </si>
  <si>
    <t>2013_Albania</t>
  </si>
  <si>
    <t>2013_Azerbaijan</t>
  </si>
  <si>
    <t>2013_Burkina Faso</t>
  </si>
  <si>
    <t>2013_Central African Republic</t>
  </si>
  <si>
    <t>2013_Chad</t>
  </si>
  <si>
    <t>2013_Democratic Republic of Congo</t>
  </si>
  <si>
    <t>2013_Republic of the Congo</t>
  </si>
  <si>
    <t>2013_Cameroon</t>
  </si>
  <si>
    <t>2013_Equatorial Guinea</t>
  </si>
  <si>
    <t>2013_Gabon</t>
  </si>
  <si>
    <t>2013_Ghana</t>
  </si>
  <si>
    <t>2013_Guatemala</t>
  </si>
  <si>
    <t>2013_Guinea</t>
  </si>
  <si>
    <t>2013_Indonesia</t>
  </si>
  <si>
    <t>2013_Iraq</t>
  </si>
  <si>
    <t>2013_Kazakhstan</t>
  </si>
  <si>
    <t>2013_Kyrgyz Republic</t>
  </si>
  <si>
    <t>2013_Liberia</t>
  </si>
  <si>
    <t>2013_Madagascar</t>
  </si>
  <si>
    <t>2013_Mali</t>
  </si>
  <si>
    <t>2013_Mauritania</t>
  </si>
  <si>
    <t>2013_Mozambique</t>
  </si>
  <si>
    <t>2013_Niger</t>
  </si>
  <si>
    <t>2013_Nigeria</t>
  </si>
  <si>
    <t>2013_Peru</t>
  </si>
  <si>
    <t>2013_Sierra Leone</t>
  </si>
  <si>
    <t>2013_Tanzania</t>
  </si>
  <si>
    <t>2013_Togo</t>
  </si>
  <si>
    <t>2013_Timor-Leste</t>
  </si>
  <si>
    <t>2013_Trinidad and Tobago</t>
  </si>
  <si>
    <t>2013_Yemen, Rep.</t>
  </si>
  <si>
    <t>2013_Zambia</t>
  </si>
  <si>
    <t>2013_Mongolia</t>
  </si>
  <si>
    <t>Côte d'Ivoire</t>
  </si>
  <si>
    <t>Congo, Rep.</t>
  </si>
  <si>
    <t>Congo, Dem. Rep.</t>
  </si>
  <si>
    <t>Adjusted net enrollment rate, primary (% of primary school age children) [SE.PRM.TENR]</t>
  </si>
  <si>
    <t>School enrollment, primary (% gross) [SE.PRM.ENRR]</t>
  </si>
  <si>
    <t>School enrollment, primary (% net) [SE.PRM.NENR]</t>
  </si>
  <si>
    <t>Ores and metals exports (% of merchandise exports) [TX.VAL.MMTL.ZS.UN]</t>
  </si>
  <si>
    <t>Merchandise exports (current US$) [TX.VAL.MRCH.CD.WT]</t>
  </si>
  <si>
    <t>Fuel exports (% of merchandise exports) [TX.VAL.FUEL.ZS.UN]</t>
  </si>
  <si>
    <t>Extractive Exports(% Merchandise Exports)</t>
  </si>
  <si>
    <t>Extractive Exports (current US$)</t>
  </si>
  <si>
    <t>Total trade in goods and services (US$)</t>
  </si>
  <si>
    <t>Volume from EITI report. Price from BPRS 2014. Price is an average of the spot prices for Brent, Dubai, Nigerian Forcados and West Texas Intermediate crude oil.</t>
  </si>
  <si>
    <t>Volume from EITI Report. Price is an average of the spot prices for Brent, Dubai, Nigerian Forcados and West Texas Intermediate crude oil.</t>
  </si>
  <si>
    <t>Notes</t>
  </si>
  <si>
    <t>Country-level data</t>
  </si>
  <si>
    <t>Project-level data</t>
  </si>
  <si>
    <t>Production volumes</t>
  </si>
  <si>
    <t>Is there a state-owned company?</t>
  </si>
  <si>
    <t>In-kind payments</t>
  </si>
  <si>
    <t>Relevant page of the EITI report</t>
  </si>
  <si>
    <t>Currency used in EITI report</t>
  </si>
  <si>
    <t>Name of reconciler</t>
  </si>
  <si>
    <t>Country webpage</t>
  </si>
  <si>
    <t>EITI Report does not provide sufficient information to calculate total figures with any confidence. As a result, www.eiti.org does not provide these.</t>
  </si>
  <si>
    <t xml:space="preserve">No exchange rate was given in the report or on www.eiti.org so this was taken from the World Bank after conversion from old to new local currency. Also government figure includes payments in-kind, which www.eiti.org does not. </t>
  </si>
  <si>
    <t xml:space="preserve">Resolved discrepancies were not included in the report's figures so these were adjusted retrospectively. Also, government figure includes payments in-kind, which www.eiti.org does not.
</t>
  </si>
  <si>
    <t>The sum of the values of payments in-kind is incorrect on www.eiti.org, and the figures for the cash payments are also slightly different.</t>
  </si>
  <si>
    <t>Difference that is less than 1%. Unilateral declarations are not included in the figures. Resolved discerpancies are not included in the final figures, but there is insufficent information to add these retrospectively.</t>
  </si>
  <si>
    <t>Comments on the discrepancies between NRGI's collected data and eiti.org data</t>
  </si>
  <si>
    <t xml:space="preserve">Difference that is less than 1%. </t>
  </si>
  <si>
    <t xml:space="preserve">Difference that is greater than 1%. </t>
  </si>
  <si>
    <t>Payment/revenue totals from eiti.org do not include social payments (made in both cash and kind, with cash values for the latter reported unilaterally by company (p.50)) or subnational transfers (made in cash to local governments, reported unilaterally by the Government (p.51)). The value of social payments has been added to Total Payments by Companies; subnational transfers has been added to Total Received by Government.</t>
  </si>
  <si>
    <t>Includes payments in-kind, which www.eiti.org does not.</t>
  </si>
  <si>
    <t>The oil subsidy is netted on www.eiti.org, but it is not here. Also, the government figure includes payments in-kind, which www.eiti.org does not.</t>
  </si>
  <si>
    <t>The oil subsidy is netted on www.eiti.org, but it is not here.  But, irrespective of this, there is still a small difference.</t>
  </si>
  <si>
    <t>The government figure includes payments in-kind, which www.eiti.org does not.</t>
  </si>
  <si>
    <t>In addition to the reconciled figures, the government reported to have received US$34,304 from the mining cooperatives and US$701,248 from small-scale miners.</t>
  </si>
  <si>
    <t>Totals include SOC receipts (counted as govt revenues) and SOC payments (counted as company payments).</t>
  </si>
  <si>
    <t>Figures are the wrong way round in the EITI summary on eiti.org</t>
  </si>
  <si>
    <t xml:space="preserve">Unilateral declarations do not appear to be included in the figures. </t>
  </si>
  <si>
    <t>Resolved discrepancies were not included in the report's figures so these were adjusted retrospectively. But, irrespective of this, there is still a difference.</t>
  </si>
  <si>
    <t xml:space="preserve">Company total payments include voluntary social payments made by companies to local communities </t>
  </si>
  <si>
    <t>eiti.org figures only included the reconciled revenue flows detailed on p.35-37.</t>
  </si>
  <si>
    <t xml:space="preserve">DMO fees are netted on www.eiti.org, but are not here. </t>
  </si>
  <si>
    <t>DMO fees are netted on www.eiti.org, but are not here. Although irespective of this, there is still a difference.</t>
  </si>
  <si>
    <t>Possibly just slightly inaccurate rounding on www.eiti.org.</t>
  </si>
  <si>
    <t>Signature bonuses from international oil companies are not included on www.eiti.org, but they are here.</t>
  </si>
  <si>
    <t>Cost recovery and remuneration fees may have been included on www.eiti.org, whilst they are not here. Although, even accounting for this, there is still a difference.</t>
  </si>
  <si>
    <t>Assumes that US$ payments have been accounted for in the total reported in local currency but this should be confirmed. This does not appear to be assumed on www.eiti.org.</t>
  </si>
  <si>
    <t xml:space="preserve">Company figure includes unrecocniled revenue streams that companies were asked to voluntarily report on, which www.eiti.org does not. Irrespecitve of this, the two totals are different. </t>
  </si>
  <si>
    <t>Company figure includes unrecocniled revenue streams that companies were asked to voluntarily report on, which www.eiti.org does not. Irrespecitve of this, the two totals are different.</t>
  </si>
  <si>
    <t>Possibly just inaccurate rounding on www.eiti.org.</t>
  </si>
  <si>
    <t xml:space="preserve">Includes unreconciled payments in-kind that companies were asked to voluntarily report on, which www.eiti.org does not. </t>
  </si>
  <si>
    <t>Figures are the wrong way round on www.eiti.org.</t>
  </si>
  <si>
    <t xml:space="preserve">Includes unrecocniled revenue streams that companies were asked to voluntarily report on, which www.eiti.org does not. </t>
  </si>
  <si>
    <t xml:space="preserve">Includes payments in-kind, which www.eiti.org does not. </t>
  </si>
  <si>
    <t xml:space="preserve">No usable exchange rate was given in the report or on www.eiti.org so this was taken from the WB. Also, government figure includes payments in-kind, which www.eiti.org does not. </t>
  </si>
  <si>
    <t xml:space="preserve">No usable exchange rate was given in the report or on www.eiti.org so this was taken from the WB. Also, government figure includes payments in-kind, which www.eiti.org does not. Company figure includes 
unreconciled social contributions that companies were asked to voluntarily report on, which www.eiti.org does not. </t>
  </si>
  <si>
    <t>www.eiti.org does not account for difference between company and government payments, which is accounted for here.</t>
  </si>
  <si>
    <t>Financing of joint ventures is netted on www.eiti.org, but it is not here. Also, these figures include payments to the NDDC, which www.eiti.org does not. But the largest difference results from www.eiti.org not accounting for local currency payments.</t>
  </si>
  <si>
    <t>Possibly just a typo on www.eiti.org - 2,956 rather than 2,965.</t>
  </si>
  <si>
    <t>Figures are the worng way round on www.eiti.org.</t>
  </si>
  <si>
    <t>The sum across companies (reported here) is different to the sum reported across revenue streams (reported on www.eiti.org).</t>
  </si>
  <si>
    <t>www.eiti.org includes payments in-kind in the company figure, but they are not here as they are not reported on by the companies.</t>
  </si>
  <si>
    <t>Company figure includes unreconciled revenue streams that companies were asked to voluntarily report on, which www.eiti.org does not. Although irrespecitve of this, the figures are different.</t>
  </si>
  <si>
    <t xml:space="preserve">Includes unreconciled social payments and transfers that companies were asked to voluntarily report on, which www.eiti.org does not. </t>
  </si>
  <si>
    <t>Publication date of the report</t>
  </si>
  <si>
    <t>Commodity prices</t>
  </si>
  <si>
    <t>Indicator</t>
  </si>
  <si>
    <t>Source</t>
  </si>
  <si>
    <t>Details</t>
  </si>
  <si>
    <t>Link</t>
  </si>
  <si>
    <t>Extractive Industries Transparency Initiative (EITI)</t>
  </si>
  <si>
    <t xml:space="preserve">https://eiti.org/ </t>
  </si>
  <si>
    <t>GDP (US$ nominal), WB</t>
  </si>
  <si>
    <t>World Bank (WB)</t>
  </si>
  <si>
    <t>GDP (current US$) [NY.GDP.MKTP.CD].</t>
  </si>
  <si>
    <t xml:space="preserve">http://data.worldbank.org/indicator/NY.GDP.MKTP.CD </t>
  </si>
  <si>
    <t>World Bank (WB), EITI</t>
  </si>
  <si>
    <t>Own calculations: Extractive Government Revenue (US$),EITI * GDP (current US$) [NY.GDP.MKTP.CD],WB.</t>
  </si>
  <si>
    <t>Own calculations: GGR_NGDP, (Revenue consists of taxes, social contributions, grants receivable, and other revenue),IMF * GDP (current US$) [NY.GDP.MKTP.CD],WB.</t>
  </si>
  <si>
    <t xml:space="preserve">https://www.imf.org/external/pubs/ft/weo/2014/02/weodata/index.aspx </t>
  </si>
  <si>
    <t>International Monetary Fund (IMF), EITI.</t>
  </si>
  <si>
    <t>Own calculations: Extractive Government Revenue (US$),EITI * Total Government Revenue, IMF.</t>
  </si>
  <si>
    <t>World Bank (WB), EITI.</t>
  </si>
  <si>
    <t>United Nations Conference on Trade and Development (UNCTAD), World Bank (WB)</t>
  </si>
  <si>
    <t>Own calculations: Extractive Exports (current US$), WB * Total trade in goods and services (US$),UNCTAD.</t>
  </si>
  <si>
    <t>Official Development Assistance (US$), WB</t>
  </si>
  <si>
    <t xml:space="preserve">http://data.worldbank.org/indicator/DT.ODA.ALLD.CD </t>
  </si>
  <si>
    <t xml:space="preserve">http://data.worldbank.org/indicator/SP.POP.TOTL </t>
  </si>
  <si>
    <t>http://data.worldbank.org/indicator/SI.POV.NAHC</t>
  </si>
  <si>
    <t>http://data.worldbank.org/indicator/SP.DYN.LE00.IN</t>
  </si>
  <si>
    <t>http://data.worldbank.org/indicator/SP.DYN.IMRT.IN</t>
  </si>
  <si>
    <t>http://data.worldbank.org/indicator/SE.PRM.NENR</t>
  </si>
  <si>
    <t>Transparency International Corruption Perception Index (range: 0-100)</t>
  </si>
  <si>
    <t xml:space="preserve">Transparency International </t>
  </si>
  <si>
    <t>0: highly corrupt, 100: very clean.</t>
  </si>
  <si>
    <t xml:space="preserve">http://www.transparency.org/research/cpi/overview </t>
  </si>
  <si>
    <t>Resource Governance Index score (2013), NRGI (range: 0-100)</t>
  </si>
  <si>
    <t>Resource Governance Index (RGI)</t>
  </si>
  <si>
    <t>Range: Satisfactory (71-100, marked in green), partial (51-70, yellow), weak (41-50, orange) and failing (0-40, red)</t>
  </si>
  <si>
    <t xml:space="preserve">http://www.revenuewatch.org/rwindex2010/pdf/RevenueWatchIndex_2010.pdf </t>
  </si>
  <si>
    <t>Voice and Accountability, WGI  (range: -2,5 to 2,5).</t>
  </si>
  <si>
    <t>World Governance Indicators (WGI)</t>
  </si>
  <si>
    <t>"Voice and Accountability"</t>
  </si>
  <si>
    <t xml:space="preserve">http://info.worldbank.org/governance/wgi/index.aspx#home </t>
  </si>
  <si>
    <t>Political Stability, WGI  (range: -2,5 to 2,5).</t>
  </si>
  <si>
    <t>"Political Stability"</t>
  </si>
  <si>
    <t>Government Effectiveness, WGI  (range: -2,5 to 2,5).</t>
  </si>
  <si>
    <t>"Government Effectiveness"</t>
  </si>
  <si>
    <t>Regulatory Quality, WGI  (range: -2,5 to 2,5).</t>
  </si>
  <si>
    <t>"Regulatory Quality"</t>
  </si>
  <si>
    <t>Control of Corruption, WGI  (range: -2,5 to 2,5).</t>
  </si>
  <si>
    <t>"Control of Corruption"</t>
  </si>
  <si>
    <t>Mineral production volume and price</t>
  </si>
  <si>
    <t>United States Geological Survey (USGS)</t>
  </si>
  <si>
    <t>http://minerals.usgs.gov/minerals/pubs/country/</t>
  </si>
  <si>
    <t>USGS International Minerals
Statistics and Information</t>
  </si>
  <si>
    <t>http://www.bp.com/en/global/corporate/about-bp/energy-economics/statistical-review-of-world-energy/review-by-energy-type/oil/oil-prices.html</t>
  </si>
  <si>
    <t>World Bank’s Global Economic Monitor commodities database</t>
  </si>
  <si>
    <t>http://data.worldbank.org/data-catalog/commodity-price-data</t>
  </si>
  <si>
    <t>Oil and natural gas production volume and price</t>
  </si>
  <si>
    <t>http://www.eia.gov/</t>
  </si>
  <si>
    <t>US Energy information Administration (EIA)</t>
  </si>
  <si>
    <t xml:space="preserve">According to the EITI report, EITI oil revenues represent 100% of oil revenues. </t>
  </si>
  <si>
    <t xml:space="preserve">Production volumes of chromite, copper, limestone and nickel given p. 8. According to the EITI report, EITI mining revenues represent 97% of mining revenues. </t>
  </si>
  <si>
    <t xml:space="preserve">According to the EITI report, EITI mining revenues represent 100% of mining revenues. </t>
  </si>
  <si>
    <t xml:space="preserve">Gold production volume given in kg in the EITI report, converted here in toz. The production value is given directly in the report. Exchange rate calculated for each transaction, at the value of the day when the transaction occurred. According to the EITI report, EITI extractive revenues represent 98% of total extractive revenues. </t>
  </si>
  <si>
    <t>Materiality threshold: The largest companies which make up over 80% of total mining revenues in 2004-8, and paid over 99% of mineral royalties in 2004, should be reconciled. There is some disaggregation by company, and therefore also by commodity, but this is not comprehensive. Unilateral declarations do not appear to be included in the figures. According to the EITI report, EITI extractive revenues represented 80% of total extractive revenues.</t>
  </si>
  <si>
    <t>Materiality threshold: The largest companies which make up over 80% of total mining revenues in 2004-8, and paid over 99% of mineral royalties in 2005, should be reconciled. Unilateral declarations do not appear to be included in the figures. According to the EITI report, EITI extractive revenues represented 80% of total extractive revenues.</t>
  </si>
  <si>
    <t>Materiality threshold: The largest companies which make up over 80% of total mining revenues in 2004-8, and paid over 99% of mineral royalties in 2006, should be reconciled. Unilateral declarations do not appear to be included in the figures. According to the EITI report, EITI extractive revenues represented 80% of total extractive revenues.</t>
  </si>
  <si>
    <t>Materiality threshold: The largest companies which make up over 80% of total mining revenues in 2004-8, and paid over 99% of mineral royalties in 2007, should be reconciled. Unilateral declarations do not appear to be included in the figures. According to the EITI report, EITI extractive revenues represented 80% of total extractive revenues.</t>
  </si>
  <si>
    <t>Materiality threshold: The largest companies which make up over 80% of total mining revenues in 2004-8, and paid over 99% of mineral royalties in 2008, should be reconciled. Unilateral declarations do not appear to be included in the figures. According to the EITI report, EITI extractive revenues represented 80% of total extractive revenues.</t>
  </si>
  <si>
    <t>All oil exports are sold through the state-owned Iraq Oil Marketing Company (SOMO). The report reconciles the payments made by buyers and the revenues received from these sales by the SOMO. No other revenue streams are considered. Resolved discrepancies are not included in the final figures, but there is insufficent information to add these retrospectively. Unilateral declarations are not included in the figures. The report also covers the destination of the shipments, as well as having a separate section on the mining sector (though no actual figures are provided). The report indicates that 82% of oil extracted in 2009 was exported. According to the EITI report, EITI extractive revenues represented 82% of total extractive revenues.</t>
  </si>
  <si>
    <t>All oil exports are sold through the state-owned Iraq Oil Marketing Company (SOMO). The report reconciles the payments made by buyers and the revenues received from these sales by the SOMO, and the signature bonuses paid by IOCs which are involved in oil field development. Resolved discrepancies are not included in the final figures, but there is insufficent information to add these retrospectively. Unilateral declarations are not included in the figures. The report also covers internal service payments made by Government to SOCs, the destination of the shipments, as well as having separate sections on Kurdistan and the mining sector (though no actual figures are provided). 690,010,000 bbl of oil were exported in 2010, the remainder were consumed locally. According to the EITI report, EITI extractive revenues represented 80% of total extractive revenues.</t>
  </si>
  <si>
    <t>All oil exports are sold through the state-owned Iraq Oil Marketing Company (SOMO). The report reconciles the payments made by buyers and the revenues received from these sales by the SOMO, and the signature bonuses paid by IOCs which are involved in oil field development (though there weren't actually any in 2011). Resolved discrepancies are not included in the final figures, but there is insufficent information to add these retrospectively. Unilateral declarations are not included in the figures. The report also covers internal service payments made by Government to SOCs, cost recovery and remuneration fees paid by Government to the IOCs (included here under subsidies), the destination of the shipments, the local consumption of oil and gas, as well as having a separate section on the mining sector (though no actual figures are provided). No information was provided by the Kurdistan Regional Government. 790,590,000 bbl of oil were exported in 2011, the remainder were consumed locally. According to the EITI report, EITI extractive revenues represented 85% of total extractive revenues.</t>
  </si>
  <si>
    <t>Materiality threshold: Companies that had an income of US$1,000,000 in 2011, or have indicated that they will when fully operational, should be reconciled. These companies accounted for 96.5% of the value of production  in 2011. Unilateral declarations are included in the figures. Voluntary social payments are not included in the figures as they are not disaggregated by company. Government reported voluntary social payments of US$1,291,649 while companies reported payments of US$14,787,462. Some of these were payments in-kind, but the report does not specify the type or value of these. One of the revenue streams is dividends from state shares, but the report does not specify whether the state is the majority shareholder in any of the companies. Total exports were worth US$1,045m in 2011. According to the EITI report, EITI extractive revenues represented 96.5% of total extractive revenues.</t>
  </si>
  <si>
    <t>The report covers the  financial year of 1 July 2009 to 30 June 2010. The report uses both US dollars and the local currency, the Tanzania shilling. Materiality threshold: all companies that paid more than TzS 200 million in the financial year should be reconciled. Reporting companies accounted for 92.4% of total mining and petroleum revenues collected by Government. Unilateral declarations are included in the figures. The gas sector in Tanzania is currently managed by PSAs, where the Tanzania Petroleum Development Corporation (TPDC) is granted licences by the Ministry of Energy and Minerals, mandating TPDC to enter into PSAs with oil and gas companies.The production of gas sector in Tanzania is currently managed by Production Sharing Agreement (PSA), whereas the Tanzania Petroleum Development Corporation (TPDC) is granted licences under the Act by the Ministry of Energy and Minerals, mandating TPDC to enter into PSAs with private companies. The report provides production volumes for some companies in 2010 but not the fiscal year. According to the EITI report, EITI extractive revenues represented 92.4% of total extractive revenues.</t>
  </si>
  <si>
    <t>The report covers the  financial year of 1 July 2010 to 30 June 2011. The report uses both US dollars and the local currency, the Tanzania shilling. Materiality threshold: all companies that paid more than TzS 150 million in the financial year should be reconciled. These companies accounted for 99.3% of total mining and petroleum revenues collected by Government. Unilateral declarations are included in the figures. The gas sector in Tanzania is currently managed by PSAs, where the Tanzania Petroleum Development Corporation (TPDC) is granted licences by the Ministry of Energy and Minerals, mandating TPDC to enter into PSAs with oil and gas companies.The production of gas sector in Tanzania is currently managed by Production Sharing Agreement (PSA), whereas the Tanzania Petroleum Development Corporation (TPDC) is granted licences under the Act by the Ministry of Energy and Minerals, mandating TPDC to enter into PSAs with private companies. The report also covers shareowners of companies, potential reserves, the values of companies' exports and gold export destinations. According to the EITI report, EITI extractive revenues represented 99.3% of total extractive revenues.</t>
  </si>
  <si>
    <t>The report covers the financial year of 1 July 2011 to 30 June 2012. The report uses both US dollars and the local currency, the Tanzania shilling. Materiality threshold: all companies that paid more than TzS 150 million in the financial year should be reconciled. These companies accounted for 99.79% of total mining and petroleum revenues collected by Government. The report doesn't distinguish between oil and gas producers, or provide comprehensive information on which commodities are produced by individual mining companies. Unilateral declarations are included in the figures. The gas sector in Tanzania is currently managed by PSAs, where the Tanzania Petroleum Development Corporation (TPDC) is granted licences by the Ministry of Energy and Minerals, mandating TPDC to enter into PSAs with oil and gas companies. Production in the gas sector in Tanzania is currently managed by Production Sharing Agreement (PSA), whereas the Tanzania Petroleum Development Corporation (TPDC) is granted licences under the Act by the Ministry of Energy and Minerals, mandating TPDC to enter into PSAs with private companies. The report provides production volumes for some companies, but this is not comprehensive. The report also covers shareowners of companies, potential reserves, the values of some companies' exports, gold export destinations and social payments (on p55, but these do not appear to be included in the totals). According to the EITI report, EITI extractive revenues represented 99.79% of total extractive revenues.</t>
  </si>
  <si>
    <t>Exchange rate</t>
  </si>
  <si>
    <t>http://data.worldbank.org/indicator/PA.NUS.FCRF</t>
  </si>
  <si>
    <t>British Petroleum Statistical Review (BPSR)</t>
  </si>
  <si>
    <t>2014 BPSR</t>
  </si>
  <si>
    <t>World Bank's official exchange rate</t>
  </si>
  <si>
    <t>GDP (US$ nominal), WB.</t>
  </si>
  <si>
    <t>Life expectancy at birth, WB.</t>
  </si>
  <si>
    <t>Infant mortality, WB.</t>
  </si>
  <si>
    <t>Primary school enrolment, WB.</t>
  </si>
  <si>
    <t>Voice and Accountability, WGI (range: -2,5 to 2,5).</t>
  </si>
  <si>
    <t>Yes, added by EITI</t>
  </si>
  <si>
    <t xml:space="preserve">For the production volume, the export volume is given. </t>
  </si>
  <si>
    <t>The report covers the  financial year of 1 July 2008 to 30 June 2009. Materiality threshold: All known companies were requested to participate. The report doesn't specify what minerals are mined. Unilateral declarations are included in the report. The National Oil COmpany of Liberia (NOCAL) was establised by Liberia's National Legislature to undertake and/or facilitate the exploration and establishment of the country's liquid and gaseous hydrocarbons deposits. Its actual role is not apparent is not clear from the report however. The total production value figure does not include the production value of the forestry sector.</t>
  </si>
  <si>
    <t>The report covers the  financial year of 1 July 2009 to 30 June 2010. Materiality threshold: All known companies were requested to participate. The report doesn't specify what minerals are mined. Unilateral declarations are included in the report. Although the report states that 71 companies returned their templates, only 67 are named as doing so. The National Oil COmpany of Liberia (NOCAL) was establised by Liberia's National Legislature to undertake and/or facilitate the exploration and establishment of the country's liquid and gaseous hydrocarbons deposits. Its actual role is not apparent is not clear from the report however.  The total production value figure does not include the production value of the forestry sector.</t>
  </si>
  <si>
    <t>The report covers the  financial year of 1 July 2011 to 30 June 2012. Materiality threshold: oil, mining, forestry and agriculture companies that made a payment of at least US$350,000, US$50,000, US$5,000, US$50,000 respectively in the financial year should be reconciled. The report doesn't distinguish between mining companies producing different commodities. Unilateral declarations are included in the report, including the unilateral reporting by government agencies of US$912,242 from the small scale miners, pit sawyers and companies below the threshold. The National Oil Company of Liberia (NOCAL) was establised by Liberia's National Legislature to undertake and/or facilitate the exploration and establishment of the country's liquid and gaseous hydrocarbons deposits. Its actual role is not apparent is not clear from the report however. The report also covers: the value of exports; employment levels for the mining, forestry and agriculture sectors and some companies; the revenue of some agricultural companies; the tracking of revenues particulary to social development entities; an 'amounts due' reconciliation for some fixed amount revenue streams in the oil, mining and forestry sectors; in-kind contributions (though values for these are not reported).  The total production value figure does not include the production value of the forestry sector.</t>
  </si>
  <si>
    <t>The report covers the  financial year of 1 July 2010 to 30 June 2011. Materiality threshold: oil, mining, forestry and agriculture companies that made a payment of at least US$200,000, US$15,000, US$10,000, US$30,000 respectively in the financial year should be reconciled. The report doesn't specify what minerals are mined. Unilateral declarations are included in the report, including the unilateral reporting by government agencies of US$632,541 from the small scale miners and pit sawyers. The originally reported total revenue was US$117m but a US$15m double count in the Oranto/Chevron signing fees was adjusted for in the 2012 EITI Report. The National Oil COmpany of Liberia (NOCAL) was establised by Liberia's National Legislature to undertake and/or facilitate the exploration and establishment of the country's liquid and gaseous hydrocarbons deposits. Its actual role is not apparent is not clear from the report however. The report also covers: payments between the national port authority, its contractor and companies; the tracking of revenues particulary to social development entities; an 'amounts due' reconciliation for some revenue streams in the forestry sector; in-kind contributions. Companies reported on their in-kind payments and its value, but did not explain how this was estimated.  The total production value figure does not include the production value of the forestry sector.</t>
  </si>
  <si>
    <t>Yes, added by NRGI</t>
  </si>
  <si>
    <t>Yes, added by NRGI (the value of national oil company's in-kind receipts has been added to totals, the value of govt in-kind receipts commercialized by the NOC is already included)</t>
  </si>
  <si>
    <t>Govt revenues include the value of in-kind receipts, and company payments made to local govts ("Les paiements infranationaux," unilaterally reported by central govt) and payments from companies below the materiality threshold. Company payments include unilaterally reported "other significant payments" and social payments. The government reported to have received FCFA 9,242,044,569 from mining companies that were not included in the scope; subnational transfers of FCFA 44,491,757. Companies reported to have contributed FCFA 774,034,334 for social and other payments. Volume of in-kind payments greater than total production.</t>
  </si>
  <si>
    <t>Govt revenues include the value of in-kind receipts, and company payments made to local govts ("Les paiements infranationaux," unilaterally reported by central govt) and payments from companies below the materiality threshold. Company payments include unilaterally reported "other significant payments" and social payments. In-kind value is govt-reported total. The government reported to have received FCFA 10,654,141,826 from mining companies that were not included in the scope;  subnational transfers of FCFA 65,337,042 in subnational payments (p.25). Companies reported to have contributed FCFA,512 532,379 for social and "other significant" payments. Volume of in-kind payments greater than total production.</t>
  </si>
  <si>
    <t>Government revenues from covered companies (US$)</t>
  </si>
  <si>
    <t>Government revenues (US$)</t>
  </si>
  <si>
    <t>The report only names the PSC participants that have to submit quarterly financial reports. The government revenues figures are net of DMO fees.</t>
  </si>
  <si>
    <t>Doesn't provide project-level info itself, but could be deduced from other reports</t>
  </si>
  <si>
    <t>Indicates insufficient disaggregation in the report</t>
  </si>
  <si>
    <t>The production volume is the volume exported rather than produced. It appears that Safer provides the gas in this project, but it is not mentioned as part of the joint venture.</t>
  </si>
  <si>
    <t>Oil companies are reported by project, but the appendix, which is unavailable, provides the information on production and payments. The production volume is the volume exported rather than produced. It appears that Safer provides the gas in this project, but it is not mentioned as part of the joint venture.</t>
  </si>
  <si>
    <t>Provides lists of licenses by company but nothing else</t>
  </si>
  <si>
    <t>Diamond price (for countries that have joined the Kimberley process)</t>
  </si>
  <si>
    <t>Kimberley Process</t>
  </si>
  <si>
    <t>https://kimberleyprocessstatistics.org/public_statistics</t>
  </si>
  <si>
    <t>Kimberley Process Annual Summary</t>
  </si>
  <si>
    <t xml:space="preserve">For each country, commodity-specific information on production volumes, prices, production values, revenues received by governments and payments issued by companies, taken from EITI reports and other sources. Also includes macroeconomic and social indicators per country and year. </t>
  </si>
  <si>
    <t xml:space="preserve">Sources used for production volumes, commodity prices and macroeconomic and social indicators. Also includes conversions and calculations. </t>
  </si>
  <si>
    <t>Discrepancies with the EITI International Secretariat data on www.eiti.org</t>
  </si>
  <si>
    <t>Other explanations are included in the comments under the Summary of EITI reports tab, in column T.</t>
  </si>
  <si>
    <t>Data sources</t>
  </si>
  <si>
    <t>Extractive government revenue (US$), EITI</t>
  </si>
  <si>
    <t>Extractive revenues (% GDP), WB and EITI.</t>
  </si>
  <si>
    <t>Extractive exports (% total exports), WB and UNCTAD.</t>
  </si>
  <si>
    <t>Extractive revenues (% Official Development Assistance), WB and EITI.</t>
  </si>
  <si>
    <t>Education expenditure (US$), WB.</t>
  </si>
  <si>
    <t>Extractive revenues (% education expenditure), WB and EITI.</t>
  </si>
  <si>
    <t>Population, WB.</t>
  </si>
  <si>
    <t>Poverty headcount (%pop), WB.</t>
  </si>
  <si>
    <t>Own calculations: Extractive Government Revenue (current US$), EITI / Net official development assistance and official aid received (current US$) [DT.ODA.ALLD.CD],WB.</t>
  </si>
  <si>
    <t>Own calculations: GDP (current US$) [NY.GDP.MKTP.CD] * Health expenditure, public (% of GDP) [SH.XPD.PUBL.ZS]</t>
  </si>
  <si>
    <t>Own calculations: Extractive Revenues (US$), EITI / Health expenditure (US$),WB.</t>
  </si>
  <si>
    <t>Own calculations: GDP (current US$) [NY.GDP.MKTP.CD] * Public spending on education, total (% of GDP) [SE.XPD.TOTL.GD.ZS]</t>
  </si>
  <si>
    <t>Own calculations: Extractive Revenues (US$), EITI / Education expenditure (US$),WB.</t>
  </si>
  <si>
    <t>Extractive revenues (% Total Government revenues), IMF and EITI.</t>
  </si>
  <si>
    <t>Health expenditure (US$), WB.</t>
  </si>
  <si>
    <t>Extractive revenues (% Health expenditure), WB and EITI.</t>
  </si>
  <si>
    <t>Extractive revenues (% Education expenditure), WB and EITI.</t>
  </si>
  <si>
    <t>Poverty Headcount (%pop), WB.</t>
  </si>
  <si>
    <t>Primary school enrolment - WB.</t>
  </si>
  <si>
    <t>Summary of EITI report</t>
  </si>
  <si>
    <t>Methodology notes and caveats</t>
  </si>
  <si>
    <t xml:space="preserve">We attempted, whenever possible, to add the value of payments made in-kind (when the government receives physical volumes of oil, gas, or minerals instead of cash) to the total extractive government revenues. For 56 reports, the EITI reports included in-kind revenues in the calculations of total government receipts (e.g. Azerbaijan 2011-2012; Cameroon 2011-2012), and we use these figures in these instances.  For 29 reports (e.g. Azerbaijan 2003-2010; Cameroon 2001-2010), these revenues had not been included so NRGI calculated the value of in-kind revenues and added them to the total government receipts. Explanations about the monetization of in-kind payments are given in column AB (Comments). </t>
  </si>
  <si>
    <t>NRGI collected information directly from individual EITI reports. We noted that some government receipt and companies payment figures differed from those reported on www.eiti.org by the International Secretariat:</t>
  </si>
  <si>
    <r>
      <t>-</t>
    </r>
    <r>
      <rPr>
        <sz val="7"/>
        <color indexed="8"/>
        <rFont val="Times New Roman"/>
        <family val="1"/>
      </rPr>
      <t xml:space="preserve">          </t>
    </r>
    <r>
      <rPr>
        <sz val="11"/>
        <color indexed="8"/>
        <rFont val="Calibri"/>
        <family val="2"/>
      </rPr>
      <t>For 32 reports, the difference is explained by inclusion of different information (e.g. additional revenue streams such as signature bonuses or in-kind payments). (E.g. Cameroon 2001-2004; Guinea 2006-2011; Iraq 2010).</t>
    </r>
  </si>
  <si>
    <t>-          For 42 reports, the difference is not explained by inclusion of different information and is greater than 1%. Explanations in some cases may include the use of different exchange rates (e.g. NRGI used the World Bank’s exchange rates figures when EITI reports did not provide any, which might have been different from the source used by eiti.org (e.g. Azerbaijan 2004)).</t>
  </si>
  <si>
    <t>Yes, added by NRGI to government revenues (column P)</t>
  </si>
  <si>
    <t>Yes, added by NRGI to companies payments (column Q)</t>
  </si>
  <si>
    <t>Total extractive government revenue (US$), EITI (taken from column P)</t>
  </si>
  <si>
    <t>Total government revenue, IMF.</t>
  </si>
  <si>
    <t>Extractive revenues (% Total government revenues), IMF and EITI.</t>
  </si>
  <si>
    <t>Extractive revenues (% health expenditure), WB and EITI.</t>
  </si>
  <si>
    <t>International Monetary Fund (IMF)</t>
  </si>
  <si>
    <t>Name of project</t>
  </si>
  <si>
    <t>EITI production volumes</t>
  </si>
  <si>
    <t>Price from EITI report</t>
  </si>
  <si>
    <t>Name of companies operating the project</t>
  </si>
  <si>
    <t>Payments made by companies (US$)</t>
  </si>
  <si>
    <t>Page of the report</t>
  </si>
  <si>
    <t>Production volume (from external source)</t>
  </si>
  <si>
    <t>Production volume (from EITI Report)</t>
  </si>
  <si>
    <t>Production volume (from EITI Report, government source)</t>
  </si>
  <si>
    <t>Production volume (from EITI Report, companies source)</t>
  </si>
  <si>
    <t>Volume metric</t>
  </si>
  <si>
    <t>Per unit</t>
  </si>
  <si>
    <t>Source for production volume &amp; price information</t>
  </si>
  <si>
    <t>Payments made by covered companies (US$)</t>
  </si>
  <si>
    <t>Includes in-kind payments</t>
  </si>
  <si>
    <t>In-kind payment volumes</t>
  </si>
  <si>
    <t>In-kind payment value (US$)</t>
  </si>
  <si>
    <t xml:space="preserve">Revenue streams covered (as referenced on EITI website www.eiti.org) </t>
  </si>
  <si>
    <t>Exchange rate utilized, US$1:LC</t>
  </si>
  <si>
    <t>Number of companies requested to report</t>
  </si>
  <si>
    <t>Names of companies requested to report</t>
  </si>
  <si>
    <t>Number of reporting companies</t>
  </si>
  <si>
    <t>Total government revenue, IMF</t>
  </si>
  <si>
    <t>Table of contents</t>
  </si>
  <si>
    <r>
      <t xml:space="preserve">Most EITI countries publish reports in PDF formats, making it difficult to extract the data and conduct analysis. Open data formats like Excel or CSV can benefit all stakeholders by reducing suspicion, building trust, and facilitating analysis that can improve sector policies. In order to make data contained within EITI reports more accessible, NRGI has collected information from </t>
    </r>
    <r>
      <rPr>
        <b/>
        <sz val="11"/>
        <color indexed="8"/>
        <rFont val="Calibri"/>
        <family val="2"/>
      </rPr>
      <t>223</t>
    </r>
    <r>
      <rPr>
        <sz val="11"/>
        <color indexed="8"/>
        <rFont val="Calibri"/>
        <family val="2"/>
      </rPr>
      <t xml:space="preserve"> existing EITI reports published by </t>
    </r>
    <r>
      <rPr>
        <b/>
        <sz val="11"/>
        <color indexed="8"/>
        <rFont val="Calibri"/>
        <family val="2"/>
      </rPr>
      <t>37</t>
    </r>
    <r>
      <rPr>
        <sz val="11"/>
        <color indexed="8"/>
        <rFont val="Calibri"/>
        <family val="2"/>
      </rPr>
      <t xml:space="preserve"> countries before February 2015.   </t>
    </r>
  </si>
  <si>
    <t>Summary of the total extractive revenues received by governments and the payments issued by companies for each EITI country report, and some information about the report itself.</t>
  </si>
  <si>
    <t>Topic</t>
  </si>
  <si>
    <r>
      <t xml:space="preserve">Commodity prices are from EITI reports, if available. If not available, we used </t>
    </r>
    <r>
      <rPr>
        <i/>
        <sz val="11"/>
        <color indexed="8"/>
        <rFont val="Calibri"/>
        <family val="2"/>
      </rPr>
      <t>global prices</t>
    </r>
    <r>
      <rPr>
        <sz val="11"/>
        <color indexed="8"/>
        <rFont val="Calibri"/>
        <family val="2"/>
      </rPr>
      <t xml:space="preserve"> drawn from external sources - British Petroleum Statistical Review 2014, World Bank and United States Geological Survey (see "data sources" tab for full references and links) - with the exception of diamond prices which are available by country if they participate in the Kimberley Process. The sources used are detailed in column N.  </t>
    </r>
  </si>
  <si>
    <t xml:space="preserve">Using global commodity prices introduces inaccuracies in the calculation of the value of production as the actual value of commodities varies significantly from country to country.  Grades of crude oil, for example, can vary as much as $20 per barrel. This variation is especially stark for natural gas prices. NRGI used the British Petroleum Statistical Review as a source for natural gas prices by calculating an average of the UK, US and Canada indices, adjusted to account for the relevant fiscal year. Gas prices in various countries would, however, vary widely from this estimate. This caveat highlights the need for EITI reports to include information on commodity prices in order to facilitate accurate analysis. </t>
  </si>
  <si>
    <t>To improve confidence in the calculated production values, efforts have been made to find country-specific prices for commodities that have an annual production value of more than US$1bn and make up  more than 50 percent of the country's annual total mining production value. Where available, these have been used to adjust the global prices (e.g. Mongolia 2006-2008). This has not been possible for precious stone prices.</t>
  </si>
  <si>
    <r>
      <t xml:space="preserve">-         </t>
    </r>
    <r>
      <rPr>
        <sz val="7"/>
        <color indexed="8"/>
        <rFont val="Times New Roman"/>
        <family val="1"/>
      </rPr>
      <t xml:space="preserve"> </t>
    </r>
    <r>
      <rPr>
        <sz val="11"/>
        <color indexed="8"/>
        <rFont val="Calibri"/>
        <family val="2"/>
      </rPr>
      <t>For 47 reports, the difference is not explained by inclusion of different information but is less than 1 percent (e.g., rounding differences, such as for Ghana 2006; Mongolia 2011)</t>
    </r>
  </si>
  <si>
    <t>Where available, revenues received by governments and payments issued by companies disaggregated by project (by mine or oil field).</t>
  </si>
  <si>
    <t>Dataset: Unlocking EITI Data for Meaningful Reform</t>
  </si>
  <si>
    <t>June 2015</t>
  </si>
  <si>
    <t xml:space="preserve">The difference between  the production volumes reported by EITI and by USGS is explained by the fact that EITI only covers some salt companies (not all). </t>
  </si>
  <si>
    <t xml:space="preserve">The revenues and payments (column P and Q) include USD 66233584.54 of subsidies (as reported in EITI). </t>
  </si>
  <si>
    <t xml:space="preserve">Some gold companies were not taken into account in the EITI  gold production volumes. </t>
  </si>
  <si>
    <t xml:space="preserve">The difference between the EITI  and external sources of production volumes are probably due to the </t>
  </si>
  <si>
    <t xml:space="preserve">The EITI report does not artisanal diamonds in the diamonds production volumes. </t>
  </si>
  <si>
    <t>Not all companies are taken into account in the EITI production volume of tanzanite.</t>
  </si>
  <si>
    <t>Volume from USGS Mineral Yearbook 2012, adjusted to account for the fiscal year. Price from USGS Mineral Yearbook 2010, and is the price in the US for crushed limestone.</t>
  </si>
  <si>
    <t>Volume from USGS Mineral Yearbook 2012, adjusted to account for the fiscal year. Price from USGS Mineral Yearbook 2012.</t>
  </si>
  <si>
    <t>Volume from USGS Mineral Yearbook 2012, adjusted to account for the fiscal year. Price from USGS Mineral Yearbook 2011, and is the price in the US for crushed limestone.</t>
  </si>
  <si>
    <t>We noticed that the production value of limestone seems very high compared to the government revenue for that commodity but would need to investigate further.</t>
  </si>
  <si>
    <r>
      <rPr>
        <b/>
        <sz val="11"/>
        <color rgb="FFFF0000"/>
        <rFont val="Calibri"/>
        <family val="2"/>
      </rPr>
      <t xml:space="preserve">ESTIMATED </t>
    </r>
    <r>
      <rPr>
        <b/>
        <sz val="11"/>
        <color indexed="8"/>
        <rFont val="Calibri"/>
        <family val="2"/>
      </rPr>
      <t>production value (US$)</t>
    </r>
  </si>
  <si>
    <t>Estimated value of production</t>
  </si>
  <si>
    <t>Production values are taken directly from EITI reports, without calculation, if available (e.g. Democratic Republic of Congo 2012). If not available, production values are calculated based on the volumes and prices of the individual commodities (volume x price). If EITI production volumes are available for every year, NRGI used these figures to calculate the production value. If not available for every year, and to ensure consistency across years, NRGI used production volume data from external sources (as referenced in column N) for all years. For instance, to calculate the production value of salt in Afghanistan between 2008 and 2011, NRGI used production volume figures from USGS as EITI production volume figures for salt were not available in 2011. It is important to note that these calculations are ESTIMATES of the value of the production.</t>
  </si>
  <si>
    <t xml:space="preserve">Production volumes are taken from EITI reports if available and referenced as coming from either company or government sources, depending on which entity reported the data (columns H, I and J). If not available, production volumes are drawn from external sources – British Petroleum Statistical Review 2014, US Energy Information Administration and United States Geological Survey (USGS) (see "data sources" tab for full references and links). The list of commodities produced by each country is either identified in the EITI reports or by USGS. Production volumes reported in EITI are sometimes different from those reported by external sources (by USGS for instance) - we flag these differences by highlighting the production volumes cells in light orange and provided potential explanations in column AB. </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</si>
</sst>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41" formatCode="_(* #,##0_);_(* \(#,##0\);_(* &quot;-&quot;_);_(@_)"/>
    <numFmt numFmtId="43" formatCode="_(* #,##0.00_);_(* \(#,##0.00\);_(* &quot;-&quot;??_);_(@_)"/>
    <numFmt numFmtId="164" formatCode="_-* #,##0_-;\-* #,##0_-;_-* &quot;-&quot;_-;_-@_-"/>
    <numFmt numFmtId="165" formatCode="_-&quot;£&quot;* #,##0.00_-;\-&quot;£&quot;* #,##0.00_-;_-&quot;£&quot;* &quot;-&quot;??_-;_-@_-"/>
    <numFmt numFmtId="166" formatCode="_-* #,##0.00_-;\-* #,##0.00_-;_-* &quot;-&quot;??_-;_-@_-"/>
    <numFmt numFmtId="167" formatCode="#,##0.000"/>
    <numFmt numFmtId="168" formatCode="0.0%"/>
    <numFmt numFmtId="169" formatCode="0.0"/>
    <numFmt numFmtId="170" formatCode="0.000"/>
    <numFmt numFmtId="171" formatCode="#,##0.0000"/>
    <numFmt numFmtId="172" formatCode="#,##0.00000"/>
    <numFmt numFmtId="173" formatCode="#,##0.0"/>
    <numFmt numFmtId="174" formatCode="&quot;$&quot;#,##0;\-&quot;$&quot;#,##0"/>
    <numFmt numFmtId="175" formatCode="_-* #,##0.00\ _D_M_-;\-* #,##0.00\ _D_M_-;_-* &quot;-&quot;??\ _D_M_-;_-@_-"/>
    <numFmt numFmtId="176" formatCode="0_)"/>
    <numFmt numFmtId="177" formatCode="_ * #,##0.00_ ;_ * \-#,##0.00_ ;_ * &quot;-&quot;??_ ;_ @_ "/>
    <numFmt numFmtId="178" formatCode="_(&quot;£&quot;\ * #,##0_);_(&quot;£&quot;\ * \(#,##0\);_(&quot;£&quot;\ * &quot;-&quot;_);_(@_)"/>
    <numFmt numFmtId="179" formatCode="_(&quot;£&quot;\ * #,##0.00_);_(&quot;£&quot;\ * \(#,##0.00\);_(&quot;£&quot;\ * &quot;-&quot;??_);_(@_)"/>
    <numFmt numFmtId="180" formatCode="#,###,##0"/>
  </numFmts>
  <fonts count="103">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u/>
      <sz val="11"/>
      <color theme="10"/>
      <name val="Calibri"/>
      <family val="2"/>
      <scheme val="minor"/>
    </font>
    <font>
      <sz val="8"/>
      <name val="Verdana"/>
      <family val="2"/>
    </font>
    <font>
      <sz val="11"/>
      <color rgb="FF000000"/>
      <name val="Calibri"/>
      <family val="2"/>
      <scheme val="minor"/>
    </font>
    <font>
      <sz val="11"/>
      <color rgb="FF000000"/>
      <name val="Calibri"/>
      <family val="2"/>
    </font>
    <font>
      <sz val="11"/>
      <name val="Calibri"/>
      <family val="2"/>
    </font>
    <font>
      <sz val="11"/>
      <name val="Calibri"/>
      <family val="2"/>
      <scheme val="minor"/>
    </font>
    <font>
      <sz val="11"/>
      <color indexed="8"/>
      <name val="Calibri"/>
      <family val="2"/>
      <scheme val="minor"/>
    </font>
    <font>
      <b/>
      <sz val="9"/>
      <color indexed="81"/>
      <name val="Tahoma"/>
      <family val="2"/>
    </font>
    <font>
      <sz val="9"/>
      <color indexed="81"/>
      <name val="Tahoma"/>
      <family val="2"/>
    </font>
    <font>
      <b/>
      <sz val="9"/>
      <color indexed="81"/>
      <name val="Calibri"/>
      <family val="2"/>
    </font>
    <font>
      <sz val="9"/>
      <color indexed="81"/>
      <name val="Calibri"/>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ont>
    <font>
      <u/>
      <sz val="8"/>
      <color indexed="12"/>
      <name val="Arial"/>
      <family val="2"/>
    </font>
    <font>
      <sz val="10"/>
      <name val="Arial"/>
      <family val="2"/>
    </font>
    <font>
      <sz val="8"/>
      <name val="Arial"/>
      <family val="2"/>
    </font>
    <font>
      <sz val="10"/>
      <color theme="1"/>
      <name val="Arial"/>
      <family val="2"/>
    </font>
    <font>
      <b/>
      <sz val="11"/>
      <color indexed="8"/>
      <name val="Calibri"/>
      <family val="2"/>
    </font>
    <font>
      <u/>
      <sz val="11"/>
      <color indexed="8"/>
      <name val="Calibri"/>
      <family val="2"/>
    </font>
    <font>
      <sz val="11"/>
      <color rgb="FF333333"/>
      <name val="Arial"/>
      <family val="2"/>
    </font>
    <font>
      <sz val="11"/>
      <color rgb="FF262626"/>
      <name val="Calibri"/>
      <family val="2"/>
      <scheme val="minor"/>
    </font>
    <font>
      <sz val="11"/>
      <color indexed="8"/>
      <name val="Calibri"/>
      <family val="2"/>
      <scheme val="minor"/>
    </font>
    <font>
      <i/>
      <sz val="11"/>
      <color indexed="8"/>
      <name val="Calibri"/>
      <family val="2"/>
    </font>
    <font>
      <i/>
      <sz val="11"/>
      <color theme="1"/>
      <name val="Calibri"/>
      <family val="2"/>
      <scheme val="minor"/>
    </font>
    <font>
      <b/>
      <sz val="11"/>
      <name val="Calibri"/>
      <family val="2"/>
      <scheme val="minor"/>
    </font>
    <font>
      <b/>
      <sz val="10"/>
      <name val="Arial"/>
      <family val="2"/>
    </font>
    <font>
      <b/>
      <sz val="8"/>
      <color indexed="81"/>
      <name val="Tahoma"/>
      <family val="2"/>
    </font>
    <font>
      <sz val="8"/>
      <color indexed="81"/>
      <name val="Tahoma"/>
      <family val="2"/>
    </font>
    <font>
      <sz val="24"/>
      <color rgb="FFFF0000"/>
      <name val="Arial"/>
      <family val="2"/>
    </font>
    <font>
      <sz val="6"/>
      <color indexed="8"/>
      <name val="Arial"/>
      <family val="2"/>
    </font>
    <font>
      <sz val="9"/>
      <color indexed="8"/>
      <name val="Arial"/>
      <family val="2"/>
    </font>
    <font>
      <sz val="12"/>
      <color indexed="8"/>
      <name val="Arial"/>
      <family val="2"/>
    </font>
    <font>
      <b/>
      <sz val="16"/>
      <color indexed="8"/>
      <name val="Arial"/>
      <family val="2"/>
    </font>
    <font>
      <u/>
      <sz val="10"/>
      <color indexed="12"/>
      <name val="Arial"/>
      <family val="2"/>
    </font>
    <font>
      <u/>
      <sz val="6"/>
      <color theme="10"/>
      <name val="Arial"/>
      <family val="2"/>
    </font>
    <font>
      <sz val="12"/>
      <name val="Calibri"/>
      <family val="2"/>
    </font>
    <font>
      <sz val="10"/>
      <color indexed="8"/>
      <name val="MS Sans Serif"/>
      <family val="2"/>
    </font>
    <font>
      <sz val="10"/>
      <color indexed="10"/>
      <name val="Arial"/>
      <family val="2"/>
    </font>
    <font>
      <sz val="10"/>
      <color indexed="8"/>
      <name val="Arial"/>
      <family val="2"/>
    </font>
    <font>
      <sz val="10"/>
      <name val="MS Sans Serif"/>
      <family val="2"/>
    </font>
    <font>
      <sz val="10"/>
      <color indexed="17"/>
      <name val="Arial"/>
      <family val="2"/>
    </font>
    <font>
      <sz val="11"/>
      <color indexed="27"/>
      <name val="Calibri"/>
      <family val="2"/>
    </font>
    <font>
      <sz val="11"/>
      <color indexed="20"/>
      <name val="Calibri"/>
      <family val="2"/>
    </font>
    <font>
      <b/>
      <sz val="11"/>
      <color indexed="10"/>
      <name val="Calibri"/>
      <family val="2"/>
    </font>
    <font>
      <b/>
      <sz val="11"/>
      <color indexed="27"/>
      <name val="Calibri"/>
      <family val="2"/>
    </font>
    <font>
      <i/>
      <sz val="11"/>
      <color indexed="23"/>
      <name val="Calibri"/>
      <family val="2"/>
    </font>
    <font>
      <sz val="1"/>
      <color indexed="8"/>
      <name val="Courier"/>
      <family val="3"/>
    </font>
    <font>
      <sz val="11"/>
      <color indexed="17"/>
      <name val="Calibri"/>
      <family val="2"/>
    </font>
    <font>
      <b/>
      <sz val="12"/>
      <name val="Arial"/>
      <family val="2"/>
    </font>
    <font>
      <b/>
      <sz val="12"/>
      <name val="Helvetica"/>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0"/>
      <name val="Geneva"/>
    </font>
    <font>
      <sz val="10"/>
      <name val="Times New Roman"/>
      <family val="1"/>
    </font>
    <font>
      <sz val="11"/>
      <name val="SL Swiss"/>
    </font>
    <font>
      <sz val="11"/>
      <color indexed="19"/>
      <name val="Calibri"/>
      <family val="2"/>
    </font>
    <font>
      <sz val="10"/>
      <name val="Arial CE"/>
      <charset val="238"/>
    </font>
    <font>
      <b/>
      <sz val="11"/>
      <color indexed="63"/>
      <name val="Calibri"/>
      <family val="2"/>
    </font>
    <font>
      <sz val="9"/>
      <name val="Helvetica"/>
      <family val="2"/>
    </font>
    <font>
      <b/>
      <sz val="18"/>
      <color indexed="62"/>
      <name val="Cambria"/>
      <family val="2"/>
    </font>
    <font>
      <b/>
      <sz val="10"/>
      <color indexed="8"/>
      <name val="Arial"/>
      <family val="2"/>
    </font>
    <font>
      <b/>
      <i/>
      <sz val="9"/>
      <name val="Helvetica"/>
      <family val="2"/>
    </font>
    <font>
      <sz val="10"/>
      <name val="Arial"/>
      <family val="2"/>
      <charset val="178"/>
    </font>
    <font>
      <sz val="11"/>
      <name val="ＭＳ Ｐゴシック"/>
      <family val="2"/>
      <charset val="128"/>
    </font>
    <font>
      <b/>
      <sz val="10"/>
      <color indexed="8"/>
      <name val="Calibri"/>
      <family val="2"/>
    </font>
    <font>
      <sz val="10"/>
      <color indexed="8"/>
      <name val="Calibri"/>
      <family val="2"/>
    </font>
    <font>
      <u/>
      <sz val="10"/>
      <color theme="10"/>
      <name val="Calibri"/>
      <family val="2"/>
      <scheme val="minor"/>
    </font>
    <font>
      <sz val="10"/>
      <color theme="1"/>
      <name val="Calibri"/>
      <family val="2"/>
      <scheme val="minor"/>
    </font>
    <font>
      <b/>
      <sz val="10"/>
      <color theme="1"/>
      <name val="Calibri"/>
      <family val="2"/>
      <scheme val="minor"/>
    </font>
    <font>
      <sz val="11"/>
      <color indexed="8"/>
      <name val="Cambria"/>
      <family val="1"/>
    </font>
    <font>
      <sz val="7"/>
      <color indexed="8"/>
      <name val="Times New Roman"/>
      <family val="1"/>
    </font>
    <font>
      <b/>
      <sz val="14"/>
      <color rgb="FF000000"/>
      <name val="Calibri"/>
      <family val="2"/>
    </font>
    <font>
      <b/>
      <u/>
      <sz val="14"/>
      <color indexed="8"/>
      <name val="Calibri"/>
      <family val="2"/>
    </font>
    <font>
      <sz val="12"/>
      <color indexed="8"/>
      <name val="Cambria"/>
      <family val="1"/>
    </font>
    <font>
      <b/>
      <sz val="12"/>
      <color rgb="FF000000"/>
      <name val="Calibri"/>
      <family val="2"/>
    </font>
    <font>
      <b/>
      <sz val="12"/>
      <color indexed="8"/>
      <name val="Calibri"/>
      <family val="2"/>
    </font>
    <font>
      <b/>
      <sz val="14"/>
      <color indexed="8"/>
      <name val="Calibri"/>
      <family val="2"/>
    </font>
    <font>
      <b/>
      <sz val="11"/>
      <color rgb="FFFF0000"/>
      <name val="Calibri"/>
      <family val="2"/>
    </font>
  </fonts>
  <fills count="29">
    <fill>
      <patternFill patternType="none"/>
    </fill>
    <fill>
      <patternFill patternType="gray125"/>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4" tint="0.79998168889431442"/>
        <bgColor indexed="32"/>
      </patternFill>
    </fill>
    <fill>
      <patternFill patternType="solid">
        <fgColor indexed="9"/>
        <bgColor indexed="64"/>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indexed="43"/>
        <bgColor indexed="64"/>
      </patternFill>
    </fill>
    <fill>
      <patternFill patternType="gray0625">
        <fgColor indexed="9"/>
      </patternFill>
    </fill>
    <fill>
      <patternFill patternType="solid">
        <fgColor theme="6" tint="0.59999389629810485"/>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9" tint="0.79998168889431442"/>
        <bgColor indexed="64"/>
      </patternFill>
    </fill>
  </fills>
  <borders count="97">
    <border>
      <left/>
      <right/>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medium">
        <color auto="1"/>
      </left>
      <right/>
      <top/>
      <bottom/>
      <diagonal/>
    </border>
    <border>
      <left/>
      <right/>
      <top/>
      <bottom style="thin">
        <color indexed="50"/>
      </bottom>
      <diagonal/>
    </border>
    <border>
      <left style="thin">
        <color auto="1"/>
      </left>
      <right style="thin">
        <color auto="1"/>
      </right>
      <top style="medium">
        <color auto="1"/>
      </top>
      <bottom style="medium">
        <color auto="1"/>
      </bottom>
      <diagonal/>
    </border>
    <border>
      <left/>
      <right style="medium">
        <color auto="1"/>
      </right>
      <top/>
      <bottom/>
      <diagonal/>
    </border>
    <border>
      <left/>
      <right/>
      <top style="thin">
        <color auto="1"/>
      </top>
      <bottom/>
      <diagonal/>
    </border>
    <border>
      <left/>
      <right/>
      <top/>
      <bottom style="thin">
        <color auto="1"/>
      </bottom>
      <diagonal/>
    </border>
    <border>
      <left/>
      <right/>
      <top/>
      <bottom style="medium">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medium">
        <color auto="1"/>
      </left>
      <right/>
      <top/>
      <bottom style="thin">
        <color indexed="64"/>
      </bottom>
      <diagonal/>
    </border>
    <border>
      <left/>
      <right style="medium">
        <color auto="1"/>
      </right>
      <top/>
      <bottom style="thin">
        <color indexed="64"/>
      </bottom>
      <diagonal/>
    </border>
    <border>
      <left/>
      <right/>
      <top/>
      <bottom style="thin">
        <color indexed="9"/>
      </bottom>
      <diagonal/>
    </border>
    <border>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style="thin">
        <color indexed="9"/>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diagonalUp="1">
      <left style="medium">
        <color indexed="60"/>
      </left>
      <right style="medium">
        <color indexed="60"/>
      </right>
      <top style="medium">
        <color indexed="60"/>
      </top>
      <bottom style="medium">
        <color indexed="60"/>
      </bottom>
      <diagonal style="medium">
        <color indexed="60"/>
      </diagonal>
    </border>
    <border>
      <left/>
      <right/>
      <top style="thin">
        <color indexed="64"/>
      </top>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medium">
        <color indexed="60"/>
      </left>
      <right style="medium">
        <color indexed="60"/>
      </right>
      <top/>
      <bottom/>
      <diagonal/>
    </border>
    <border>
      <left/>
      <right/>
      <top style="medium">
        <color indexed="60"/>
      </top>
      <bottom style="medium">
        <color indexed="6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auto="1"/>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thin">
        <color auto="1"/>
      </top>
      <bottom style="thin">
        <color indexed="64"/>
      </bottom>
      <diagonal/>
    </border>
    <border>
      <left/>
      <right/>
      <top style="thin">
        <color indexed="64"/>
      </top>
      <bottom style="medium">
        <color auto="1"/>
      </bottom>
      <diagonal/>
    </border>
    <border>
      <left/>
      <right style="medium">
        <color indexed="64"/>
      </right>
      <top style="medium">
        <color indexed="64"/>
      </top>
      <bottom style="medium">
        <color indexed="64"/>
      </bottom>
      <diagonal/>
    </border>
    <border>
      <left style="thin">
        <color indexed="9"/>
      </left>
      <right/>
      <top/>
      <bottom/>
      <diagonal/>
    </border>
    <border>
      <left/>
      <right style="thin">
        <color indexed="9"/>
      </right>
      <top/>
      <bottom/>
      <diagonal/>
    </border>
    <border>
      <left style="thin">
        <color indexed="9"/>
      </left>
      <right/>
      <top style="thin">
        <color indexed="9"/>
      </top>
      <bottom style="thin">
        <color indexed="9"/>
      </bottom>
      <diagonal/>
    </border>
    <border>
      <left style="thin">
        <color auto="1"/>
      </left>
      <right style="thin">
        <color auto="1"/>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medium">
        <color indexed="64"/>
      </left>
      <right/>
      <top/>
      <bottom/>
      <diagonal/>
    </border>
    <border>
      <left style="medium">
        <color auto="1"/>
      </left>
      <right/>
      <top/>
      <bottom style="medium">
        <color indexed="64"/>
      </bottom>
      <diagonal/>
    </border>
    <border>
      <left style="medium">
        <color indexed="64"/>
      </left>
      <right style="thin">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top/>
      <bottom style="thin">
        <color auto="1"/>
      </bottom>
      <diagonal/>
    </border>
    <border>
      <left style="medium">
        <color indexed="64"/>
      </left>
      <right style="thin">
        <color indexed="64"/>
      </right>
      <top style="medium">
        <color indexed="64"/>
      </top>
      <bottom/>
      <diagonal/>
    </border>
    <border>
      <left style="thin">
        <color auto="1"/>
      </left>
      <right style="medium">
        <color indexed="64"/>
      </right>
      <top style="medium">
        <color indexed="64"/>
      </top>
      <bottom/>
      <diagonal/>
    </border>
    <border>
      <left style="medium">
        <color auto="1"/>
      </left>
      <right/>
      <top style="thin">
        <color auto="1"/>
      </top>
      <bottom style="thin">
        <color indexed="64"/>
      </bottom>
      <diagonal/>
    </border>
    <border>
      <left style="medium">
        <color auto="1"/>
      </left>
      <right/>
      <top style="thin">
        <color indexed="64"/>
      </top>
      <bottom style="medium">
        <color indexed="64"/>
      </bottom>
      <diagonal/>
    </border>
    <border>
      <left/>
      <right style="medium">
        <color auto="1"/>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medium">
        <color auto="1"/>
      </top>
      <bottom style="thin">
        <color indexed="64"/>
      </bottom>
      <diagonal/>
    </border>
    <border>
      <left style="thin">
        <color auto="1"/>
      </left>
      <right style="thin">
        <color auto="1"/>
      </right>
      <top style="medium">
        <color auto="1"/>
      </top>
      <bottom style="thin">
        <color indexed="64"/>
      </bottom>
      <diagonal/>
    </border>
    <border>
      <left/>
      <right style="thin">
        <color indexed="64"/>
      </right>
      <top style="thin">
        <color indexed="64"/>
      </top>
      <bottom style="medium">
        <color indexed="64"/>
      </bottom>
      <diagonal/>
    </border>
    <border>
      <left/>
      <right style="thin">
        <color indexed="9"/>
      </right>
      <top style="thin">
        <color indexed="9"/>
      </top>
      <bottom style="thin">
        <color indexed="9"/>
      </bottom>
      <diagonal/>
    </border>
    <border>
      <left style="medium">
        <color indexed="64"/>
      </left>
      <right style="thin">
        <color auto="1"/>
      </right>
      <top style="medium">
        <color indexed="64"/>
      </top>
      <bottom style="thin">
        <color auto="1"/>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bottom style="thin">
        <color auto="1"/>
      </bottom>
      <diagonal/>
    </border>
    <border>
      <left/>
      <right style="medium">
        <color indexed="64"/>
      </right>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s>
  <cellStyleXfs count="259">
    <xf numFmtId="0" fontId="0" fillId="0" borderId="0"/>
    <xf numFmtId="0" fontId="11" fillId="0" borderId="0"/>
    <xf numFmtId="0" fontId="14" fillId="0" borderId="0" applyNumberFormat="0" applyFill="0" applyBorder="0" applyAlignment="0" applyProtection="0"/>
    <xf numFmtId="0" fontId="10" fillId="0" borderId="0"/>
    <xf numFmtId="0" fontId="25" fillId="0" borderId="0"/>
    <xf numFmtId="0" fontId="26" fillId="0" borderId="0">
      <alignment horizontal="right"/>
    </xf>
    <xf numFmtId="0" fontId="27" fillId="0" borderId="0"/>
    <xf numFmtId="0" fontId="28" fillId="0" borderId="0"/>
    <xf numFmtId="0" fontId="29" fillId="0" borderId="0"/>
    <xf numFmtId="0" fontId="30" fillId="0" borderId="4" applyNumberFormat="0" applyAlignment="0"/>
    <xf numFmtId="0" fontId="31" fillId="0" borderId="0" applyAlignment="0">
      <alignment horizontal="left"/>
    </xf>
    <xf numFmtId="0" fontId="31" fillId="0" borderId="0">
      <alignment horizontal="right"/>
    </xf>
    <xf numFmtId="168" fontId="31" fillId="0" borderId="0">
      <alignment horizontal="right"/>
    </xf>
    <xf numFmtId="169" fontId="32" fillId="0" borderId="0">
      <alignment horizontal="right"/>
    </xf>
    <xf numFmtId="0" fontId="33" fillId="0" borderId="0"/>
    <xf numFmtId="166" fontId="34" fillId="0" borderId="0" applyFont="0" applyFill="0" applyBorder="0" applyAlignment="0" applyProtection="0"/>
    <xf numFmtId="166" fontId="10" fillId="0" borderId="0" applyFont="0" applyFill="0" applyBorder="0" applyAlignment="0" applyProtection="0"/>
    <xf numFmtId="166" fontId="13" fillId="0" borderId="0" applyFont="0" applyFill="0" applyBorder="0" applyAlignment="0" applyProtection="0"/>
    <xf numFmtId="165" fontId="10" fillId="0" borderId="0" applyFont="0" applyFill="0" applyBorder="0" applyAlignment="0" applyProtection="0"/>
    <xf numFmtId="0" fontId="35" fillId="0" borderId="0" applyNumberFormat="0" applyFill="0" applyBorder="0" applyAlignment="0" applyProtection="0">
      <alignment vertical="top"/>
      <protection locked="0"/>
    </xf>
    <xf numFmtId="0" fontId="10" fillId="0" borderId="0"/>
    <xf numFmtId="0" fontId="10" fillId="0" borderId="0"/>
    <xf numFmtId="0" fontId="10" fillId="0" borderId="0"/>
    <xf numFmtId="0" fontId="36" fillId="0" borderId="0"/>
    <xf numFmtId="0" fontId="36" fillId="0" borderId="0"/>
    <xf numFmtId="0" fontId="10" fillId="0" borderId="0"/>
    <xf numFmtId="0" fontId="37" fillId="0" borderId="0" applyFill="0" applyBorder="0"/>
    <xf numFmtId="0" fontId="38" fillId="0" borderId="0"/>
    <xf numFmtId="168" fontId="34" fillId="0" borderId="0" applyFont="0" applyFill="0" applyBorder="0" applyAlignment="0" applyProtection="0"/>
    <xf numFmtId="43" fontId="13" fillId="0" borderId="0" applyFont="0" applyFill="0" applyBorder="0" applyAlignment="0" applyProtection="0"/>
    <xf numFmtId="0" fontId="9" fillId="0" borderId="0"/>
    <xf numFmtId="0" fontId="8" fillId="0" borderId="0"/>
    <xf numFmtId="9" fontId="13" fillId="0" borderId="0" applyFont="0" applyFill="0" applyBorder="0" applyAlignment="0" applyProtection="0"/>
    <xf numFmtId="0" fontId="7" fillId="0" borderId="0"/>
    <xf numFmtId="0" fontId="6" fillId="0" borderId="0"/>
    <xf numFmtId="0" fontId="51" fillId="0" borderId="0"/>
    <xf numFmtId="0" fontId="55"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36" fillId="0" borderId="0">
      <alignment horizontal="left" wrapText="1"/>
    </xf>
    <xf numFmtId="0" fontId="58" fillId="0" borderId="0"/>
    <xf numFmtId="3" fontId="59" fillId="0" borderId="0" applyFont="0" applyProtection="0"/>
    <xf numFmtId="173" fontId="59" fillId="0" borderId="0" applyFont="0" applyProtection="0"/>
    <xf numFmtId="169" fontId="59" fillId="0" borderId="0" applyFont="0" applyProtection="0"/>
    <xf numFmtId="2" fontId="59" fillId="0" borderId="0" applyFont="0" applyProtection="0"/>
    <xf numFmtId="1" fontId="60" fillId="0" borderId="0" applyFont="0"/>
    <xf numFmtId="0" fontId="36" fillId="0" borderId="0">
      <alignment horizontal="left" wrapText="1"/>
    </xf>
    <xf numFmtId="38" fontId="61" fillId="0" borderId="0" applyFont="0" applyFill="0" applyBorder="0" applyAlignment="0" applyProtection="0"/>
    <xf numFmtId="0" fontId="36" fillId="0" borderId="0">
      <alignment horizontal="left" wrapText="1"/>
    </xf>
    <xf numFmtId="0" fontId="36" fillId="0" borderId="0"/>
    <xf numFmtId="0" fontId="36" fillId="0" borderId="0">
      <alignment horizontal="left" wrapText="1"/>
    </xf>
    <xf numFmtId="0" fontId="58" fillId="0" borderId="0">
      <protection locked="0"/>
    </xf>
    <xf numFmtId="0" fontId="36" fillId="0" borderId="0">
      <alignment horizontal="left" wrapText="1"/>
    </xf>
    <xf numFmtId="0" fontId="36" fillId="0" borderId="0">
      <alignment horizontal="left" wrapText="1"/>
    </xf>
    <xf numFmtId="0" fontId="36" fillId="0" borderId="0"/>
    <xf numFmtId="0" fontId="58" fillId="0" borderId="0">
      <protection locked="0"/>
    </xf>
    <xf numFmtId="0" fontId="58" fillId="0" borderId="0">
      <protection locked="0"/>
    </xf>
    <xf numFmtId="0" fontId="36" fillId="0" borderId="0">
      <alignment horizontal="left" wrapText="1"/>
    </xf>
    <xf numFmtId="0" fontId="36" fillId="0" borderId="0"/>
    <xf numFmtId="0" fontId="36" fillId="0" borderId="0">
      <protection locked="0"/>
    </xf>
    <xf numFmtId="0" fontId="36" fillId="0" borderId="0">
      <alignment horizontal="left" wrapText="1"/>
    </xf>
    <xf numFmtId="49" fontId="62" fillId="6" borderId="0" applyFill="0" applyBorder="0">
      <alignment horizontal="left"/>
    </xf>
    <xf numFmtId="0" fontId="37" fillId="0" borderId="0" applyFill="0" applyBorder="0">
      <alignment vertical="center"/>
    </xf>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63" fillId="11" borderId="0" applyNumberFormat="0" applyBorder="0" applyAlignment="0" applyProtection="0"/>
    <xf numFmtId="0" fontId="63" fillId="11" borderId="0" applyNumberFormat="0" applyBorder="0" applyAlignment="0" applyProtection="0"/>
    <xf numFmtId="0" fontId="63" fillId="11" borderId="0" applyNumberFormat="0" applyBorder="0" applyAlignment="0" applyProtection="0"/>
    <xf numFmtId="0" fontId="63" fillId="11" borderId="0" applyNumberFormat="0" applyBorder="0" applyAlignment="0" applyProtection="0"/>
    <xf numFmtId="0" fontId="63" fillId="14" borderId="0" applyNumberFormat="0" applyBorder="0" applyAlignment="0" applyProtection="0"/>
    <xf numFmtId="0" fontId="63" fillId="14" borderId="0" applyNumberFormat="0" applyBorder="0" applyAlignment="0" applyProtection="0"/>
    <xf numFmtId="0" fontId="63" fillId="14" borderId="0" applyNumberFormat="0" applyBorder="0" applyAlignment="0" applyProtection="0"/>
    <xf numFmtId="0" fontId="63" fillId="14"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1" borderId="0" applyNumberFormat="0" applyBorder="0" applyAlignment="0" applyProtection="0"/>
    <xf numFmtId="0" fontId="63" fillId="11" borderId="0" applyNumberFormat="0" applyBorder="0" applyAlignment="0" applyProtection="0"/>
    <xf numFmtId="0" fontId="63" fillId="11" borderId="0" applyNumberFormat="0" applyBorder="0" applyAlignment="0" applyProtection="0"/>
    <xf numFmtId="0" fontId="63" fillId="11" borderId="0" applyNumberFormat="0" applyBorder="0" applyAlignment="0" applyProtection="0"/>
    <xf numFmtId="0" fontId="63" fillId="8" borderId="0" applyNumberFormat="0" applyBorder="0" applyAlignment="0" applyProtection="0"/>
    <xf numFmtId="0" fontId="63" fillId="8" borderId="0" applyNumberFormat="0" applyBorder="0" applyAlignment="0" applyProtection="0"/>
    <xf numFmtId="0" fontId="63" fillId="8" borderId="0" applyNumberFormat="0" applyBorder="0" applyAlignment="0" applyProtection="0"/>
    <xf numFmtId="0" fontId="63" fillId="8" borderId="0" applyNumberFormat="0" applyBorder="0" applyAlignment="0" applyProtection="0"/>
    <xf numFmtId="0" fontId="63" fillId="16" borderId="0" applyNumberFormat="0" applyBorder="0" applyAlignment="0" applyProtection="0"/>
    <xf numFmtId="0" fontId="63" fillId="16" borderId="0" applyNumberFormat="0" applyBorder="0" applyAlignment="0" applyProtection="0"/>
    <xf numFmtId="0" fontId="63" fillId="16" borderId="0" applyNumberFormat="0" applyBorder="0" applyAlignment="0" applyProtection="0"/>
    <xf numFmtId="0" fontId="63" fillId="16" borderId="0" applyNumberFormat="0" applyBorder="0" applyAlignment="0" applyProtection="0"/>
    <xf numFmtId="0" fontId="63" fillId="14" borderId="0" applyNumberFormat="0" applyBorder="0" applyAlignment="0" applyProtection="0"/>
    <xf numFmtId="0" fontId="63" fillId="14" borderId="0" applyNumberFormat="0" applyBorder="0" applyAlignment="0" applyProtection="0"/>
    <xf numFmtId="0" fontId="63" fillId="14" borderId="0" applyNumberFormat="0" applyBorder="0" applyAlignment="0" applyProtection="0"/>
    <xf numFmtId="0" fontId="63" fillId="14"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7" borderId="0" applyNumberFormat="0" applyBorder="0" applyAlignment="0" applyProtection="0"/>
    <xf numFmtId="0" fontId="63" fillId="17" borderId="0" applyNumberFormat="0" applyBorder="0" applyAlignment="0" applyProtection="0"/>
    <xf numFmtId="0" fontId="63" fillId="17" borderId="0" applyNumberFormat="0" applyBorder="0" applyAlignment="0" applyProtection="0"/>
    <xf numFmtId="0" fontId="63" fillId="17" borderId="0" applyNumberFormat="0" applyBorder="0" applyAlignment="0" applyProtection="0"/>
    <xf numFmtId="0" fontId="63" fillId="18" borderId="0" applyNumberFormat="0" applyBorder="0" applyAlignment="0" applyProtection="0"/>
    <xf numFmtId="0" fontId="63" fillId="18" borderId="0" applyNumberFormat="0" applyBorder="0" applyAlignment="0" applyProtection="0"/>
    <xf numFmtId="0" fontId="63" fillId="18" borderId="0" applyNumberFormat="0" applyBorder="0" applyAlignment="0" applyProtection="0"/>
    <xf numFmtId="0" fontId="63" fillId="18" borderId="0" applyNumberFormat="0" applyBorder="0" applyAlignment="0" applyProtection="0"/>
    <xf numFmtId="0" fontId="63" fillId="19" borderId="0" applyNumberFormat="0" applyBorder="0" applyAlignment="0" applyProtection="0"/>
    <xf numFmtId="0" fontId="63" fillId="19" borderId="0" applyNumberFormat="0" applyBorder="0" applyAlignment="0" applyProtection="0"/>
    <xf numFmtId="0" fontId="63" fillId="19" borderId="0" applyNumberFormat="0" applyBorder="0" applyAlignment="0" applyProtection="0"/>
    <xf numFmtId="0" fontId="63" fillId="19" borderId="0" applyNumberFormat="0" applyBorder="0" applyAlignment="0" applyProtection="0"/>
    <xf numFmtId="0" fontId="64" fillId="20" borderId="0" applyNumberFormat="0" applyBorder="0" applyAlignment="0" applyProtection="0"/>
    <xf numFmtId="0" fontId="64" fillId="20" borderId="0" applyNumberFormat="0" applyBorder="0" applyAlignment="0" applyProtection="0"/>
    <xf numFmtId="0" fontId="64" fillId="20" borderId="0" applyNumberFormat="0" applyBorder="0" applyAlignment="0" applyProtection="0"/>
    <xf numFmtId="0" fontId="64" fillId="20" borderId="0" applyNumberFormat="0" applyBorder="0" applyAlignment="0" applyProtection="0"/>
    <xf numFmtId="0" fontId="65" fillId="21" borderId="30" applyNumberFormat="0" applyAlignment="0" applyProtection="0"/>
    <xf numFmtId="0" fontId="65" fillId="21" borderId="30" applyNumberFormat="0" applyAlignment="0" applyProtection="0"/>
    <xf numFmtId="0" fontId="65" fillId="21" borderId="30" applyNumberFormat="0" applyAlignment="0" applyProtection="0"/>
    <xf numFmtId="0" fontId="65" fillId="21" borderId="30" applyNumberFormat="0" applyAlignment="0" applyProtection="0"/>
    <xf numFmtId="0" fontId="66" fillId="22" borderId="31" applyNumberFormat="0" applyAlignment="0" applyProtection="0"/>
    <xf numFmtId="0" fontId="66" fillId="22" borderId="31" applyNumberFormat="0" applyAlignment="0" applyProtection="0"/>
    <xf numFmtId="0" fontId="66" fillId="22" borderId="31" applyNumberFormat="0" applyAlignment="0" applyProtection="0"/>
    <xf numFmtId="0" fontId="66" fillId="22" borderId="31" applyNumberFormat="0" applyAlignment="0" applyProtection="0"/>
    <xf numFmtId="41" fontId="36" fillId="0" borderId="0" applyFill="0" applyBorder="0" applyAlignment="0" applyProtection="0"/>
    <xf numFmtId="3" fontId="36" fillId="0" borderId="0" applyFont="0" applyFill="0" applyBorder="0" applyAlignment="0" applyProtection="0"/>
    <xf numFmtId="174" fontId="36" fillId="0" borderId="0" applyFont="0" applyFill="0" applyBorder="0" applyAlignment="0" applyProtection="0"/>
    <xf numFmtId="14" fontId="36" fillId="0" borderId="0" applyFont="0" applyFill="0" applyBorder="0" applyAlignment="0" applyProtection="0"/>
    <xf numFmtId="175" fontId="36" fillId="0" borderId="0" applyFon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protection locked="0"/>
    </xf>
    <xf numFmtId="0" fontId="68" fillId="0" borderId="0">
      <protection locked="0"/>
    </xf>
    <xf numFmtId="0" fontId="68" fillId="0" borderId="0">
      <protection locked="0"/>
    </xf>
    <xf numFmtId="0" fontId="68" fillId="0" borderId="0">
      <protection locked="0"/>
    </xf>
    <xf numFmtId="0" fontId="68" fillId="0" borderId="0">
      <protection locked="0"/>
    </xf>
    <xf numFmtId="0" fontId="68" fillId="0" borderId="0">
      <protection locked="0"/>
    </xf>
    <xf numFmtId="0" fontId="68" fillId="0" borderId="0">
      <protection locked="0"/>
    </xf>
    <xf numFmtId="2" fontId="36" fillId="0" borderId="0" applyFont="0" applyFill="0" applyBorder="0" applyAlignment="0" applyProtection="0"/>
    <xf numFmtId="0" fontId="69" fillId="11" borderId="0" applyNumberFormat="0" applyBorder="0" applyAlignment="0" applyProtection="0"/>
    <xf numFmtId="0" fontId="69" fillId="11" borderId="0" applyNumberFormat="0" applyBorder="0" applyAlignment="0" applyProtection="0"/>
    <xf numFmtId="0" fontId="69" fillId="11" borderId="0" applyNumberFormat="0" applyBorder="0" applyAlignment="0" applyProtection="0"/>
    <xf numFmtId="0" fontId="69" fillId="11" borderId="0" applyNumberFormat="0" applyBorder="0" applyAlignment="0" applyProtection="0"/>
    <xf numFmtId="0" fontId="70" fillId="23" borderId="32">
      <alignment horizontal="right" vertical="center" wrapText="1"/>
    </xf>
    <xf numFmtId="176" fontId="71" fillId="0" borderId="33" applyNumberFormat="0" applyFill="0" applyBorder="0" applyProtection="0">
      <alignment horizontal="left"/>
    </xf>
    <xf numFmtId="0" fontId="72" fillId="0" borderId="34" applyNumberFormat="0" applyFill="0" applyAlignment="0" applyProtection="0"/>
    <xf numFmtId="0" fontId="72" fillId="0" borderId="34" applyNumberFormat="0" applyFill="0" applyAlignment="0" applyProtection="0"/>
    <xf numFmtId="0" fontId="72" fillId="0" borderId="34" applyNumberFormat="0" applyFill="0" applyAlignment="0" applyProtection="0"/>
    <xf numFmtId="0" fontId="72" fillId="0" borderId="34"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4" fillId="0" borderId="36" applyNumberFormat="0" applyFill="0" applyAlignment="0" applyProtection="0"/>
    <xf numFmtId="0" fontId="74" fillId="0" borderId="36" applyNumberFormat="0" applyFill="0" applyAlignment="0" applyProtection="0"/>
    <xf numFmtId="0" fontId="74" fillId="0" borderId="36" applyNumberFormat="0" applyFill="0" applyAlignment="0" applyProtection="0"/>
    <xf numFmtId="0" fontId="74" fillId="0" borderId="36" applyNumberFormat="0" applyFill="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5" fillId="12" borderId="30" applyNumberFormat="0" applyAlignment="0" applyProtection="0"/>
    <xf numFmtId="0" fontId="75" fillId="12" borderId="30" applyNumberFormat="0" applyAlignment="0" applyProtection="0"/>
    <xf numFmtId="0" fontId="75" fillId="12" borderId="30" applyNumberFormat="0" applyAlignment="0" applyProtection="0"/>
    <xf numFmtId="0" fontId="75" fillId="12" borderId="30" applyNumberFormat="0" applyAlignment="0" applyProtection="0"/>
    <xf numFmtId="0" fontId="76" fillId="0" borderId="37" applyNumberFormat="0" applyFill="0" applyAlignment="0" applyProtection="0"/>
    <xf numFmtId="0" fontId="76" fillId="0" borderId="37" applyNumberFormat="0" applyFill="0" applyAlignment="0" applyProtection="0"/>
    <xf numFmtId="0" fontId="76" fillId="0" borderId="37" applyNumberFormat="0" applyFill="0" applyAlignment="0" applyProtection="0"/>
    <xf numFmtId="0" fontId="76" fillId="0" borderId="37" applyNumberFormat="0" applyFill="0" applyAlignment="0" applyProtection="0"/>
    <xf numFmtId="0" fontId="77" fillId="0" borderId="0"/>
    <xf numFmtId="164" fontId="78" fillId="0" borderId="0" applyFont="0" applyFill="0" applyBorder="0" applyAlignment="0" applyProtection="0"/>
    <xf numFmtId="177" fontId="36" fillId="0" borderId="0" applyFont="0" applyFill="0" applyBorder="0" applyAlignment="0" applyProtection="0"/>
    <xf numFmtId="178" fontId="78" fillId="0" borderId="0" applyFont="0" applyFill="0" applyBorder="0" applyAlignment="0" applyProtection="0"/>
    <xf numFmtId="179" fontId="78" fillId="0" borderId="0" applyFont="0" applyFill="0" applyBorder="0" applyAlignment="0" applyProtection="0"/>
    <xf numFmtId="0" fontId="79" fillId="0" borderId="0"/>
    <xf numFmtId="0" fontId="80" fillId="12" borderId="0" applyNumberFormat="0" applyBorder="0" applyAlignment="0" applyProtection="0"/>
    <xf numFmtId="0" fontId="80" fillId="12" borderId="0" applyNumberFormat="0" applyBorder="0" applyAlignment="0" applyProtection="0"/>
    <xf numFmtId="0" fontId="80" fillId="12" borderId="0" applyNumberFormat="0" applyBorder="0" applyAlignment="0" applyProtection="0"/>
    <xf numFmtId="0" fontId="80" fillId="12" borderId="0" applyNumberFormat="0" applyBorder="0" applyAlignment="0" applyProtection="0"/>
    <xf numFmtId="0" fontId="81" fillId="0" borderId="0"/>
    <xf numFmtId="0" fontId="36" fillId="9" borderId="38" applyNumberFormat="0" applyFont="0" applyAlignment="0" applyProtection="0"/>
    <xf numFmtId="0" fontId="36" fillId="9" borderId="38" applyNumberFormat="0" applyFont="0" applyAlignment="0" applyProtection="0"/>
    <xf numFmtId="0" fontId="36" fillId="9" borderId="38" applyNumberFormat="0" applyFont="0" applyAlignment="0" applyProtection="0"/>
    <xf numFmtId="0" fontId="36" fillId="9" borderId="38" applyNumberFormat="0" applyFont="0" applyAlignment="0" applyProtection="0"/>
    <xf numFmtId="0" fontId="82" fillId="21" borderId="39" applyNumberFormat="0" applyAlignment="0" applyProtection="0"/>
    <xf numFmtId="0" fontId="82" fillId="21" borderId="39" applyNumberFormat="0" applyAlignment="0" applyProtection="0"/>
    <xf numFmtId="0" fontId="82" fillId="21" borderId="39" applyNumberFormat="0" applyAlignment="0" applyProtection="0"/>
    <xf numFmtId="0" fontId="82" fillId="21" borderId="39" applyNumberFormat="0" applyAlignment="0" applyProtection="0"/>
    <xf numFmtId="0" fontId="36" fillId="0" borderId="0"/>
    <xf numFmtId="176" fontId="83" fillId="0" borderId="33" applyNumberFormat="0" applyFill="0" applyBorder="0" applyProtection="0">
      <alignment horizontal="left"/>
    </xf>
    <xf numFmtId="0" fontId="36" fillId="0" borderId="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176" fontId="83" fillId="0" borderId="33" applyNumberFormat="0" applyFill="0" applyBorder="0" applyProtection="0">
      <alignment horizontal="right"/>
    </xf>
    <xf numFmtId="0" fontId="39" fillId="0" borderId="40" applyNumberFormat="0" applyFill="0" applyAlignment="0" applyProtection="0"/>
    <xf numFmtId="0" fontId="39" fillId="0" borderId="40" applyNumberFormat="0" applyFill="0" applyAlignment="0" applyProtection="0"/>
    <xf numFmtId="0" fontId="39" fillId="0" borderId="40" applyNumberFormat="0" applyFill="0" applyAlignment="0" applyProtection="0"/>
    <xf numFmtId="0" fontId="39" fillId="0" borderId="40" applyNumberFormat="0" applyFill="0" applyAlignment="0" applyProtection="0"/>
    <xf numFmtId="180" fontId="85" fillId="24" borderId="0" applyNumberFormat="0" applyBorder="0">
      <protection locked="0"/>
    </xf>
    <xf numFmtId="176" fontId="86" fillId="0" borderId="0" applyNumberFormat="0" applyFill="0" applyBorder="0" applyAlignment="0" applyProtection="0">
      <alignment horizontal="left"/>
    </xf>
    <xf numFmtId="0" fontId="87" fillId="0" borderId="41">
      <alignment horizontal="right" vertical="center" indent="1"/>
    </xf>
    <xf numFmtId="0" fontId="87" fillId="23" borderId="41">
      <alignment horizontal="left" vertical="center" wrapText="1" indent="1"/>
    </xf>
    <xf numFmtId="0" fontId="87" fillId="0" borderId="42">
      <alignment horizontal="left" vertical="center"/>
    </xf>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88" fillId="0" borderId="0"/>
    <xf numFmtId="0" fontId="2" fillId="0" borderId="0"/>
  </cellStyleXfs>
  <cellXfs count="664">
    <xf numFmtId="0" fontId="0" fillId="0" borderId="0" xfId="0"/>
    <xf numFmtId="0" fontId="12" fillId="2" borderId="2" xfId="1" applyFont="1" applyFill="1" applyBorder="1" applyAlignment="1">
      <alignment horizontal="left" vertical="top" wrapText="1"/>
    </xf>
    <xf numFmtId="49" fontId="12" fillId="2" borderId="2" xfId="1" applyNumberFormat="1" applyFont="1" applyFill="1" applyBorder="1" applyAlignment="1">
      <alignment horizontal="left" vertical="top" wrapText="1"/>
    </xf>
    <xf numFmtId="0" fontId="12" fillId="2" borderId="0" xfId="1" applyFont="1" applyFill="1" applyAlignment="1">
      <alignment vertical="top" wrapText="1"/>
    </xf>
    <xf numFmtId="0" fontId="11" fillId="0" borderId="0" xfId="1"/>
    <xf numFmtId="0" fontId="11" fillId="0" borderId="0" xfId="1" applyFill="1" applyAlignment="1">
      <alignment horizontal="left"/>
    </xf>
    <xf numFmtId="0" fontId="15" fillId="0" borderId="0" xfId="1" applyFont="1" applyFill="1" applyBorder="1" applyAlignment="1"/>
    <xf numFmtId="0" fontId="0" fillId="0" borderId="0" xfId="0" applyFill="1" applyAlignment="1">
      <alignment horizontal="left" wrapText="1"/>
    </xf>
    <xf numFmtId="3" fontId="11" fillId="0" borderId="0" xfId="1" applyNumberFormat="1" applyFill="1" applyAlignment="1">
      <alignment horizontal="left"/>
    </xf>
    <xf numFmtId="0" fontId="11" fillId="0" borderId="0" xfId="1" applyFill="1"/>
    <xf numFmtId="0" fontId="14" fillId="0" borderId="0" xfId="2" applyFill="1"/>
    <xf numFmtId="0" fontId="0" fillId="0" borderId="0" xfId="0" applyAlignment="1">
      <alignment horizontal="left" wrapText="1"/>
    </xf>
    <xf numFmtId="0" fontId="11" fillId="3" borderId="0" xfId="1" applyFill="1"/>
    <xf numFmtId="3" fontId="0" fillId="0" borderId="0" xfId="0" applyNumberFormat="1" applyAlignment="1">
      <alignment horizontal="left" wrapText="1"/>
    </xf>
    <xf numFmtId="167" fontId="11" fillId="0" borderId="0" xfId="1" applyNumberFormat="1" applyFill="1"/>
    <xf numFmtId="0" fontId="11" fillId="4" borderId="0" xfId="1" applyFill="1"/>
    <xf numFmtId="3" fontId="0" fillId="0" borderId="0" xfId="0" applyNumberFormat="1" applyFill="1" applyAlignment="1">
      <alignment horizontal="left" wrapText="1"/>
    </xf>
    <xf numFmtId="3" fontId="18" fillId="0" borderId="0" xfId="0" applyNumberFormat="1" applyFont="1" applyFill="1" applyAlignment="1">
      <alignment horizontal="left" wrapText="1"/>
    </xf>
    <xf numFmtId="3" fontId="0" fillId="0" borderId="0" xfId="0" applyNumberFormat="1" applyFill="1" applyBorder="1" applyAlignment="1">
      <alignment horizontal="left" wrapText="1"/>
    </xf>
    <xf numFmtId="0" fontId="19" fillId="0" borderId="0" xfId="1" applyFont="1" applyFill="1"/>
    <xf numFmtId="0" fontId="19" fillId="0" borderId="0" xfId="1" applyFont="1" applyFill="1" applyAlignment="1">
      <alignment horizontal="left"/>
    </xf>
    <xf numFmtId="49" fontId="19" fillId="0" borderId="0" xfId="1" applyNumberFormat="1" applyFont="1" applyFill="1" applyAlignment="1">
      <alignment horizontal="left"/>
    </xf>
    <xf numFmtId="0" fontId="18" fillId="0" borderId="0" xfId="0" applyFont="1" applyFill="1" applyAlignment="1">
      <alignment horizontal="left" wrapText="1"/>
    </xf>
    <xf numFmtId="3" fontId="19" fillId="0" borderId="0" xfId="1" applyNumberFormat="1" applyFont="1" applyFill="1" applyAlignment="1">
      <alignment horizontal="left"/>
    </xf>
    <xf numFmtId="49" fontId="11" fillId="0" borderId="0" xfId="1" applyNumberFormat="1" applyFill="1" applyAlignment="1">
      <alignment horizontal="left"/>
    </xf>
    <xf numFmtId="0" fontId="39" fillId="0" borderId="5" xfId="0" applyFont="1" applyFill="1" applyBorder="1" applyAlignment="1">
      <alignment vertical="top" wrapText="1"/>
    </xf>
    <xf numFmtId="0" fontId="10" fillId="0" borderId="3" xfId="25" applyFill="1" applyBorder="1" applyAlignment="1">
      <alignment horizontal="left"/>
    </xf>
    <xf numFmtId="0" fontId="0" fillId="0" borderId="0" xfId="0" applyFill="1" applyBorder="1" applyAlignment="1">
      <alignment horizontal="left" wrapText="1"/>
    </xf>
    <xf numFmtId="4" fontId="0" fillId="0" borderId="0" xfId="0" applyNumberFormat="1" applyFill="1" applyBorder="1" applyAlignment="1">
      <alignment horizontal="left" wrapText="1"/>
    </xf>
    <xf numFmtId="0" fontId="0" fillId="0" borderId="0" xfId="0" applyFill="1" applyBorder="1" applyAlignment="1">
      <alignment wrapText="1"/>
    </xf>
    <xf numFmtId="170" fontId="0" fillId="0" borderId="0" xfId="0" applyNumberFormat="1" applyFill="1" applyBorder="1" applyAlignment="1">
      <alignment horizontal="left" wrapText="1"/>
    </xf>
    <xf numFmtId="15" fontId="0" fillId="0" borderId="0" xfId="0" applyNumberFormat="1" applyFill="1" applyBorder="1" applyAlignment="1">
      <alignment horizontal="left" wrapText="1"/>
    </xf>
    <xf numFmtId="0" fontId="0" fillId="0" borderId="0" xfId="0" applyFill="1" applyAlignment="1">
      <alignment wrapText="1"/>
    </xf>
    <xf numFmtId="0" fontId="0" fillId="0" borderId="7" xfId="0" applyFill="1" applyBorder="1" applyAlignment="1">
      <alignment horizontal="left" wrapText="1"/>
    </xf>
    <xf numFmtId="3" fontId="0" fillId="0" borderId="7" xfId="0" applyNumberFormat="1" applyFill="1" applyBorder="1" applyAlignment="1">
      <alignment horizontal="left" wrapText="1"/>
    </xf>
    <xf numFmtId="0" fontId="10" fillId="0" borderId="3" xfId="25" applyFont="1" applyFill="1" applyBorder="1" applyAlignment="1">
      <alignment horizontal="left"/>
    </xf>
    <xf numFmtId="0" fontId="0" fillId="0" borderId="0" xfId="0" applyBorder="1" applyAlignment="1">
      <alignment horizontal="left" wrapText="1"/>
    </xf>
    <xf numFmtId="0" fontId="0" fillId="0" borderId="9" xfId="0" applyFill="1" applyBorder="1" applyAlignment="1">
      <alignment horizontal="left" wrapText="1"/>
    </xf>
    <xf numFmtId="3" fontId="0" fillId="0" borderId="9" xfId="0" applyNumberFormat="1" applyFill="1" applyBorder="1" applyAlignment="1">
      <alignment horizontal="left" wrapText="1"/>
    </xf>
    <xf numFmtId="0" fontId="10" fillId="0" borderId="0" xfId="25" applyFont="1" applyFill="1" applyBorder="1" applyAlignment="1">
      <alignment horizontal="left"/>
    </xf>
    <xf numFmtId="0" fontId="0" fillId="0" borderId="10" xfId="0" applyFill="1" applyBorder="1" applyAlignment="1">
      <alignment horizontal="left" wrapText="1"/>
    </xf>
    <xf numFmtId="0" fontId="0" fillId="0" borderId="0" xfId="0" applyFill="1" applyBorder="1" applyAlignment="1">
      <alignment horizontal="left"/>
    </xf>
    <xf numFmtId="3" fontId="10" fillId="0" borderId="0" xfId="25" applyNumberFormat="1" applyFill="1" applyBorder="1" applyAlignment="1">
      <alignment horizontal="left"/>
    </xf>
    <xf numFmtId="3" fontId="10" fillId="0" borderId="0" xfId="25" applyNumberFormat="1" applyFont="1" applyFill="1" applyBorder="1" applyAlignment="1">
      <alignment horizontal="left"/>
    </xf>
    <xf numFmtId="4" fontId="0" fillId="0" borderId="0" xfId="0" applyNumberFormat="1" applyFill="1" applyBorder="1" applyAlignment="1">
      <alignment horizontal="left"/>
    </xf>
    <xf numFmtId="170" fontId="10" fillId="0" borderId="0" xfId="25" applyNumberFormat="1" applyFill="1" applyBorder="1" applyAlignment="1">
      <alignment horizontal="left"/>
    </xf>
    <xf numFmtId="4" fontId="0" fillId="0" borderId="0" xfId="0" applyNumberFormat="1" applyFill="1" applyAlignment="1">
      <alignment horizontal="left" wrapText="1"/>
    </xf>
    <xf numFmtId="170" fontId="0" fillId="0" borderId="0" xfId="0" applyNumberFormat="1" applyAlignment="1">
      <alignment horizontal="left" wrapText="1"/>
    </xf>
    <xf numFmtId="4" fontId="0" fillId="0" borderId="10" xfId="0" applyNumberFormat="1" applyFill="1" applyBorder="1" applyAlignment="1">
      <alignment horizontal="left" wrapText="1"/>
    </xf>
    <xf numFmtId="3" fontId="0" fillId="0" borderId="10" xfId="0" applyNumberFormat="1" applyFill="1" applyBorder="1" applyAlignment="1">
      <alignment horizontal="left" wrapText="1"/>
    </xf>
    <xf numFmtId="170" fontId="0" fillId="0" borderId="10" xfId="0" applyNumberFormat="1" applyFill="1" applyBorder="1" applyAlignment="1">
      <alignment horizontal="left" wrapText="1"/>
    </xf>
    <xf numFmtId="0" fontId="0" fillId="0" borderId="10" xfId="0" applyFill="1" applyBorder="1" applyAlignment="1">
      <alignment wrapText="1"/>
    </xf>
    <xf numFmtId="4" fontId="10" fillId="0" borderId="0" xfId="25" applyNumberFormat="1" applyFont="1" applyFill="1" applyBorder="1" applyAlignment="1">
      <alignment horizontal="left"/>
    </xf>
    <xf numFmtId="0" fontId="10" fillId="0" borderId="0" xfId="25" applyFill="1" applyBorder="1" applyAlignment="1">
      <alignment horizontal="left"/>
    </xf>
    <xf numFmtId="49" fontId="0" fillId="0" borderId="0" xfId="0" applyNumberFormat="1" applyFill="1" applyBorder="1" applyAlignment="1">
      <alignment horizontal="left" wrapText="1"/>
    </xf>
    <xf numFmtId="0" fontId="0" fillId="0" borderId="0" xfId="0" applyFont="1" applyFill="1" applyBorder="1" applyAlignment="1">
      <alignment horizontal="left" wrapText="1"/>
    </xf>
    <xf numFmtId="0" fontId="0" fillId="0" borderId="0" xfId="0" applyNumberFormat="1" applyFill="1" applyBorder="1" applyAlignment="1">
      <alignment horizontal="left" wrapText="1"/>
    </xf>
    <xf numFmtId="10" fontId="0" fillId="0" borderId="0" xfId="0" applyNumberFormat="1" applyFill="1" applyBorder="1" applyAlignment="1">
      <alignment horizontal="left" wrapText="1"/>
    </xf>
    <xf numFmtId="0" fontId="0" fillId="0" borderId="9" xfId="0" applyFill="1" applyBorder="1" applyAlignment="1">
      <alignment horizontal="left"/>
    </xf>
    <xf numFmtId="0" fontId="0" fillId="0" borderId="3" xfId="0" applyFill="1" applyBorder="1" applyAlignment="1">
      <alignment horizontal="left" wrapText="1"/>
    </xf>
    <xf numFmtId="0" fontId="0" fillId="0" borderId="6" xfId="0" applyFill="1" applyBorder="1" applyAlignment="1">
      <alignment wrapText="1"/>
    </xf>
    <xf numFmtId="3" fontId="0" fillId="0" borderId="0" xfId="0" applyNumberFormat="1" applyFill="1" applyBorder="1" applyAlignment="1">
      <alignment horizontal="left"/>
    </xf>
    <xf numFmtId="3" fontId="10" fillId="0" borderId="10" xfId="25" applyNumberFormat="1" applyFill="1" applyBorder="1" applyAlignment="1">
      <alignment horizontal="left"/>
    </xf>
    <xf numFmtId="0" fontId="10" fillId="0" borderId="3" xfId="25" applyFont="1" applyFill="1" applyBorder="1"/>
    <xf numFmtId="0" fontId="0" fillId="0" borderId="11" xfId="0" applyFill="1" applyBorder="1" applyAlignment="1">
      <alignment horizontal="left" wrapText="1"/>
    </xf>
    <xf numFmtId="0" fontId="0" fillId="3" borderId="0" xfId="0" applyFill="1" applyAlignment="1">
      <alignment wrapText="1"/>
    </xf>
    <xf numFmtId="0" fontId="0" fillId="0" borderId="14" xfId="0" applyFill="1" applyBorder="1" applyAlignment="1">
      <alignment wrapText="1"/>
    </xf>
    <xf numFmtId="171" fontId="0" fillId="0" borderId="0" xfId="0" applyNumberFormat="1" applyFill="1" applyBorder="1" applyAlignment="1">
      <alignment horizontal="left" wrapText="1"/>
    </xf>
    <xf numFmtId="0" fontId="18" fillId="0" borderId="0" xfId="0" applyFont="1" applyFill="1" applyBorder="1" applyAlignment="1">
      <alignment horizontal="left" wrapText="1"/>
    </xf>
    <xf numFmtId="0" fontId="10" fillId="0" borderId="0" xfId="25" applyFont="1" applyFill="1" applyBorder="1"/>
    <xf numFmtId="172" fontId="0" fillId="0" borderId="0" xfId="0" applyNumberFormat="1" applyFill="1" applyBorder="1" applyAlignment="1">
      <alignment horizontal="left" wrapText="1"/>
    </xf>
    <xf numFmtId="3" fontId="0" fillId="0" borderId="0" xfId="0" applyNumberFormat="1" applyFill="1" applyBorder="1" applyAlignment="1">
      <alignment wrapText="1"/>
    </xf>
    <xf numFmtId="170" fontId="0" fillId="0" borderId="0" xfId="0" applyNumberFormat="1" applyFill="1" applyBorder="1" applyAlignment="1">
      <alignment wrapText="1"/>
    </xf>
    <xf numFmtId="43" fontId="0" fillId="0" borderId="0" xfId="29" applyFont="1" applyFill="1" applyBorder="1" applyAlignment="1">
      <alignment horizontal="left" wrapText="1"/>
    </xf>
    <xf numFmtId="2" fontId="0" fillId="0" borderId="0" xfId="0" applyNumberFormat="1" applyFill="1" applyBorder="1" applyAlignment="1">
      <alignment horizontal="left" wrapText="1"/>
    </xf>
    <xf numFmtId="0" fontId="0" fillId="0" borderId="0" xfId="0" applyFill="1" applyBorder="1" applyAlignment="1">
      <alignment vertical="center"/>
    </xf>
    <xf numFmtId="3" fontId="18" fillId="0" borderId="0" xfId="0" applyNumberFormat="1" applyFont="1" applyFill="1" applyBorder="1" applyAlignment="1">
      <alignment horizontal="left" wrapText="1"/>
    </xf>
    <xf numFmtId="0" fontId="0" fillId="0" borderId="14" xfId="0" applyFill="1" applyBorder="1" applyAlignment="1">
      <alignment horizontal="left" wrapText="1"/>
    </xf>
    <xf numFmtId="1" fontId="0" fillId="0" borderId="0" xfId="0" applyNumberFormat="1" applyFill="1" applyBorder="1" applyAlignment="1">
      <alignment horizontal="left" wrapText="1"/>
    </xf>
    <xf numFmtId="9" fontId="0" fillId="0" borderId="0" xfId="0" applyNumberFormat="1" applyFill="1" applyBorder="1" applyAlignment="1">
      <alignment horizontal="left" wrapText="1"/>
    </xf>
    <xf numFmtId="4" fontId="0" fillId="0" borderId="0" xfId="0" applyNumberFormat="1" applyFill="1" applyBorder="1" applyAlignment="1">
      <alignment wrapText="1"/>
    </xf>
    <xf numFmtId="49" fontId="0" fillId="0" borderId="0" xfId="0" applyNumberFormat="1" applyFill="1" applyBorder="1" applyAlignment="1">
      <alignment wrapText="1"/>
    </xf>
    <xf numFmtId="0" fontId="0" fillId="0" borderId="13" xfId="0" applyFill="1" applyBorder="1" applyAlignment="1">
      <alignment horizontal="left" wrapText="1"/>
    </xf>
    <xf numFmtId="4" fontId="0" fillId="0" borderId="14" xfId="0" applyNumberFormat="1" applyFill="1" applyBorder="1" applyAlignment="1">
      <alignment horizontal="left" wrapText="1"/>
    </xf>
    <xf numFmtId="3" fontId="0" fillId="0" borderId="14" xfId="0" applyNumberFormat="1" applyFill="1" applyBorder="1" applyAlignment="1">
      <alignment horizontal="left" wrapText="1"/>
    </xf>
    <xf numFmtId="170" fontId="0" fillId="0" borderId="14" xfId="0" applyNumberFormat="1" applyFill="1" applyBorder="1" applyAlignment="1">
      <alignment horizontal="left" wrapText="1"/>
    </xf>
    <xf numFmtId="0" fontId="44" fillId="0" borderId="10" xfId="0" applyFont="1" applyBorder="1" applyAlignment="1">
      <alignment horizontal="left" wrapText="1"/>
    </xf>
    <xf numFmtId="3" fontId="45" fillId="0" borderId="10" xfId="25" applyNumberFormat="1" applyFont="1" applyBorder="1" applyAlignment="1">
      <alignment horizontal="left"/>
    </xf>
    <xf numFmtId="4" fontId="44" fillId="0" borderId="10" xfId="0" applyNumberFormat="1" applyFont="1" applyFill="1" applyBorder="1" applyAlignment="1">
      <alignment horizontal="left" wrapText="1"/>
    </xf>
    <xf numFmtId="0" fontId="44" fillId="0" borderId="10" xfId="0" applyFont="1" applyFill="1" applyBorder="1" applyAlignment="1">
      <alignment horizontal="left" wrapText="1"/>
    </xf>
    <xf numFmtId="3" fontId="44" fillId="0" borderId="10" xfId="0" applyNumberFormat="1" applyFont="1" applyFill="1" applyBorder="1" applyAlignment="1">
      <alignment horizontal="left" wrapText="1"/>
    </xf>
    <xf numFmtId="170" fontId="44" fillId="0" borderId="10" xfId="0" applyNumberFormat="1" applyFont="1" applyBorder="1" applyAlignment="1">
      <alignment horizontal="left" wrapText="1"/>
    </xf>
    <xf numFmtId="3" fontId="44" fillId="0" borderId="10" xfId="0" applyNumberFormat="1" applyFont="1" applyBorder="1" applyAlignment="1">
      <alignment horizontal="left" wrapText="1"/>
    </xf>
    <xf numFmtId="0" fontId="44" fillId="0" borderId="10" xfId="0" applyFont="1" applyFill="1" applyBorder="1" applyAlignment="1">
      <alignment wrapText="1"/>
    </xf>
    <xf numFmtId="3" fontId="10" fillId="0" borderId="0" xfId="25" applyNumberFormat="1" applyFont="1" applyAlignment="1">
      <alignment horizontal="left"/>
    </xf>
    <xf numFmtId="0" fontId="46" fillId="5" borderId="5" xfId="22" applyFont="1" applyFill="1" applyBorder="1" applyAlignment="1">
      <alignment horizontal="left" wrapText="1"/>
    </xf>
    <xf numFmtId="0" fontId="19" fillId="2" borderId="19" xfId="22" applyFont="1" applyFill="1" applyBorder="1"/>
    <xf numFmtId="0" fontId="10" fillId="0" borderId="0" xfId="22" applyFont="1" applyFill="1" applyAlignment="1">
      <alignment horizontal="left"/>
    </xf>
    <xf numFmtId="0" fontId="10" fillId="0" borderId="0" xfId="22"/>
    <xf numFmtId="0" fontId="10" fillId="0" borderId="7" xfId="22" applyFont="1" applyFill="1" applyBorder="1" applyAlignment="1">
      <alignment horizontal="left"/>
    </xf>
    <xf numFmtId="0" fontId="10" fillId="0" borderId="7" xfId="22" applyBorder="1"/>
    <xf numFmtId="0" fontId="10" fillId="0" borderId="0" xfId="22" applyFont="1" applyFill="1" applyBorder="1" applyAlignment="1">
      <alignment horizontal="left"/>
    </xf>
    <xf numFmtId="0" fontId="10" fillId="0" borderId="0" xfId="22" applyBorder="1"/>
    <xf numFmtId="0" fontId="10" fillId="0" borderId="9" xfId="22" applyFont="1" applyFill="1" applyBorder="1" applyAlignment="1">
      <alignment horizontal="left"/>
    </xf>
    <xf numFmtId="0" fontId="10" fillId="0" borderId="9" xfId="22" applyBorder="1"/>
    <xf numFmtId="3" fontId="10" fillId="0" borderId="0" xfId="22" applyNumberFormat="1" applyBorder="1" applyAlignment="1">
      <alignment horizontal="left"/>
    </xf>
    <xf numFmtId="0" fontId="10" fillId="0" borderId="0" xfId="22" applyBorder="1" applyAlignment="1">
      <alignment horizontal="left"/>
    </xf>
    <xf numFmtId="0" fontId="10" fillId="0" borderId="0" xfId="22" applyFont="1" applyBorder="1"/>
    <xf numFmtId="0" fontId="10" fillId="0" borderId="8" xfId="22" applyFont="1" applyFill="1" applyBorder="1" applyAlignment="1">
      <alignment horizontal="left"/>
    </xf>
    <xf numFmtId="0" fontId="10" fillId="0" borderId="8" xfId="22" applyBorder="1"/>
    <xf numFmtId="0" fontId="10" fillId="0" borderId="10" xfId="22" applyFont="1" applyFill="1" applyBorder="1" applyAlignment="1">
      <alignment horizontal="left"/>
    </xf>
    <xf numFmtId="0" fontId="10" fillId="0" borderId="10" xfId="22" applyBorder="1"/>
    <xf numFmtId="0" fontId="10" fillId="0" borderId="16" xfId="22" applyFont="1" applyFill="1" applyBorder="1" applyAlignment="1">
      <alignment horizontal="left"/>
    </xf>
    <xf numFmtId="0" fontId="10" fillId="0" borderId="16" xfId="22" applyBorder="1"/>
    <xf numFmtId="0" fontId="10" fillId="0" borderId="0" xfId="22" applyAlignment="1">
      <alignment horizontal="left"/>
    </xf>
    <xf numFmtId="3" fontId="10" fillId="0" borderId="7" xfId="22" applyNumberFormat="1" applyBorder="1" applyAlignment="1">
      <alignment horizontal="left"/>
    </xf>
    <xf numFmtId="0" fontId="10" fillId="0" borderId="7" xfId="22" applyBorder="1" applyAlignment="1">
      <alignment horizontal="left"/>
    </xf>
    <xf numFmtId="0" fontId="10" fillId="0" borderId="7" xfId="22" applyFont="1" applyBorder="1" applyAlignment="1">
      <alignment horizontal="left"/>
    </xf>
    <xf numFmtId="0" fontId="10" fillId="0" borderId="0" xfId="22" applyFont="1" applyBorder="1" applyAlignment="1">
      <alignment horizontal="left"/>
    </xf>
    <xf numFmtId="0" fontId="10" fillId="0" borderId="9" xfId="22" applyBorder="1" applyAlignment="1">
      <alignment horizontal="left"/>
    </xf>
    <xf numFmtId="0" fontId="10" fillId="0" borderId="9" xfId="22" applyFont="1" applyBorder="1" applyAlignment="1">
      <alignment horizontal="left"/>
    </xf>
    <xf numFmtId="3" fontId="10" fillId="0" borderId="9" xfId="22" applyNumberFormat="1" applyBorder="1" applyAlignment="1">
      <alignment horizontal="left"/>
    </xf>
    <xf numFmtId="0" fontId="10" fillId="0" borderId="14" xfId="22" applyFont="1" applyFill="1" applyBorder="1" applyAlignment="1">
      <alignment horizontal="left"/>
    </xf>
    <xf numFmtId="0" fontId="10" fillId="0" borderId="0" xfId="22" applyFill="1" applyAlignment="1">
      <alignment horizontal="left"/>
    </xf>
    <xf numFmtId="0" fontId="10" fillId="0" borderId="14" xfId="22" applyBorder="1" applyAlignment="1">
      <alignment horizontal="left"/>
    </xf>
    <xf numFmtId="0" fontId="10" fillId="0" borderId="16" xfId="22" applyFill="1" applyBorder="1" applyAlignment="1">
      <alignment horizontal="left"/>
    </xf>
    <xf numFmtId="0" fontId="10" fillId="0" borderId="0" xfId="22" applyFill="1"/>
    <xf numFmtId="0" fontId="10" fillId="0" borderId="7" xfId="22" applyFill="1" applyBorder="1" applyAlignment="1">
      <alignment horizontal="left"/>
    </xf>
    <xf numFmtId="3" fontId="10" fillId="0" borderId="7" xfId="22" applyNumberFormat="1" applyFill="1" applyBorder="1" applyAlignment="1">
      <alignment horizontal="left"/>
    </xf>
    <xf numFmtId="0" fontId="10" fillId="0" borderId="7" xfId="22" applyFill="1" applyBorder="1"/>
    <xf numFmtId="0" fontId="10" fillId="0" borderId="0" xfId="22" applyFill="1" applyBorder="1" applyAlignment="1">
      <alignment horizontal="left"/>
    </xf>
    <xf numFmtId="0" fontId="10" fillId="0" borderId="0" xfId="22" applyFill="1" applyBorder="1"/>
    <xf numFmtId="3" fontId="10" fillId="0" borderId="0" xfId="22" applyNumberFormat="1" applyFill="1" applyBorder="1" applyAlignment="1">
      <alignment horizontal="left"/>
    </xf>
    <xf numFmtId="3" fontId="10" fillId="0" borderId="0" xfId="22" applyNumberFormat="1" applyFont="1" applyFill="1" applyBorder="1" applyAlignment="1">
      <alignment horizontal="left"/>
    </xf>
    <xf numFmtId="0" fontId="10" fillId="0" borderId="9" xfId="22" applyFill="1" applyBorder="1" applyAlignment="1">
      <alignment horizontal="left"/>
    </xf>
    <xf numFmtId="0" fontId="10" fillId="0" borderId="9" xfId="22" applyFill="1" applyBorder="1"/>
    <xf numFmtId="0" fontId="10" fillId="0" borderId="10" xfId="22" applyFill="1" applyBorder="1" applyAlignment="1">
      <alignment horizontal="left"/>
    </xf>
    <xf numFmtId="0" fontId="10" fillId="0" borderId="10" xfId="22" applyFill="1" applyBorder="1"/>
    <xf numFmtId="0" fontId="10" fillId="0" borderId="8" xfId="22" applyFill="1" applyBorder="1" applyAlignment="1">
      <alignment horizontal="left"/>
    </xf>
    <xf numFmtId="0" fontId="10" fillId="0" borderId="8" xfId="22" applyFill="1" applyBorder="1"/>
    <xf numFmtId="0" fontId="10" fillId="0" borderId="14" xfId="22" applyFill="1" applyBorder="1" applyAlignment="1">
      <alignment horizontal="left"/>
    </xf>
    <xf numFmtId="0" fontId="10" fillId="0" borderId="14" xfId="22" applyBorder="1"/>
    <xf numFmtId="0" fontId="10" fillId="0" borderId="18" xfId="22" applyFont="1" applyFill="1" applyBorder="1" applyAlignment="1">
      <alignment horizontal="left"/>
    </xf>
    <xf numFmtId="0" fontId="10" fillId="0" borderId="18" xfId="22" applyFill="1" applyBorder="1" applyAlignment="1">
      <alignment horizontal="left"/>
    </xf>
    <xf numFmtId="0" fontId="10" fillId="0" borderId="18" xfId="22" applyBorder="1" applyAlignment="1">
      <alignment horizontal="left"/>
    </xf>
    <xf numFmtId="0" fontId="10" fillId="0" borderId="18" xfId="22" applyBorder="1"/>
    <xf numFmtId="0" fontId="10" fillId="0" borderId="0" xfId="25" applyFont="1" applyFill="1" applyBorder="1" applyAlignment="1">
      <alignment horizontal="left" wrapText="1"/>
    </xf>
    <xf numFmtId="0" fontId="44" fillId="0" borderId="0" xfId="0" applyFont="1" applyBorder="1" applyAlignment="1">
      <alignment horizontal="left" wrapText="1"/>
    </xf>
    <xf numFmtId="0" fontId="9" fillId="0" borderId="0" xfId="30"/>
    <xf numFmtId="0" fontId="47" fillId="0" borderId="0" xfId="23" applyFont="1"/>
    <xf numFmtId="0" fontId="36" fillId="0" borderId="0" xfId="23"/>
    <xf numFmtId="0" fontId="8" fillId="0" borderId="0" xfId="31"/>
    <xf numFmtId="0" fontId="12" fillId="0" borderId="0" xfId="31" applyFont="1"/>
    <xf numFmtId="1" fontId="8" fillId="0" borderId="0" xfId="31" applyNumberFormat="1"/>
    <xf numFmtId="0" fontId="50" fillId="0" borderId="0" xfId="23" applyFont="1" applyFill="1"/>
    <xf numFmtId="0" fontId="36" fillId="0" borderId="0" xfId="23" applyFont="1" applyFill="1"/>
    <xf numFmtId="169" fontId="36" fillId="0" borderId="20" xfId="23" applyNumberFormat="1" applyFont="1" applyFill="1" applyBorder="1" applyAlignment="1">
      <alignment horizontal="center" wrapText="1"/>
    </xf>
    <xf numFmtId="0" fontId="36" fillId="0" borderId="2" xfId="23" applyFont="1" applyFill="1" applyBorder="1"/>
    <xf numFmtId="2" fontId="36" fillId="0" borderId="2" xfId="23" applyNumberFormat="1" applyFont="1" applyFill="1" applyBorder="1"/>
    <xf numFmtId="1" fontId="36" fillId="0" borderId="2" xfId="23" applyNumberFormat="1" applyFont="1" applyFill="1" applyBorder="1"/>
    <xf numFmtId="1" fontId="36" fillId="0" borderId="0" xfId="23" applyNumberFormat="1" applyFont="1" applyFill="1"/>
    <xf numFmtId="0" fontId="7" fillId="0" borderId="0" xfId="33"/>
    <xf numFmtId="49" fontId="18" fillId="0" borderId="0" xfId="0" applyNumberFormat="1" applyFont="1" applyFill="1" applyAlignment="1">
      <alignment horizontal="left" wrapText="1"/>
    </xf>
    <xf numFmtId="0" fontId="19" fillId="0" borderId="0" xfId="0" applyFont="1" applyFill="1" applyAlignment="1">
      <alignment horizontal="left" wrapText="1"/>
    </xf>
    <xf numFmtId="4" fontId="18" fillId="0" borderId="0" xfId="0" applyNumberFormat="1" applyFont="1" applyFill="1" applyAlignment="1">
      <alignment horizontal="left" wrapText="1"/>
    </xf>
    <xf numFmtId="0" fontId="19" fillId="0" borderId="0" xfId="0" applyFont="1" applyFill="1" applyAlignment="1">
      <alignment horizontal="left" vertical="top"/>
    </xf>
    <xf numFmtId="0" fontId="19" fillId="0" borderId="0" xfId="0" applyFont="1" applyFill="1" applyAlignment="1">
      <alignment vertical="top"/>
    </xf>
    <xf numFmtId="3" fontId="19" fillId="0" borderId="0" xfId="1" applyNumberFormat="1" applyFont="1" applyFill="1" applyBorder="1" applyAlignment="1">
      <alignment horizontal="left"/>
    </xf>
    <xf numFmtId="0" fontId="19" fillId="0" borderId="0" xfId="0" applyFont="1" applyFill="1" applyBorder="1" applyAlignment="1">
      <alignment horizontal="left" wrapText="1"/>
    </xf>
    <xf numFmtId="0" fontId="18" fillId="0" borderId="0" xfId="0" applyFont="1" applyFill="1"/>
    <xf numFmtId="4" fontId="19" fillId="0" borderId="0" xfId="0" applyNumberFormat="1" applyFont="1" applyFill="1" applyAlignment="1">
      <alignment horizontal="left" vertical="center"/>
    </xf>
    <xf numFmtId="0" fontId="17" fillId="0" borderId="3" xfId="0" applyFont="1" applyFill="1" applyBorder="1" applyAlignment="1">
      <alignment horizontal="left" wrapText="1"/>
    </xf>
    <xf numFmtId="0" fontId="10" fillId="0" borderId="23" xfId="25" applyFont="1" applyFill="1" applyBorder="1" applyAlignment="1">
      <alignment horizontal="left"/>
    </xf>
    <xf numFmtId="0" fontId="10" fillId="0" borderId="3" xfId="3" applyFont="1" applyFill="1" applyBorder="1"/>
    <xf numFmtId="0" fontId="0" fillId="0" borderId="3" xfId="0" applyFill="1" applyBorder="1" applyAlignment="1">
      <alignment vertical="top"/>
    </xf>
    <xf numFmtId="0" fontId="17" fillId="0" borderId="3" xfId="0" applyFont="1" applyFill="1" applyBorder="1" applyAlignment="1">
      <alignment vertical="top"/>
    </xf>
    <xf numFmtId="3" fontId="10" fillId="0" borderId="0" xfId="3" applyNumberFormat="1" applyFont="1" applyFill="1" applyBorder="1" applyAlignment="1">
      <alignment horizontal="left"/>
    </xf>
    <xf numFmtId="0" fontId="17" fillId="0" borderId="0" xfId="0" applyFont="1" applyFill="1" applyBorder="1" applyAlignment="1">
      <alignment horizontal="left" wrapText="1"/>
    </xf>
    <xf numFmtId="3" fontId="17" fillId="0" borderId="0" xfId="0" applyNumberFormat="1" applyFont="1" applyFill="1" applyBorder="1" applyAlignment="1">
      <alignment horizontal="left" wrapText="1"/>
    </xf>
    <xf numFmtId="0" fontId="10" fillId="0" borderId="13" xfId="25" applyFont="1" applyFill="1" applyBorder="1"/>
    <xf numFmtId="0" fontId="10" fillId="0" borderId="14" xfId="25" applyFill="1" applyBorder="1" applyAlignment="1">
      <alignment horizontal="left"/>
    </xf>
    <xf numFmtId="0" fontId="10" fillId="0" borderId="14" xfId="25" applyFont="1" applyFill="1" applyBorder="1" applyAlignment="1">
      <alignment horizontal="left"/>
    </xf>
    <xf numFmtId="3" fontId="10" fillId="0" borderId="14" xfId="25" applyNumberFormat="1" applyFont="1" applyFill="1" applyBorder="1" applyAlignment="1">
      <alignment horizontal="left"/>
    </xf>
    <xf numFmtId="0" fontId="17" fillId="0" borderId="0" xfId="0" applyFont="1" applyFill="1" applyBorder="1" applyAlignment="1">
      <alignment vertical="top"/>
    </xf>
    <xf numFmtId="0" fontId="0" fillId="0" borderId="0" xfId="0" applyFill="1" applyBorder="1" applyAlignment="1">
      <alignment horizontal="left" vertical="top"/>
    </xf>
    <xf numFmtId="0" fontId="0" fillId="0" borderId="0" xfId="0" applyFill="1" applyBorder="1" applyAlignment="1">
      <alignment vertical="top"/>
    </xf>
    <xf numFmtId="0" fontId="0" fillId="0" borderId="0" xfId="0" applyFill="1" applyBorder="1" applyAlignment="1">
      <alignment vertical="top" wrapText="1"/>
    </xf>
    <xf numFmtId="3" fontId="10" fillId="0" borderId="0" xfId="3" applyNumberFormat="1" applyFont="1" applyFill="1" applyBorder="1" applyAlignment="1">
      <alignment vertical="top"/>
    </xf>
    <xf numFmtId="3" fontId="0" fillId="0" borderId="0" xfId="0" applyNumberFormat="1" applyFill="1" applyBorder="1" applyAlignment="1">
      <alignment horizontal="left" vertical="top"/>
    </xf>
    <xf numFmtId="0" fontId="17" fillId="0" borderId="0" xfId="0" applyFont="1" applyFill="1" applyBorder="1" applyAlignment="1">
      <alignment horizontal="left" vertical="top"/>
    </xf>
    <xf numFmtId="0" fontId="8" fillId="0" borderId="0" xfId="25" applyFont="1" applyFill="1" applyBorder="1" applyAlignment="1">
      <alignment horizontal="left" wrapText="1"/>
    </xf>
    <xf numFmtId="0" fontId="10" fillId="0" borderId="14" xfId="25" applyFont="1" applyFill="1" applyBorder="1" applyAlignment="1">
      <alignment horizontal="left" wrapText="1"/>
    </xf>
    <xf numFmtId="0" fontId="10" fillId="0" borderId="14" xfId="25" applyFont="1" applyFill="1" applyBorder="1"/>
    <xf numFmtId="3" fontId="18" fillId="0" borderId="14" xfId="0" applyNumberFormat="1" applyFont="1" applyFill="1" applyBorder="1" applyAlignment="1">
      <alignment horizontal="left" wrapText="1"/>
    </xf>
    <xf numFmtId="0" fontId="18" fillId="0" borderId="14" xfId="0" applyFont="1" applyFill="1" applyBorder="1" applyAlignment="1">
      <alignment horizontal="left" wrapText="1"/>
    </xf>
    <xf numFmtId="0" fontId="17" fillId="0" borderId="0" xfId="0" applyFont="1" applyFill="1" applyBorder="1" applyAlignment="1">
      <alignment vertical="top" wrapText="1"/>
    </xf>
    <xf numFmtId="3" fontId="10" fillId="0" borderId="0" xfId="3" applyNumberFormat="1" applyFont="1" applyFill="1" applyBorder="1" applyAlignment="1">
      <alignment horizontal="left" vertical="top"/>
    </xf>
    <xf numFmtId="3" fontId="0" fillId="0" borderId="0" xfId="0" applyNumberFormat="1" applyFill="1" applyBorder="1"/>
    <xf numFmtId="0" fontId="42" fillId="0" borderId="0" xfId="0" applyFont="1" applyFill="1" applyBorder="1" applyAlignment="1">
      <alignment horizontal="left"/>
    </xf>
    <xf numFmtId="170" fontId="17" fillId="0" borderId="0" xfId="0" applyNumberFormat="1" applyFont="1" applyFill="1" applyBorder="1" applyAlignment="1">
      <alignment horizontal="left" wrapText="1"/>
    </xf>
    <xf numFmtId="0" fontId="10" fillId="0" borderId="0" xfId="0" applyFont="1" applyFill="1" applyBorder="1" applyAlignment="1">
      <alignment horizontal="left" wrapText="1"/>
    </xf>
    <xf numFmtId="0" fontId="16" fillId="0" borderId="0" xfId="0" applyFont="1" applyFill="1" applyBorder="1"/>
    <xf numFmtId="0" fontId="14" fillId="0" borderId="0" xfId="2" applyFill="1" applyAlignment="1">
      <alignment vertical="center"/>
    </xf>
    <xf numFmtId="0" fontId="11" fillId="0" borderId="0" xfId="1" applyFill="1" applyAlignment="1"/>
    <xf numFmtId="0" fontId="51" fillId="0" borderId="27" xfId="35" applyFont="1" applyBorder="1"/>
    <xf numFmtId="0" fontId="53" fillId="0" borderId="27" xfId="35" applyFont="1" applyBorder="1"/>
    <xf numFmtId="0" fontId="54" fillId="0" borderId="27" xfId="35" applyFont="1" applyBorder="1"/>
    <xf numFmtId="0" fontId="0" fillId="0" borderId="0" xfId="0" applyAlignment="1">
      <alignment wrapText="1"/>
    </xf>
    <xf numFmtId="49" fontId="57" fillId="0" borderId="0" xfId="35" applyNumberFormat="1" applyFont="1" applyAlignment="1">
      <alignment horizontal="left"/>
    </xf>
    <xf numFmtId="0" fontId="11" fillId="0" borderId="0" xfId="1" applyFill="1" applyAlignment="1">
      <alignment wrapText="1"/>
    </xf>
    <xf numFmtId="0" fontId="11" fillId="0" borderId="0" xfId="1" applyAlignment="1">
      <alignment wrapText="1"/>
    </xf>
    <xf numFmtId="3" fontId="11" fillId="25" borderId="0" xfId="1" applyNumberFormat="1" applyFill="1" applyAlignment="1">
      <alignment horizontal="left"/>
    </xf>
    <xf numFmtId="3" fontId="11" fillId="25" borderId="0" xfId="1" applyNumberFormat="1" applyFill="1" applyBorder="1" applyAlignment="1">
      <alignment horizontal="left"/>
    </xf>
    <xf numFmtId="3" fontId="10" fillId="25" borderId="0" xfId="25" applyNumberFormat="1" applyFill="1" applyBorder="1" applyAlignment="1">
      <alignment horizontal="left"/>
    </xf>
    <xf numFmtId="3" fontId="0" fillId="25" borderId="0" xfId="0" applyNumberFormat="1" applyFill="1" applyBorder="1" applyAlignment="1">
      <alignment horizontal="left" wrapText="1"/>
    </xf>
    <xf numFmtId="0" fontId="11" fillId="25" borderId="0" xfId="1" applyFill="1" applyAlignment="1">
      <alignment horizontal="left"/>
    </xf>
    <xf numFmtId="0" fontId="11" fillId="25" borderId="0" xfId="1" applyFill="1"/>
    <xf numFmtId="0" fontId="0" fillId="0" borderId="0" xfId="0" applyBorder="1"/>
    <xf numFmtId="0" fontId="89" fillId="0" borderId="0" xfId="0" applyFont="1" applyFill="1" applyBorder="1"/>
    <xf numFmtId="0" fontId="89" fillId="2" borderId="44" xfId="0" applyFont="1" applyFill="1" applyBorder="1" applyAlignment="1">
      <alignment vertical="top" wrapText="1"/>
    </xf>
    <xf numFmtId="0" fontId="91" fillId="0" borderId="48" xfId="2" applyFont="1" applyBorder="1" applyAlignment="1">
      <alignment wrapText="1"/>
    </xf>
    <xf numFmtId="0" fontId="90" fillId="0" borderId="50" xfId="0" applyFont="1" applyBorder="1" applyAlignment="1">
      <alignment wrapText="1"/>
    </xf>
    <xf numFmtId="0" fontId="91" fillId="0" borderId="51" xfId="2" applyFont="1" applyBorder="1" applyAlignment="1">
      <alignment wrapText="1"/>
    </xf>
    <xf numFmtId="0" fontId="90" fillId="0" borderId="57" xfId="0" applyFont="1" applyBorder="1" applyAlignment="1">
      <alignment wrapText="1"/>
    </xf>
    <xf numFmtId="0" fontId="91" fillId="0" borderId="58" xfId="2" applyFont="1" applyBorder="1" applyAlignment="1">
      <alignment wrapText="1"/>
    </xf>
    <xf numFmtId="10" fontId="0" fillId="0" borderId="10" xfId="32" applyNumberFormat="1" applyFont="1" applyFill="1" applyBorder="1" applyAlignment="1">
      <alignment wrapText="1"/>
    </xf>
    <xf numFmtId="9" fontId="0" fillId="0" borderId="0" xfId="32" applyFont="1" applyFill="1" applyBorder="1" applyAlignment="1">
      <alignment wrapText="1"/>
    </xf>
    <xf numFmtId="9" fontId="0" fillId="0" borderId="10" xfId="32" applyFont="1" applyFill="1" applyBorder="1" applyAlignment="1">
      <alignment wrapText="1"/>
    </xf>
    <xf numFmtId="10" fontId="0" fillId="0" borderId="0" xfId="32" applyNumberFormat="1" applyFont="1" applyFill="1" applyBorder="1" applyAlignment="1">
      <alignment wrapText="1"/>
    </xf>
    <xf numFmtId="10" fontId="0" fillId="0" borderId="55" xfId="32" applyNumberFormat="1" applyFont="1" applyFill="1" applyBorder="1" applyAlignment="1">
      <alignment wrapText="1"/>
    </xf>
    <xf numFmtId="0" fontId="0" fillId="0" borderId="55" xfId="0" applyFill="1" applyBorder="1" applyAlignment="1">
      <alignment horizontal="left" wrapText="1"/>
    </xf>
    <xf numFmtId="9" fontId="0" fillId="0" borderId="55" xfId="32" applyFont="1" applyFill="1" applyBorder="1" applyAlignment="1">
      <alignment wrapText="1"/>
    </xf>
    <xf numFmtId="0" fontId="0" fillId="0" borderId="55" xfId="0" applyFill="1" applyBorder="1" applyAlignment="1">
      <alignment wrapText="1"/>
    </xf>
    <xf numFmtId="10" fontId="0" fillId="0" borderId="14" xfId="32" applyNumberFormat="1" applyFont="1" applyFill="1" applyBorder="1" applyAlignment="1">
      <alignment wrapText="1"/>
    </xf>
    <xf numFmtId="9" fontId="0" fillId="0" borderId="14" xfId="32" applyFont="1" applyFill="1" applyBorder="1" applyAlignment="1">
      <alignment wrapText="1"/>
    </xf>
    <xf numFmtId="10" fontId="0" fillId="0" borderId="62" xfId="32" applyNumberFormat="1" applyFont="1" applyFill="1" applyBorder="1" applyAlignment="1">
      <alignment wrapText="1"/>
    </xf>
    <xf numFmtId="0" fontId="0" fillId="0" borderId="62" xfId="0" applyFill="1" applyBorder="1" applyAlignment="1">
      <alignment horizontal="left" wrapText="1"/>
    </xf>
    <xf numFmtId="9" fontId="0" fillId="0" borderId="62" xfId="32" applyFont="1" applyFill="1" applyBorder="1" applyAlignment="1">
      <alignment wrapText="1"/>
    </xf>
    <xf numFmtId="0" fontId="0" fillId="0" borderId="62" xfId="0" applyFill="1" applyBorder="1" applyAlignment="1">
      <alignment wrapText="1"/>
    </xf>
    <xf numFmtId="10" fontId="0" fillId="0" borderId="63" xfId="32" applyNumberFormat="1" applyFont="1" applyFill="1" applyBorder="1" applyAlignment="1">
      <alignment wrapText="1"/>
    </xf>
    <xf numFmtId="0" fontId="0" fillId="0" borderId="63" xfId="0" applyFill="1" applyBorder="1" applyAlignment="1">
      <alignment horizontal="left" wrapText="1"/>
    </xf>
    <xf numFmtId="9" fontId="0" fillId="0" borderId="63" xfId="32" applyFont="1" applyFill="1" applyBorder="1" applyAlignment="1">
      <alignment wrapText="1"/>
    </xf>
    <xf numFmtId="0" fontId="0" fillId="0" borderId="63" xfId="0" applyFill="1" applyBorder="1" applyAlignment="1">
      <alignment wrapText="1"/>
    </xf>
    <xf numFmtId="4" fontId="0" fillId="25" borderId="0" xfId="0" applyNumberFormat="1" applyFill="1" applyBorder="1" applyAlignment="1">
      <alignment horizontal="left" wrapText="1"/>
    </xf>
    <xf numFmtId="0" fontId="0" fillId="25" borderId="0" xfId="0" applyFill="1" applyBorder="1" applyAlignment="1">
      <alignment horizontal="left" wrapText="1"/>
    </xf>
    <xf numFmtId="4" fontId="10" fillId="25" borderId="0" xfId="25" applyNumberFormat="1" applyFont="1" applyFill="1" applyBorder="1" applyAlignment="1">
      <alignment horizontal="left"/>
    </xf>
    <xf numFmtId="3" fontId="10" fillId="25" borderId="0" xfId="25" applyNumberFormat="1" applyFont="1" applyFill="1" applyBorder="1" applyAlignment="1">
      <alignment horizontal="left"/>
    </xf>
    <xf numFmtId="3" fontId="17" fillId="25" borderId="0" xfId="0" applyNumberFormat="1" applyFont="1" applyFill="1" applyBorder="1" applyAlignment="1">
      <alignment horizontal="left" wrapText="1"/>
    </xf>
    <xf numFmtId="3" fontId="10" fillId="25" borderId="14" xfId="25" applyNumberFormat="1" applyFill="1" applyBorder="1" applyAlignment="1">
      <alignment horizontal="left"/>
    </xf>
    <xf numFmtId="43" fontId="10" fillId="25" borderId="0" xfId="29" applyFont="1" applyFill="1" applyBorder="1" applyAlignment="1">
      <alignment horizontal="left"/>
    </xf>
    <xf numFmtId="3" fontId="18" fillId="25" borderId="0" xfId="0" applyNumberFormat="1" applyFont="1" applyFill="1" applyBorder="1" applyAlignment="1">
      <alignment horizontal="left" wrapText="1"/>
    </xf>
    <xf numFmtId="3" fontId="10" fillId="25" borderId="14" xfId="25" applyNumberFormat="1" applyFont="1" applyFill="1" applyBorder="1" applyAlignment="1">
      <alignment horizontal="left"/>
    </xf>
    <xf numFmtId="3" fontId="0" fillId="25" borderId="10" xfId="0" applyNumberFormat="1" applyFill="1" applyBorder="1" applyAlignment="1">
      <alignment horizontal="left" wrapText="1"/>
    </xf>
    <xf numFmtId="3" fontId="19" fillId="25" borderId="0" xfId="25" applyNumberFormat="1" applyFont="1" applyFill="1" applyBorder="1" applyAlignment="1">
      <alignment horizontal="left"/>
    </xf>
    <xf numFmtId="4" fontId="18" fillId="25" borderId="0" xfId="0" applyNumberFormat="1" applyFont="1" applyFill="1" applyBorder="1" applyAlignment="1">
      <alignment horizontal="left" wrapText="1"/>
    </xf>
    <xf numFmtId="0" fontId="89" fillId="2" borderId="54" xfId="0" applyFont="1" applyFill="1" applyBorder="1" applyAlignment="1">
      <alignment horizontal="left" vertical="center" wrapText="1"/>
    </xf>
    <xf numFmtId="0" fontId="13" fillId="0" borderId="0" xfId="0" applyFont="1" applyAlignment="1">
      <alignment vertical="center"/>
    </xf>
    <xf numFmtId="0" fontId="13" fillId="0" borderId="56" xfId="0" applyFont="1" applyBorder="1" applyAlignment="1">
      <alignment vertical="center" wrapText="1"/>
    </xf>
    <xf numFmtId="0" fontId="14" fillId="0" borderId="54" xfId="2" applyBorder="1" applyAlignment="1">
      <alignment vertical="center"/>
    </xf>
    <xf numFmtId="0" fontId="97" fillId="0" borderId="0" xfId="0" applyFont="1" applyAlignment="1">
      <alignment vertical="center"/>
    </xf>
    <xf numFmtId="0" fontId="51" fillId="0" borderId="67" xfId="35" applyFont="1" applyBorder="1"/>
    <xf numFmtId="0" fontId="0" fillId="0" borderId="52" xfId="0" applyBorder="1" applyAlignment="1">
      <alignment wrapText="1"/>
    </xf>
    <xf numFmtId="0" fontId="94" fillId="0" borderId="53" xfId="0" applyFont="1" applyBorder="1" applyAlignment="1">
      <alignment horizontal="left" vertical="center" wrapText="1" indent="5"/>
    </xf>
    <xf numFmtId="0" fontId="13" fillId="0" borderId="54" xfId="0" applyFont="1" applyBorder="1" applyAlignment="1">
      <alignment vertical="center" wrapText="1"/>
    </xf>
    <xf numFmtId="0" fontId="20" fillId="0" borderId="53" xfId="0" applyFont="1" applyBorder="1" applyAlignment="1">
      <alignment horizontal="left" vertical="center" wrapText="1" indent="5"/>
    </xf>
    <xf numFmtId="0" fontId="39" fillId="2" borderId="68" xfId="0" applyFont="1" applyFill="1" applyBorder="1" applyAlignment="1">
      <alignment vertical="top" wrapText="1"/>
    </xf>
    <xf numFmtId="0" fontId="39" fillId="2" borderId="69" xfId="0" applyFont="1" applyFill="1" applyBorder="1" applyAlignment="1">
      <alignment vertical="top" wrapText="1"/>
    </xf>
    <xf numFmtId="0" fontId="12" fillId="2" borderId="68" xfId="0" applyFont="1" applyFill="1" applyBorder="1" applyAlignment="1">
      <alignment vertical="top" wrapText="1"/>
    </xf>
    <xf numFmtId="0" fontId="39" fillId="2" borderId="70" xfId="0" applyFont="1" applyFill="1" applyBorder="1" applyAlignment="1">
      <alignment vertical="top" wrapText="1"/>
    </xf>
    <xf numFmtId="9" fontId="0" fillId="0" borderId="10" xfId="32" applyNumberFormat="1" applyFont="1" applyFill="1" applyBorder="1" applyAlignment="1">
      <alignment wrapText="1"/>
    </xf>
    <xf numFmtId="0" fontId="1" fillId="0" borderId="0" xfId="0" applyFont="1" applyBorder="1" applyAlignment="1">
      <alignment horizontal="left" vertical="center" indent="5"/>
    </xf>
    <xf numFmtId="9" fontId="0" fillId="0" borderId="0" xfId="32" applyNumberFormat="1" applyFont="1" applyFill="1" applyBorder="1" applyAlignment="1">
      <alignment wrapText="1"/>
    </xf>
    <xf numFmtId="0" fontId="0" fillId="0" borderId="11" xfId="0" applyFill="1" applyBorder="1" applyAlignment="1">
      <alignment wrapText="1"/>
    </xf>
    <xf numFmtId="0" fontId="0" fillId="0" borderId="71" xfId="0" applyFill="1" applyBorder="1" applyAlignment="1">
      <alignment wrapText="1"/>
    </xf>
    <xf numFmtId="0" fontId="0" fillId="0" borderId="72" xfId="0" applyFill="1" applyBorder="1" applyAlignment="1">
      <alignment wrapText="1"/>
    </xf>
    <xf numFmtId="9" fontId="0" fillId="0" borderId="55" xfId="32" applyNumberFormat="1" applyFont="1" applyFill="1" applyBorder="1" applyAlignment="1">
      <alignment wrapText="1"/>
    </xf>
    <xf numFmtId="0" fontId="1" fillId="0" borderId="55" xfId="0" applyFont="1" applyBorder="1" applyAlignment="1">
      <alignment horizontal="left" vertical="center" indent="5"/>
    </xf>
    <xf numFmtId="0" fontId="44" fillId="0" borderId="0" xfId="0" applyFont="1" applyFill="1" applyBorder="1" applyAlignment="1">
      <alignment wrapText="1"/>
    </xf>
    <xf numFmtId="0" fontId="39" fillId="0" borderId="45" xfId="0" applyFont="1" applyFill="1" applyBorder="1" applyAlignment="1">
      <alignment vertical="top" wrapText="1"/>
    </xf>
    <xf numFmtId="0" fontId="39" fillId="2" borderId="73" xfId="0" applyFont="1" applyFill="1" applyBorder="1" applyAlignment="1">
      <alignment horizontal="left" vertical="top" wrapText="1"/>
    </xf>
    <xf numFmtId="0" fontId="39" fillId="2" borderId="74" xfId="0" applyFont="1" applyFill="1" applyBorder="1" applyAlignment="1">
      <alignment horizontal="left" vertical="top" wrapText="1"/>
    </xf>
    <xf numFmtId="3" fontId="39" fillId="2" borderId="74" xfId="0" applyNumberFormat="1" applyFont="1" applyFill="1" applyBorder="1" applyAlignment="1">
      <alignment horizontal="left" vertical="top" wrapText="1"/>
    </xf>
    <xf numFmtId="4" fontId="39" fillId="2" borderId="74" xfId="0" applyNumberFormat="1" applyFont="1" applyFill="1" applyBorder="1" applyAlignment="1">
      <alignment horizontal="left" vertical="top" wrapText="1"/>
    </xf>
    <xf numFmtId="170" fontId="39" fillId="2" borderId="74" xfId="0" applyNumberFormat="1" applyFont="1" applyFill="1" applyBorder="1" applyAlignment="1">
      <alignment horizontal="left" vertical="top" wrapText="1"/>
    </xf>
    <xf numFmtId="0" fontId="0" fillId="0" borderId="76" xfId="0" applyFill="1" applyBorder="1" applyAlignment="1">
      <alignment horizontal="left" wrapText="1"/>
    </xf>
    <xf numFmtId="3" fontId="0" fillId="0" borderId="55" xfId="0" applyNumberFormat="1" applyFill="1" applyBorder="1" applyAlignment="1">
      <alignment horizontal="left" wrapText="1"/>
    </xf>
    <xf numFmtId="0" fontId="18" fillId="0" borderId="76" xfId="0" applyFont="1" applyFill="1" applyBorder="1" applyAlignment="1">
      <alignment horizontal="left" wrapText="1"/>
    </xf>
    <xf numFmtId="0" fontId="0" fillId="0" borderId="76" xfId="0" applyFill="1" applyBorder="1" applyAlignment="1">
      <alignment wrapText="1"/>
    </xf>
    <xf numFmtId="0" fontId="39" fillId="2" borderId="52" xfId="0" applyFont="1" applyFill="1" applyBorder="1" applyAlignment="1">
      <alignment vertical="top" wrapText="1"/>
    </xf>
    <xf numFmtId="0" fontId="39" fillId="2" borderId="77" xfId="0" applyFont="1" applyFill="1" applyBorder="1" applyAlignment="1">
      <alignment vertical="top" wrapText="1"/>
    </xf>
    <xf numFmtId="0" fontId="39" fillId="2" borderId="78" xfId="0" applyFont="1" applyFill="1" applyBorder="1" applyAlignment="1">
      <alignment vertical="top" wrapText="1"/>
    </xf>
    <xf numFmtId="0" fontId="1" fillId="0" borderId="10" xfId="0" applyFont="1" applyBorder="1" applyAlignment="1">
      <alignment horizontal="left" vertical="center" indent="5"/>
    </xf>
    <xf numFmtId="0" fontId="0" fillId="0" borderId="12" xfId="0" applyFill="1" applyBorder="1" applyAlignment="1">
      <alignment wrapText="1"/>
    </xf>
    <xf numFmtId="0" fontId="0" fillId="0" borderId="56" xfId="0" applyFill="1" applyBorder="1" applyAlignment="1">
      <alignment wrapText="1"/>
    </xf>
    <xf numFmtId="0" fontId="10" fillId="0" borderId="71" xfId="25" applyFont="1" applyFill="1" applyBorder="1" applyAlignment="1">
      <alignment horizontal="left"/>
    </xf>
    <xf numFmtId="0" fontId="10" fillId="0" borderId="72" xfId="25" applyFont="1" applyFill="1" applyBorder="1" applyAlignment="1">
      <alignment horizontal="left"/>
    </xf>
    <xf numFmtId="0" fontId="10" fillId="0" borderId="55" xfId="25" applyFill="1" applyBorder="1" applyAlignment="1">
      <alignment horizontal="left"/>
    </xf>
    <xf numFmtId="3" fontId="10" fillId="0" borderId="55" xfId="25" applyNumberFormat="1" applyFont="1" applyFill="1" applyBorder="1" applyAlignment="1">
      <alignment horizontal="left"/>
    </xf>
    <xf numFmtId="4" fontId="0" fillId="0" borderId="55" xfId="0" applyNumberFormat="1" applyFill="1" applyBorder="1" applyAlignment="1">
      <alignment horizontal="left" wrapText="1"/>
    </xf>
    <xf numFmtId="3" fontId="10" fillId="25" borderId="55" xfId="25" applyNumberFormat="1" applyFill="1" applyBorder="1" applyAlignment="1">
      <alignment horizontal="left"/>
    </xf>
    <xf numFmtId="170" fontId="0" fillId="0" borderId="55" xfId="0" applyNumberFormat="1" applyFill="1" applyBorder="1" applyAlignment="1">
      <alignment horizontal="left" wrapText="1"/>
    </xf>
    <xf numFmtId="0" fontId="10" fillId="0" borderId="23" xfId="25" applyFill="1" applyBorder="1" applyAlignment="1">
      <alignment horizontal="left"/>
    </xf>
    <xf numFmtId="0" fontId="10" fillId="0" borderId="76" xfId="25" applyFill="1" applyBorder="1" applyAlignment="1">
      <alignment horizontal="left"/>
    </xf>
    <xf numFmtId="3" fontId="10" fillId="0" borderId="76" xfId="25" applyNumberFormat="1" applyFont="1" applyFill="1" applyBorder="1" applyAlignment="1">
      <alignment horizontal="left"/>
    </xf>
    <xf numFmtId="4" fontId="0" fillId="0" borderId="76" xfId="0" applyNumberFormat="1" applyFill="1" applyBorder="1" applyAlignment="1">
      <alignment horizontal="left" wrapText="1"/>
    </xf>
    <xf numFmtId="3" fontId="0" fillId="0" borderId="76" xfId="0" applyNumberFormat="1" applyFill="1" applyBorder="1" applyAlignment="1">
      <alignment horizontal="left" wrapText="1"/>
    </xf>
    <xf numFmtId="3" fontId="10" fillId="25" borderId="76" xfId="25" applyNumberFormat="1" applyFill="1" applyBorder="1" applyAlignment="1">
      <alignment horizontal="left"/>
    </xf>
    <xf numFmtId="170" fontId="0" fillId="0" borderId="76" xfId="0" applyNumberFormat="1" applyFill="1" applyBorder="1" applyAlignment="1">
      <alignment horizontal="left" wrapText="1"/>
    </xf>
    <xf numFmtId="0" fontId="0" fillId="0" borderId="23" xfId="0" applyFill="1" applyBorder="1" applyAlignment="1">
      <alignment wrapText="1"/>
    </xf>
    <xf numFmtId="10" fontId="0" fillId="0" borderId="76" xfId="32" applyNumberFormat="1" applyFont="1" applyFill="1" applyBorder="1" applyAlignment="1">
      <alignment wrapText="1"/>
    </xf>
    <xf numFmtId="9" fontId="0" fillId="0" borderId="76" xfId="32" applyFont="1" applyFill="1" applyBorder="1" applyAlignment="1">
      <alignment wrapText="1"/>
    </xf>
    <xf numFmtId="9" fontId="0" fillId="0" borderId="76" xfId="32" applyNumberFormat="1" applyFont="1" applyFill="1" applyBorder="1" applyAlignment="1">
      <alignment wrapText="1"/>
    </xf>
    <xf numFmtId="0" fontId="1" fillId="0" borderId="76" xfId="0" applyFont="1" applyBorder="1" applyAlignment="1">
      <alignment horizontal="left" vertical="center" indent="5"/>
    </xf>
    <xf numFmtId="0" fontId="0" fillId="0" borderId="24" xfId="0" applyFill="1" applyBorder="1" applyAlignment="1">
      <alignment wrapText="1"/>
    </xf>
    <xf numFmtId="0" fontId="10" fillId="0" borderId="76" xfId="25" applyFont="1" applyFill="1" applyBorder="1" applyAlignment="1">
      <alignment horizontal="left"/>
    </xf>
    <xf numFmtId="0" fontId="0" fillId="0" borderId="76" xfId="0" applyFill="1" applyBorder="1" applyAlignment="1">
      <alignment horizontal="left"/>
    </xf>
    <xf numFmtId="0" fontId="17" fillId="0" borderId="72" xfId="0" applyFont="1" applyFill="1" applyBorder="1" applyAlignment="1">
      <alignment horizontal="left" wrapText="1"/>
    </xf>
    <xf numFmtId="3" fontId="10" fillId="0" borderId="55" xfId="3" applyNumberFormat="1" applyFont="1" applyFill="1" applyBorder="1" applyAlignment="1">
      <alignment horizontal="left"/>
    </xf>
    <xf numFmtId="0" fontId="0" fillId="25" borderId="55" xfId="0" applyFill="1" applyBorder="1" applyAlignment="1">
      <alignment horizontal="left" wrapText="1"/>
    </xf>
    <xf numFmtId="4" fontId="10" fillId="0" borderId="76" xfId="25" applyNumberFormat="1" applyFont="1" applyFill="1" applyBorder="1" applyAlignment="1">
      <alignment horizontal="left"/>
    </xf>
    <xf numFmtId="3" fontId="10" fillId="25" borderId="76" xfId="25" applyNumberFormat="1" applyFont="1" applyFill="1" applyBorder="1" applyAlignment="1">
      <alignment horizontal="left"/>
    </xf>
    <xf numFmtId="49" fontId="0" fillId="0" borderId="76" xfId="0" applyNumberFormat="1" applyFill="1" applyBorder="1" applyAlignment="1">
      <alignment horizontal="left" wrapText="1"/>
    </xf>
    <xf numFmtId="0" fontId="0" fillId="0" borderId="76" xfId="0" applyFont="1" applyFill="1" applyBorder="1" applyAlignment="1">
      <alignment horizontal="left" wrapText="1"/>
    </xf>
    <xf numFmtId="0" fontId="10" fillId="0" borderId="55" xfId="25" applyFont="1" applyFill="1" applyBorder="1" applyAlignment="1">
      <alignment horizontal="left"/>
    </xf>
    <xf numFmtId="0" fontId="0" fillId="0" borderId="55" xfId="0" applyFill="1" applyBorder="1" applyAlignment="1">
      <alignment horizontal="left"/>
    </xf>
    <xf numFmtId="3" fontId="10" fillId="25" borderId="55" xfId="25" applyNumberFormat="1" applyFont="1" applyFill="1" applyBorder="1" applyAlignment="1">
      <alignment horizontal="left"/>
    </xf>
    <xf numFmtId="49" fontId="0" fillId="0" borderId="55" xfId="0" applyNumberFormat="1" applyFill="1" applyBorder="1" applyAlignment="1">
      <alignment horizontal="left" wrapText="1"/>
    </xf>
    <xf numFmtId="0" fontId="0" fillId="0" borderId="14" xfId="0" applyFill="1" applyBorder="1" applyAlignment="1">
      <alignment horizontal="left"/>
    </xf>
    <xf numFmtId="0" fontId="0" fillId="0" borderId="13" xfId="0" applyFill="1" applyBorder="1" applyAlignment="1">
      <alignment wrapText="1"/>
    </xf>
    <xf numFmtId="9" fontId="0" fillId="0" borderId="14" xfId="32" applyNumberFormat="1" applyFont="1" applyFill="1" applyBorder="1" applyAlignment="1">
      <alignment wrapText="1"/>
    </xf>
    <xf numFmtId="0" fontId="1" fillId="0" borderId="14" xfId="0" applyFont="1" applyBorder="1" applyAlignment="1">
      <alignment horizontal="left" vertical="center" indent="5"/>
    </xf>
    <xf numFmtId="0" fontId="0" fillId="0" borderId="15" xfId="0" applyFill="1" applyBorder="1" applyAlignment="1">
      <alignment wrapText="1"/>
    </xf>
    <xf numFmtId="0" fontId="0" fillId="0" borderId="71" xfId="0" applyFill="1" applyBorder="1" applyAlignment="1">
      <alignment horizontal="left" wrapText="1"/>
    </xf>
    <xf numFmtId="0" fontId="0" fillId="0" borderId="79" xfId="0" applyFill="1" applyBorder="1" applyAlignment="1">
      <alignment horizontal="left" wrapText="1"/>
    </xf>
    <xf numFmtId="0" fontId="0" fillId="0" borderId="62" xfId="0" applyFill="1" applyBorder="1" applyAlignment="1">
      <alignment horizontal="left"/>
    </xf>
    <xf numFmtId="3" fontId="10" fillId="0" borderId="62" xfId="25" applyNumberFormat="1" applyFont="1" applyFill="1" applyBorder="1" applyAlignment="1">
      <alignment horizontal="left"/>
    </xf>
    <xf numFmtId="4" fontId="0" fillId="0" borderId="62" xfId="0" applyNumberFormat="1" applyFill="1" applyBorder="1" applyAlignment="1">
      <alignment horizontal="left" wrapText="1"/>
    </xf>
    <xf numFmtId="3" fontId="0" fillId="0" borderId="62" xfId="0" applyNumberFormat="1" applyFill="1" applyBorder="1" applyAlignment="1">
      <alignment horizontal="left" wrapText="1"/>
    </xf>
    <xf numFmtId="3" fontId="10" fillId="25" borderId="62" xfId="25" applyNumberFormat="1" applyFill="1" applyBorder="1" applyAlignment="1">
      <alignment horizontal="left"/>
    </xf>
    <xf numFmtId="170" fontId="0" fillId="0" borderId="62" xfId="0" applyNumberFormat="1" applyFill="1" applyBorder="1" applyAlignment="1">
      <alignment horizontal="left" wrapText="1"/>
    </xf>
    <xf numFmtId="0" fontId="0" fillId="0" borderId="79" xfId="0" applyFill="1" applyBorder="1" applyAlignment="1">
      <alignment wrapText="1"/>
    </xf>
    <xf numFmtId="9" fontId="0" fillId="0" borderId="62" xfId="32" applyNumberFormat="1" applyFont="1" applyFill="1" applyBorder="1" applyAlignment="1">
      <alignment wrapText="1"/>
    </xf>
    <xf numFmtId="0" fontId="1" fillId="0" borderId="62" xfId="0" applyFont="1" applyBorder="1" applyAlignment="1">
      <alignment horizontal="left" vertical="center" indent="5"/>
    </xf>
    <xf numFmtId="0" fontId="0" fillId="0" borderId="17" xfId="0" applyFill="1" applyBorder="1" applyAlignment="1">
      <alignment wrapText="1"/>
    </xf>
    <xf numFmtId="0" fontId="0" fillId="0" borderId="23" xfId="0" applyFill="1" applyBorder="1" applyAlignment="1">
      <alignment horizontal="left" wrapText="1"/>
    </xf>
    <xf numFmtId="3" fontId="0" fillId="0" borderId="76" xfId="0" applyNumberFormat="1" applyFill="1" applyBorder="1" applyAlignment="1">
      <alignment horizontal="right" wrapText="1"/>
    </xf>
    <xf numFmtId="3" fontId="0" fillId="25" borderId="76" xfId="0" applyNumberFormat="1" applyFill="1" applyBorder="1" applyAlignment="1">
      <alignment horizontal="left" wrapText="1"/>
    </xf>
    <xf numFmtId="0" fontId="10" fillId="0" borderId="71" xfId="25" applyFont="1" applyFill="1" applyBorder="1"/>
    <xf numFmtId="0" fontId="0" fillId="0" borderId="80" xfId="0" applyFill="1" applyBorder="1" applyAlignment="1">
      <alignment horizontal="left" wrapText="1"/>
    </xf>
    <xf numFmtId="0" fontId="0" fillId="0" borderId="63" xfId="0" applyFill="1" applyBorder="1" applyAlignment="1">
      <alignment horizontal="left"/>
    </xf>
    <xf numFmtId="3" fontId="10" fillId="0" borderId="63" xfId="25" applyNumberFormat="1" applyFont="1" applyFill="1" applyBorder="1" applyAlignment="1">
      <alignment horizontal="left"/>
    </xf>
    <xf numFmtId="4" fontId="0" fillId="0" borderId="63" xfId="0" applyNumberFormat="1" applyFill="1" applyBorder="1" applyAlignment="1">
      <alignment horizontal="left" wrapText="1"/>
    </xf>
    <xf numFmtId="4" fontId="0" fillId="25" borderId="63" xfId="0" applyNumberFormat="1" applyFill="1" applyBorder="1" applyAlignment="1">
      <alignment horizontal="left" wrapText="1"/>
    </xf>
    <xf numFmtId="3" fontId="0" fillId="0" borderId="63" xfId="0" applyNumberFormat="1" applyFill="1" applyBorder="1" applyAlignment="1">
      <alignment horizontal="left" wrapText="1"/>
    </xf>
    <xf numFmtId="170" fontId="0" fillId="0" borderId="63" xfId="0" applyNumberFormat="1" applyFill="1" applyBorder="1" applyAlignment="1">
      <alignment horizontal="left" wrapText="1"/>
    </xf>
    <xf numFmtId="0" fontId="0" fillId="0" borderId="80" xfId="0" applyFill="1" applyBorder="1" applyAlignment="1">
      <alignment wrapText="1"/>
    </xf>
    <xf numFmtId="9" fontId="0" fillId="0" borderId="63" xfId="32" applyNumberFormat="1" applyFont="1" applyFill="1" applyBorder="1" applyAlignment="1">
      <alignment wrapText="1"/>
    </xf>
    <xf numFmtId="0" fontId="1" fillId="0" borderId="63" xfId="0" applyFont="1" applyBorder="1" applyAlignment="1">
      <alignment horizontal="left" vertical="center" indent="5"/>
    </xf>
    <xf numFmtId="0" fontId="0" fillId="0" borderId="81" xfId="0" applyFill="1" applyBorder="1" applyAlignment="1">
      <alignment wrapText="1"/>
    </xf>
    <xf numFmtId="0" fontId="10" fillId="0" borderId="23" xfId="25" applyFont="1" applyFill="1" applyBorder="1"/>
    <xf numFmtId="0" fontId="0" fillId="0" borderId="72" xfId="0" applyFill="1" applyBorder="1" applyAlignment="1">
      <alignment horizontal="left" wrapText="1"/>
    </xf>
    <xf numFmtId="0" fontId="17" fillId="0" borderId="55" xfId="0" applyFont="1" applyFill="1" applyBorder="1" applyAlignment="1">
      <alignment horizontal="left" wrapText="1"/>
    </xf>
    <xf numFmtId="3" fontId="17" fillId="25" borderId="55" xfId="0" applyNumberFormat="1" applyFont="1" applyFill="1" applyBorder="1" applyAlignment="1">
      <alignment horizontal="left" wrapText="1"/>
    </xf>
    <xf numFmtId="0" fontId="10" fillId="0" borderId="72" xfId="25" applyFont="1" applyFill="1" applyBorder="1"/>
    <xf numFmtId="3" fontId="10" fillId="25" borderId="76" xfId="25" applyNumberFormat="1" applyFont="1" applyFill="1" applyBorder="1" applyAlignment="1">
      <alignment horizontal="left" wrapText="1"/>
    </xf>
    <xf numFmtId="43" fontId="10" fillId="0" borderId="76" xfId="29" applyFont="1" applyFill="1" applyBorder="1" applyAlignment="1">
      <alignment horizontal="left"/>
    </xf>
    <xf numFmtId="3" fontId="10" fillId="0" borderId="76" xfId="25" applyNumberFormat="1" applyFill="1" applyBorder="1" applyAlignment="1">
      <alignment horizontal="left"/>
    </xf>
    <xf numFmtId="4" fontId="0" fillId="0" borderId="76" xfId="0" applyNumberFormat="1" applyFill="1" applyBorder="1" applyAlignment="1">
      <alignment horizontal="left"/>
    </xf>
    <xf numFmtId="0" fontId="0" fillId="3" borderId="76" xfId="0" applyFill="1" applyBorder="1" applyAlignment="1">
      <alignment wrapText="1"/>
    </xf>
    <xf numFmtId="0" fontId="10" fillId="0" borderId="76" xfId="25" applyFont="1" applyFill="1" applyBorder="1"/>
    <xf numFmtId="0" fontId="10" fillId="0" borderId="71" xfId="3" applyFont="1" applyFill="1" applyBorder="1"/>
    <xf numFmtId="0" fontId="10" fillId="0" borderId="72" xfId="3" applyFont="1" applyFill="1" applyBorder="1"/>
    <xf numFmtId="0" fontId="17" fillId="0" borderId="76" xfId="0" applyFont="1" applyFill="1" applyBorder="1" applyAlignment="1">
      <alignment horizontal="left" wrapText="1"/>
    </xf>
    <xf numFmtId="3" fontId="10" fillId="0" borderId="76" xfId="3" applyNumberFormat="1" applyFont="1" applyFill="1" applyBorder="1" applyAlignment="1">
      <alignment horizontal="left"/>
    </xf>
    <xf numFmtId="0" fontId="0" fillId="25" borderId="76" xfId="0" applyFill="1" applyBorder="1" applyAlignment="1">
      <alignment horizontal="left" wrapText="1"/>
    </xf>
    <xf numFmtId="0" fontId="17" fillId="0" borderId="76" xfId="0" applyFont="1" applyFill="1" applyBorder="1" applyAlignment="1">
      <alignment vertical="top"/>
    </xf>
    <xf numFmtId="4" fontId="0" fillId="25" borderId="76" xfId="0" applyNumberFormat="1" applyFill="1" applyBorder="1" applyAlignment="1">
      <alignment horizontal="left" wrapText="1"/>
    </xf>
    <xf numFmtId="0" fontId="0" fillId="0" borderId="72" xfId="0" applyFill="1" applyBorder="1" applyAlignment="1">
      <alignment vertical="top"/>
    </xf>
    <xf numFmtId="0" fontId="17" fillId="0" borderId="55" xfId="0" applyFont="1" applyFill="1" applyBorder="1" applyAlignment="1">
      <alignment horizontal="left" vertical="top"/>
    </xf>
    <xf numFmtId="0" fontId="17" fillId="0" borderId="55" xfId="0" applyFont="1" applyFill="1" applyBorder="1" applyAlignment="1">
      <alignment vertical="top"/>
    </xf>
    <xf numFmtId="0" fontId="0" fillId="0" borderId="55" xfId="0" applyFill="1" applyBorder="1" applyAlignment="1">
      <alignment vertical="top" wrapText="1"/>
    </xf>
    <xf numFmtId="3" fontId="10" fillId="0" borderId="55" xfId="3" applyNumberFormat="1" applyFont="1" applyFill="1" applyBorder="1" applyAlignment="1">
      <alignment vertical="top"/>
    </xf>
    <xf numFmtId="3" fontId="0" fillId="0" borderId="55" xfId="0" applyNumberFormat="1" applyFill="1" applyBorder="1" applyAlignment="1">
      <alignment horizontal="left" vertical="top"/>
    </xf>
    <xf numFmtId="0" fontId="10" fillId="0" borderId="76" xfId="25" applyFont="1" applyFill="1" applyBorder="1" applyAlignment="1">
      <alignment horizontal="left" wrapText="1"/>
    </xf>
    <xf numFmtId="0" fontId="10" fillId="0" borderId="55" xfId="25" applyFont="1" applyFill="1" applyBorder="1" applyAlignment="1">
      <alignment horizontal="left" wrapText="1"/>
    </xf>
    <xf numFmtId="0" fontId="10" fillId="0" borderId="55" xfId="25" applyFont="1" applyFill="1" applyBorder="1"/>
    <xf numFmtId="0" fontId="10" fillId="0" borderId="62" xfId="25" applyFont="1" applyFill="1" applyBorder="1"/>
    <xf numFmtId="3" fontId="0" fillId="25" borderId="55" xfId="0" applyNumberFormat="1" applyFill="1" applyBorder="1" applyAlignment="1">
      <alignment horizontal="left" wrapText="1"/>
    </xf>
    <xf numFmtId="0" fontId="0" fillId="0" borderId="80" xfId="0" applyFill="1" applyBorder="1" applyAlignment="1">
      <alignment vertical="top"/>
    </xf>
    <xf numFmtId="0" fontId="0" fillId="0" borderId="63" xfId="0" applyFill="1" applyBorder="1" applyAlignment="1">
      <alignment horizontal="left" vertical="top"/>
    </xf>
    <xf numFmtId="0" fontId="0" fillId="0" borderId="63" xfId="0" applyFill="1" applyBorder="1" applyAlignment="1">
      <alignment vertical="top"/>
    </xf>
    <xf numFmtId="0" fontId="0" fillId="0" borderId="63" xfId="0" applyFill="1" applyBorder="1" applyAlignment="1">
      <alignment vertical="top" wrapText="1"/>
    </xf>
    <xf numFmtId="3" fontId="10" fillId="0" borderId="63" xfId="3" applyNumberFormat="1" applyFont="1" applyFill="1" applyBorder="1" applyAlignment="1">
      <alignment vertical="top"/>
    </xf>
    <xf numFmtId="3" fontId="0" fillId="0" borderId="63" xfId="0" applyNumberFormat="1" applyFill="1" applyBorder="1" applyAlignment="1">
      <alignment horizontal="left" vertical="top" wrapText="1"/>
    </xf>
    <xf numFmtId="3" fontId="0" fillId="25" borderId="63" xfId="0" applyNumberFormat="1" applyFill="1" applyBorder="1" applyAlignment="1">
      <alignment horizontal="left" wrapText="1"/>
    </xf>
    <xf numFmtId="3" fontId="0" fillId="25" borderId="63" xfId="0" applyNumberFormat="1" applyFill="1" applyBorder="1" applyAlignment="1">
      <alignment horizontal="left"/>
    </xf>
    <xf numFmtId="49" fontId="0" fillId="0" borderId="14" xfId="0" applyNumberFormat="1" applyFill="1" applyBorder="1" applyAlignment="1">
      <alignment horizontal="left" wrapText="1"/>
    </xf>
    <xf numFmtId="170" fontId="0" fillId="0" borderId="76" xfId="0" applyNumberFormat="1" applyFill="1" applyBorder="1" applyAlignment="1">
      <alignment wrapText="1"/>
    </xf>
    <xf numFmtId="0" fontId="0" fillId="0" borderId="76" xfId="0" applyNumberFormat="1" applyFill="1" applyBorder="1" applyAlignment="1">
      <alignment horizontal="left" wrapText="1"/>
    </xf>
    <xf numFmtId="10" fontId="0" fillId="0" borderId="76" xfId="0" applyNumberFormat="1" applyFill="1" applyBorder="1" applyAlignment="1">
      <alignment horizontal="left" wrapText="1"/>
    </xf>
    <xf numFmtId="0" fontId="0" fillId="0" borderId="76" xfId="0" applyFont="1" applyFill="1" applyBorder="1" applyAlignment="1">
      <alignment wrapText="1"/>
    </xf>
    <xf numFmtId="0" fontId="0" fillId="0" borderId="24" xfId="0" applyFont="1" applyFill="1" applyBorder="1" applyAlignment="1">
      <alignment wrapText="1"/>
    </xf>
    <xf numFmtId="3" fontId="18" fillId="0" borderId="55" xfId="0" applyNumberFormat="1" applyFont="1" applyFill="1" applyBorder="1" applyAlignment="1">
      <alignment horizontal="left" wrapText="1"/>
    </xf>
    <xf numFmtId="15" fontId="0" fillId="0" borderId="55" xfId="0" applyNumberFormat="1" applyFill="1" applyBorder="1" applyAlignment="1">
      <alignment horizontal="left" wrapText="1"/>
    </xf>
    <xf numFmtId="0" fontId="10" fillId="0" borderId="79" xfId="25" applyFont="1" applyFill="1" applyBorder="1"/>
    <xf numFmtId="0" fontId="10" fillId="0" borderId="62" xfId="25" applyFill="1" applyBorder="1" applyAlignment="1">
      <alignment horizontal="left"/>
    </xf>
    <xf numFmtId="0" fontId="10" fillId="0" borderId="62" xfId="25" applyFont="1" applyFill="1" applyBorder="1" applyAlignment="1">
      <alignment horizontal="left" wrapText="1"/>
    </xf>
    <xf numFmtId="0" fontId="18" fillId="0" borderId="62" xfId="0" applyFont="1" applyFill="1" applyBorder="1" applyAlignment="1">
      <alignment horizontal="left" wrapText="1"/>
    </xf>
    <xf numFmtId="3" fontId="10" fillId="25" borderId="62" xfId="25" applyNumberFormat="1" applyFont="1" applyFill="1" applyBorder="1" applyAlignment="1">
      <alignment horizontal="left"/>
    </xf>
    <xf numFmtId="0" fontId="0" fillId="0" borderId="62" xfId="0" applyFill="1" applyBorder="1" applyAlignment="1">
      <alignment vertical="center"/>
    </xf>
    <xf numFmtId="0" fontId="0" fillId="25" borderId="62" xfId="0" applyFill="1" applyBorder="1" applyAlignment="1">
      <alignment horizontal="left" wrapText="1"/>
    </xf>
    <xf numFmtId="3" fontId="10" fillId="0" borderId="63" xfId="3" applyNumberFormat="1" applyFont="1" applyFill="1" applyBorder="1" applyAlignment="1">
      <alignment horizontal="left"/>
    </xf>
    <xf numFmtId="170" fontId="41" fillId="0" borderId="0" xfId="0" applyNumberFormat="1" applyFont="1" applyFill="1" applyBorder="1" applyAlignment="1">
      <alignment horizontal="left"/>
    </xf>
    <xf numFmtId="9" fontId="0" fillId="0" borderId="76" xfId="0" applyNumberFormat="1" applyFill="1" applyBorder="1" applyAlignment="1">
      <alignment horizontal="left" wrapText="1"/>
    </xf>
    <xf numFmtId="4" fontId="0" fillId="0" borderId="76" xfId="0" applyNumberFormat="1" applyFill="1" applyBorder="1" applyAlignment="1">
      <alignment wrapText="1"/>
    </xf>
    <xf numFmtId="0" fontId="17" fillId="0" borderId="71" xfId="0" applyFont="1" applyFill="1" applyBorder="1" applyAlignment="1">
      <alignment vertical="top"/>
    </xf>
    <xf numFmtId="0" fontId="17" fillId="0" borderId="72" xfId="0" applyFont="1" applyFill="1" applyBorder="1" applyAlignment="1">
      <alignment vertical="top"/>
    </xf>
    <xf numFmtId="3" fontId="0" fillId="25" borderId="14" xfId="0" applyNumberFormat="1" applyFill="1" applyBorder="1" applyAlignment="1">
      <alignment horizontal="left" wrapText="1"/>
    </xf>
    <xf numFmtId="167" fontId="0" fillId="0" borderId="14" xfId="0" applyNumberFormat="1" applyFill="1" applyBorder="1" applyAlignment="1">
      <alignment horizontal="left"/>
    </xf>
    <xf numFmtId="3" fontId="0" fillId="25" borderId="62" xfId="0" applyNumberFormat="1" applyFill="1" applyBorder="1" applyAlignment="1">
      <alignment horizontal="left" wrapText="1"/>
    </xf>
    <xf numFmtId="167" fontId="0" fillId="0" borderId="62" xfId="0" applyNumberFormat="1" applyFill="1" applyBorder="1" applyAlignment="1">
      <alignment horizontal="left"/>
    </xf>
    <xf numFmtId="16" fontId="0" fillId="0" borderId="0" xfId="0" applyNumberFormat="1" applyFill="1" applyBorder="1" applyAlignment="1">
      <alignment horizontal="left" wrapText="1"/>
    </xf>
    <xf numFmtId="170" fontId="10" fillId="0" borderId="76" xfId="25" applyNumberFormat="1" applyFill="1" applyBorder="1" applyAlignment="1">
      <alignment horizontal="left"/>
    </xf>
    <xf numFmtId="0" fontId="18" fillId="0" borderId="55" xfId="0" applyFont="1" applyFill="1" applyBorder="1" applyAlignment="1">
      <alignment horizontal="left" wrapText="1"/>
    </xf>
    <xf numFmtId="3" fontId="10" fillId="0" borderId="55" xfId="25" applyNumberFormat="1" applyFill="1" applyBorder="1" applyAlignment="1">
      <alignment horizontal="left"/>
    </xf>
    <xf numFmtId="170" fontId="10" fillId="0" borderId="55" xfId="25" applyNumberFormat="1" applyFill="1" applyBorder="1" applyAlignment="1">
      <alignment horizontal="left"/>
    </xf>
    <xf numFmtId="3" fontId="10" fillId="25" borderId="63" xfId="25" applyNumberFormat="1" applyFill="1" applyBorder="1" applyAlignment="1">
      <alignment horizontal="left"/>
    </xf>
    <xf numFmtId="3" fontId="0" fillId="0" borderId="76" xfId="0" applyNumberFormat="1" applyFont="1" applyFill="1" applyBorder="1" applyAlignment="1">
      <alignment horizontal="left" wrapText="1"/>
    </xf>
    <xf numFmtId="0" fontId="0" fillId="0" borderId="55" xfId="0" applyFont="1" applyFill="1" applyBorder="1" applyAlignment="1">
      <alignment horizontal="left" wrapText="1"/>
    </xf>
    <xf numFmtId="3" fontId="10" fillId="0" borderId="10" xfId="3" applyNumberFormat="1" applyFont="1" applyFill="1" applyBorder="1" applyAlignment="1">
      <alignment horizontal="left"/>
    </xf>
    <xf numFmtId="4" fontId="43" fillId="25" borderId="10" xfId="0" applyNumberFormat="1" applyFont="1" applyFill="1" applyBorder="1" applyAlignment="1">
      <alignment horizontal="left" vertical="center"/>
    </xf>
    <xf numFmtId="0" fontId="39" fillId="2" borderId="75" xfId="0" applyFont="1" applyFill="1" applyBorder="1" applyAlignment="1">
      <alignment horizontal="left" vertical="top" wrapText="1"/>
    </xf>
    <xf numFmtId="0" fontId="39" fillId="2" borderId="77" xfId="0" applyFont="1" applyFill="1" applyBorder="1" applyAlignment="1">
      <alignment horizontal="left" vertical="top" wrapText="1"/>
    </xf>
    <xf numFmtId="0" fontId="89" fillId="2" borderId="82" xfId="0" applyFont="1" applyFill="1" applyBorder="1" applyAlignment="1">
      <alignment horizontal="left" vertical="top" wrapText="1"/>
    </xf>
    <xf numFmtId="0" fontId="90" fillId="0" borderId="83" xfId="0" applyFont="1" applyBorder="1"/>
    <xf numFmtId="0" fontId="90" fillId="0" borderId="84" xfId="0" applyFont="1" applyBorder="1"/>
    <xf numFmtId="0" fontId="91" fillId="0" borderId="85" xfId="2" applyFont="1" applyBorder="1" applyAlignment="1">
      <alignment wrapText="1"/>
    </xf>
    <xf numFmtId="0" fontId="90" fillId="0" borderId="86" xfId="0" applyFont="1" applyBorder="1" applyAlignment="1">
      <alignment wrapText="1"/>
    </xf>
    <xf numFmtId="0" fontId="92" fillId="0" borderId="87" xfId="30" applyFont="1" applyBorder="1" applyAlignment="1">
      <alignment wrapText="1"/>
    </xf>
    <xf numFmtId="0" fontId="90" fillId="0" borderId="83" xfId="0" applyFont="1" applyBorder="1" applyAlignment="1">
      <alignment wrapText="1"/>
    </xf>
    <xf numFmtId="0" fontId="90" fillId="0" borderId="84" xfId="0" applyFont="1" applyBorder="1" applyAlignment="1">
      <alignment wrapText="1"/>
    </xf>
    <xf numFmtId="0" fontId="90" fillId="0" borderId="85" xfId="0" applyFont="1" applyBorder="1" applyAlignment="1">
      <alignment wrapText="1"/>
    </xf>
    <xf numFmtId="0" fontId="92" fillId="0" borderId="84" xfId="34" applyFont="1" applyBorder="1" applyAlignment="1">
      <alignment wrapText="1"/>
    </xf>
    <xf numFmtId="0" fontId="89" fillId="2" borderId="44" xfId="0" applyFont="1" applyFill="1" applyBorder="1" applyAlignment="1">
      <alignment wrapText="1"/>
    </xf>
    <xf numFmtId="0" fontId="89" fillId="2" borderId="54" xfId="0" applyFont="1" applyFill="1" applyBorder="1" applyAlignment="1">
      <alignment wrapText="1"/>
    </xf>
    <xf numFmtId="0" fontId="92" fillId="0" borderId="49" xfId="30" applyFont="1" applyBorder="1" applyAlignment="1">
      <alignment wrapText="1"/>
    </xf>
    <xf numFmtId="0" fontId="92" fillId="0" borderId="0" xfId="30" applyFont="1" applyBorder="1" applyAlignment="1">
      <alignment wrapText="1"/>
    </xf>
    <xf numFmtId="0" fontId="93" fillId="2" borderId="44" xfId="0" applyFont="1" applyFill="1" applyBorder="1" applyAlignment="1">
      <alignment vertical="top" wrapText="1"/>
    </xf>
    <xf numFmtId="0" fontId="90" fillId="0" borderId="88" xfId="0" applyFont="1" applyBorder="1" applyAlignment="1">
      <alignment wrapText="1"/>
    </xf>
    <xf numFmtId="0" fontId="91" fillId="0" borderId="0" xfId="2" applyFont="1" applyBorder="1" applyAlignment="1">
      <alignment wrapText="1"/>
    </xf>
    <xf numFmtId="0" fontId="90" fillId="0" borderId="0" xfId="0" applyFont="1" applyBorder="1" applyAlignment="1">
      <alignment wrapText="1"/>
    </xf>
    <xf numFmtId="0" fontId="89" fillId="0" borderId="0" xfId="0" applyFont="1" applyFill="1" applyBorder="1" applyAlignment="1">
      <alignment vertical="top" wrapText="1"/>
    </xf>
    <xf numFmtId="0" fontId="0" fillId="0" borderId="85" xfId="0" applyBorder="1" applyAlignment="1">
      <alignment wrapText="1"/>
    </xf>
    <xf numFmtId="0" fontId="13" fillId="0" borderId="54" xfId="0" applyFont="1" applyBorder="1" applyAlignment="1">
      <alignment vertical="center"/>
    </xf>
    <xf numFmtId="0" fontId="98" fillId="0" borderId="0" xfId="0" applyFont="1" applyAlignment="1">
      <alignment vertical="center"/>
    </xf>
    <xf numFmtId="0" fontId="14" fillId="0" borderId="44" xfId="2" applyBorder="1" applyAlignment="1">
      <alignment vertical="center"/>
    </xf>
    <xf numFmtId="0" fontId="96" fillId="0" borderId="44" xfId="0" applyFont="1" applyBorder="1" applyAlignment="1">
      <alignment horizontal="left" vertical="center"/>
    </xf>
    <xf numFmtId="0" fontId="96" fillId="0" borderId="64" xfId="0" applyFont="1" applyBorder="1" applyAlignment="1">
      <alignment horizontal="left" vertical="center"/>
    </xf>
    <xf numFmtId="0" fontId="99" fillId="0" borderId="44" xfId="0" applyFont="1" applyBorder="1" applyAlignment="1">
      <alignment vertical="center"/>
    </xf>
    <xf numFmtId="0" fontId="99" fillId="0" borderId="64" xfId="0" applyFont="1" applyBorder="1" applyAlignment="1">
      <alignment vertical="center"/>
    </xf>
    <xf numFmtId="0" fontId="0" fillId="0" borderId="56" xfId="0" applyFont="1" applyBorder="1" applyAlignment="1">
      <alignment vertical="center" wrapText="1"/>
    </xf>
    <xf numFmtId="0" fontId="0" fillId="0" borderId="6" xfId="0" applyFont="1" applyBorder="1" applyAlignment="1">
      <alignment vertical="center" wrapText="1"/>
    </xf>
    <xf numFmtId="0" fontId="51" fillId="0" borderId="89" xfId="35" applyFont="1" applyBorder="1"/>
    <xf numFmtId="1" fontId="0" fillId="0" borderId="10" xfId="0" applyNumberFormat="1" applyFill="1" applyBorder="1" applyAlignment="1">
      <alignment wrapText="1"/>
    </xf>
    <xf numFmtId="1" fontId="0" fillId="0" borderId="0" xfId="0" applyNumberFormat="1" applyFill="1" applyBorder="1" applyAlignment="1">
      <alignment wrapText="1"/>
    </xf>
    <xf numFmtId="1" fontId="0" fillId="0" borderId="76" xfId="0" applyNumberFormat="1" applyFill="1" applyBorder="1" applyAlignment="1">
      <alignment wrapText="1"/>
    </xf>
    <xf numFmtId="1" fontId="0" fillId="0" borderId="55" xfId="0" applyNumberFormat="1" applyFill="1" applyBorder="1" applyAlignment="1">
      <alignment wrapText="1"/>
    </xf>
    <xf numFmtId="1" fontId="0" fillId="0" borderId="14" xfId="0" applyNumberFormat="1" applyFill="1" applyBorder="1" applyAlignment="1">
      <alignment wrapText="1"/>
    </xf>
    <xf numFmtId="1" fontId="0" fillId="0" borderId="62" xfId="0" applyNumberFormat="1" applyFill="1" applyBorder="1" applyAlignment="1">
      <alignment wrapText="1"/>
    </xf>
    <xf numFmtId="1" fontId="0" fillId="0" borderId="63" xfId="0" applyNumberFormat="1" applyFill="1" applyBorder="1" applyAlignment="1">
      <alignment wrapText="1"/>
    </xf>
    <xf numFmtId="0" fontId="10" fillId="0" borderId="0" xfId="22" applyFill="1" applyBorder="1" applyAlignment="1"/>
    <xf numFmtId="0" fontId="10" fillId="0" borderId="7" xfId="22" applyFont="1" applyFill="1" applyBorder="1" applyAlignment="1">
      <alignment horizontal="left" wrapText="1"/>
    </xf>
    <xf numFmtId="0" fontId="10" fillId="0" borderId="0" xfId="22" applyFont="1" applyFill="1" applyBorder="1" applyAlignment="1">
      <alignment horizontal="left" wrapText="1"/>
    </xf>
    <xf numFmtId="0" fontId="10" fillId="0" borderId="9" xfId="22" applyFont="1" applyFill="1" applyBorder="1" applyAlignment="1">
      <alignment horizontal="left" wrapText="1"/>
    </xf>
    <xf numFmtId="0" fontId="10" fillId="0" borderId="10" xfId="22" applyFont="1" applyFill="1" applyBorder="1" applyAlignment="1">
      <alignment horizontal="left" wrapText="1"/>
    </xf>
    <xf numFmtId="0" fontId="10" fillId="0" borderId="0" xfId="22" applyAlignment="1">
      <alignment horizontal="left" wrapText="1"/>
    </xf>
    <xf numFmtId="0" fontId="10" fillId="0" borderId="7" xfId="22" applyFont="1" applyBorder="1" applyAlignment="1">
      <alignment horizontal="left" wrapText="1"/>
    </xf>
    <xf numFmtId="0" fontId="10" fillId="0" borderId="0" xfId="22" applyBorder="1" applyAlignment="1">
      <alignment horizontal="left" wrapText="1"/>
    </xf>
    <xf numFmtId="0" fontId="10" fillId="0" borderId="9" xfId="22" applyBorder="1" applyAlignment="1">
      <alignment horizontal="left" wrapText="1"/>
    </xf>
    <xf numFmtId="0" fontId="10" fillId="0" borderId="0" xfId="22" applyAlignment="1">
      <alignment wrapText="1"/>
    </xf>
    <xf numFmtId="0" fontId="10" fillId="0" borderId="7" xfId="22" applyFill="1" applyBorder="1" applyAlignment="1">
      <alignment horizontal="left" wrapText="1"/>
    </xf>
    <xf numFmtId="0" fontId="10" fillId="0" borderId="0" xfId="22" applyFill="1" applyBorder="1" applyAlignment="1">
      <alignment horizontal="left" wrapText="1"/>
    </xf>
    <xf numFmtId="0" fontId="10" fillId="0" borderId="9" xfId="22" applyFill="1" applyBorder="1" applyAlignment="1">
      <alignment horizontal="left" wrapText="1"/>
    </xf>
    <xf numFmtId="0" fontId="10" fillId="0" borderId="14" xfId="22" applyBorder="1" applyAlignment="1">
      <alignment horizontal="left" wrapText="1"/>
    </xf>
    <xf numFmtId="0" fontId="10" fillId="0" borderId="18" xfId="22" applyBorder="1" applyAlignment="1">
      <alignment horizontal="left" wrapText="1"/>
    </xf>
    <xf numFmtId="0" fontId="11" fillId="0" borderId="0" xfId="1" applyFill="1" applyBorder="1" applyAlignment="1">
      <alignment horizontal="left"/>
    </xf>
    <xf numFmtId="0" fontId="14" fillId="0" borderId="0" xfId="2" applyFill="1" applyBorder="1" applyAlignment="1">
      <alignment horizontal="left"/>
    </xf>
    <xf numFmtId="0" fontId="10" fillId="0" borderId="0" xfId="1" applyFont="1" applyFill="1" applyBorder="1" applyAlignment="1">
      <alignment horizontal="left"/>
    </xf>
    <xf numFmtId="0" fontId="0" fillId="0" borderId="0" xfId="0" applyFill="1" applyBorder="1"/>
    <xf numFmtId="3" fontId="10" fillId="25" borderId="0" xfId="1" applyNumberFormat="1" applyFont="1" applyFill="1" applyBorder="1" applyAlignment="1">
      <alignment horizontal="left"/>
    </xf>
    <xf numFmtId="0" fontId="9" fillId="0" borderId="0" xfId="1" applyFont="1" applyFill="1" applyBorder="1" applyAlignment="1">
      <alignment horizontal="left"/>
    </xf>
    <xf numFmtId="0" fontId="10" fillId="0" borderId="0" xfId="0" applyFont="1" applyFill="1" applyBorder="1" applyAlignment="1">
      <alignment horizontal="left" vertical="top"/>
    </xf>
    <xf numFmtId="0" fontId="10" fillId="0" borderId="0" xfId="0" applyFont="1" applyFill="1" applyBorder="1" applyAlignment="1">
      <alignment vertical="top"/>
    </xf>
    <xf numFmtId="0" fontId="5" fillId="0" borderId="0" xfId="1" applyFont="1" applyFill="1" applyBorder="1"/>
    <xf numFmtId="0" fontId="10" fillId="0" borderId="0" xfId="1" applyFont="1" applyFill="1" applyBorder="1"/>
    <xf numFmtId="49" fontId="10" fillId="0" borderId="0" xfId="1" applyNumberFormat="1" applyFont="1" applyFill="1" applyBorder="1" applyAlignment="1">
      <alignment horizontal="left"/>
    </xf>
    <xf numFmtId="3" fontId="11" fillId="0" borderId="0" xfId="1" applyNumberFormat="1" applyFill="1" applyBorder="1" applyAlignment="1">
      <alignment horizontal="left"/>
    </xf>
    <xf numFmtId="17" fontId="0" fillId="0" borderId="0" xfId="0" applyNumberFormat="1" applyFill="1" applyBorder="1" applyAlignment="1">
      <alignment horizontal="left"/>
    </xf>
    <xf numFmtId="0" fontId="16" fillId="0" borderId="0" xfId="0" applyFont="1" applyFill="1" applyBorder="1" applyAlignment="1">
      <alignment horizontal="left" vertical="top"/>
    </xf>
    <xf numFmtId="0" fontId="16" fillId="0" borderId="0" xfId="0" applyFont="1" applyFill="1" applyBorder="1" applyAlignment="1">
      <alignment horizontal="left" wrapText="1"/>
    </xf>
    <xf numFmtId="0" fontId="16" fillId="0" borderId="0" xfId="0" applyFont="1" applyFill="1" applyBorder="1" applyAlignment="1">
      <alignment vertical="top"/>
    </xf>
    <xf numFmtId="3" fontId="0" fillId="25" borderId="0" xfId="0" applyNumberFormat="1" applyFill="1" applyBorder="1" applyAlignment="1">
      <alignment horizontal="left"/>
    </xf>
    <xf numFmtId="0" fontId="18" fillId="0" borderId="0" xfId="0" applyFont="1" applyFill="1" applyBorder="1" applyAlignment="1">
      <alignment vertical="center"/>
    </xf>
    <xf numFmtId="0" fontId="11" fillId="0" borderId="0" xfId="1" applyFill="1" applyBorder="1"/>
    <xf numFmtId="0" fontId="19" fillId="0" borderId="0" xfId="1" applyFont="1" applyFill="1" applyBorder="1" applyAlignment="1">
      <alignment horizontal="left"/>
    </xf>
    <xf numFmtId="0" fontId="19" fillId="0" borderId="0" xfId="1" applyFont="1" applyFill="1" applyBorder="1"/>
    <xf numFmtId="49" fontId="19" fillId="0" borderId="0" xfId="1" applyNumberFormat="1" applyFont="1" applyFill="1" applyBorder="1" applyAlignment="1">
      <alignment horizontal="left"/>
    </xf>
    <xf numFmtId="3" fontId="19" fillId="25" borderId="0" xfId="1" applyNumberFormat="1" applyFont="1" applyFill="1" applyBorder="1" applyAlignment="1">
      <alignment horizontal="left"/>
    </xf>
    <xf numFmtId="0" fontId="20" fillId="0" borderId="0" xfId="0" applyFont="1" applyFill="1" applyBorder="1" applyAlignment="1">
      <alignment vertical="center"/>
    </xf>
    <xf numFmtId="0" fontId="12" fillId="2" borderId="90" xfId="1" applyFont="1" applyFill="1" applyBorder="1" applyAlignment="1">
      <alignment vertical="top" wrapText="1"/>
    </xf>
    <xf numFmtId="0" fontId="12" fillId="2" borderId="87" xfId="1" applyFont="1" applyFill="1" applyBorder="1" applyAlignment="1">
      <alignment horizontal="left" vertical="top" wrapText="1"/>
    </xf>
    <xf numFmtId="49" fontId="12" fillId="2" borderId="87" xfId="1" applyNumberFormat="1" applyFont="1" applyFill="1" applyBorder="1" applyAlignment="1">
      <alignment horizontal="left" vertical="top" wrapText="1"/>
    </xf>
    <xf numFmtId="0" fontId="12" fillId="2" borderId="87" xfId="1" applyFont="1" applyFill="1" applyBorder="1" applyAlignment="1">
      <alignment horizontal="left" vertical="top"/>
    </xf>
    <xf numFmtId="0" fontId="12" fillId="2" borderId="12" xfId="1" applyFont="1" applyFill="1" applyBorder="1" applyAlignment="1">
      <alignment vertical="top" wrapText="1"/>
    </xf>
    <xf numFmtId="0" fontId="11" fillId="0" borderId="71" xfId="1" applyFill="1" applyBorder="1"/>
    <xf numFmtId="0" fontId="11" fillId="0" borderId="6" xfId="1" applyFill="1" applyBorder="1" applyAlignment="1">
      <alignment wrapText="1"/>
    </xf>
    <xf numFmtId="0" fontId="10" fillId="0" borderId="71" xfId="1" applyFont="1" applyFill="1" applyBorder="1"/>
    <xf numFmtId="0" fontId="3" fillId="0" borderId="6" xfId="1" applyFont="1" applyFill="1" applyBorder="1" applyAlignment="1">
      <alignment wrapText="1"/>
    </xf>
    <xf numFmtId="0" fontId="16" fillId="0" borderId="71" xfId="0" applyFont="1" applyFill="1" applyBorder="1" applyAlignment="1">
      <alignment horizontal="left" wrapText="1"/>
    </xf>
    <xf numFmtId="0" fontId="4" fillId="0" borderId="6" xfId="1" applyFont="1" applyFill="1" applyBorder="1" applyAlignment="1">
      <alignment wrapText="1"/>
    </xf>
    <xf numFmtId="0" fontId="10" fillId="0" borderId="71" xfId="0" applyFont="1" applyFill="1" applyBorder="1" applyAlignment="1">
      <alignment vertical="top"/>
    </xf>
    <xf numFmtId="0" fontId="10" fillId="0" borderId="71" xfId="0" applyFont="1" applyFill="1" applyBorder="1" applyAlignment="1">
      <alignment horizontal="left" wrapText="1"/>
    </xf>
    <xf numFmtId="0" fontId="16" fillId="0" borderId="71" xfId="0" applyFont="1" applyFill="1" applyBorder="1" applyAlignment="1">
      <alignment vertical="top"/>
    </xf>
    <xf numFmtId="0" fontId="19" fillId="0" borderId="71" xfId="1" applyFont="1" applyFill="1" applyBorder="1"/>
    <xf numFmtId="0" fontId="19" fillId="0" borderId="6" xfId="1" applyFont="1" applyFill="1" applyBorder="1" applyAlignment="1">
      <alignment wrapText="1"/>
    </xf>
    <xf numFmtId="0" fontId="10" fillId="0" borderId="72" xfId="0" applyFont="1" applyFill="1" applyBorder="1" applyAlignment="1">
      <alignment horizontal="left" wrapText="1"/>
    </xf>
    <xf numFmtId="0" fontId="10" fillId="0" borderId="9" xfId="0" applyFont="1" applyFill="1" applyBorder="1" applyAlignment="1">
      <alignment horizontal="left" wrapText="1"/>
    </xf>
    <xf numFmtId="49" fontId="0" fillId="0" borderId="9" xfId="0" applyNumberFormat="1" applyFill="1" applyBorder="1" applyAlignment="1">
      <alignment horizontal="left" wrapText="1"/>
    </xf>
    <xf numFmtId="4" fontId="20" fillId="25" borderId="9" xfId="0" applyNumberFormat="1" applyFont="1" applyFill="1" applyBorder="1" applyAlignment="1">
      <alignment horizontal="left" vertical="center"/>
    </xf>
    <xf numFmtId="3" fontId="0" fillId="25" borderId="9" xfId="0" applyNumberFormat="1" applyFill="1" applyBorder="1" applyAlignment="1">
      <alignment horizontal="left" wrapText="1"/>
    </xf>
    <xf numFmtId="0" fontId="0" fillId="0" borderId="9" xfId="0" applyBorder="1"/>
    <xf numFmtId="0" fontId="0" fillId="0" borderId="9" xfId="0" applyFill="1" applyBorder="1"/>
    <xf numFmtId="0" fontId="19" fillId="0" borderId="56" xfId="1" applyFont="1" applyFill="1" applyBorder="1" applyAlignment="1">
      <alignment wrapText="1"/>
    </xf>
    <xf numFmtId="0" fontId="46" fillId="5" borderId="75" xfId="22" applyFont="1" applyFill="1" applyBorder="1" applyAlignment="1">
      <alignment horizontal="left" wrapText="1"/>
    </xf>
    <xf numFmtId="0" fontId="10" fillId="0" borderId="76" xfId="22" applyFont="1" applyFill="1" applyBorder="1" applyAlignment="1">
      <alignment horizontal="left"/>
    </xf>
    <xf numFmtId="0" fontId="10" fillId="0" borderId="62" xfId="22" applyFont="1" applyFill="1" applyBorder="1" applyAlignment="1">
      <alignment horizontal="left"/>
    </xf>
    <xf numFmtId="4" fontId="46" fillId="5" borderId="73" xfId="22" applyNumberFormat="1" applyFont="1" applyFill="1" applyBorder="1" applyAlignment="1">
      <alignment horizontal="left" wrapText="1"/>
    </xf>
    <xf numFmtId="0" fontId="46" fillId="5" borderId="74" xfId="22" applyFont="1" applyFill="1" applyBorder="1" applyAlignment="1">
      <alignment horizontal="left"/>
    </xf>
    <xf numFmtId="4" fontId="46" fillId="5" borderId="74" xfId="22" applyNumberFormat="1" applyFont="1" applyFill="1" applyBorder="1" applyAlignment="1">
      <alignment horizontal="left" wrapText="1"/>
    </xf>
    <xf numFmtId="0" fontId="46" fillId="5" borderId="74" xfId="22" applyFont="1" applyFill="1" applyBorder="1" applyAlignment="1">
      <alignment horizontal="left" wrapText="1"/>
    </xf>
    <xf numFmtId="0" fontId="46" fillId="2" borderId="74" xfId="22" applyFont="1" applyFill="1" applyBorder="1" applyAlignment="1">
      <alignment horizontal="left" wrapText="1"/>
    </xf>
    <xf numFmtId="0" fontId="46" fillId="2" borderId="46" xfId="22" applyFont="1" applyFill="1" applyBorder="1" applyAlignment="1">
      <alignment horizontal="left" wrapText="1"/>
    </xf>
    <xf numFmtId="0" fontId="10" fillId="0" borderId="71" xfId="22" applyFont="1" applyFill="1" applyBorder="1" applyAlignment="1">
      <alignment horizontal="left"/>
    </xf>
    <xf numFmtId="0" fontId="10" fillId="0" borderId="6" xfId="22" applyFont="1" applyFill="1" applyBorder="1" applyAlignment="1">
      <alignment horizontal="left" wrapText="1"/>
    </xf>
    <xf numFmtId="0" fontId="10" fillId="0" borderId="91" xfId="22" applyFont="1" applyFill="1" applyBorder="1" applyAlignment="1">
      <alignment horizontal="left"/>
    </xf>
    <xf numFmtId="0" fontId="10" fillId="0" borderId="92" xfId="22" applyFont="1" applyFill="1" applyBorder="1" applyAlignment="1">
      <alignment horizontal="left" wrapText="1"/>
    </xf>
    <xf numFmtId="0" fontId="10" fillId="0" borderId="72" xfId="22" applyFont="1" applyFill="1" applyBorder="1" applyAlignment="1">
      <alignment horizontal="left"/>
    </xf>
    <xf numFmtId="0" fontId="10" fillId="0" borderId="56" xfId="22" applyFont="1" applyFill="1" applyBorder="1" applyAlignment="1">
      <alignment horizontal="left" wrapText="1"/>
    </xf>
    <xf numFmtId="0" fontId="2" fillId="0" borderId="6" xfId="22" applyFont="1" applyFill="1" applyBorder="1" applyAlignment="1">
      <alignment horizontal="left" wrapText="1"/>
    </xf>
    <xf numFmtId="0" fontId="0" fillId="0" borderId="91" xfId="0" applyFill="1" applyBorder="1" applyAlignment="1">
      <alignment horizontal="left" wrapText="1"/>
    </xf>
    <xf numFmtId="0" fontId="0" fillId="0" borderId="93" xfId="0" applyFill="1" applyBorder="1" applyAlignment="1">
      <alignment horizontal="left" wrapText="1"/>
    </xf>
    <xf numFmtId="0" fontId="10" fillId="0" borderId="76" xfId="22" applyFont="1" applyFill="1" applyBorder="1" applyAlignment="1">
      <alignment horizontal="left" wrapText="1"/>
    </xf>
    <xf numFmtId="0" fontId="10" fillId="0" borderId="94" xfId="22" applyFont="1" applyFill="1" applyBorder="1" applyAlignment="1">
      <alignment horizontal="left" wrapText="1"/>
    </xf>
    <xf numFmtId="0" fontId="10" fillId="0" borderId="11" xfId="22" applyFont="1" applyFill="1" applyBorder="1" applyAlignment="1">
      <alignment horizontal="left"/>
    </xf>
    <xf numFmtId="0" fontId="10" fillId="0" borderId="12" xfId="22" applyFont="1" applyFill="1" applyBorder="1" applyAlignment="1">
      <alignment horizontal="left" wrapText="1"/>
    </xf>
    <xf numFmtId="0" fontId="10" fillId="0" borderId="93" xfId="22" applyFont="1" applyFill="1" applyBorder="1" applyAlignment="1">
      <alignment horizontal="left"/>
    </xf>
    <xf numFmtId="0" fontId="10" fillId="0" borderId="76" xfId="22" applyBorder="1"/>
    <xf numFmtId="0" fontId="10" fillId="0" borderId="76" xfId="22" applyBorder="1" applyAlignment="1">
      <alignment horizontal="left"/>
    </xf>
    <xf numFmtId="0" fontId="10" fillId="0" borderId="76" xfId="22" applyFont="1" applyBorder="1" applyAlignment="1">
      <alignment horizontal="left"/>
    </xf>
    <xf numFmtId="0" fontId="10" fillId="0" borderId="76" xfId="22" applyBorder="1" applyAlignment="1">
      <alignment horizontal="left" wrapText="1"/>
    </xf>
    <xf numFmtId="0" fontId="10" fillId="0" borderId="94" xfId="22" applyBorder="1" applyAlignment="1">
      <alignment wrapText="1"/>
    </xf>
    <xf numFmtId="0" fontId="10" fillId="0" borderId="79" xfId="22" applyFont="1" applyFill="1" applyBorder="1" applyAlignment="1">
      <alignment horizontal="left"/>
    </xf>
    <xf numFmtId="3" fontId="10" fillId="0" borderId="62" xfId="22" applyNumberFormat="1" applyBorder="1" applyAlignment="1">
      <alignment horizontal="left"/>
    </xf>
    <xf numFmtId="0" fontId="10" fillId="0" borderId="62" xfId="22" applyBorder="1" applyAlignment="1">
      <alignment horizontal="left"/>
    </xf>
    <xf numFmtId="0" fontId="10" fillId="0" borderId="62" xfId="22" applyFont="1" applyBorder="1" applyAlignment="1">
      <alignment horizontal="left"/>
    </xf>
    <xf numFmtId="0" fontId="10" fillId="0" borderId="62" xfId="22" applyBorder="1" applyAlignment="1">
      <alignment horizontal="left" wrapText="1"/>
    </xf>
    <xf numFmtId="0" fontId="2" fillId="0" borderId="17" xfId="22" applyFont="1" applyBorder="1" applyAlignment="1">
      <alignment wrapText="1"/>
    </xf>
    <xf numFmtId="0" fontId="10" fillId="0" borderId="92" xfId="22" applyBorder="1" applyAlignment="1">
      <alignment wrapText="1"/>
    </xf>
    <xf numFmtId="0" fontId="10" fillId="0" borderId="6" xfId="22" applyBorder="1" applyAlignment="1">
      <alignment wrapText="1"/>
    </xf>
    <xf numFmtId="0" fontId="10" fillId="0" borderId="56" xfId="22" applyBorder="1" applyAlignment="1">
      <alignment wrapText="1"/>
    </xf>
    <xf numFmtId="0" fontId="10" fillId="0" borderId="17" xfId="22" applyBorder="1" applyAlignment="1">
      <alignment wrapText="1"/>
    </xf>
    <xf numFmtId="0" fontId="10" fillId="0" borderId="6" xfId="22" applyFill="1" applyBorder="1" applyAlignment="1">
      <alignment wrapText="1"/>
    </xf>
    <xf numFmtId="0" fontId="10" fillId="0" borderId="92" xfId="22" applyFill="1" applyBorder="1" applyAlignment="1">
      <alignment wrapText="1"/>
    </xf>
    <xf numFmtId="0" fontId="10" fillId="0" borderId="56" xfId="22" applyFill="1" applyBorder="1" applyAlignment="1">
      <alignment wrapText="1"/>
    </xf>
    <xf numFmtId="0" fontId="0" fillId="0" borderId="11" xfId="0" applyFill="1" applyBorder="1" applyAlignment="1">
      <alignment horizontal="left"/>
    </xf>
    <xf numFmtId="0" fontId="0" fillId="0" borderId="71" xfId="0" applyFill="1" applyBorder="1" applyAlignment="1">
      <alignment horizontal="left"/>
    </xf>
    <xf numFmtId="0" fontId="10" fillId="0" borderId="0" xfId="22" applyFont="1" applyFill="1" applyBorder="1"/>
    <xf numFmtId="0" fontId="10" fillId="0" borderId="0" xfId="22" applyFont="1" applyFill="1" applyBorder="1" applyAlignment="1"/>
    <xf numFmtId="0" fontId="0" fillId="0" borderId="72" xfId="0" applyFill="1" applyBorder="1" applyAlignment="1">
      <alignment horizontal="left"/>
    </xf>
    <xf numFmtId="0" fontId="2" fillId="0" borderId="12" xfId="22" applyFont="1" applyFill="1" applyBorder="1" applyAlignment="1">
      <alignment wrapText="1"/>
    </xf>
    <xf numFmtId="0" fontId="0" fillId="0" borderId="93" xfId="0" applyFill="1" applyBorder="1" applyAlignment="1">
      <alignment horizontal="left"/>
    </xf>
    <xf numFmtId="0" fontId="10" fillId="0" borderId="76" xfId="22" applyFill="1" applyBorder="1" applyAlignment="1">
      <alignment horizontal="left"/>
    </xf>
    <xf numFmtId="0" fontId="10" fillId="0" borderId="76" xfId="22" applyFill="1" applyBorder="1" applyAlignment="1">
      <alignment horizontal="left" wrapText="1"/>
    </xf>
    <xf numFmtId="0" fontId="10" fillId="0" borderId="94" xfId="22" applyFill="1" applyBorder="1" applyAlignment="1">
      <alignment wrapText="1"/>
    </xf>
    <xf numFmtId="0" fontId="10" fillId="0" borderId="13" xfId="22" applyFont="1" applyFill="1" applyBorder="1" applyAlignment="1">
      <alignment horizontal="left"/>
    </xf>
    <xf numFmtId="0" fontId="10" fillId="0" borderId="15" xfId="22" applyBorder="1" applyAlignment="1">
      <alignment wrapText="1"/>
    </xf>
    <xf numFmtId="0" fontId="10" fillId="0" borderId="95" xfId="22" applyFont="1" applyFill="1" applyBorder="1" applyAlignment="1">
      <alignment horizontal="left"/>
    </xf>
    <xf numFmtId="0" fontId="10" fillId="0" borderId="96" xfId="22" applyBorder="1" applyAlignment="1">
      <alignment wrapText="1"/>
    </xf>
    <xf numFmtId="0" fontId="100" fillId="26" borderId="44" xfId="0" applyFont="1" applyFill="1" applyBorder="1"/>
    <xf numFmtId="0" fontId="100" fillId="26" borderId="45" xfId="0" applyFont="1" applyFill="1" applyBorder="1"/>
    <xf numFmtId="0" fontId="100" fillId="26" borderId="74" xfId="0" applyFont="1" applyFill="1" applyBorder="1"/>
    <xf numFmtId="0" fontId="100" fillId="26" borderId="46" xfId="0" applyFont="1" applyFill="1" applyBorder="1" applyAlignment="1">
      <alignment wrapText="1"/>
    </xf>
    <xf numFmtId="0" fontId="0" fillId="0" borderId="64" xfId="0" applyFont="1" applyBorder="1" applyAlignment="1">
      <alignment vertical="center" wrapText="1"/>
    </xf>
    <xf numFmtId="0" fontId="94" fillId="0" borderId="53" xfId="0" quotePrefix="1" applyFont="1" applyBorder="1" applyAlignment="1">
      <alignment horizontal="left" vertical="center" wrapText="1" indent="5"/>
    </xf>
    <xf numFmtId="0" fontId="51" fillId="0" borderId="27" xfId="35" applyFont="1" applyFill="1" applyBorder="1"/>
    <xf numFmtId="3" fontId="10" fillId="28" borderId="0" xfId="25" applyNumberFormat="1" applyFont="1" applyFill="1" applyBorder="1" applyAlignment="1">
      <alignment horizontal="left"/>
    </xf>
    <xf numFmtId="3" fontId="0" fillId="28" borderId="0" xfId="0" applyNumberFormat="1" applyFill="1" applyBorder="1" applyAlignment="1">
      <alignment horizontal="left"/>
    </xf>
    <xf numFmtId="3" fontId="0" fillId="28" borderId="0" xfId="0" applyNumberFormat="1" applyFill="1" applyBorder="1" applyAlignment="1">
      <alignment horizontal="left" wrapText="1"/>
    </xf>
    <xf numFmtId="3" fontId="18" fillId="28" borderId="0" xfId="0" applyNumberFormat="1" applyFont="1" applyFill="1" applyBorder="1" applyAlignment="1">
      <alignment horizontal="left" wrapText="1"/>
    </xf>
    <xf numFmtId="3" fontId="0" fillId="28" borderId="55" xfId="0" applyNumberFormat="1" applyFill="1" applyBorder="1" applyAlignment="1">
      <alignment horizontal="left" wrapText="1"/>
    </xf>
    <xf numFmtId="3" fontId="18" fillId="28" borderId="55" xfId="0" applyNumberFormat="1" applyFont="1" applyFill="1" applyBorder="1" applyAlignment="1">
      <alignment horizontal="left" wrapText="1"/>
    </xf>
    <xf numFmtId="9" fontId="0" fillId="0" borderId="0" xfId="32" applyFont="1" applyFill="1" applyBorder="1" applyAlignment="1">
      <alignment horizontal="left" wrapText="1"/>
    </xf>
    <xf numFmtId="3" fontId="10" fillId="28" borderId="76" xfId="25" applyNumberFormat="1" applyFont="1" applyFill="1" applyBorder="1" applyAlignment="1">
      <alignment horizontal="left"/>
    </xf>
    <xf numFmtId="0" fontId="0" fillId="0" borderId="54" xfId="0" applyFont="1" applyBorder="1" applyAlignment="1">
      <alignment vertical="center"/>
    </xf>
    <xf numFmtId="0" fontId="0" fillId="0" borderId="93" xfId="0" applyFill="1" applyBorder="1" applyAlignment="1">
      <alignment wrapText="1"/>
    </xf>
    <xf numFmtId="0" fontId="0" fillId="4" borderId="71" xfId="0" applyFill="1" applyBorder="1" applyAlignment="1">
      <alignment wrapText="1"/>
    </xf>
    <xf numFmtId="9" fontId="39" fillId="2" borderId="68" xfId="32" applyFont="1" applyFill="1" applyBorder="1" applyAlignment="1">
      <alignment vertical="top" wrapText="1"/>
    </xf>
    <xf numFmtId="9" fontId="44" fillId="0" borderId="0" xfId="32" applyFont="1" applyFill="1" applyBorder="1" applyAlignment="1">
      <alignment wrapText="1"/>
    </xf>
    <xf numFmtId="9" fontId="0" fillId="0" borderId="0" xfId="32" applyFont="1" applyFill="1" applyAlignment="1">
      <alignment wrapText="1"/>
    </xf>
    <xf numFmtId="0" fontId="1" fillId="0" borderId="0" xfId="0" applyFont="1" applyFill="1" applyBorder="1" applyAlignment="1">
      <alignment horizontal="left" vertical="center" indent="5"/>
    </xf>
    <xf numFmtId="0" fontId="1" fillId="0" borderId="76" xfId="0" applyFont="1" applyFill="1" applyBorder="1" applyAlignment="1">
      <alignment horizontal="left" vertical="center" indent="5"/>
    </xf>
    <xf numFmtId="0" fontId="1" fillId="0" borderId="55" xfId="0" applyFont="1" applyFill="1" applyBorder="1" applyAlignment="1">
      <alignment horizontal="left" vertical="center" indent="5"/>
    </xf>
    <xf numFmtId="0" fontId="1" fillId="0" borderId="14" xfId="0" applyFont="1" applyFill="1" applyBorder="1" applyAlignment="1">
      <alignment horizontal="left" vertical="center" indent="5"/>
    </xf>
    <xf numFmtId="0" fontId="13" fillId="0" borderId="52" xfId="0" applyFont="1" applyBorder="1" applyAlignment="1">
      <alignment vertical="center"/>
    </xf>
    <xf numFmtId="0" fontId="13" fillId="0" borderId="53" xfId="0" applyFont="1" applyBorder="1" applyAlignment="1">
      <alignment vertical="center"/>
    </xf>
    <xf numFmtId="0" fontId="13" fillId="0" borderId="54" xfId="0" applyFont="1" applyBorder="1" applyAlignment="1">
      <alignment vertical="center"/>
    </xf>
    <xf numFmtId="0" fontId="0" fillId="0" borderId="52" xfId="0" applyBorder="1" applyAlignment="1">
      <alignment vertical="center" wrapText="1"/>
    </xf>
    <xf numFmtId="0" fontId="0" fillId="0" borderId="53" xfId="0" applyBorder="1" applyAlignment="1">
      <alignment vertical="center" wrapText="1"/>
    </xf>
    <xf numFmtId="0" fontId="0" fillId="0" borderId="54" xfId="0" applyBorder="1" applyAlignment="1">
      <alignment vertical="center" wrapText="1"/>
    </xf>
    <xf numFmtId="0" fontId="52" fillId="0" borderId="25" xfId="35" applyFont="1" applyBorder="1" applyAlignment="1">
      <alignment horizontal="center"/>
    </xf>
    <xf numFmtId="0" fontId="52" fillId="0" borderId="26" xfId="35" applyFont="1" applyBorder="1" applyAlignment="1">
      <alignment horizontal="center"/>
    </xf>
    <xf numFmtId="0" fontId="20" fillId="0" borderId="29" xfId="35" applyFont="1" applyBorder="1" applyAlignment="1">
      <alignment horizontal="left" vertical="top" wrapText="1"/>
    </xf>
    <xf numFmtId="0" fontId="20" fillId="0" borderId="28" xfId="35" applyFont="1" applyBorder="1" applyAlignment="1">
      <alignment horizontal="left" vertical="top" wrapText="1"/>
    </xf>
    <xf numFmtId="0" fontId="0" fillId="0" borderId="65" xfId="0" applyFont="1" applyBorder="1" applyAlignment="1">
      <alignment horizontal="left" vertical="center" wrapText="1"/>
    </xf>
    <xf numFmtId="0" fontId="13" fillId="0" borderId="66" xfId="0" applyFont="1" applyBorder="1" applyAlignment="1">
      <alignment horizontal="left" vertical="center" wrapText="1"/>
    </xf>
    <xf numFmtId="169" fontId="36" fillId="0" borderId="1" xfId="23" applyNumberFormat="1" applyFont="1" applyFill="1" applyBorder="1" applyAlignment="1">
      <alignment horizontal="center" wrapText="1"/>
    </xf>
    <xf numFmtId="169" fontId="36" fillId="0" borderId="22" xfId="23" applyNumberFormat="1" applyFont="1" applyFill="1" applyBorder="1" applyAlignment="1">
      <alignment horizontal="center" wrapText="1"/>
    </xf>
    <xf numFmtId="3" fontId="36" fillId="0" borderId="2" xfId="23" applyNumberFormat="1" applyFont="1" applyFill="1" applyBorder="1" applyAlignment="1">
      <alignment horizontal="center" textRotation="90"/>
    </xf>
    <xf numFmtId="169" fontId="36" fillId="0" borderId="20" xfId="23" applyNumberFormat="1" applyFont="1" applyFill="1" applyBorder="1" applyAlignment="1">
      <alignment horizontal="center" textRotation="90" wrapText="1"/>
    </xf>
    <xf numFmtId="169" fontId="36" fillId="0" borderId="21" xfId="23" applyNumberFormat="1" applyFont="1" applyFill="1" applyBorder="1" applyAlignment="1">
      <alignment horizontal="center" textRotation="90" wrapText="1"/>
    </xf>
    <xf numFmtId="3" fontId="36" fillId="0" borderId="2" xfId="23" applyNumberFormat="1" applyFont="1" applyFill="1" applyBorder="1" applyAlignment="1">
      <alignment horizontal="center" textRotation="90" wrapText="1"/>
    </xf>
    <xf numFmtId="3" fontId="36" fillId="0" borderId="20" xfId="23" applyNumberFormat="1" applyFont="1" applyFill="1" applyBorder="1" applyAlignment="1">
      <alignment horizontal="center" textRotation="90" wrapText="1"/>
    </xf>
    <xf numFmtId="0" fontId="90" fillId="0" borderId="59" xfId="0" applyFont="1" applyBorder="1" applyAlignment="1">
      <alignment horizontal="left"/>
    </xf>
    <xf numFmtId="0" fontId="90" fillId="0" borderId="43" xfId="0" applyFont="1" applyBorder="1" applyAlignment="1">
      <alignment horizontal="left"/>
    </xf>
    <xf numFmtId="0" fontId="90" fillId="0" borderId="47" xfId="0" applyFont="1" applyBorder="1" applyAlignment="1">
      <alignment horizontal="left"/>
    </xf>
    <xf numFmtId="0" fontId="90" fillId="0" borderId="60" xfId="0" applyFont="1" applyBorder="1" applyAlignment="1">
      <alignment horizontal="left"/>
    </xf>
    <xf numFmtId="0" fontId="90" fillId="0" borderId="50" xfId="0" applyFont="1" applyBorder="1" applyAlignment="1">
      <alignment horizontal="left"/>
    </xf>
    <xf numFmtId="0" fontId="90" fillId="0" borderId="51" xfId="0" applyFont="1" applyBorder="1" applyAlignment="1">
      <alignment horizontal="left"/>
    </xf>
    <xf numFmtId="0" fontId="89" fillId="2" borderId="52" xfId="0" applyFont="1" applyFill="1" applyBorder="1" applyAlignment="1">
      <alignment horizontal="center" vertical="center" wrapText="1"/>
    </xf>
    <xf numFmtId="0" fontId="89" fillId="2" borderId="53" xfId="0" applyFont="1" applyFill="1" applyBorder="1" applyAlignment="1">
      <alignment horizontal="center" vertical="center" wrapText="1"/>
    </xf>
    <xf numFmtId="0" fontId="89" fillId="2" borderId="54" xfId="0" applyFont="1" applyFill="1" applyBorder="1" applyAlignment="1">
      <alignment horizontal="center" vertical="center" wrapText="1"/>
    </xf>
    <xf numFmtId="0" fontId="101" fillId="27" borderId="73" xfId="0" applyFont="1" applyFill="1" applyBorder="1" applyAlignment="1">
      <alignment horizontal="left"/>
    </xf>
    <xf numFmtId="0" fontId="101" fillId="27" borderId="74" xfId="0" applyFont="1" applyFill="1" applyBorder="1" applyAlignment="1">
      <alignment horizontal="left"/>
    </xf>
    <xf numFmtId="0" fontId="101" fillId="27" borderId="46" xfId="0" applyFont="1" applyFill="1" applyBorder="1" applyAlignment="1">
      <alignment horizontal="left"/>
    </xf>
    <xf numFmtId="0" fontId="90" fillId="0" borderId="61" xfId="0" applyFont="1" applyBorder="1" applyAlignment="1">
      <alignment horizontal="left"/>
    </xf>
    <xf numFmtId="0" fontId="90" fillId="0" borderId="49" xfId="0" applyFont="1" applyBorder="1" applyAlignment="1">
      <alignment horizontal="left"/>
    </xf>
    <xf numFmtId="0" fontId="90" fillId="0" borderId="58" xfId="0" applyFont="1" applyBorder="1" applyAlignment="1">
      <alignment horizontal="left"/>
    </xf>
    <xf numFmtId="0" fontId="0" fillId="4" borderId="0" xfId="0" applyFill="1" applyBorder="1" applyAlignment="1">
      <alignment horizontal="left" wrapText="1"/>
    </xf>
    <xf numFmtId="10" fontId="0" fillId="4" borderId="0" xfId="32" applyNumberFormat="1" applyFont="1" applyFill="1" applyBorder="1" applyAlignment="1">
      <alignment wrapText="1"/>
    </xf>
    <xf numFmtId="9" fontId="0" fillId="4" borderId="0" xfId="32" applyFont="1" applyFill="1" applyBorder="1" applyAlignment="1">
      <alignment wrapText="1"/>
    </xf>
    <xf numFmtId="9" fontId="0" fillId="4" borderId="0" xfId="32" applyNumberFormat="1" applyFont="1" applyFill="1" applyBorder="1" applyAlignment="1">
      <alignment wrapText="1"/>
    </xf>
    <xf numFmtId="0" fontId="0" fillId="4" borderId="0" xfId="0" applyFill="1" applyBorder="1" applyAlignment="1">
      <alignment wrapText="1"/>
    </xf>
    <xf numFmtId="0" fontId="1" fillId="4" borderId="0" xfId="0" applyFont="1" applyFill="1" applyBorder="1" applyAlignment="1">
      <alignment horizontal="left" vertical="center" indent="5"/>
    </xf>
    <xf numFmtId="1" fontId="0" fillId="4" borderId="0" xfId="0" applyNumberFormat="1" applyFill="1" applyBorder="1" applyAlignment="1">
      <alignment wrapText="1"/>
    </xf>
    <xf numFmtId="0" fontId="0" fillId="4" borderId="6" xfId="0" applyFill="1" applyBorder="1" applyAlignment="1">
      <alignment wrapText="1"/>
    </xf>
    <xf numFmtId="0" fontId="0" fillId="4" borderId="76" xfId="0" applyFill="1" applyBorder="1" applyAlignment="1">
      <alignment horizontal="left" wrapText="1"/>
    </xf>
    <xf numFmtId="10" fontId="0" fillId="4" borderId="76" xfId="32" applyNumberFormat="1" applyFont="1" applyFill="1" applyBorder="1" applyAlignment="1">
      <alignment wrapText="1"/>
    </xf>
    <xf numFmtId="9" fontId="0" fillId="4" borderId="76" xfId="32" applyFont="1" applyFill="1" applyBorder="1" applyAlignment="1">
      <alignment wrapText="1"/>
    </xf>
    <xf numFmtId="9" fontId="0" fillId="4" borderId="76" xfId="32" applyNumberFormat="1" applyFont="1" applyFill="1" applyBorder="1" applyAlignment="1">
      <alignment wrapText="1"/>
    </xf>
    <xf numFmtId="0" fontId="0" fillId="4" borderId="76" xfId="0" applyFill="1" applyBorder="1" applyAlignment="1">
      <alignment wrapText="1"/>
    </xf>
    <xf numFmtId="0" fontId="1" fillId="4" borderId="76" xfId="0" applyFont="1" applyFill="1" applyBorder="1" applyAlignment="1">
      <alignment horizontal="left" vertical="center" indent="5"/>
    </xf>
    <xf numFmtId="1" fontId="0" fillId="4" borderId="76" xfId="0" applyNumberFormat="1" applyFill="1" applyBorder="1" applyAlignment="1">
      <alignment wrapText="1"/>
    </xf>
    <xf numFmtId="0" fontId="0" fillId="4" borderId="24" xfId="0" applyFill="1" applyBorder="1" applyAlignment="1">
      <alignment wrapText="1"/>
    </xf>
    <xf numFmtId="0" fontId="0" fillId="4" borderId="93" xfId="0" applyFill="1" applyBorder="1" applyAlignment="1">
      <alignment wrapText="1"/>
    </xf>
  </cellXfs>
  <cellStyles count="259">
    <cellStyle name=" 1" xfId="38"/>
    <cellStyle name="_x000d__x000a_JournalTemplate=C:\COMFO\CTALK\JOURSTD.TPL_x000d__x000a_LbStateAddress=3 3 0 251 1 89 2 311_x000d__x000a_LbStateJou" xfId="39"/>
    <cellStyle name="!Comma (0)" xfId="40"/>
    <cellStyle name="!Comma (1)" xfId="41"/>
    <cellStyle name="!Decimal (1)" xfId="42"/>
    <cellStyle name="!Decimal (2)" xfId="43"/>
    <cellStyle name="!Year" xfId="44"/>
    <cellStyle name="%" xfId="45"/>
    <cellStyle name="@_x000a_" xfId="46"/>
    <cellStyle name="_.csv]StatisticalData(1)" xfId="47"/>
    <cellStyle name="_CFCO" xfId="48"/>
    <cellStyle name="_Data" xfId="49"/>
    <cellStyle name="_Government" xfId="50"/>
    <cellStyle name="_HCSV" xfId="51"/>
    <cellStyle name="_HSPE" xfId="52"/>
    <cellStyle name="_HSPE_1" xfId="53"/>
    <cellStyle name="_N-RFisbal" xfId="54"/>
    <cellStyle name="_O&amp;GRev" xfId="55"/>
    <cellStyle name="_Sheet1" xfId="56"/>
    <cellStyle name="_Sheet1_1" xfId="57"/>
    <cellStyle name="_Summary" xfId="58"/>
    <cellStyle name="=C:\WINNT\SYSTEM32\COMMAND.COM" xfId="59"/>
    <cellStyle name="01_Page Heading" xfId="60"/>
    <cellStyle name="04_Table text" xfId="61"/>
    <cellStyle name="20% - Accent1 2" xfId="62"/>
    <cellStyle name="20% - Accent1 3" xfId="63"/>
    <cellStyle name="20% - Accent1 4" xfId="64"/>
    <cellStyle name="20% - Accent1 5" xfId="65"/>
    <cellStyle name="20% - Accent2 2" xfId="66"/>
    <cellStyle name="20% - Accent2 3" xfId="67"/>
    <cellStyle name="20% - Accent2 4" xfId="68"/>
    <cellStyle name="20% - Accent2 5" xfId="69"/>
    <cellStyle name="20% - Accent3 2" xfId="70"/>
    <cellStyle name="20% - Accent3 3" xfId="71"/>
    <cellStyle name="20% - Accent3 4" xfId="72"/>
    <cellStyle name="20% - Accent3 5" xfId="73"/>
    <cellStyle name="20% - Accent4 2" xfId="74"/>
    <cellStyle name="20% - Accent4 3" xfId="75"/>
    <cellStyle name="20% - Accent4 4" xfId="76"/>
    <cellStyle name="20% - Accent4 5" xfId="77"/>
    <cellStyle name="20% - Accent5 2" xfId="78"/>
    <cellStyle name="20% - Accent5 3" xfId="79"/>
    <cellStyle name="20% - Accent5 4" xfId="80"/>
    <cellStyle name="20% - Accent5 5" xfId="81"/>
    <cellStyle name="20% - Accent6 2" xfId="82"/>
    <cellStyle name="20% - Accent6 3" xfId="83"/>
    <cellStyle name="20% - Accent6 4" xfId="84"/>
    <cellStyle name="20% - Accent6 5" xfId="85"/>
    <cellStyle name="40% - Accent1 2" xfId="86"/>
    <cellStyle name="40% - Accent1 3" xfId="87"/>
    <cellStyle name="40% - Accent1 4" xfId="88"/>
    <cellStyle name="40% - Accent1 5" xfId="89"/>
    <cellStyle name="40% - Accent2 2" xfId="90"/>
    <cellStyle name="40% - Accent2 3" xfId="91"/>
    <cellStyle name="40% - Accent2 4" xfId="92"/>
    <cellStyle name="40% - Accent2 5" xfId="93"/>
    <cellStyle name="40% - Accent3 2" xfId="94"/>
    <cellStyle name="40% - Accent3 3" xfId="95"/>
    <cellStyle name="40% - Accent3 4" xfId="96"/>
    <cellStyle name="40% - Accent3 5" xfId="97"/>
    <cellStyle name="40% - Accent4 2" xfId="98"/>
    <cellStyle name="40% - Accent4 3" xfId="99"/>
    <cellStyle name="40% - Accent4 4" xfId="100"/>
    <cellStyle name="40% - Accent4 5" xfId="101"/>
    <cellStyle name="40% - Accent5 2" xfId="102"/>
    <cellStyle name="40% - Accent5 3" xfId="103"/>
    <cellStyle name="40% - Accent5 4" xfId="104"/>
    <cellStyle name="40% - Accent5 5" xfId="105"/>
    <cellStyle name="40% - Accent6 2" xfId="106"/>
    <cellStyle name="40% - Accent6 3" xfId="107"/>
    <cellStyle name="40% - Accent6 4" xfId="108"/>
    <cellStyle name="40% - Accent6 5" xfId="109"/>
    <cellStyle name="60% - Accent1 2" xfId="110"/>
    <cellStyle name="60% - Accent1 3" xfId="111"/>
    <cellStyle name="60% - Accent1 4" xfId="112"/>
    <cellStyle name="60% - Accent1 5" xfId="113"/>
    <cellStyle name="60% - Accent2 2" xfId="114"/>
    <cellStyle name="60% - Accent2 3" xfId="115"/>
    <cellStyle name="60% - Accent2 4" xfId="116"/>
    <cellStyle name="60% - Accent2 5" xfId="117"/>
    <cellStyle name="60% - Accent3 2" xfId="118"/>
    <cellStyle name="60% - Accent3 3" xfId="119"/>
    <cellStyle name="60% - Accent3 4" xfId="120"/>
    <cellStyle name="60% - Accent3 5" xfId="121"/>
    <cellStyle name="60% - Accent4 2" xfId="122"/>
    <cellStyle name="60% - Accent4 3" xfId="123"/>
    <cellStyle name="60% - Accent4 4" xfId="124"/>
    <cellStyle name="60% - Accent4 5" xfId="125"/>
    <cellStyle name="60% - Accent5 2" xfId="126"/>
    <cellStyle name="60% - Accent5 3" xfId="127"/>
    <cellStyle name="60% - Accent5 4" xfId="128"/>
    <cellStyle name="60% - Accent5 5" xfId="129"/>
    <cellStyle name="60% - Accent6 2" xfId="130"/>
    <cellStyle name="60% - Accent6 3" xfId="131"/>
    <cellStyle name="60% - Accent6 4" xfId="132"/>
    <cellStyle name="60% - Accent6 5" xfId="133"/>
    <cellStyle name="Accent1 2" xfId="134"/>
    <cellStyle name="Accent1 3" xfId="135"/>
    <cellStyle name="Accent1 4" xfId="136"/>
    <cellStyle name="Accent1 5" xfId="137"/>
    <cellStyle name="Accent2 2" xfId="138"/>
    <cellStyle name="Accent2 3" xfId="139"/>
    <cellStyle name="Accent2 4" xfId="140"/>
    <cellStyle name="Accent2 5" xfId="141"/>
    <cellStyle name="Accent3 2" xfId="142"/>
    <cellStyle name="Accent3 3" xfId="143"/>
    <cellStyle name="Accent3 4" xfId="144"/>
    <cellStyle name="Accent3 5" xfId="145"/>
    <cellStyle name="Accent4 2" xfId="146"/>
    <cellStyle name="Accent4 3" xfId="147"/>
    <cellStyle name="Accent4 4" xfId="148"/>
    <cellStyle name="Accent4 5" xfId="149"/>
    <cellStyle name="Accent5 2" xfId="150"/>
    <cellStyle name="Accent5 3" xfId="151"/>
    <cellStyle name="Accent5 4" xfId="152"/>
    <cellStyle name="Accent5 5" xfId="153"/>
    <cellStyle name="Accent6 2" xfId="154"/>
    <cellStyle name="Accent6 3" xfId="155"/>
    <cellStyle name="Accent6 4" xfId="156"/>
    <cellStyle name="Accent6 5" xfId="157"/>
    <cellStyle name="Bad 2" xfId="158"/>
    <cellStyle name="Bad 3" xfId="159"/>
    <cellStyle name="Bad 4" xfId="160"/>
    <cellStyle name="Bad 5" xfId="161"/>
    <cellStyle name="C01_Main head" xfId="4"/>
    <cellStyle name="C02_Column heads" xfId="5"/>
    <cellStyle name="C03_Sub head bold" xfId="6"/>
    <cellStyle name="C03a_Sub head" xfId="7"/>
    <cellStyle name="C04_Total text white bold" xfId="8"/>
    <cellStyle name="C04a_Total text black with rule" xfId="9"/>
    <cellStyle name="C05_Main text" xfId="10"/>
    <cellStyle name="C06_Figs" xfId="11"/>
    <cellStyle name="C07_Figs 1 dec percent" xfId="12"/>
    <cellStyle name="C08_Figs 1 decimal" xfId="13"/>
    <cellStyle name="C09_Notes" xfId="14"/>
    <cellStyle name="Calculation 2" xfId="162"/>
    <cellStyle name="Calculation 3" xfId="163"/>
    <cellStyle name="Calculation 4" xfId="164"/>
    <cellStyle name="Calculation 5" xfId="165"/>
    <cellStyle name="Check Cell 2" xfId="166"/>
    <cellStyle name="Check Cell 3" xfId="167"/>
    <cellStyle name="Check Cell 4" xfId="168"/>
    <cellStyle name="Check Cell 5" xfId="169"/>
    <cellStyle name="Comma [0] 2" xfId="170"/>
    <cellStyle name="Comma 2" xfId="15"/>
    <cellStyle name="Comma 3" xfId="29"/>
    <cellStyle name="Comma 3 2" xfId="16"/>
    <cellStyle name="Comma 5" xfId="17"/>
    <cellStyle name="Comma0" xfId="171"/>
    <cellStyle name="Currency 2" xfId="18"/>
    <cellStyle name="Currency0" xfId="172"/>
    <cellStyle name="Date" xfId="173"/>
    <cellStyle name="Dezimal_Energiekosten_test" xfId="174"/>
    <cellStyle name="Explanatory Text 2" xfId="175"/>
    <cellStyle name="Explanatory Text 3" xfId="176"/>
    <cellStyle name="Explanatory Text 4" xfId="177"/>
    <cellStyle name="Explanatory Text 5" xfId="178"/>
    <cellStyle name="F2" xfId="179"/>
    <cellStyle name="F3" xfId="180"/>
    <cellStyle name="F4" xfId="181"/>
    <cellStyle name="F5" xfId="182"/>
    <cellStyle name="F6" xfId="183"/>
    <cellStyle name="F7" xfId="184"/>
    <cellStyle name="F8" xfId="185"/>
    <cellStyle name="Fixed" xfId="186"/>
    <cellStyle name="Good 2" xfId="187"/>
    <cellStyle name="Good 3" xfId="188"/>
    <cellStyle name="Good 4" xfId="189"/>
    <cellStyle name="Good 5" xfId="190"/>
    <cellStyle name="had" xfId="191"/>
    <cellStyle name="Heading" xfId="192"/>
    <cellStyle name="Heading 1 2" xfId="193"/>
    <cellStyle name="Heading 1 3" xfId="194"/>
    <cellStyle name="Heading 1 4" xfId="195"/>
    <cellStyle name="Heading 1 5" xfId="196"/>
    <cellStyle name="Heading 2 2" xfId="197"/>
    <cellStyle name="Heading 2 3" xfId="198"/>
    <cellStyle name="Heading 2 4" xfId="199"/>
    <cellStyle name="Heading 2 5" xfId="200"/>
    <cellStyle name="Heading 3 2" xfId="201"/>
    <cellStyle name="Heading 3 3" xfId="202"/>
    <cellStyle name="Heading 3 4" xfId="203"/>
    <cellStyle name="Heading 3 5" xfId="204"/>
    <cellStyle name="Heading 4 2" xfId="205"/>
    <cellStyle name="Heading 4 3" xfId="206"/>
    <cellStyle name="Heading 4 4" xfId="207"/>
    <cellStyle name="Heading 4 5" xfId="208"/>
    <cellStyle name="Hyperlink" xfId="2" builtinId="8"/>
    <cellStyle name="Hyperlink 2" xfId="19"/>
    <cellStyle name="Hyperlink 2 2" xfId="37"/>
    <cellStyle name="Hyperlink 3" xfId="36"/>
    <cellStyle name="Input 2" xfId="209"/>
    <cellStyle name="Input 3" xfId="210"/>
    <cellStyle name="Input 4" xfId="211"/>
    <cellStyle name="Input 5" xfId="212"/>
    <cellStyle name="Linked Cell 2" xfId="213"/>
    <cellStyle name="Linked Cell 3" xfId="214"/>
    <cellStyle name="Linked Cell 4" xfId="215"/>
    <cellStyle name="Linked Cell 5" xfId="216"/>
    <cellStyle name="Microsoft Excel found an error in the formula you entered. Do you want to accept the correction proposed below?_x000a__x000a_|_x000a__x000a_• To accept the correction, click Yes._x000a_• To close this message and correct the formula yourself, click No." xfId="217"/>
    <cellStyle name="Millares [0]_COLOC00" xfId="218"/>
    <cellStyle name="Millares_Apctasnacionles" xfId="219"/>
    <cellStyle name="Moneda [0]_COLOC00" xfId="220"/>
    <cellStyle name="Moneda_COLOC00" xfId="221"/>
    <cellStyle name="Navadno_Vse BOP skupaj" xfId="222"/>
    <cellStyle name="Neutral 2" xfId="223"/>
    <cellStyle name="Neutral 3" xfId="224"/>
    <cellStyle name="Neutral 4" xfId="225"/>
    <cellStyle name="Neutral 5" xfId="226"/>
    <cellStyle name="Normal" xfId="0" builtinId="0"/>
    <cellStyle name="Normal 2" xfId="20"/>
    <cellStyle name="Normal 2 2" xfId="21"/>
    <cellStyle name="Normal 2 2 2" xfId="35"/>
    <cellStyle name="Normal 2 3" xfId="22"/>
    <cellStyle name="Normal 3" xfId="1"/>
    <cellStyle name="Normal 3 2" xfId="23"/>
    <cellStyle name="Normal 3 3" xfId="24"/>
    <cellStyle name="Normal 3 4" xfId="25"/>
    <cellStyle name="Normal 3 5" xfId="3"/>
    <cellStyle name="Normal 4" xfId="26"/>
    <cellStyle name="Normal 5" xfId="27"/>
    <cellStyle name="Normal 6" xfId="30"/>
    <cellStyle name="Normal 6 2" xfId="258"/>
    <cellStyle name="Normal 7" xfId="31"/>
    <cellStyle name="Normal 8" xfId="33"/>
    <cellStyle name="Normal 9" xfId="34"/>
    <cellStyle name="Normalny_Arkusz1" xfId="227"/>
    <cellStyle name="Note 2" xfId="228"/>
    <cellStyle name="Note 3" xfId="229"/>
    <cellStyle name="Note 4" xfId="230"/>
    <cellStyle name="Note 5" xfId="231"/>
    <cellStyle name="Output 2" xfId="232"/>
    <cellStyle name="Output 3" xfId="233"/>
    <cellStyle name="Output 4" xfId="234"/>
    <cellStyle name="Output 5" xfId="235"/>
    <cellStyle name="Percent" xfId="32" builtinId="5"/>
    <cellStyle name="Percent 2" xfId="28"/>
    <cellStyle name="Standard_0 - Inhalt, Erläuterungen, Einheiten" xfId="236"/>
    <cellStyle name="Stub" xfId="237"/>
    <cellStyle name="Style 1" xfId="238"/>
    <cellStyle name="Title 2" xfId="239"/>
    <cellStyle name="Title 3" xfId="240"/>
    <cellStyle name="Title 4" xfId="241"/>
    <cellStyle name="Title 5" xfId="242"/>
    <cellStyle name="Top" xfId="243"/>
    <cellStyle name="Total 2" xfId="244"/>
    <cellStyle name="Total 3" xfId="245"/>
    <cellStyle name="Total 4" xfId="246"/>
    <cellStyle name="Total 5" xfId="247"/>
    <cellStyle name="Total intermediaire" xfId="248"/>
    <cellStyle name="Totals" xfId="249"/>
    <cellStyle name="TXT2" xfId="250"/>
    <cellStyle name="TXT3" xfId="251"/>
    <cellStyle name="TXT4" xfId="252"/>
    <cellStyle name="Warning Text 2" xfId="253"/>
    <cellStyle name="Warning Text 3" xfId="254"/>
    <cellStyle name="Warning Text 4" xfId="255"/>
    <cellStyle name="Warning Text 5" xfId="256"/>
    <cellStyle name="標準_gt3001" xfId="257"/>
  </cellStyles>
  <dxfs count="49">
    <dxf>
      <font>
        <b val="0"/>
        <i val="0"/>
        <condense val="0"/>
        <extend val="0"/>
      </font>
    </dxf>
    <dxf>
      <font>
        <b val="0"/>
        <i val="0"/>
        <condense val="0"/>
        <extend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1</xdr:row>
      <xdr:rowOff>47625</xdr:rowOff>
    </xdr:from>
    <xdr:to>
      <xdr:col>1</xdr:col>
      <xdr:colOff>1676400</xdr:colOff>
      <xdr:row>4</xdr:row>
      <xdr:rowOff>106216</xdr:rowOff>
    </xdr:to>
    <xdr:pic>
      <xdr:nvPicPr>
        <xdr:cNvPr id="5" name="Picture 4"/>
        <xdr:cNvPicPr>
          <a:picLocks noChangeAspect="1"/>
        </xdr:cNvPicPr>
      </xdr:nvPicPr>
      <xdr:blipFill>
        <a:blip xmlns:r="http://schemas.openxmlformats.org/officeDocument/2006/relationships" r:embed="rId1"/>
        <a:stretch>
          <a:fillRect/>
        </a:stretch>
      </xdr:blipFill>
      <xdr:spPr>
        <a:xfrm>
          <a:off x="333375" y="238125"/>
          <a:ext cx="1600200" cy="630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WI%20Index%20and%20Tables%20Nov%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WI%20Index%20and%20Tables%20Jan%2022%20(Veronika)_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20%20Americas/Live%20projects/Hologic/Deliverable/Data/EIU%20data%20(march%2026)_upd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20%20Americas/Live%20projects/Rio%20Tinto/Module%20I%20Labour%20supply%20index/Model%20drafts/RioTinto_CLIENT_Draft_v0.1.9.8_23_December_20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Scurfield2/AppData/Local/Packages/microsoft.windowscommunicationsapps_8wekyb3d8bbwe/LocalState/LiveComm/655a2c93cdf49fe4/120712-0049/Att/20001c43/EITI%20data%20collection%20template%20v0%20draf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Giorgia%20Cecchinato/AppData/Roaming/Microsoft/Excel/rgi_2013-compscores%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Full Data Raw -- Received"/>
      <sheetName val="Raw Data for Download"/>
      <sheetName val="Calculations"/>
      <sheetName val="Indexing"/>
      <sheetName val="Enabling Environment"/>
      <sheetName val="Summary of Results Main"/>
      <sheetName val="Weighting Tool"/>
      <sheetName val="Summary of Results Components"/>
      <sheetName val="Scatterplots"/>
      <sheetName val="State Owned Companies"/>
      <sheetName val="Natural Resource Funds"/>
      <sheetName val="Sub-National Transfers"/>
      <sheetName val="Regions -- Color Coded"/>
      <sheetName val="Regions -- Not Color Coded"/>
      <sheetName val="Regional chart"/>
      <sheetName val="Country Tables"/>
      <sheetName val="Country Charts"/>
      <sheetName val="Stacked Charts (Full)"/>
      <sheetName val="Stacked Charts (Selection)"/>
      <sheetName val="Filtered Stacked Chart"/>
      <sheetName val="Mineral v. Hysdrocarbon"/>
      <sheetName val="SOC Table"/>
    </sheetNames>
    <sheetDataSet>
      <sheetData sheetId="0" refreshError="1"/>
      <sheetData sheetId="1" refreshError="1"/>
      <sheetData sheetId="2" refreshError="1"/>
      <sheetData sheetId="3" refreshError="1"/>
      <sheetData sheetId="4" refreshError="1">
        <row r="1">
          <cell r="A1" t="str">
            <v>Column Heading</v>
          </cell>
        </row>
        <row r="2">
          <cell r="D2" t="str">
            <v>Institutional &amp; Legal Setting</v>
          </cell>
        </row>
        <row r="3">
          <cell r="A3" t="str">
            <v>Afghanistan</v>
          </cell>
          <cell r="D3" t="str">
            <v>Reporting Practices</v>
          </cell>
        </row>
        <row r="4">
          <cell r="A4" t="str">
            <v>Algeria</v>
          </cell>
          <cell r="D4" t="str">
            <v>Safeguard &amp; Quality Control</v>
          </cell>
        </row>
        <row r="5">
          <cell r="A5" t="str">
            <v>Angola</v>
          </cell>
          <cell r="D5" t="str">
            <v>Enabling Environment</v>
          </cell>
        </row>
        <row r="6">
          <cell r="A6" t="str">
            <v>Australia</v>
          </cell>
        </row>
        <row r="7">
          <cell r="A7" t="str">
            <v>Azerbaijan</v>
          </cell>
        </row>
        <row r="8">
          <cell r="A8" t="str">
            <v>Bahrain</v>
          </cell>
        </row>
        <row r="9">
          <cell r="A9" t="str">
            <v>Bolivia</v>
          </cell>
        </row>
        <row r="10">
          <cell r="A10" t="str">
            <v>Botswana</v>
          </cell>
        </row>
        <row r="11">
          <cell r="A11" t="str">
            <v>Brazil</v>
          </cell>
        </row>
        <row r="12">
          <cell r="A12" t="str">
            <v>Cambodia</v>
          </cell>
        </row>
        <row r="13">
          <cell r="A13" t="str">
            <v>Cameroon</v>
          </cell>
        </row>
        <row r="14">
          <cell r="A14" t="str">
            <v>Canada</v>
          </cell>
        </row>
        <row r="15">
          <cell r="A15" t="str">
            <v>Chile</v>
          </cell>
        </row>
        <row r="16">
          <cell r="A16" t="str">
            <v>China</v>
          </cell>
        </row>
        <row r="17">
          <cell r="A17" t="str">
            <v>Colombia</v>
          </cell>
        </row>
        <row r="18">
          <cell r="A18" t="str">
            <v>Congo, The Democratic Republic of the</v>
          </cell>
        </row>
        <row r="19">
          <cell r="A19" t="str">
            <v>Ecuador</v>
          </cell>
        </row>
        <row r="20">
          <cell r="A20" t="str">
            <v>Egypt</v>
          </cell>
        </row>
        <row r="21">
          <cell r="A21" t="str">
            <v>Equatorial Guinea</v>
          </cell>
        </row>
        <row r="22">
          <cell r="A22" t="str">
            <v>Gabon</v>
          </cell>
        </row>
        <row r="23">
          <cell r="A23" t="str">
            <v>Ghana</v>
          </cell>
        </row>
        <row r="24">
          <cell r="A24" t="str">
            <v>Guinea</v>
          </cell>
        </row>
        <row r="25">
          <cell r="A25" t="str">
            <v>India</v>
          </cell>
        </row>
        <row r="26">
          <cell r="A26" t="str">
            <v>Indonesia</v>
          </cell>
        </row>
        <row r="27">
          <cell r="A27" t="str">
            <v>Iran (Islamic Republic of)</v>
          </cell>
        </row>
        <row r="28">
          <cell r="A28" t="str">
            <v>Iraq</v>
          </cell>
        </row>
        <row r="29">
          <cell r="A29" t="str">
            <v>Kazakhstan</v>
          </cell>
        </row>
        <row r="30">
          <cell r="A30" t="str">
            <v>Kuwait</v>
          </cell>
        </row>
        <row r="31">
          <cell r="A31" t="str">
            <v>Liberia</v>
          </cell>
        </row>
        <row r="32">
          <cell r="A32" t="str">
            <v>Libya</v>
          </cell>
        </row>
        <row r="33">
          <cell r="A33" t="str">
            <v>Malaysia</v>
          </cell>
        </row>
        <row r="34">
          <cell r="A34" t="str">
            <v>Mexico</v>
          </cell>
        </row>
        <row r="35">
          <cell r="A35" t="str">
            <v>Mongolia</v>
          </cell>
        </row>
        <row r="36">
          <cell r="A36" t="str">
            <v>Morocco</v>
          </cell>
        </row>
        <row r="37">
          <cell r="A37" t="str">
            <v>Mozambique</v>
          </cell>
        </row>
        <row r="38">
          <cell r="A38" t="str">
            <v>Myanmar</v>
          </cell>
        </row>
        <row r="39">
          <cell r="A39" t="str">
            <v>Nigeria</v>
          </cell>
        </row>
        <row r="40">
          <cell r="A40" t="str">
            <v>Norway</v>
          </cell>
        </row>
        <row r="41">
          <cell r="A41" t="str">
            <v>Papua New Guinea</v>
          </cell>
        </row>
        <row r="42">
          <cell r="A42" t="str">
            <v>Peru</v>
          </cell>
        </row>
        <row r="43">
          <cell r="A43" t="str">
            <v>Philippines</v>
          </cell>
        </row>
        <row r="44">
          <cell r="A44" t="str">
            <v>Qatar</v>
          </cell>
        </row>
        <row r="45">
          <cell r="A45" t="str">
            <v>Russian Federation</v>
          </cell>
        </row>
        <row r="46">
          <cell r="A46" t="str">
            <v>Saudi Arabia</v>
          </cell>
        </row>
        <row r="47">
          <cell r="A47" t="str">
            <v>Sierra Leone</v>
          </cell>
        </row>
        <row r="48">
          <cell r="A48" t="str">
            <v>South Africa</v>
          </cell>
        </row>
        <row r="49">
          <cell r="A49" t="str">
            <v>Sudan</v>
          </cell>
        </row>
        <row r="50">
          <cell r="A50" t="str">
            <v>Tanzania</v>
          </cell>
        </row>
        <row r="51">
          <cell r="A51" t="str">
            <v>Timor-Leste</v>
          </cell>
        </row>
        <row r="52">
          <cell r="A52" t="str">
            <v>Trinidad and Tobago</v>
          </cell>
        </row>
        <row r="53">
          <cell r="A53" t="str">
            <v>Turkmenistan</v>
          </cell>
        </row>
        <row r="54">
          <cell r="A54" t="str">
            <v>United Kingdom</v>
          </cell>
        </row>
        <row r="55">
          <cell r="A55" t="str">
            <v>United States</v>
          </cell>
        </row>
        <row r="56">
          <cell r="A56" t="str">
            <v>Venezuela</v>
          </cell>
        </row>
        <row r="57">
          <cell r="A57" t="str">
            <v>Vietnam</v>
          </cell>
        </row>
        <row r="58">
          <cell r="A58" t="str">
            <v>Yemen</v>
          </cell>
        </row>
        <row r="59">
          <cell r="A59" t="str">
            <v>Zambia</v>
          </cell>
        </row>
        <row r="60">
          <cell r="A60" t="str">
            <v>Zimbabwe</v>
          </cell>
        </row>
        <row r="61">
          <cell r="A61" t="str">
            <v>Overall</v>
          </cell>
        </row>
        <row r="62">
          <cell r="A62" t="str">
            <v>East Asia &amp; Pacific</v>
          </cell>
        </row>
        <row r="63">
          <cell r="A63" t="str">
            <v>Europe &amp; Central Asia</v>
          </cell>
        </row>
        <row r="64">
          <cell r="A64" t="str">
            <v>Latin America &amp; Caribbean</v>
          </cell>
        </row>
        <row r="65">
          <cell r="A65" t="str">
            <v>Middle East &amp; North Africa</v>
          </cell>
        </row>
        <row r="66">
          <cell r="A66" t="str">
            <v>OECD</v>
          </cell>
        </row>
        <row r="67">
          <cell r="A67" t="str">
            <v>South Asia</v>
          </cell>
        </row>
        <row r="68">
          <cell r="A68" t="str">
            <v>Sub-Saharan Africa</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Full Data Raw -- Received"/>
      <sheetName val="Raw Data for Download"/>
      <sheetName val="Calculations"/>
      <sheetName val="Indexing"/>
      <sheetName val="Enabling Environment"/>
      <sheetName val="Summary of Results Main"/>
      <sheetName val="Weighting Tool"/>
      <sheetName val="Summary of Results Components"/>
      <sheetName val="Scatterplots"/>
      <sheetName val="State Owned Companies"/>
      <sheetName val="Natural Resource Funds"/>
      <sheetName val="Sub-National Transfers"/>
      <sheetName val="Regions -- Color Coded"/>
      <sheetName val="Regions -- Not Color Coded"/>
      <sheetName val="Country Tables"/>
      <sheetName val="Country Charts"/>
      <sheetName val="Stacked Charts (Full)"/>
      <sheetName val="Stacked Charts (Selection)"/>
      <sheetName val="Filtered Stacked Chart"/>
      <sheetName val="SOC, NRF, transfers tables"/>
    </sheetNames>
    <sheetDataSet>
      <sheetData sheetId="0"/>
      <sheetData sheetId="1"/>
      <sheetData sheetId="2"/>
      <sheetData sheetId="3"/>
      <sheetData sheetId="4">
        <row r="10">
          <cell r="Q10" t="str">
            <v>Afghanistan</v>
          </cell>
        </row>
        <row r="11">
          <cell r="Q11" t="str">
            <v>Algeria</v>
          </cell>
        </row>
        <row r="12">
          <cell r="Q12" t="str">
            <v>Angola</v>
          </cell>
        </row>
        <row r="13">
          <cell r="Q13" t="str">
            <v>Australia (Western Australia)</v>
          </cell>
        </row>
        <row r="14">
          <cell r="Q14" t="str">
            <v>Azerbaijan</v>
          </cell>
        </row>
        <row r="15">
          <cell r="Q15" t="str">
            <v>Bahrain</v>
          </cell>
        </row>
        <row r="16">
          <cell r="Q16" t="str">
            <v>Bolivia</v>
          </cell>
        </row>
        <row r="17">
          <cell r="Q17" t="str">
            <v>Botswana</v>
          </cell>
        </row>
        <row r="18">
          <cell r="Q18" t="str">
            <v>Brazil</v>
          </cell>
        </row>
        <row r="19">
          <cell r="Q19" t="str">
            <v>Cambodia</v>
          </cell>
        </row>
        <row r="20">
          <cell r="Q20" t="str">
            <v>Cameroon</v>
          </cell>
        </row>
        <row r="21">
          <cell r="Q21" t="str">
            <v>Canada (Alberta)</v>
          </cell>
        </row>
        <row r="22">
          <cell r="Q22" t="str">
            <v>Chile</v>
          </cell>
        </row>
        <row r="23">
          <cell r="Q23" t="str">
            <v>China</v>
          </cell>
        </row>
        <row r="24">
          <cell r="Q24" t="str">
            <v>Colombia</v>
          </cell>
        </row>
        <row r="25">
          <cell r="Q25" t="str">
            <v>Congo (DRC)</v>
          </cell>
        </row>
        <row r="26">
          <cell r="Q26" t="str">
            <v>Ecuador</v>
          </cell>
        </row>
        <row r="27">
          <cell r="Q27" t="str">
            <v>Egypt</v>
          </cell>
        </row>
        <row r="28">
          <cell r="Q28" t="str">
            <v>Equatorial Guinea</v>
          </cell>
        </row>
        <row r="29">
          <cell r="Q29" t="str">
            <v>Gabon</v>
          </cell>
        </row>
        <row r="30">
          <cell r="Q30" t="str">
            <v>Ghana</v>
          </cell>
        </row>
        <row r="31">
          <cell r="Q31" t="str">
            <v>Guinea</v>
          </cell>
        </row>
        <row r="32">
          <cell r="Q32" t="str">
            <v>India</v>
          </cell>
        </row>
        <row r="33">
          <cell r="Q33" t="str">
            <v>Indonesia</v>
          </cell>
        </row>
        <row r="34">
          <cell r="Q34" t="str">
            <v>Iran</v>
          </cell>
        </row>
        <row r="35">
          <cell r="Q35" t="str">
            <v>Iraq</v>
          </cell>
        </row>
        <row r="36">
          <cell r="Q36" t="str">
            <v>Kazakhstan</v>
          </cell>
        </row>
        <row r="37">
          <cell r="Q37" t="str">
            <v>Kuwait</v>
          </cell>
        </row>
        <row r="38">
          <cell r="Q38" t="str">
            <v>Liberia</v>
          </cell>
        </row>
        <row r="39">
          <cell r="Q39" t="str">
            <v>Libya</v>
          </cell>
        </row>
        <row r="40">
          <cell r="Q40" t="str">
            <v>Malaysia</v>
          </cell>
        </row>
        <row r="41">
          <cell r="Q41" t="str">
            <v>Mexico</v>
          </cell>
        </row>
        <row r="42">
          <cell r="Q42" t="str">
            <v>Mongolia</v>
          </cell>
        </row>
        <row r="43">
          <cell r="Q43" t="str">
            <v>Morocco</v>
          </cell>
        </row>
        <row r="44">
          <cell r="Q44" t="str">
            <v>Mozambique</v>
          </cell>
        </row>
        <row r="45">
          <cell r="Q45" t="str">
            <v>Myanmar</v>
          </cell>
        </row>
        <row r="46">
          <cell r="Q46" t="str">
            <v>Nigeria</v>
          </cell>
        </row>
        <row r="47">
          <cell r="Q47" t="str">
            <v>Norway</v>
          </cell>
        </row>
        <row r="48">
          <cell r="Q48" t="str">
            <v>Papua New Guinea</v>
          </cell>
        </row>
        <row r="49">
          <cell r="Q49" t="str">
            <v>Peru</v>
          </cell>
        </row>
        <row r="50">
          <cell r="Q50" t="str">
            <v>Philippines</v>
          </cell>
        </row>
        <row r="51">
          <cell r="Q51" t="str">
            <v>Qatar</v>
          </cell>
        </row>
        <row r="52">
          <cell r="Q52" t="str">
            <v>Russia</v>
          </cell>
        </row>
        <row r="53">
          <cell r="Q53" t="str">
            <v>Saudi Arabia</v>
          </cell>
        </row>
        <row r="54">
          <cell r="Q54" t="str">
            <v>Sierra Leone</v>
          </cell>
        </row>
        <row r="55">
          <cell r="Q55" t="str">
            <v>South Africa</v>
          </cell>
        </row>
        <row r="56">
          <cell r="Q56" t="str">
            <v>South Sudan</v>
          </cell>
        </row>
        <row r="57">
          <cell r="Q57" t="str">
            <v>Tanzania</v>
          </cell>
        </row>
        <row r="58">
          <cell r="Q58" t="str">
            <v>Timor-Leste</v>
          </cell>
        </row>
        <row r="59">
          <cell r="Q59" t="str">
            <v>Trinidad and Tobago</v>
          </cell>
        </row>
        <row r="60">
          <cell r="Q60" t="str">
            <v>Turkmenistan</v>
          </cell>
        </row>
        <row r="61">
          <cell r="Q61" t="str">
            <v>United Kingdom</v>
          </cell>
        </row>
        <row r="62">
          <cell r="Q62" t="str">
            <v>United States (Gulf of Mexico)</v>
          </cell>
        </row>
        <row r="63">
          <cell r="Q63" t="str">
            <v>Venezuela</v>
          </cell>
        </row>
        <row r="64">
          <cell r="Q64" t="str">
            <v>Vietnam</v>
          </cell>
        </row>
        <row r="65">
          <cell r="Q65" t="str">
            <v>Yemen</v>
          </cell>
        </row>
        <row r="66">
          <cell r="Q66" t="str">
            <v>Zambia</v>
          </cell>
        </row>
        <row r="67">
          <cell r="Q67" t="str">
            <v>Zimbabwe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Chart 1"/>
      <sheetName val="Chart 2"/>
      <sheetName val="data"/>
      <sheetName val="list"/>
      <sheetName val="CGDP"/>
      <sheetName val="DGDP"/>
      <sheetName val="XRPD"/>
      <sheetName val="DCPI"/>
      <sheetName val="POPN"/>
      <sheetName val="YPCA"/>
      <sheetName val="YPCP"/>
      <sheetName val="PDIN"/>
      <sheetName val="HEAE"/>
      <sheetName val="OPOR"/>
      <sheetName val="PDIC"/>
      <sheetName val="N050"/>
      <sheetName val="Y050"/>
      <sheetName val="HEDN"/>
      <sheetName val="LEXP"/>
      <sheetName val="GPPT"/>
      <sheetName val="HBPT"/>
      <sheetName val="HSPE"/>
      <sheetName val="HSPR"/>
      <sheetName val="ICGP"/>
      <sheetName val="IXGP"/>
      <sheetName val="Report"/>
      <sheetName val="Deaths"/>
      <sheetName val="Sheet19"/>
      <sheetName val="Sheet2"/>
      <sheetName val="pubex"/>
      <sheetName val="privex"/>
      <sheetName val="globocan"/>
      <sheetName val="OECD"/>
      <sheetName val="other"/>
    </sheetNames>
    <sheetDataSet>
      <sheetData sheetId="0" refreshError="1"/>
      <sheetData sheetId="1">
        <row r="1">
          <cell r="A1" t="str">
            <v>Cover page</v>
          </cell>
        </row>
        <row r="5">
          <cell r="A5" t="str">
            <v>Data to 2016</v>
          </cell>
        </row>
      </sheetData>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xbWorks"/>
      <sheetName val="iSummary"/>
      <sheetName val="tblIndicators"/>
      <sheetName val="Welcome"/>
      <sheetName val="iMapRank"/>
      <sheetName val="Contents"/>
      <sheetName val="Map"/>
      <sheetName val="Summary"/>
      <sheetName val="iCountryMaps"/>
      <sheetName val="Indicator_Ranking"/>
      <sheetName val="iGrouper"/>
      <sheetName val="Indicator_Ranking_verbose"/>
      <sheetName val="Indicator_Scores"/>
      <sheetName val="Geography_Profile"/>
      <sheetName val="Geography_Data"/>
      <sheetName val="Data"/>
      <sheetName val="DataYears"/>
      <sheetName val="Scores"/>
      <sheetName val="tblCountries"/>
      <sheetName val="tblIndiSets"/>
      <sheetName val="iRoundedScores"/>
      <sheetName val="iRank"/>
      <sheetName val="iWeights"/>
      <sheetName val="CountryText"/>
      <sheetName val="Sources"/>
      <sheetName val="Weights"/>
      <sheetName val="iCountry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3">
          <cell r="E3" t="str">
            <v>Algeria</v>
          </cell>
        </row>
        <row r="4">
          <cell r="E4" t="str">
            <v>Angola</v>
          </cell>
        </row>
        <row r="5">
          <cell r="E5" t="str">
            <v>Argentina</v>
          </cell>
        </row>
        <row r="6">
          <cell r="E6" t="str">
            <v>Australia</v>
          </cell>
        </row>
        <row r="7">
          <cell r="E7" t="str">
            <v>Australia: Queensland</v>
          </cell>
        </row>
        <row r="8">
          <cell r="E8" t="str">
            <v>Australia: New South Wales</v>
          </cell>
        </row>
        <row r="9">
          <cell r="E9" t="str">
            <v>Australia: Northern Territory</v>
          </cell>
        </row>
        <row r="10">
          <cell r="E10" t="str">
            <v>Australia: Western Australia</v>
          </cell>
        </row>
        <row r="11">
          <cell r="E11" t="str">
            <v>Bangladesh</v>
          </cell>
        </row>
        <row r="12">
          <cell r="E12" t="str">
            <v>Botswana</v>
          </cell>
        </row>
        <row r="13">
          <cell r="E13" t="str">
            <v>Brazil</v>
          </cell>
        </row>
        <row r="14">
          <cell r="E14" t="str">
            <v>Cameroon</v>
          </cell>
        </row>
        <row r="15">
          <cell r="E15" t="str">
            <v>Canada</v>
          </cell>
        </row>
        <row r="16">
          <cell r="E16" t="str">
            <v>Canada: Northwest Territories</v>
          </cell>
        </row>
        <row r="17">
          <cell r="E17" t="str">
            <v>Canada: Quebec</v>
          </cell>
        </row>
        <row r="18">
          <cell r="E18" t="str">
            <v>Canada: Alberta</v>
          </cell>
        </row>
        <row r="19">
          <cell r="E19" t="str">
            <v>Chile</v>
          </cell>
        </row>
        <row r="20">
          <cell r="E20" t="str">
            <v>China</v>
          </cell>
        </row>
        <row r="21">
          <cell r="E21" t="str">
            <v>Colombia</v>
          </cell>
        </row>
        <row r="22">
          <cell r="E22" t="str">
            <v>Congo, Dem. Rep.</v>
          </cell>
        </row>
        <row r="23">
          <cell r="E23" t="str">
            <v>Congo (Brazzaville)</v>
          </cell>
        </row>
        <row r="24">
          <cell r="E24" t="str">
            <v>France</v>
          </cell>
        </row>
        <row r="25">
          <cell r="E25" t="str">
            <v>Gabon</v>
          </cell>
        </row>
        <row r="26">
          <cell r="E26" t="str">
            <v>Guinea</v>
          </cell>
        </row>
        <row r="27">
          <cell r="E27" t="str">
            <v>Iceland</v>
          </cell>
        </row>
        <row r="28">
          <cell r="E28" t="str">
            <v>India</v>
          </cell>
        </row>
        <row r="29">
          <cell r="E29" t="str">
            <v>India: Karnataka</v>
          </cell>
        </row>
        <row r="30">
          <cell r="E30" t="str">
            <v>Indonesia</v>
          </cell>
        </row>
        <row r="31">
          <cell r="E31" t="str">
            <v>Kazakhstan</v>
          </cell>
        </row>
        <row r="32">
          <cell r="E32" t="str">
            <v>Lao PDR</v>
          </cell>
        </row>
        <row r="33">
          <cell r="E33" t="str">
            <v>Liberia</v>
          </cell>
        </row>
        <row r="34">
          <cell r="E34" t="str">
            <v>Madagascar</v>
          </cell>
        </row>
        <row r="35">
          <cell r="E35" t="str">
            <v>Malaysia</v>
          </cell>
        </row>
        <row r="36">
          <cell r="E36" t="str">
            <v>Mongolia</v>
          </cell>
        </row>
        <row r="37">
          <cell r="E37" t="str">
            <v>Mozambique</v>
          </cell>
        </row>
        <row r="38">
          <cell r="E38" t="str">
            <v>Namibia</v>
          </cell>
        </row>
        <row r="39">
          <cell r="E39" t="str">
            <v>New Zealand</v>
          </cell>
        </row>
        <row r="40">
          <cell r="E40" t="str">
            <v>Oman</v>
          </cell>
        </row>
        <row r="41">
          <cell r="E41" t="str">
            <v>Papua New Guinea</v>
          </cell>
        </row>
        <row r="42">
          <cell r="E42" t="str">
            <v>Paraguay</v>
          </cell>
        </row>
        <row r="43">
          <cell r="E43" t="str">
            <v>Peru</v>
          </cell>
        </row>
        <row r="44">
          <cell r="E44" t="str">
            <v>Philippines</v>
          </cell>
        </row>
        <row r="45">
          <cell r="E45" t="str">
            <v>Russian Federation</v>
          </cell>
        </row>
        <row r="46">
          <cell r="E46" t="str">
            <v>Russia: Kamchatka</v>
          </cell>
        </row>
        <row r="47">
          <cell r="E47" t="str">
            <v>Serbia</v>
          </cell>
        </row>
        <row r="48">
          <cell r="E48" t="str">
            <v>South Africa</v>
          </cell>
        </row>
        <row r="49">
          <cell r="E49" t="str">
            <v>United Kingdom</v>
          </cell>
        </row>
        <row r="50">
          <cell r="E50" t="str">
            <v>United States</v>
          </cell>
        </row>
        <row r="51">
          <cell r="E51" t="str">
            <v>Uzbekistan</v>
          </cell>
        </row>
        <row r="52">
          <cell r="E52" t="str">
            <v>Vietnam</v>
          </cell>
        </row>
        <row r="53">
          <cell r="E53" t="str">
            <v>Zambia</v>
          </cell>
        </row>
        <row r="54">
          <cell r="E54" t="str">
            <v>Zimbabwe</v>
          </cell>
        </row>
      </sheetData>
      <sheetData sheetId="19"/>
      <sheetData sheetId="20"/>
      <sheetData sheetId="21"/>
      <sheetData sheetId="22"/>
      <sheetData sheetId="23"/>
      <sheetData sheetId="24"/>
      <sheetData sheetId="25"/>
      <sheetData sheetId="2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EITI report summary"/>
      <sheetName val="Country-level"/>
      <sheetName val="Project-level"/>
      <sheetName val="SOE flow"/>
      <sheetName val="Dropdown options"/>
    </sheetNames>
    <sheetDataSet>
      <sheetData sheetId="0"/>
      <sheetData sheetId="1"/>
      <sheetData sheetId="2"/>
      <sheetData sheetId="3"/>
      <sheetData sheetId="4">
        <row r="4">
          <cell r="J4" t="str">
            <v>Gov production entitlement (such as profit oil);</v>
          </cell>
        </row>
        <row r="5">
          <cell r="J5" t="str">
            <v>NOC production entitlement;</v>
          </cell>
        </row>
        <row r="6">
          <cell r="J6" t="str">
            <v>Profits taxes including capital gains</v>
          </cell>
        </row>
        <row r="7">
          <cell r="J7" t="str">
            <v>Royalties</v>
          </cell>
        </row>
        <row r="8">
          <cell r="J8" t="str">
            <v>Dividends</v>
          </cell>
        </row>
        <row r="9">
          <cell r="J9" t="str">
            <v>Bonuses, such as signature, discovery and production bonuses</v>
          </cell>
        </row>
        <row r="10">
          <cell r="J10" t="str">
            <v xml:space="preserve">License fees, rental fees, entry fees and other considerations for licenses and/or concessions; </v>
          </cell>
        </row>
        <row r="11">
          <cell r="J11" t="str">
            <v>Personal income tax</v>
          </cell>
        </row>
        <row r="12">
          <cell r="J12" t="str">
            <v>General taxes on goods and services (value
added tax, sales tax, turnover tax)</v>
          </cell>
        </row>
        <row r="13">
          <cell r="J13" t="str">
            <v>Customs and other import duties (import taxes)</v>
          </cell>
        </row>
        <row r="14">
          <cell r="J14" t="str">
            <v>Excise taxes (on fuel)</v>
          </cell>
        </row>
        <row r="15">
          <cell r="J15" t="str">
            <v>Other payments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Components scores table"/>
    </sheetNames>
    <sheetDataSet>
      <sheetData sheetId="0">
        <row r="2">
          <cell r="B2" t="str">
            <v>Norway</v>
          </cell>
          <cell r="C2" t="str">
            <v>Hydrocarbons</v>
          </cell>
          <cell r="D2">
            <v>98.017483296506555</v>
          </cell>
        </row>
        <row r="3">
          <cell r="B3" t="str">
            <v>United States (Gulf of Mexico)</v>
          </cell>
          <cell r="C3" t="str">
            <v>Hydrocarbons</v>
          </cell>
          <cell r="D3">
            <v>92.267683103099671</v>
          </cell>
        </row>
        <row r="4">
          <cell r="B4" t="str">
            <v>United Kingdom</v>
          </cell>
          <cell r="C4" t="str">
            <v>Hydrocarbons</v>
          </cell>
          <cell r="D4">
            <v>87.582707306073601</v>
          </cell>
        </row>
        <row r="5">
          <cell r="B5" t="str">
            <v>Australia (Western Australia)</v>
          </cell>
          <cell r="C5" t="str">
            <v xml:space="preserve">Minerals </v>
          </cell>
          <cell r="D5">
            <v>84.52174754337635</v>
          </cell>
        </row>
        <row r="6">
          <cell r="B6" t="str">
            <v>Brazil</v>
          </cell>
          <cell r="C6" t="str">
            <v>Hydrocarbons</v>
          </cell>
          <cell r="D6">
            <v>79.938388792646663</v>
          </cell>
        </row>
        <row r="7">
          <cell r="B7" t="str">
            <v>Mexico</v>
          </cell>
          <cell r="C7" t="str">
            <v>Hydrocarbons</v>
          </cell>
          <cell r="D7">
            <v>76.531116206327013</v>
          </cell>
        </row>
        <row r="8">
          <cell r="B8" t="str">
            <v>Canada (Alberta)</v>
          </cell>
          <cell r="C8" t="str">
            <v>Hydrocarbons</v>
          </cell>
          <cell r="D8">
            <v>76.230391867870438</v>
          </cell>
        </row>
        <row r="9">
          <cell r="B9" t="str">
            <v>Chile</v>
          </cell>
          <cell r="C9" t="str">
            <v>Minerals</v>
          </cell>
          <cell r="D9">
            <v>75.18085549169885</v>
          </cell>
        </row>
        <row r="10">
          <cell r="B10" t="str">
            <v>Colombia</v>
          </cell>
          <cell r="C10" t="str">
            <v>Hydrocarbons</v>
          </cell>
          <cell r="D10">
            <v>74.135087376707531</v>
          </cell>
        </row>
        <row r="11">
          <cell r="B11" t="str">
            <v>Trinidad and Tobago</v>
          </cell>
          <cell r="C11" t="str">
            <v>Hydrocarbons</v>
          </cell>
          <cell r="D11">
            <v>73.801508489070173</v>
          </cell>
        </row>
        <row r="12">
          <cell r="B12" t="str">
            <v>Peru</v>
          </cell>
          <cell r="C12" t="str">
            <v>Minerals</v>
          </cell>
          <cell r="D12">
            <v>72.816147461462435</v>
          </cell>
        </row>
        <row r="13">
          <cell r="B13" t="str">
            <v>India</v>
          </cell>
          <cell r="C13" t="str">
            <v>Hydrocarbons</v>
          </cell>
          <cell r="D13">
            <v>69.684422133449885</v>
          </cell>
        </row>
        <row r="14">
          <cell r="B14" t="str">
            <v>Timor-Leste</v>
          </cell>
          <cell r="C14" t="str">
            <v>Hydrocarbons</v>
          </cell>
          <cell r="D14">
            <v>67.748854430370386</v>
          </cell>
        </row>
        <row r="15">
          <cell r="B15" t="str">
            <v>Indonesia</v>
          </cell>
          <cell r="C15" t="str">
            <v>Hydrocarbons</v>
          </cell>
          <cell r="D15">
            <v>65.756132994529537</v>
          </cell>
        </row>
        <row r="16">
          <cell r="B16" t="str">
            <v>Ghana</v>
          </cell>
          <cell r="C16" t="str">
            <v>Minerals</v>
          </cell>
          <cell r="D16">
            <v>62.723264193960979</v>
          </cell>
        </row>
        <row r="17">
          <cell r="B17" t="str">
            <v>Liberia</v>
          </cell>
          <cell r="C17" t="str">
            <v>Minerals</v>
          </cell>
          <cell r="D17">
            <v>61.600874881317473</v>
          </cell>
        </row>
        <row r="18">
          <cell r="B18" t="str">
            <v>Zambia</v>
          </cell>
          <cell r="C18" t="str">
            <v>Minerals</v>
          </cell>
          <cell r="D18">
            <v>60.803011070373614</v>
          </cell>
        </row>
        <row r="19">
          <cell r="B19" t="str">
            <v>Ecuador</v>
          </cell>
          <cell r="C19" t="str">
            <v>Hydrocarbons</v>
          </cell>
          <cell r="D19">
            <v>58.161726438221336</v>
          </cell>
        </row>
        <row r="20">
          <cell r="B20" t="str">
            <v>Kazakhstan</v>
          </cell>
          <cell r="C20" t="str">
            <v>Hydrocarbons</v>
          </cell>
          <cell r="D20">
            <v>57.362887635782535</v>
          </cell>
        </row>
        <row r="21">
          <cell r="B21" t="str">
            <v>Venezuela</v>
          </cell>
          <cell r="C21" t="str">
            <v>Hydrocarbons</v>
          </cell>
          <cell r="D21">
            <v>55.974231071148758</v>
          </cell>
        </row>
        <row r="22">
          <cell r="B22" t="str">
            <v>South Africa</v>
          </cell>
          <cell r="C22" t="str">
            <v>Minerals</v>
          </cell>
          <cell r="D22">
            <v>55.546062062222191</v>
          </cell>
        </row>
        <row r="23">
          <cell r="B23" t="str">
            <v>Russia</v>
          </cell>
          <cell r="C23" t="str">
            <v>Hydrocarbons</v>
          </cell>
          <cell r="D23">
            <v>55.536649065875352</v>
          </cell>
        </row>
        <row r="24">
          <cell r="B24" t="str">
            <v>Philippines</v>
          </cell>
          <cell r="C24" t="str">
            <v>Minerals</v>
          </cell>
          <cell r="D24">
            <v>53.517388077736662</v>
          </cell>
        </row>
        <row r="25">
          <cell r="B25" t="str">
            <v>Bolivia</v>
          </cell>
          <cell r="C25" t="str">
            <v>Hydrocarbons</v>
          </cell>
          <cell r="D25">
            <v>53.428170361039442</v>
          </cell>
        </row>
        <row r="26">
          <cell r="B26" t="str">
            <v>Morocco</v>
          </cell>
          <cell r="C26" t="str">
            <v>Minerals</v>
          </cell>
          <cell r="D26">
            <v>53.407936310351339</v>
          </cell>
        </row>
        <row r="27">
          <cell r="B27" t="str">
            <v>Mongolia</v>
          </cell>
          <cell r="C27" t="str">
            <v>Minerals</v>
          </cell>
          <cell r="D27">
            <v>50.952530108834466</v>
          </cell>
        </row>
        <row r="28">
          <cell r="B28" t="str">
            <v>Tanzania</v>
          </cell>
          <cell r="C28" t="str">
            <v>Minerals</v>
          </cell>
          <cell r="D28">
            <v>49.764112779291708</v>
          </cell>
        </row>
        <row r="29">
          <cell r="B29" t="str">
            <v>Azerbaijan</v>
          </cell>
          <cell r="C29" t="str">
            <v>Hydrocarbons</v>
          </cell>
          <cell r="D29">
            <v>48.092853423547197</v>
          </cell>
        </row>
        <row r="30">
          <cell r="B30" t="str">
            <v>Iraq</v>
          </cell>
          <cell r="C30" t="str">
            <v>Hydrocarbons</v>
          </cell>
          <cell r="D30">
            <v>46.872798601284018</v>
          </cell>
        </row>
        <row r="31">
          <cell r="B31" t="str">
            <v>Botswana</v>
          </cell>
          <cell r="C31" t="str">
            <v>Minerals</v>
          </cell>
          <cell r="D31">
            <v>46.767430696871045</v>
          </cell>
        </row>
        <row r="32">
          <cell r="B32" t="str">
            <v>Bahrain</v>
          </cell>
          <cell r="C32" t="str">
            <v>Hydrocarbons</v>
          </cell>
          <cell r="D32">
            <v>46.744411752081483</v>
          </cell>
        </row>
        <row r="33">
          <cell r="B33" t="str">
            <v>Gabon</v>
          </cell>
          <cell r="C33" t="str">
            <v>Hydrocarbons</v>
          </cell>
          <cell r="D33">
            <v>45.964036106201753</v>
          </cell>
        </row>
        <row r="34">
          <cell r="B34" t="str">
            <v>Guinea</v>
          </cell>
          <cell r="C34" t="str">
            <v>Minerals</v>
          </cell>
          <cell r="D34">
            <v>45.874886170465984</v>
          </cell>
        </row>
        <row r="35">
          <cell r="B35" t="str">
            <v>Malaysia</v>
          </cell>
          <cell r="C35" t="str">
            <v>Hydrocarbons</v>
          </cell>
          <cell r="D35">
            <v>45.817659775943994</v>
          </cell>
        </row>
        <row r="36">
          <cell r="B36" t="str">
            <v>Sierra Leone</v>
          </cell>
          <cell r="C36" t="str">
            <v>Minerals</v>
          </cell>
          <cell r="D36">
            <v>45.714033330666766</v>
          </cell>
        </row>
        <row r="37">
          <cell r="B37" t="str">
            <v>China</v>
          </cell>
          <cell r="C37" t="str">
            <v>Hydrocarbons</v>
          </cell>
          <cell r="D37">
            <v>43.379103996937005</v>
          </cell>
        </row>
        <row r="38">
          <cell r="B38" t="str">
            <v>Yemen</v>
          </cell>
          <cell r="C38" t="str">
            <v>Hydrocarbons</v>
          </cell>
          <cell r="D38">
            <v>43.154597212929545</v>
          </cell>
        </row>
        <row r="39">
          <cell r="B39" t="str">
            <v>Egypt</v>
          </cell>
          <cell r="C39" t="str">
            <v>Hydrocarbons</v>
          </cell>
          <cell r="D39">
            <v>43.063831340238174</v>
          </cell>
        </row>
        <row r="40">
          <cell r="B40" t="str">
            <v>Papua New Guinea</v>
          </cell>
          <cell r="C40" t="str">
            <v>Minerals</v>
          </cell>
          <cell r="D40">
            <v>43.047909604250449</v>
          </cell>
        </row>
        <row r="41">
          <cell r="B41" t="str">
            <v>Nigeria</v>
          </cell>
          <cell r="C41" t="str">
            <v>Hydrocarbons</v>
          </cell>
          <cell r="D41">
            <v>42.488706175328218</v>
          </cell>
        </row>
        <row r="42">
          <cell r="B42" t="str">
            <v>Angola</v>
          </cell>
          <cell r="C42" t="str">
            <v>Hydrocarbons</v>
          </cell>
          <cell r="D42">
            <v>42.048886952000956</v>
          </cell>
        </row>
        <row r="43">
          <cell r="B43" t="str">
            <v>Kuwait</v>
          </cell>
          <cell r="C43" t="str">
            <v>Hydrocarbons</v>
          </cell>
          <cell r="D43">
            <v>41.085619660713327</v>
          </cell>
        </row>
        <row r="44">
          <cell r="B44" t="str">
            <v>Vietnam</v>
          </cell>
          <cell r="C44" t="str">
            <v>Hydrocarbons</v>
          </cell>
          <cell r="D44">
            <v>40.54624791092354</v>
          </cell>
        </row>
        <row r="45">
          <cell r="B45" t="str">
            <v>Congo (DRC)</v>
          </cell>
          <cell r="C45" t="str">
            <v>Minerals</v>
          </cell>
          <cell r="D45">
            <v>38.63963451980797</v>
          </cell>
        </row>
        <row r="46">
          <cell r="B46" t="str">
            <v>Algeria</v>
          </cell>
          <cell r="C46" t="str">
            <v>Hydrocarbons</v>
          </cell>
          <cell r="D46">
            <v>38.402667237851141</v>
          </cell>
        </row>
        <row r="47">
          <cell r="B47" t="str">
            <v>Mozambique</v>
          </cell>
          <cell r="C47" t="str">
            <v>Hydrocarbons</v>
          </cell>
          <cell r="D47">
            <v>36.892305759051851</v>
          </cell>
        </row>
        <row r="48">
          <cell r="B48" t="str">
            <v>Cameroon</v>
          </cell>
          <cell r="C48" t="str">
            <v>Hydrocarbons</v>
          </cell>
          <cell r="D48">
            <v>34.155297028034767</v>
          </cell>
        </row>
        <row r="49">
          <cell r="B49" t="str">
            <v>Saudi Arabia</v>
          </cell>
          <cell r="C49" t="str">
            <v>Hydrocarbons</v>
          </cell>
          <cell r="D49">
            <v>33.812867933175617</v>
          </cell>
        </row>
        <row r="50">
          <cell r="B50" t="str">
            <v>Afghanistan</v>
          </cell>
          <cell r="C50" t="str">
            <v>Minerals</v>
          </cell>
          <cell r="D50">
            <v>33.105481067896484</v>
          </cell>
        </row>
        <row r="51">
          <cell r="B51" t="str">
            <v>South Sudan</v>
          </cell>
          <cell r="C51" t="str">
            <v>Hydrocarbons</v>
          </cell>
          <cell r="D51">
            <v>31.373138077211024</v>
          </cell>
        </row>
        <row r="52">
          <cell r="B52" t="str">
            <v>Zimbabwe</v>
          </cell>
          <cell r="C52" t="str">
            <v>Minerals</v>
          </cell>
          <cell r="D52">
            <v>31.324562602054616</v>
          </cell>
        </row>
        <row r="53">
          <cell r="B53" t="str">
            <v>Cambodia</v>
          </cell>
          <cell r="C53" t="str">
            <v>Hydrocarbons</v>
          </cell>
          <cell r="D53">
            <v>28.917575713875674</v>
          </cell>
        </row>
        <row r="54">
          <cell r="B54" t="str">
            <v>Iran</v>
          </cell>
          <cell r="C54" t="str">
            <v>Hydrocarbons</v>
          </cell>
          <cell r="D54">
            <v>27.969958975654741</v>
          </cell>
        </row>
        <row r="55">
          <cell r="B55" t="str">
            <v>Qatar</v>
          </cell>
          <cell r="C55" t="str">
            <v>Hydrocarbons</v>
          </cell>
          <cell r="D55">
            <v>25.870339288520782</v>
          </cell>
        </row>
        <row r="56">
          <cell r="B56" t="str">
            <v>Libya</v>
          </cell>
          <cell r="C56" t="str">
            <v>Hydrocarbons</v>
          </cell>
          <cell r="D56">
            <v>18.771005870106745</v>
          </cell>
        </row>
        <row r="57">
          <cell r="B57" t="str">
            <v>Equatorial Guinea</v>
          </cell>
          <cell r="C57" t="str">
            <v>Hydrocarbons</v>
          </cell>
          <cell r="D57">
            <v>12.515609743116736</v>
          </cell>
        </row>
        <row r="58">
          <cell r="B58" t="str">
            <v>Turkmenistan</v>
          </cell>
          <cell r="C58" t="str">
            <v>Hydrocarbons</v>
          </cell>
          <cell r="D58">
            <v>4.7713314322693972</v>
          </cell>
        </row>
        <row r="59">
          <cell r="B59" t="str">
            <v>Myanmar</v>
          </cell>
          <cell r="C59" t="str">
            <v>Hydrocarbons</v>
          </cell>
          <cell r="D59">
            <v>4.2760443406252531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8" Type="http://schemas.openxmlformats.org/officeDocument/2006/relationships/hyperlink" Target="http://data.worldbank.org/indicator/SP.DYN.LE00.IN" TargetMode="External"/><Relationship Id="rId13" Type="http://schemas.openxmlformats.org/officeDocument/2006/relationships/hyperlink" Target="http://www.revenuewatch.org/rwindex2010/pdf/RevenueWatchIndex_2010.pdf" TargetMode="External"/><Relationship Id="rId3" Type="http://schemas.openxmlformats.org/officeDocument/2006/relationships/hyperlink" Target="http://data.worldbank.org/data-catalog/commodity-price-data" TargetMode="External"/><Relationship Id="rId7" Type="http://schemas.openxmlformats.org/officeDocument/2006/relationships/hyperlink" Target="http://data.worldbank.org/indicator/SI.POV.NAHC" TargetMode="External"/><Relationship Id="rId12" Type="http://schemas.openxmlformats.org/officeDocument/2006/relationships/hyperlink" Target="http://info.worldbank.org/governance/wgi/index.aspx" TargetMode="External"/><Relationship Id="rId17" Type="http://schemas.openxmlformats.org/officeDocument/2006/relationships/printerSettings" Target="../printerSettings/printerSettings3.bin"/><Relationship Id="rId2" Type="http://schemas.openxmlformats.org/officeDocument/2006/relationships/hyperlink" Target="http://data.worldbank.org/data-catalog/commodity-price-data" TargetMode="External"/><Relationship Id="rId16" Type="http://schemas.openxmlformats.org/officeDocument/2006/relationships/hyperlink" Target="https://eiti.org/" TargetMode="External"/><Relationship Id="rId1" Type="http://schemas.openxmlformats.org/officeDocument/2006/relationships/hyperlink" Target="http://www.bp.com/en/global/corporate/about-bp/energy-economics/statistical-review-of-world-energy/review-by-energy-type/oil/oil-prices.html" TargetMode="External"/><Relationship Id="rId6" Type="http://schemas.openxmlformats.org/officeDocument/2006/relationships/hyperlink" Target="http://www.transparency.org/research/cpi/overview" TargetMode="External"/><Relationship Id="rId11" Type="http://schemas.openxmlformats.org/officeDocument/2006/relationships/hyperlink" Target="http://info.worldbank.org/governance/wgi/index.aspx" TargetMode="External"/><Relationship Id="rId5" Type="http://schemas.openxmlformats.org/officeDocument/2006/relationships/hyperlink" Target="http://data.worldbank.org/indicator/DT.ODA.ALLD.CD" TargetMode="External"/><Relationship Id="rId15" Type="http://schemas.openxmlformats.org/officeDocument/2006/relationships/hyperlink" Target="https://www.imf.org/external/pubs/ft/weo/2014/02/weodata/index.aspx" TargetMode="External"/><Relationship Id="rId10" Type="http://schemas.openxmlformats.org/officeDocument/2006/relationships/hyperlink" Target="http://data.worldbank.org/indicator/SE.PRM.NENR" TargetMode="External"/><Relationship Id="rId4" Type="http://schemas.openxmlformats.org/officeDocument/2006/relationships/hyperlink" Target="http://data.worldbank.org/indicator/NY.GDP.MKTP.CD" TargetMode="External"/><Relationship Id="rId9" Type="http://schemas.openxmlformats.org/officeDocument/2006/relationships/hyperlink" Target="http://data.worldbank.org/indicator/SP.DYN.IMRT.IN" TargetMode="External"/><Relationship Id="rId14" Type="http://schemas.openxmlformats.org/officeDocument/2006/relationships/hyperlink" Target="http://data.worldbank.org/indicator/SP.POP.TOT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iti.org/files/Indonesia_2009_EITI_Report.pdf" TargetMode="External"/><Relationship Id="rId3" Type="http://schemas.openxmlformats.org/officeDocument/2006/relationships/hyperlink" Target="http://eiti.org/files/Ghana%202004-2008%20EITI%20Report_0.pdf" TargetMode="External"/><Relationship Id="rId7" Type="http://schemas.openxmlformats.org/officeDocument/2006/relationships/hyperlink" Target="http://eiti.org/files/EITI-2010-2011-oil-final.pdf;" TargetMode="External"/><Relationship Id="rId2" Type="http://schemas.openxmlformats.org/officeDocument/2006/relationships/hyperlink" Target="http://eiti.org/Nigeria" TargetMode="External"/><Relationship Id="rId1" Type="http://schemas.openxmlformats.org/officeDocument/2006/relationships/hyperlink" Target="http://eiti.org/countries/reports" TargetMode="External"/><Relationship Id="rId6" Type="http://schemas.openxmlformats.org/officeDocument/2006/relationships/hyperlink" Target="http://eiti.org/files/Norway-2009-EITI-Report.pdf" TargetMode="External"/><Relationship Id="rId5" Type="http://schemas.openxmlformats.org/officeDocument/2006/relationships/hyperlink" Target="http://eiti.org/files/Azerbaijan-2003-EITI-Report.pdf" TargetMode="External"/><Relationship Id="rId4" Type="http://schemas.openxmlformats.org/officeDocument/2006/relationships/hyperlink" Target="http://eiti.org/files/Afghanistan-2010-2011-EITI-Report.pdf" TargetMode="External"/><Relationship Id="rId9" Type="http://schemas.openxmlformats.org/officeDocument/2006/relationships/hyperlink" Target="http://eiti.org/files/EITI-2010-2011-oil-final.pdf;"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pageSetUpPr autoPageBreaks="0"/>
  </sheetPr>
  <dimension ref="A1:WVK132"/>
  <sheetViews>
    <sheetView zoomScaleNormal="100" workbookViewId="0">
      <selection activeCell="C22" sqref="C22"/>
    </sheetView>
  </sheetViews>
  <sheetFormatPr defaultColWidth="0" defaultRowHeight="0" customHeight="1" zeroHeight="1"/>
  <cols>
    <col min="1" max="1" width="3.85546875" style="204" customWidth="1"/>
    <col min="2" max="2" width="28.28515625" style="204" customWidth="1"/>
    <col min="3" max="3" width="81.28515625" style="205" customWidth="1"/>
    <col min="4" max="5" width="9.140625" style="204" customWidth="1"/>
    <col min="6" max="14" width="9.140625" style="204" hidden="1" customWidth="1"/>
    <col min="15" max="256" width="9.140625" style="204" hidden="1"/>
    <col min="257" max="257" width="2" style="204" hidden="1" customWidth="1"/>
    <col min="258" max="258" width="55.85546875" style="204" hidden="1" customWidth="1"/>
    <col min="259" max="259" width="54" style="204" hidden="1" customWidth="1"/>
    <col min="260" max="270" width="9.140625" style="204" hidden="1" customWidth="1"/>
    <col min="271" max="512" width="9.140625" style="204" hidden="1"/>
    <col min="513" max="513" width="2" style="204" hidden="1" customWidth="1"/>
    <col min="514" max="514" width="55.85546875" style="204" hidden="1" customWidth="1"/>
    <col min="515" max="515" width="54" style="204" hidden="1" customWidth="1"/>
    <col min="516" max="526" width="9.140625" style="204" hidden="1" customWidth="1"/>
    <col min="527" max="768" width="9.140625" style="204" hidden="1"/>
    <col min="769" max="769" width="2" style="204" hidden="1" customWidth="1"/>
    <col min="770" max="770" width="55.85546875" style="204" hidden="1" customWidth="1"/>
    <col min="771" max="771" width="54" style="204" hidden="1" customWidth="1"/>
    <col min="772" max="782" width="9.140625" style="204" hidden="1" customWidth="1"/>
    <col min="783" max="1024" width="9.140625" style="204" hidden="1"/>
    <col min="1025" max="1025" width="2" style="204" hidden="1" customWidth="1"/>
    <col min="1026" max="1026" width="55.85546875" style="204" hidden="1" customWidth="1"/>
    <col min="1027" max="1027" width="54" style="204" hidden="1" customWidth="1"/>
    <col min="1028" max="1038" width="9.140625" style="204" hidden="1" customWidth="1"/>
    <col min="1039" max="1280" width="9.140625" style="204" hidden="1"/>
    <col min="1281" max="1281" width="2" style="204" hidden="1" customWidth="1"/>
    <col min="1282" max="1282" width="55.85546875" style="204" hidden="1" customWidth="1"/>
    <col min="1283" max="1283" width="54" style="204" hidden="1" customWidth="1"/>
    <col min="1284" max="1294" width="9.140625" style="204" hidden="1" customWidth="1"/>
    <col min="1295" max="1536" width="9.140625" style="204" hidden="1"/>
    <col min="1537" max="1537" width="2" style="204" hidden="1" customWidth="1"/>
    <col min="1538" max="1538" width="55.85546875" style="204" hidden="1" customWidth="1"/>
    <col min="1539" max="1539" width="54" style="204" hidden="1" customWidth="1"/>
    <col min="1540" max="1550" width="9.140625" style="204" hidden="1" customWidth="1"/>
    <col min="1551" max="1792" width="9.140625" style="204" hidden="1"/>
    <col min="1793" max="1793" width="2" style="204" hidden="1" customWidth="1"/>
    <col min="1794" max="1794" width="55.85546875" style="204" hidden="1" customWidth="1"/>
    <col min="1795" max="1795" width="54" style="204" hidden="1" customWidth="1"/>
    <col min="1796" max="1806" width="9.140625" style="204" hidden="1" customWidth="1"/>
    <col min="1807" max="2048" width="9.140625" style="204" hidden="1"/>
    <col min="2049" max="2049" width="2" style="204" hidden="1" customWidth="1"/>
    <col min="2050" max="2050" width="55.85546875" style="204" hidden="1" customWidth="1"/>
    <col min="2051" max="2051" width="54" style="204" hidden="1" customWidth="1"/>
    <col min="2052" max="2062" width="9.140625" style="204" hidden="1" customWidth="1"/>
    <col min="2063" max="2304" width="9.140625" style="204" hidden="1"/>
    <col min="2305" max="2305" width="2" style="204" hidden="1" customWidth="1"/>
    <col min="2306" max="2306" width="55.85546875" style="204" hidden="1" customWidth="1"/>
    <col min="2307" max="2307" width="54" style="204" hidden="1" customWidth="1"/>
    <col min="2308" max="2318" width="9.140625" style="204" hidden="1" customWidth="1"/>
    <col min="2319" max="2560" width="9.140625" style="204" hidden="1"/>
    <col min="2561" max="2561" width="2" style="204" hidden="1" customWidth="1"/>
    <col min="2562" max="2562" width="55.85546875" style="204" hidden="1" customWidth="1"/>
    <col min="2563" max="2563" width="54" style="204" hidden="1" customWidth="1"/>
    <col min="2564" max="2574" width="9.140625" style="204" hidden="1" customWidth="1"/>
    <col min="2575" max="2816" width="9.140625" style="204" hidden="1"/>
    <col min="2817" max="2817" width="2" style="204" hidden="1" customWidth="1"/>
    <col min="2818" max="2818" width="55.85546875" style="204" hidden="1" customWidth="1"/>
    <col min="2819" max="2819" width="54" style="204" hidden="1" customWidth="1"/>
    <col min="2820" max="2830" width="9.140625" style="204" hidden="1" customWidth="1"/>
    <col min="2831" max="3072" width="9.140625" style="204" hidden="1"/>
    <col min="3073" max="3073" width="2" style="204" hidden="1" customWidth="1"/>
    <col min="3074" max="3074" width="55.85546875" style="204" hidden="1" customWidth="1"/>
    <col min="3075" max="3075" width="54" style="204" hidden="1" customWidth="1"/>
    <col min="3076" max="3086" width="9.140625" style="204" hidden="1" customWidth="1"/>
    <col min="3087" max="3328" width="9.140625" style="204" hidden="1"/>
    <col min="3329" max="3329" width="2" style="204" hidden="1" customWidth="1"/>
    <col min="3330" max="3330" width="55.85546875" style="204" hidden="1" customWidth="1"/>
    <col min="3331" max="3331" width="54" style="204" hidden="1" customWidth="1"/>
    <col min="3332" max="3342" width="9.140625" style="204" hidden="1" customWidth="1"/>
    <col min="3343" max="3584" width="9.140625" style="204" hidden="1"/>
    <col min="3585" max="3585" width="2" style="204" hidden="1" customWidth="1"/>
    <col min="3586" max="3586" width="55.85546875" style="204" hidden="1" customWidth="1"/>
    <col min="3587" max="3587" width="54" style="204" hidden="1" customWidth="1"/>
    <col min="3588" max="3598" width="9.140625" style="204" hidden="1" customWidth="1"/>
    <col min="3599" max="3840" width="9.140625" style="204" hidden="1"/>
    <col min="3841" max="3841" width="2" style="204" hidden="1" customWidth="1"/>
    <col min="3842" max="3842" width="55.85546875" style="204" hidden="1" customWidth="1"/>
    <col min="3843" max="3843" width="54" style="204" hidden="1" customWidth="1"/>
    <col min="3844" max="3854" width="9.140625" style="204" hidden="1" customWidth="1"/>
    <col min="3855" max="4096" width="9.140625" style="204" hidden="1"/>
    <col min="4097" max="4097" width="2" style="204" hidden="1" customWidth="1"/>
    <col min="4098" max="4098" width="55.85546875" style="204" hidden="1" customWidth="1"/>
    <col min="4099" max="4099" width="54" style="204" hidden="1" customWidth="1"/>
    <col min="4100" max="4110" width="9.140625" style="204" hidden="1" customWidth="1"/>
    <col min="4111" max="4352" width="9.140625" style="204" hidden="1"/>
    <col min="4353" max="4353" width="2" style="204" hidden="1" customWidth="1"/>
    <col min="4354" max="4354" width="55.85546875" style="204" hidden="1" customWidth="1"/>
    <col min="4355" max="4355" width="54" style="204" hidden="1" customWidth="1"/>
    <col min="4356" max="4366" width="9.140625" style="204" hidden="1" customWidth="1"/>
    <col min="4367" max="4608" width="9.140625" style="204" hidden="1"/>
    <col min="4609" max="4609" width="2" style="204" hidden="1" customWidth="1"/>
    <col min="4610" max="4610" width="55.85546875" style="204" hidden="1" customWidth="1"/>
    <col min="4611" max="4611" width="54" style="204" hidden="1" customWidth="1"/>
    <col min="4612" max="4622" width="9.140625" style="204" hidden="1" customWidth="1"/>
    <col min="4623" max="4864" width="9.140625" style="204" hidden="1"/>
    <col min="4865" max="4865" width="2" style="204" hidden="1" customWidth="1"/>
    <col min="4866" max="4866" width="55.85546875" style="204" hidden="1" customWidth="1"/>
    <col min="4867" max="4867" width="54" style="204" hidden="1" customWidth="1"/>
    <col min="4868" max="4878" width="9.140625" style="204" hidden="1" customWidth="1"/>
    <col min="4879" max="5120" width="9.140625" style="204" hidden="1"/>
    <col min="5121" max="5121" width="2" style="204" hidden="1" customWidth="1"/>
    <col min="5122" max="5122" width="55.85546875" style="204" hidden="1" customWidth="1"/>
    <col min="5123" max="5123" width="54" style="204" hidden="1" customWidth="1"/>
    <col min="5124" max="5134" width="9.140625" style="204" hidden="1" customWidth="1"/>
    <col min="5135" max="5376" width="9.140625" style="204" hidden="1"/>
    <col min="5377" max="5377" width="2" style="204" hidden="1" customWidth="1"/>
    <col min="5378" max="5378" width="55.85546875" style="204" hidden="1" customWidth="1"/>
    <col min="5379" max="5379" width="54" style="204" hidden="1" customWidth="1"/>
    <col min="5380" max="5390" width="9.140625" style="204" hidden="1" customWidth="1"/>
    <col min="5391" max="5632" width="9.140625" style="204" hidden="1"/>
    <col min="5633" max="5633" width="2" style="204" hidden="1" customWidth="1"/>
    <col min="5634" max="5634" width="55.85546875" style="204" hidden="1" customWidth="1"/>
    <col min="5635" max="5635" width="54" style="204" hidden="1" customWidth="1"/>
    <col min="5636" max="5646" width="9.140625" style="204" hidden="1" customWidth="1"/>
    <col min="5647" max="5888" width="9.140625" style="204" hidden="1"/>
    <col min="5889" max="5889" width="2" style="204" hidden="1" customWidth="1"/>
    <col min="5890" max="5890" width="55.85546875" style="204" hidden="1" customWidth="1"/>
    <col min="5891" max="5891" width="54" style="204" hidden="1" customWidth="1"/>
    <col min="5892" max="5902" width="9.140625" style="204" hidden="1" customWidth="1"/>
    <col min="5903" max="6144" width="9.140625" style="204" hidden="1"/>
    <col min="6145" max="6145" width="2" style="204" hidden="1" customWidth="1"/>
    <col min="6146" max="6146" width="55.85546875" style="204" hidden="1" customWidth="1"/>
    <col min="6147" max="6147" width="54" style="204" hidden="1" customWidth="1"/>
    <col min="6148" max="6158" width="9.140625" style="204" hidden="1" customWidth="1"/>
    <col min="6159" max="6400" width="9.140625" style="204" hidden="1"/>
    <col min="6401" max="6401" width="2" style="204" hidden="1" customWidth="1"/>
    <col min="6402" max="6402" width="55.85546875" style="204" hidden="1" customWidth="1"/>
    <col min="6403" max="6403" width="54" style="204" hidden="1" customWidth="1"/>
    <col min="6404" max="6414" width="9.140625" style="204" hidden="1" customWidth="1"/>
    <col min="6415" max="6656" width="9.140625" style="204" hidden="1"/>
    <col min="6657" max="6657" width="2" style="204" hidden="1" customWidth="1"/>
    <col min="6658" max="6658" width="55.85546875" style="204" hidden="1" customWidth="1"/>
    <col min="6659" max="6659" width="54" style="204" hidden="1" customWidth="1"/>
    <col min="6660" max="6670" width="9.140625" style="204" hidden="1" customWidth="1"/>
    <col min="6671" max="6912" width="9.140625" style="204" hidden="1"/>
    <col min="6913" max="6913" width="2" style="204" hidden="1" customWidth="1"/>
    <col min="6914" max="6914" width="55.85546875" style="204" hidden="1" customWidth="1"/>
    <col min="6915" max="6915" width="54" style="204" hidden="1" customWidth="1"/>
    <col min="6916" max="6926" width="9.140625" style="204" hidden="1" customWidth="1"/>
    <col min="6927" max="7168" width="9.140625" style="204" hidden="1"/>
    <col min="7169" max="7169" width="2" style="204" hidden="1" customWidth="1"/>
    <col min="7170" max="7170" width="55.85546875" style="204" hidden="1" customWidth="1"/>
    <col min="7171" max="7171" width="54" style="204" hidden="1" customWidth="1"/>
    <col min="7172" max="7182" width="9.140625" style="204" hidden="1" customWidth="1"/>
    <col min="7183" max="7424" width="9.140625" style="204" hidden="1"/>
    <col min="7425" max="7425" width="2" style="204" hidden="1" customWidth="1"/>
    <col min="7426" max="7426" width="55.85546875" style="204" hidden="1" customWidth="1"/>
    <col min="7427" max="7427" width="54" style="204" hidden="1" customWidth="1"/>
    <col min="7428" max="7438" width="9.140625" style="204" hidden="1" customWidth="1"/>
    <col min="7439" max="7680" width="9.140625" style="204" hidden="1"/>
    <col min="7681" max="7681" width="2" style="204" hidden="1" customWidth="1"/>
    <col min="7682" max="7682" width="55.85546875" style="204" hidden="1" customWidth="1"/>
    <col min="7683" max="7683" width="54" style="204" hidden="1" customWidth="1"/>
    <col min="7684" max="7694" width="9.140625" style="204" hidden="1" customWidth="1"/>
    <col min="7695" max="7936" width="9.140625" style="204" hidden="1"/>
    <col min="7937" max="7937" width="2" style="204" hidden="1" customWidth="1"/>
    <col min="7938" max="7938" width="55.85546875" style="204" hidden="1" customWidth="1"/>
    <col min="7939" max="7939" width="54" style="204" hidden="1" customWidth="1"/>
    <col min="7940" max="7950" width="9.140625" style="204" hidden="1" customWidth="1"/>
    <col min="7951" max="8192" width="9.140625" style="204" hidden="1"/>
    <col min="8193" max="8193" width="2" style="204" hidden="1" customWidth="1"/>
    <col min="8194" max="8194" width="55.85546875" style="204" hidden="1" customWidth="1"/>
    <col min="8195" max="8195" width="54" style="204" hidden="1" customWidth="1"/>
    <col min="8196" max="8206" width="9.140625" style="204" hidden="1" customWidth="1"/>
    <col min="8207" max="8448" width="9.140625" style="204" hidden="1"/>
    <col min="8449" max="8449" width="2" style="204" hidden="1" customWidth="1"/>
    <col min="8450" max="8450" width="55.85546875" style="204" hidden="1" customWidth="1"/>
    <col min="8451" max="8451" width="54" style="204" hidden="1" customWidth="1"/>
    <col min="8452" max="8462" width="9.140625" style="204" hidden="1" customWidth="1"/>
    <col min="8463" max="8704" width="9.140625" style="204" hidden="1"/>
    <col min="8705" max="8705" width="2" style="204" hidden="1" customWidth="1"/>
    <col min="8706" max="8706" width="55.85546875" style="204" hidden="1" customWidth="1"/>
    <col min="8707" max="8707" width="54" style="204" hidden="1" customWidth="1"/>
    <col min="8708" max="8718" width="9.140625" style="204" hidden="1" customWidth="1"/>
    <col min="8719" max="8960" width="9.140625" style="204" hidden="1"/>
    <col min="8961" max="8961" width="2" style="204" hidden="1" customWidth="1"/>
    <col min="8962" max="8962" width="55.85546875" style="204" hidden="1" customWidth="1"/>
    <col min="8963" max="8963" width="54" style="204" hidden="1" customWidth="1"/>
    <col min="8964" max="8974" width="9.140625" style="204" hidden="1" customWidth="1"/>
    <col min="8975" max="9216" width="9.140625" style="204" hidden="1"/>
    <col min="9217" max="9217" width="2" style="204" hidden="1" customWidth="1"/>
    <col min="9218" max="9218" width="55.85546875" style="204" hidden="1" customWidth="1"/>
    <col min="9219" max="9219" width="54" style="204" hidden="1" customWidth="1"/>
    <col min="9220" max="9230" width="9.140625" style="204" hidden="1" customWidth="1"/>
    <col min="9231" max="9472" width="9.140625" style="204" hidden="1"/>
    <col min="9473" max="9473" width="2" style="204" hidden="1" customWidth="1"/>
    <col min="9474" max="9474" width="55.85546875" style="204" hidden="1" customWidth="1"/>
    <col min="9475" max="9475" width="54" style="204" hidden="1" customWidth="1"/>
    <col min="9476" max="9486" width="9.140625" style="204" hidden="1" customWidth="1"/>
    <col min="9487" max="9728" width="9.140625" style="204" hidden="1"/>
    <col min="9729" max="9729" width="2" style="204" hidden="1" customWidth="1"/>
    <col min="9730" max="9730" width="55.85546875" style="204" hidden="1" customWidth="1"/>
    <col min="9731" max="9731" width="54" style="204" hidden="1" customWidth="1"/>
    <col min="9732" max="9742" width="9.140625" style="204" hidden="1" customWidth="1"/>
    <col min="9743" max="9984" width="9.140625" style="204" hidden="1"/>
    <col min="9985" max="9985" width="2" style="204" hidden="1" customWidth="1"/>
    <col min="9986" max="9986" width="55.85546875" style="204" hidden="1" customWidth="1"/>
    <col min="9987" max="9987" width="54" style="204" hidden="1" customWidth="1"/>
    <col min="9988" max="9998" width="9.140625" style="204" hidden="1" customWidth="1"/>
    <col min="9999" max="10240" width="9.140625" style="204" hidden="1"/>
    <col min="10241" max="10241" width="2" style="204" hidden="1" customWidth="1"/>
    <col min="10242" max="10242" width="55.85546875" style="204" hidden="1" customWidth="1"/>
    <col min="10243" max="10243" width="54" style="204" hidden="1" customWidth="1"/>
    <col min="10244" max="10254" width="9.140625" style="204" hidden="1" customWidth="1"/>
    <col min="10255" max="10496" width="9.140625" style="204" hidden="1"/>
    <col min="10497" max="10497" width="2" style="204" hidden="1" customWidth="1"/>
    <col min="10498" max="10498" width="55.85546875" style="204" hidden="1" customWidth="1"/>
    <col min="10499" max="10499" width="54" style="204" hidden="1" customWidth="1"/>
    <col min="10500" max="10510" width="9.140625" style="204" hidden="1" customWidth="1"/>
    <col min="10511" max="10752" width="9.140625" style="204" hidden="1"/>
    <col min="10753" max="10753" width="2" style="204" hidden="1" customWidth="1"/>
    <col min="10754" max="10754" width="55.85546875" style="204" hidden="1" customWidth="1"/>
    <col min="10755" max="10755" width="54" style="204" hidden="1" customWidth="1"/>
    <col min="10756" max="10766" width="9.140625" style="204" hidden="1" customWidth="1"/>
    <col min="10767" max="11008" width="9.140625" style="204" hidden="1"/>
    <col min="11009" max="11009" width="2" style="204" hidden="1" customWidth="1"/>
    <col min="11010" max="11010" width="55.85546875" style="204" hidden="1" customWidth="1"/>
    <col min="11011" max="11011" width="54" style="204" hidden="1" customWidth="1"/>
    <col min="11012" max="11022" width="9.140625" style="204" hidden="1" customWidth="1"/>
    <col min="11023" max="11264" width="9.140625" style="204" hidden="1"/>
    <col min="11265" max="11265" width="2" style="204" hidden="1" customWidth="1"/>
    <col min="11266" max="11266" width="55.85546875" style="204" hidden="1" customWidth="1"/>
    <col min="11267" max="11267" width="54" style="204" hidden="1" customWidth="1"/>
    <col min="11268" max="11278" width="9.140625" style="204" hidden="1" customWidth="1"/>
    <col min="11279" max="11520" width="9.140625" style="204" hidden="1"/>
    <col min="11521" max="11521" width="2" style="204" hidden="1" customWidth="1"/>
    <col min="11522" max="11522" width="55.85546875" style="204" hidden="1" customWidth="1"/>
    <col min="11523" max="11523" width="54" style="204" hidden="1" customWidth="1"/>
    <col min="11524" max="11534" width="9.140625" style="204" hidden="1" customWidth="1"/>
    <col min="11535" max="11776" width="9.140625" style="204" hidden="1"/>
    <col min="11777" max="11777" width="2" style="204" hidden="1" customWidth="1"/>
    <col min="11778" max="11778" width="55.85546875" style="204" hidden="1" customWidth="1"/>
    <col min="11779" max="11779" width="54" style="204" hidden="1" customWidth="1"/>
    <col min="11780" max="11790" width="9.140625" style="204" hidden="1" customWidth="1"/>
    <col min="11791" max="12032" width="9.140625" style="204" hidden="1"/>
    <col min="12033" max="12033" width="2" style="204" hidden="1" customWidth="1"/>
    <col min="12034" max="12034" width="55.85546875" style="204" hidden="1" customWidth="1"/>
    <col min="12035" max="12035" width="54" style="204" hidden="1" customWidth="1"/>
    <col min="12036" max="12046" width="9.140625" style="204" hidden="1" customWidth="1"/>
    <col min="12047" max="12288" width="9.140625" style="204" hidden="1"/>
    <col min="12289" max="12289" width="2" style="204" hidden="1" customWidth="1"/>
    <col min="12290" max="12290" width="55.85546875" style="204" hidden="1" customWidth="1"/>
    <col min="12291" max="12291" width="54" style="204" hidden="1" customWidth="1"/>
    <col min="12292" max="12302" width="9.140625" style="204" hidden="1" customWidth="1"/>
    <col min="12303" max="12544" width="9.140625" style="204" hidden="1"/>
    <col min="12545" max="12545" width="2" style="204" hidden="1" customWidth="1"/>
    <col min="12546" max="12546" width="55.85546875" style="204" hidden="1" customWidth="1"/>
    <col min="12547" max="12547" width="54" style="204" hidden="1" customWidth="1"/>
    <col min="12548" max="12558" width="9.140625" style="204" hidden="1" customWidth="1"/>
    <col min="12559" max="12800" width="9.140625" style="204" hidden="1"/>
    <col min="12801" max="12801" width="2" style="204" hidden="1" customWidth="1"/>
    <col min="12802" max="12802" width="55.85546875" style="204" hidden="1" customWidth="1"/>
    <col min="12803" max="12803" width="54" style="204" hidden="1" customWidth="1"/>
    <col min="12804" max="12814" width="9.140625" style="204" hidden="1" customWidth="1"/>
    <col min="12815" max="13056" width="9.140625" style="204" hidden="1"/>
    <col min="13057" max="13057" width="2" style="204" hidden="1" customWidth="1"/>
    <col min="13058" max="13058" width="55.85546875" style="204" hidden="1" customWidth="1"/>
    <col min="13059" max="13059" width="54" style="204" hidden="1" customWidth="1"/>
    <col min="13060" max="13070" width="9.140625" style="204" hidden="1" customWidth="1"/>
    <col min="13071" max="13312" width="9.140625" style="204" hidden="1"/>
    <col min="13313" max="13313" width="2" style="204" hidden="1" customWidth="1"/>
    <col min="13314" max="13314" width="55.85546875" style="204" hidden="1" customWidth="1"/>
    <col min="13315" max="13315" width="54" style="204" hidden="1" customWidth="1"/>
    <col min="13316" max="13326" width="9.140625" style="204" hidden="1" customWidth="1"/>
    <col min="13327" max="13568" width="9.140625" style="204" hidden="1"/>
    <col min="13569" max="13569" width="2" style="204" hidden="1" customWidth="1"/>
    <col min="13570" max="13570" width="55.85546875" style="204" hidden="1" customWidth="1"/>
    <col min="13571" max="13571" width="54" style="204" hidden="1" customWidth="1"/>
    <col min="13572" max="13582" width="9.140625" style="204" hidden="1" customWidth="1"/>
    <col min="13583" max="13824" width="9.140625" style="204" hidden="1"/>
    <col min="13825" max="13825" width="2" style="204" hidden="1" customWidth="1"/>
    <col min="13826" max="13826" width="55.85546875" style="204" hidden="1" customWidth="1"/>
    <col min="13827" max="13827" width="54" style="204" hidden="1" customWidth="1"/>
    <col min="13828" max="13838" width="9.140625" style="204" hidden="1" customWidth="1"/>
    <col min="13839" max="14080" width="9.140625" style="204" hidden="1"/>
    <col min="14081" max="14081" width="2" style="204" hidden="1" customWidth="1"/>
    <col min="14082" max="14082" width="55.85546875" style="204" hidden="1" customWidth="1"/>
    <col min="14083" max="14083" width="54" style="204" hidden="1" customWidth="1"/>
    <col min="14084" max="14094" width="9.140625" style="204" hidden="1" customWidth="1"/>
    <col min="14095" max="14336" width="9.140625" style="204" hidden="1"/>
    <col min="14337" max="14337" width="2" style="204" hidden="1" customWidth="1"/>
    <col min="14338" max="14338" width="55.85546875" style="204" hidden="1" customWidth="1"/>
    <col min="14339" max="14339" width="54" style="204" hidden="1" customWidth="1"/>
    <col min="14340" max="14350" width="9.140625" style="204" hidden="1" customWidth="1"/>
    <col min="14351" max="14592" width="9.140625" style="204" hidden="1"/>
    <col min="14593" max="14593" width="2" style="204" hidden="1" customWidth="1"/>
    <col min="14594" max="14594" width="55.85546875" style="204" hidden="1" customWidth="1"/>
    <col min="14595" max="14595" width="54" style="204" hidden="1" customWidth="1"/>
    <col min="14596" max="14606" width="9.140625" style="204" hidden="1" customWidth="1"/>
    <col min="14607" max="14848" width="9.140625" style="204" hidden="1"/>
    <col min="14849" max="14849" width="2" style="204" hidden="1" customWidth="1"/>
    <col min="14850" max="14850" width="55.85546875" style="204" hidden="1" customWidth="1"/>
    <col min="14851" max="14851" width="54" style="204" hidden="1" customWidth="1"/>
    <col min="14852" max="14862" width="9.140625" style="204" hidden="1" customWidth="1"/>
    <col min="14863" max="15104" width="9.140625" style="204" hidden="1"/>
    <col min="15105" max="15105" width="2" style="204" hidden="1" customWidth="1"/>
    <col min="15106" max="15106" width="55.85546875" style="204" hidden="1" customWidth="1"/>
    <col min="15107" max="15107" width="54" style="204" hidden="1" customWidth="1"/>
    <col min="15108" max="15118" width="9.140625" style="204" hidden="1" customWidth="1"/>
    <col min="15119" max="15360" width="9.140625" style="204" hidden="1"/>
    <col min="15361" max="15361" width="2" style="204" hidden="1" customWidth="1"/>
    <col min="15362" max="15362" width="55.85546875" style="204" hidden="1" customWidth="1"/>
    <col min="15363" max="15363" width="54" style="204" hidden="1" customWidth="1"/>
    <col min="15364" max="15374" width="9.140625" style="204" hidden="1" customWidth="1"/>
    <col min="15375" max="15616" width="9.140625" style="204" hidden="1"/>
    <col min="15617" max="15617" width="2" style="204" hidden="1" customWidth="1"/>
    <col min="15618" max="15618" width="55.85546875" style="204" hidden="1" customWidth="1"/>
    <col min="15619" max="15619" width="54" style="204" hidden="1" customWidth="1"/>
    <col min="15620" max="15630" width="9.140625" style="204" hidden="1" customWidth="1"/>
    <col min="15631" max="15872" width="9.140625" style="204" hidden="1"/>
    <col min="15873" max="15873" width="2" style="204" hidden="1" customWidth="1"/>
    <col min="15874" max="15874" width="55.85546875" style="204" hidden="1" customWidth="1"/>
    <col min="15875" max="15875" width="54" style="204" hidden="1" customWidth="1"/>
    <col min="15876" max="15886" width="9.140625" style="204" hidden="1" customWidth="1"/>
    <col min="15887" max="16128" width="9.140625" style="204" hidden="1"/>
    <col min="16129" max="16129" width="2" style="204" hidden="1" customWidth="1"/>
    <col min="16130" max="16130" width="55.85546875" style="204" hidden="1" customWidth="1"/>
    <col min="16131" max="16131" width="54" style="204" hidden="1" customWidth="1"/>
    <col min="16132" max="16142" width="9.140625" style="204" hidden="1" customWidth="1"/>
    <col min="16143" max="16384" width="9.140625" style="204" hidden="1"/>
  </cols>
  <sheetData>
    <row r="1" spans="1:5" ht="15" customHeight="1">
      <c r="A1" s="619"/>
      <c r="B1" s="619"/>
      <c r="C1" s="619"/>
      <c r="D1" s="619"/>
      <c r="E1" s="620"/>
    </row>
    <row r="2" spans="1:5" ht="15"/>
    <row r="3" spans="1:5" ht="15"/>
    <row r="4" spans="1:5" ht="15"/>
    <row r="5" spans="1:5" ht="15"/>
    <row r="6" spans="1:5" ht="15"/>
    <row r="7" spans="1:5" ht="20.25" customHeight="1">
      <c r="B7" s="206" t="s">
        <v>3784</v>
      </c>
      <c r="C7" s="594"/>
    </row>
    <row r="8" spans="1:5" ht="15"/>
    <row r="9" spans="1:5" ht="15.75">
      <c r="B9" s="208" t="s">
        <v>3785</v>
      </c>
    </row>
    <row r="10" spans="1:5" ht="9" customHeight="1">
      <c r="B10" s="208"/>
    </row>
    <row r="11" spans="1:5" ht="68.25" customHeight="1">
      <c r="B11" s="623" t="s">
        <v>3776</v>
      </c>
      <c r="C11" s="624"/>
    </row>
    <row r="12" spans="1:5" ht="15.75" thickBot="1">
      <c r="B12" s="256"/>
      <c r="C12"/>
    </row>
    <row r="13" spans="1:5" ht="19.5" thickBot="1">
      <c r="B13" s="456" t="s">
        <v>3775</v>
      </c>
      <c r="C13" s="457" t="s">
        <v>3556</v>
      </c>
    </row>
    <row r="14" spans="1:5" ht="48.75" customHeight="1" thickBot="1">
      <c r="B14" s="258" t="s">
        <v>3739</v>
      </c>
      <c r="C14" s="460" t="s">
        <v>3777</v>
      </c>
    </row>
    <row r="15" spans="1:5" ht="65.25" customHeight="1" thickBot="1">
      <c r="B15" s="258" t="s">
        <v>3557</v>
      </c>
      <c r="C15" s="257" t="s">
        <v>3715</v>
      </c>
    </row>
    <row r="16" spans="1:5" ht="36" customHeight="1" thickBot="1">
      <c r="B16" s="455" t="s">
        <v>3558</v>
      </c>
      <c r="C16" s="592" t="s">
        <v>3783</v>
      </c>
    </row>
    <row r="17" spans="1:4" ht="30.75" thickBot="1">
      <c r="B17" s="258" t="s">
        <v>3719</v>
      </c>
      <c r="C17" s="257" t="s">
        <v>3716</v>
      </c>
    </row>
    <row r="18" spans="1:4" ht="15">
      <c r="B18" s="256"/>
      <c r="C18"/>
    </row>
    <row r="19" spans="1:4" ht="18.75">
      <c r="B19" s="259" t="s">
        <v>3740</v>
      </c>
      <c r="C19"/>
    </row>
    <row r="20" spans="1:4" ht="15.75" thickBot="1">
      <c r="B20" s="256"/>
      <c r="C20"/>
    </row>
    <row r="21" spans="1:4" ht="16.5" thickBot="1">
      <c r="B21" s="458" t="s">
        <v>3778</v>
      </c>
      <c r="C21" s="459" t="s">
        <v>3556</v>
      </c>
    </row>
    <row r="22" spans="1:4" ht="150.75" thickBot="1">
      <c r="B22" s="453" t="s">
        <v>3559</v>
      </c>
      <c r="C22" s="460" t="s">
        <v>3799</v>
      </c>
    </row>
    <row r="23" spans="1:4" ht="75">
      <c r="B23" s="613" t="s">
        <v>3610</v>
      </c>
      <c r="C23" s="461" t="s">
        <v>3779</v>
      </c>
    </row>
    <row r="24" spans="1:4" ht="135">
      <c r="B24" s="614"/>
      <c r="C24" s="461" t="s">
        <v>3780</v>
      </c>
    </row>
    <row r="25" spans="1:4" ht="75.75" thickBot="1">
      <c r="B25" s="615"/>
      <c r="C25" s="460" t="s">
        <v>3781</v>
      </c>
    </row>
    <row r="26" spans="1:4" ht="156" customHeight="1" thickBot="1">
      <c r="B26" s="603" t="s">
        <v>3797</v>
      </c>
      <c r="C26" s="460" t="s">
        <v>3798</v>
      </c>
    </row>
    <row r="27" spans="1:4" ht="135.75" thickBot="1">
      <c r="B27" s="453" t="s">
        <v>3561</v>
      </c>
      <c r="C27" s="257" t="s">
        <v>3741</v>
      </c>
    </row>
    <row r="28" spans="1:4" ht="45">
      <c r="A28" s="260"/>
      <c r="B28" s="616" t="s">
        <v>3717</v>
      </c>
      <c r="C28" s="261" t="s">
        <v>3742</v>
      </c>
      <c r="D28" s="462"/>
    </row>
    <row r="29" spans="1:4" ht="45">
      <c r="A29" s="260"/>
      <c r="B29" s="617"/>
      <c r="C29" s="262" t="s">
        <v>3743</v>
      </c>
      <c r="D29" s="462"/>
    </row>
    <row r="30" spans="1:4" ht="45">
      <c r="A30" s="260"/>
      <c r="B30" s="617"/>
      <c r="C30" s="593" t="s">
        <v>3782</v>
      </c>
      <c r="D30" s="462"/>
    </row>
    <row r="31" spans="1:4" ht="75">
      <c r="A31" s="260"/>
      <c r="B31" s="617"/>
      <c r="C31" s="264" t="s">
        <v>3744</v>
      </c>
      <c r="D31" s="462"/>
    </row>
    <row r="32" spans="1:4" ht="30.75" thickBot="1">
      <c r="A32" s="260"/>
      <c r="B32" s="618"/>
      <c r="C32" s="263" t="s">
        <v>3718</v>
      </c>
      <c r="D32" s="462"/>
    </row>
    <row r="33" spans="2:3" ht="15">
      <c r="B33" s="256"/>
      <c r="C33"/>
    </row>
    <row r="34" spans="2:3" ht="15.75">
      <c r="B34" s="454"/>
      <c r="C34"/>
    </row>
    <row r="35" spans="2:3" ht="15.75" hidden="1">
      <c r="B35" s="208"/>
    </row>
    <row r="36" spans="2:3" ht="15.75" hidden="1">
      <c r="B36" s="208"/>
    </row>
    <row r="37" spans="2:3" ht="15.75" hidden="1">
      <c r="B37" s="208"/>
    </row>
    <row r="38" spans="2:3" ht="15.75" hidden="1">
      <c r="B38" s="208"/>
    </row>
    <row r="39" spans="2:3" ht="15.75" hidden="1">
      <c r="B39" s="208"/>
    </row>
    <row r="40" spans="2:3" ht="15.75" hidden="1">
      <c r="B40" s="208"/>
    </row>
    <row r="41" spans="2:3" ht="15.75" hidden="1">
      <c r="B41" s="208"/>
    </row>
    <row r="42" spans="2:3" ht="15.75" hidden="1">
      <c r="B42" s="208"/>
    </row>
    <row r="43" spans="2:3" ht="15.75" hidden="1">
      <c r="B43" s="208"/>
    </row>
    <row r="44" spans="2:3" ht="15.75" hidden="1">
      <c r="B44" s="208"/>
    </row>
    <row r="45" spans="2:3" ht="15.75" hidden="1">
      <c r="B45" s="208"/>
    </row>
    <row r="46" spans="2:3" ht="15.75" hidden="1">
      <c r="B46" s="208"/>
    </row>
    <row r="47" spans="2:3" ht="15.75" hidden="1">
      <c r="B47" s="208"/>
    </row>
    <row r="48" spans="2:3" ht="15.75" hidden="1">
      <c r="B48" s="208"/>
    </row>
    <row r="49" spans="2:2" ht="15.75" hidden="1">
      <c r="B49" s="208"/>
    </row>
    <row r="50" spans="2:2" ht="15.75" hidden="1">
      <c r="B50" s="208"/>
    </row>
    <row r="51" spans="2:2" ht="15.75" hidden="1">
      <c r="B51" s="208"/>
    </row>
    <row r="52" spans="2:2" ht="15.75" hidden="1">
      <c r="B52" s="208"/>
    </row>
    <row r="53" spans="2:2" ht="15.75" hidden="1">
      <c r="B53" s="208"/>
    </row>
    <row r="54" spans="2:2" ht="15.75" hidden="1">
      <c r="B54" s="208"/>
    </row>
    <row r="55" spans="2:2" ht="15.75" hidden="1">
      <c r="B55" s="208"/>
    </row>
    <row r="56" spans="2:2" ht="15.75" hidden="1">
      <c r="B56" s="208"/>
    </row>
    <row r="57" spans="2:2" ht="15.75" hidden="1">
      <c r="B57" s="208"/>
    </row>
    <row r="58" spans="2:2" ht="15.75" hidden="1">
      <c r="B58" s="208"/>
    </row>
    <row r="59" spans="2:2" ht="15.75" hidden="1">
      <c r="B59" s="208"/>
    </row>
    <row r="60" spans="2:2" ht="15.75" hidden="1">
      <c r="B60" s="208"/>
    </row>
    <row r="61" spans="2:2" ht="15.75" hidden="1">
      <c r="B61" s="208"/>
    </row>
    <row r="62" spans="2:2" ht="15.75" hidden="1">
      <c r="B62" s="208"/>
    </row>
    <row r="63" spans="2:2" ht="15.75" hidden="1">
      <c r="B63" s="208"/>
    </row>
    <row r="64" spans="2:2" ht="15.75" hidden="1">
      <c r="B64" s="208"/>
    </row>
    <row r="65" spans="2:2" ht="15.75" hidden="1">
      <c r="B65" s="208"/>
    </row>
    <row r="66" spans="2:2" ht="15.75" hidden="1">
      <c r="B66" s="208"/>
    </row>
    <row r="67" spans="2:2" ht="15.75" hidden="1">
      <c r="B67" s="208"/>
    </row>
    <row r="68" spans="2:2" ht="15.75" hidden="1">
      <c r="B68" s="208"/>
    </row>
    <row r="69" spans="2:2" ht="15.75" hidden="1">
      <c r="B69" s="208"/>
    </row>
    <row r="70" spans="2:2" ht="15.75" hidden="1">
      <c r="B70" s="208"/>
    </row>
    <row r="71" spans="2:2" ht="15.75" hidden="1">
      <c r="B71" s="208"/>
    </row>
    <row r="72" spans="2:2" ht="15.75" hidden="1">
      <c r="B72" s="208"/>
    </row>
    <row r="73" spans="2:2" ht="15.75" hidden="1">
      <c r="B73" s="208"/>
    </row>
    <row r="74" spans="2:2" ht="15.75" hidden="1">
      <c r="B74" s="208"/>
    </row>
    <row r="75" spans="2:2" ht="15.75" hidden="1">
      <c r="B75" s="208"/>
    </row>
    <row r="76" spans="2:2" ht="15.75" hidden="1">
      <c r="B76" s="208"/>
    </row>
    <row r="77" spans="2:2" ht="15.75" hidden="1">
      <c r="B77" s="208"/>
    </row>
    <row r="78" spans="2:2" ht="15.75" hidden="1">
      <c r="B78" s="208"/>
    </row>
    <row r="79" spans="2:2" ht="15.75" hidden="1">
      <c r="B79" s="208"/>
    </row>
    <row r="80" spans="2:2" ht="15.75" hidden="1">
      <c r="B80" s="208"/>
    </row>
    <row r="81" spans="2:2" ht="15.75" hidden="1">
      <c r="B81" s="208"/>
    </row>
    <row r="82" spans="2:2" ht="15.75" hidden="1">
      <c r="B82" s="208"/>
    </row>
    <row r="83" spans="2:2" ht="15.75" hidden="1">
      <c r="B83" s="208"/>
    </row>
    <row r="84" spans="2:2" ht="15.75" hidden="1">
      <c r="B84" s="208"/>
    </row>
    <row r="85" spans="2:2" ht="15.75" hidden="1">
      <c r="B85" s="208"/>
    </row>
    <row r="86" spans="2:2" ht="15.75" hidden="1">
      <c r="B86" s="208"/>
    </row>
    <row r="87" spans="2:2" ht="15.75" hidden="1">
      <c r="B87" s="208"/>
    </row>
    <row r="88" spans="2:2" ht="15.75" hidden="1">
      <c r="B88" s="208"/>
    </row>
    <row r="89" spans="2:2" ht="15.75" hidden="1">
      <c r="B89" s="208"/>
    </row>
    <row r="90" spans="2:2" ht="15.75" hidden="1">
      <c r="B90" s="208"/>
    </row>
    <row r="91" spans="2:2" ht="15.75" hidden="1">
      <c r="B91" s="208"/>
    </row>
    <row r="92" spans="2:2" ht="15.75" hidden="1">
      <c r="B92" s="208"/>
    </row>
    <row r="93" spans="2:2" ht="15.75" hidden="1">
      <c r="B93" s="208"/>
    </row>
    <row r="94" spans="2:2" ht="15.75" hidden="1">
      <c r="B94" s="208"/>
    </row>
    <row r="95" spans="2:2" ht="15.75" hidden="1">
      <c r="B95" s="208"/>
    </row>
    <row r="96" spans="2:2" ht="15.75" hidden="1">
      <c r="B96" s="208"/>
    </row>
    <row r="97" spans="2:2" ht="15.75" hidden="1">
      <c r="B97" s="208"/>
    </row>
    <row r="98" spans="2:2" ht="15.75" hidden="1">
      <c r="B98" s="208"/>
    </row>
    <row r="99" spans="2:2" ht="15.75" hidden="1">
      <c r="B99" s="208"/>
    </row>
    <row r="100" spans="2:2" ht="15.75" hidden="1">
      <c r="B100" s="208"/>
    </row>
    <row r="101" spans="2:2" ht="15.75" hidden="1">
      <c r="B101" s="208"/>
    </row>
    <row r="102" spans="2:2" ht="15.75" hidden="1">
      <c r="B102" s="208"/>
    </row>
    <row r="103" spans="2:2" ht="15.75" hidden="1">
      <c r="B103" s="208"/>
    </row>
    <row r="104" spans="2:2" ht="15.75" hidden="1">
      <c r="B104" s="208"/>
    </row>
    <row r="105" spans="2:2" ht="15.75" hidden="1">
      <c r="B105" s="208"/>
    </row>
    <row r="106" spans="2:2" ht="15.75" hidden="1">
      <c r="B106" s="208"/>
    </row>
    <row r="107" spans="2:2" ht="15.75" hidden="1">
      <c r="B107" s="208"/>
    </row>
    <row r="108" spans="2:2" ht="15.75" hidden="1">
      <c r="B108" s="208"/>
    </row>
    <row r="109" spans="2:2" ht="15.75" hidden="1">
      <c r="B109" s="208"/>
    </row>
    <row r="110" spans="2:2" ht="15.75" hidden="1">
      <c r="B110" s="208"/>
    </row>
    <row r="111" spans="2:2" ht="15" hidden="1">
      <c r="B111" s="621"/>
    </row>
    <row r="112" spans="2:2" ht="15" hidden="1">
      <c r="B112" s="622"/>
    </row>
    <row r="113" ht="15" hidden="1"/>
    <row r="114" ht="15" hidden="1" customHeight="1"/>
    <row r="115" ht="0" hidden="1" customHeight="1"/>
    <row r="116" ht="0" hidden="1" customHeight="1"/>
    <row r="117" ht="0" hidden="1" customHeight="1"/>
    <row r="118" ht="0" hidden="1" customHeight="1"/>
    <row r="119" ht="0" hidden="1" customHeight="1"/>
    <row r="120" ht="0" hidden="1" customHeight="1"/>
    <row r="121" ht="0" hidden="1" customHeight="1"/>
    <row r="122" ht="0" hidden="1" customHeight="1"/>
    <row r="123" ht="0" hidden="1" customHeight="1"/>
    <row r="124" ht="0" hidden="1" customHeight="1"/>
    <row r="125" ht="0" hidden="1" customHeight="1"/>
    <row r="126" ht="0" hidden="1" customHeight="1"/>
    <row r="127" ht="0" hidden="1" customHeight="1"/>
    <row r="128" ht="0" hidden="1" customHeight="1"/>
    <row r="129" ht="0" hidden="1" customHeight="1"/>
    <row r="130" ht="0" hidden="1" customHeight="1"/>
    <row r="131" ht="0" hidden="1" customHeight="1"/>
    <row r="132" ht="0" hidden="1" customHeight="1"/>
  </sheetData>
  <mergeCells count="5">
    <mergeCell ref="B23:B25"/>
    <mergeCell ref="B28:B32"/>
    <mergeCell ref="A1:E1"/>
    <mergeCell ref="B111:B112"/>
    <mergeCell ref="B11:C11"/>
  </mergeCells>
  <hyperlinks>
    <hyperlink ref="B14" location="'Summary of EITI report'!A1" display="Summary of EITI report"/>
    <hyperlink ref="B15" location="'Country-level data'!A1" display="Country-level data"/>
    <hyperlink ref="B16" location="'Project-level data'!A1" display="Project-level data"/>
    <hyperlink ref="B17" location="'Data Sources'!A1" display="Data sources"/>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8"/>
  <sheetViews>
    <sheetView workbookViewId="0">
      <selection activeCell="C4" sqref="C4"/>
    </sheetView>
  </sheetViews>
  <sheetFormatPr defaultColWidth="8.85546875" defaultRowHeight="12.75"/>
  <cols>
    <col min="1" max="1" width="8.85546875" style="155"/>
    <col min="2" max="2" width="34.85546875" style="155" bestFit="1" customWidth="1"/>
    <col min="3" max="16384" width="8.85546875" style="155"/>
  </cols>
  <sheetData>
    <row r="1" spans="1:10" ht="30">
      <c r="A1" s="154"/>
    </row>
    <row r="2" spans="1:10" ht="13.35" customHeight="1">
      <c r="A2" s="627" t="s">
        <v>3065</v>
      </c>
      <c r="B2" s="628" t="s">
        <v>3064</v>
      </c>
      <c r="C2" s="628" t="s">
        <v>3063</v>
      </c>
      <c r="D2" s="630" t="s">
        <v>3062</v>
      </c>
      <c r="E2" s="628" t="s">
        <v>3061</v>
      </c>
      <c r="F2" s="625" t="s">
        <v>3060</v>
      </c>
      <c r="G2" s="626"/>
    </row>
    <row r="3" spans="1:10" ht="100.5" customHeight="1">
      <c r="A3" s="627"/>
      <c r="B3" s="629"/>
      <c r="C3" s="629"/>
      <c r="D3" s="631"/>
      <c r="E3" s="629"/>
      <c r="F3" s="156" t="s">
        <v>3059</v>
      </c>
      <c r="G3" s="156" t="s">
        <v>3058</v>
      </c>
    </row>
    <row r="4" spans="1:10">
      <c r="A4" s="157">
        <v>1</v>
      </c>
      <c r="B4" s="157" t="s">
        <v>3057</v>
      </c>
      <c r="C4" s="157">
        <v>92</v>
      </c>
      <c r="D4" s="157">
        <v>7</v>
      </c>
      <c r="E4" s="158">
        <v>2.0362670270053194</v>
      </c>
      <c r="F4" s="159">
        <v>88.640159405441224</v>
      </c>
      <c r="G4" s="159">
        <v>95.359840594558776</v>
      </c>
      <c r="I4" s="160"/>
      <c r="J4" s="160"/>
    </row>
    <row r="5" spans="1:10">
      <c r="A5" s="157">
        <v>2</v>
      </c>
      <c r="B5" s="157" t="s">
        <v>3056</v>
      </c>
      <c r="C5" s="157">
        <v>91</v>
      </c>
      <c r="D5" s="157">
        <v>7</v>
      </c>
      <c r="E5" s="158">
        <v>2.2809112256549291</v>
      </c>
      <c r="F5" s="159">
        <v>87.236496477669363</v>
      </c>
      <c r="G5" s="159">
        <v>94.763503522330637</v>
      </c>
      <c r="I5" s="160"/>
      <c r="J5" s="160"/>
    </row>
    <row r="6" spans="1:10">
      <c r="A6" s="157">
        <v>3</v>
      </c>
      <c r="B6" s="157" t="s">
        <v>3055</v>
      </c>
      <c r="C6" s="157">
        <v>89</v>
      </c>
      <c r="D6" s="157">
        <v>7</v>
      </c>
      <c r="E6" s="158">
        <v>2.0520833818266193</v>
      </c>
      <c r="F6" s="159">
        <v>85.614062419986084</v>
      </c>
      <c r="G6" s="159">
        <v>92.385937580013916</v>
      </c>
      <c r="I6" s="160"/>
      <c r="J6" s="160"/>
    </row>
    <row r="7" spans="1:10">
      <c r="A7" s="157">
        <v>4</v>
      </c>
      <c r="B7" s="157" t="s">
        <v>3054</v>
      </c>
      <c r="C7" s="157">
        <v>87</v>
      </c>
      <c r="D7" s="157">
        <v>7</v>
      </c>
      <c r="E7" s="158">
        <v>3.4082188036790666</v>
      </c>
      <c r="F7" s="159">
        <v>81.376438973929538</v>
      </c>
      <c r="G7" s="159">
        <v>92.623561026070462</v>
      </c>
      <c r="I7" s="160"/>
      <c r="J7" s="160"/>
    </row>
    <row r="8" spans="1:10">
      <c r="A8" s="157">
        <v>5</v>
      </c>
      <c r="B8" s="157" t="s">
        <v>429</v>
      </c>
      <c r="C8" s="157">
        <v>86</v>
      </c>
      <c r="D8" s="157">
        <v>7</v>
      </c>
      <c r="E8" s="158">
        <v>2.3750695698976871</v>
      </c>
      <c r="F8" s="159">
        <v>82.081135209668815</v>
      </c>
      <c r="G8" s="159">
        <v>89.918864790331185</v>
      </c>
      <c r="I8" s="160"/>
      <c r="J8" s="160"/>
    </row>
    <row r="9" spans="1:10">
      <c r="A9" s="157">
        <v>5</v>
      </c>
      <c r="B9" s="157" t="s">
        <v>3053</v>
      </c>
      <c r="C9" s="157">
        <v>86</v>
      </c>
      <c r="D9" s="157">
        <v>6</v>
      </c>
      <c r="E9" s="158">
        <v>2.6143324141450375</v>
      </c>
      <c r="F9" s="159">
        <v>81.686351516660693</v>
      </c>
      <c r="G9" s="159">
        <v>90.313648483339307</v>
      </c>
      <c r="I9" s="160"/>
      <c r="J9" s="160"/>
    </row>
    <row r="10" spans="1:10">
      <c r="A10" s="157">
        <v>7</v>
      </c>
      <c r="B10" s="157" t="s">
        <v>3052</v>
      </c>
      <c r="C10" s="157">
        <v>84</v>
      </c>
      <c r="D10" s="157">
        <v>8</v>
      </c>
      <c r="E10" s="158">
        <v>1.7526728089040384</v>
      </c>
      <c r="F10" s="159">
        <v>81.10808986530833</v>
      </c>
      <c r="G10" s="159">
        <v>86.89191013469167</v>
      </c>
      <c r="I10" s="160"/>
      <c r="J10" s="160"/>
    </row>
    <row r="11" spans="1:10">
      <c r="A11" s="157">
        <v>8</v>
      </c>
      <c r="B11" s="157" t="s">
        <v>3051</v>
      </c>
      <c r="C11" s="157">
        <v>83</v>
      </c>
      <c r="D11" s="157">
        <v>7</v>
      </c>
      <c r="E11" s="158">
        <v>1.9722755194097488</v>
      </c>
      <c r="F11" s="159">
        <v>79.745745392973916</v>
      </c>
      <c r="G11" s="159">
        <v>86.254254607026084</v>
      </c>
      <c r="I11" s="160"/>
      <c r="J11" s="160"/>
    </row>
    <row r="12" spans="1:10">
      <c r="A12" s="157">
        <v>9</v>
      </c>
      <c r="B12" s="157" t="s">
        <v>3050</v>
      </c>
      <c r="C12" s="157">
        <v>82</v>
      </c>
      <c r="D12" s="157">
        <v>6</v>
      </c>
      <c r="E12" s="158">
        <v>2.7775936075237633</v>
      </c>
      <c r="F12" s="159">
        <v>77.416970547585791</v>
      </c>
      <c r="G12" s="159">
        <v>86.583029452414209</v>
      </c>
      <c r="I12" s="160"/>
      <c r="J12" s="160"/>
    </row>
    <row r="13" spans="1:10">
      <c r="A13" s="157">
        <v>10</v>
      </c>
      <c r="B13" s="157" t="s">
        <v>3049</v>
      </c>
      <c r="C13" s="157">
        <v>81</v>
      </c>
      <c r="D13" s="157">
        <v>7</v>
      </c>
      <c r="E13" s="158">
        <v>2.4469112226080703</v>
      </c>
      <c r="F13" s="159">
        <v>76.962596482696682</v>
      </c>
      <c r="G13" s="159">
        <v>85.037403517303318</v>
      </c>
      <c r="I13" s="160"/>
      <c r="J13" s="160"/>
    </row>
    <row r="14" spans="1:10">
      <c r="A14" s="157">
        <v>11</v>
      </c>
      <c r="B14" s="157" t="s">
        <v>3048</v>
      </c>
      <c r="C14" s="157">
        <v>80</v>
      </c>
      <c r="D14" s="157">
        <v>8</v>
      </c>
      <c r="E14" s="158">
        <v>1.3128946508298953</v>
      </c>
      <c r="F14" s="159">
        <v>77.833723826130679</v>
      </c>
      <c r="G14" s="159">
        <v>82.166276173869321</v>
      </c>
      <c r="I14" s="160"/>
      <c r="J14" s="160"/>
    </row>
    <row r="15" spans="1:10">
      <c r="A15" s="157">
        <v>12</v>
      </c>
      <c r="B15" s="157" t="s">
        <v>3047</v>
      </c>
      <c r="C15" s="157">
        <v>79</v>
      </c>
      <c r="D15" s="157">
        <v>7</v>
      </c>
      <c r="E15" s="158">
        <v>2.5809291855427841</v>
      </c>
      <c r="F15" s="159">
        <v>74.741466843854411</v>
      </c>
      <c r="G15" s="159">
        <v>83.258533156145589</v>
      </c>
      <c r="I15" s="160"/>
      <c r="J15" s="160"/>
    </row>
    <row r="16" spans="1:10">
      <c r="A16" s="157">
        <v>12</v>
      </c>
      <c r="B16" s="157" t="s">
        <v>3046</v>
      </c>
      <c r="C16" s="157">
        <v>79</v>
      </c>
      <c r="D16" s="157">
        <v>6</v>
      </c>
      <c r="E16" s="158">
        <v>3.1642193989355092</v>
      </c>
      <c r="F16" s="159">
        <v>73.779037991756411</v>
      </c>
      <c r="G16" s="159">
        <v>84.220962008243589</v>
      </c>
      <c r="I16" s="160"/>
      <c r="J16" s="160"/>
    </row>
    <row r="17" spans="1:10">
      <c r="A17" s="157">
        <v>14</v>
      </c>
      <c r="B17" s="157" t="s">
        <v>3045</v>
      </c>
      <c r="C17" s="157">
        <v>78</v>
      </c>
      <c r="D17" s="157">
        <v>7</v>
      </c>
      <c r="E17" s="158">
        <v>2.0920171407150359</v>
      </c>
      <c r="F17" s="159">
        <v>74.548171717820196</v>
      </c>
      <c r="G17" s="159">
        <v>81.451828282179804</v>
      </c>
      <c r="I17" s="160"/>
      <c r="J17" s="160"/>
    </row>
    <row r="18" spans="1:10">
      <c r="A18" s="157">
        <v>15</v>
      </c>
      <c r="B18" s="157" t="s">
        <v>3044</v>
      </c>
      <c r="C18" s="157">
        <v>76</v>
      </c>
      <c r="D18" s="157">
        <v>7</v>
      </c>
      <c r="E18" s="158">
        <v>2.2646272605991866</v>
      </c>
      <c r="F18" s="159">
        <v>72.263365020011349</v>
      </c>
      <c r="G18" s="159">
        <v>79.736634979988651</v>
      </c>
      <c r="I18" s="160"/>
      <c r="J18" s="160"/>
    </row>
    <row r="19" spans="1:10">
      <c r="A19" s="157">
        <v>15</v>
      </c>
      <c r="B19" s="157" t="s">
        <v>3043</v>
      </c>
      <c r="C19" s="157">
        <v>76</v>
      </c>
      <c r="D19" s="157">
        <v>8</v>
      </c>
      <c r="E19" s="158">
        <v>3.161298885397005</v>
      </c>
      <c r="F19" s="159">
        <v>70.783856839094938</v>
      </c>
      <c r="G19" s="159">
        <v>81.216143160905062</v>
      </c>
      <c r="I19" s="160"/>
      <c r="J19" s="160"/>
    </row>
    <row r="20" spans="1:10">
      <c r="A20" s="157">
        <v>17</v>
      </c>
      <c r="B20" s="157" t="s">
        <v>3042</v>
      </c>
      <c r="C20" s="157">
        <v>74</v>
      </c>
      <c r="D20" s="157">
        <v>3</v>
      </c>
      <c r="E20" s="158">
        <v>8.0859831007513367</v>
      </c>
      <c r="F20" s="159">
        <v>60.658127883760294</v>
      </c>
      <c r="G20" s="159">
        <v>87.341872116239699</v>
      </c>
      <c r="I20" s="160"/>
      <c r="J20" s="160"/>
    </row>
    <row r="21" spans="1:10">
      <c r="A21" s="157">
        <v>17</v>
      </c>
      <c r="B21" s="157" t="s">
        <v>3041</v>
      </c>
      <c r="C21" s="157">
        <v>74</v>
      </c>
      <c r="D21" s="157">
        <v>7</v>
      </c>
      <c r="E21" s="158">
        <v>2.7536606505699019</v>
      </c>
      <c r="F21" s="159">
        <v>69.45645992655966</v>
      </c>
      <c r="G21" s="159">
        <v>78.54354007344034</v>
      </c>
      <c r="I21" s="160"/>
      <c r="J21" s="160"/>
    </row>
    <row r="22" spans="1:10">
      <c r="A22" s="157">
        <v>17</v>
      </c>
      <c r="B22" s="157" t="s">
        <v>3040</v>
      </c>
      <c r="C22" s="157">
        <v>74</v>
      </c>
      <c r="D22" s="157">
        <v>6</v>
      </c>
      <c r="E22" s="158">
        <v>4.7485246043848539</v>
      </c>
      <c r="F22" s="159">
        <v>66.164934402764999</v>
      </c>
      <c r="G22" s="159">
        <v>81.835065597235001</v>
      </c>
      <c r="I22" s="160"/>
      <c r="J22" s="160"/>
    </row>
    <row r="23" spans="1:10">
      <c r="A23" s="157">
        <v>17</v>
      </c>
      <c r="B23" s="157" t="s">
        <v>2903</v>
      </c>
      <c r="C23" s="157">
        <v>74</v>
      </c>
      <c r="D23" s="157">
        <v>8</v>
      </c>
      <c r="E23" s="158">
        <v>3.7442267870685693</v>
      </c>
      <c r="F23" s="159">
        <v>67.822025801336864</v>
      </c>
      <c r="G23" s="159">
        <v>80.177974198663136</v>
      </c>
      <c r="I23" s="160"/>
      <c r="J23" s="160"/>
    </row>
    <row r="24" spans="1:10">
      <c r="A24" s="157">
        <v>21</v>
      </c>
      <c r="B24" s="157" t="s">
        <v>2900</v>
      </c>
      <c r="C24" s="157">
        <v>73</v>
      </c>
      <c r="D24" s="157">
        <v>8</v>
      </c>
      <c r="E24" s="158">
        <v>1.7383656981138025</v>
      </c>
      <c r="F24" s="159">
        <v>70.131696598112228</v>
      </c>
      <c r="G24" s="159">
        <v>75.868303401887772</v>
      </c>
      <c r="I24" s="160"/>
      <c r="J24" s="160"/>
    </row>
    <row r="25" spans="1:10">
      <c r="A25" s="157">
        <v>21</v>
      </c>
      <c r="B25" s="157" t="s">
        <v>3039</v>
      </c>
      <c r="C25" s="157">
        <v>73</v>
      </c>
      <c r="D25" s="157">
        <v>6</v>
      </c>
      <c r="E25" s="158">
        <v>1.4080201752345205</v>
      </c>
      <c r="F25" s="159">
        <v>70.676766710863035</v>
      </c>
      <c r="G25" s="159">
        <v>75.323233289136965</v>
      </c>
      <c r="I25" s="160"/>
      <c r="J25" s="160"/>
    </row>
    <row r="26" spans="1:10">
      <c r="A26" s="157">
        <v>23</v>
      </c>
      <c r="B26" s="157" t="s">
        <v>3038</v>
      </c>
      <c r="C26" s="157">
        <v>72</v>
      </c>
      <c r="D26" s="157">
        <v>7</v>
      </c>
      <c r="E26" s="158">
        <v>3.4875911152565715</v>
      </c>
      <c r="F26" s="159">
        <v>66.245474659826655</v>
      </c>
      <c r="G26" s="159">
        <v>77.754525340173345</v>
      </c>
      <c r="I26" s="160"/>
      <c r="J26" s="160"/>
    </row>
    <row r="27" spans="1:10">
      <c r="A27" s="157">
        <v>24</v>
      </c>
      <c r="B27" s="157" t="s">
        <v>3037</v>
      </c>
      <c r="C27" s="157">
        <v>71</v>
      </c>
      <c r="D27" s="157">
        <v>3</v>
      </c>
      <c r="E27" s="158">
        <v>0.99064901122509408</v>
      </c>
      <c r="F27" s="159">
        <v>69.365429131478592</v>
      </c>
      <c r="G27" s="159">
        <v>72.634570868521408</v>
      </c>
      <c r="I27" s="160"/>
      <c r="J27" s="160"/>
    </row>
    <row r="28" spans="1:10">
      <c r="A28" s="157">
        <v>25</v>
      </c>
      <c r="B28" s="157" t="s">
        <v>3036</v>
      </c>
      <c r="C28" s="157">
        <v>70</v>
      </c>
      <c r="D28" s="157">
        <v>7</v>
      </c>
      <c r="E28" s="158">
        <v>5.1414335742404722</v>
      </c>
      <c r="F28" s="159">
        <v>61.516634602503217</v>
      </c>
      <c r="G28" s="159">
        <v>78.483365397496783</v>
      </c>
      <c r="I28" s="160"/>
      <c r="J28" s="160"/>
    </row>
    <row r="29" spans="1:10">
      <c r="A29" s="157">
        <v>26</v>
      </c>
      <c r="B29" s="157" t="s">
        <v>3035</v>
      </c>
      <c r="C29" s="157">
        <v>69</v>
      </c>
      <c r="D29" s="157">
        <v>9</v>
      </c>
      <c r="E29" s="158">
        <v>2.8882678575980893</v>
      </c>
      <c r="F29" s="159">
        <v>64.234358034963151</v>
      </c>
      <c r="G29" s="159">
        <v>73.765641965036849</v>
      </c>
      <c r="I29" s="160"/>
      <c r="J29" s="160"/>
    </row>
    <row r="30" spans="1:10">
      <c r="A30" s="157">
        <v>26</v>
      </c>
      <c r="B30" s="157" t="s">
        <v>3034</v>
      </c>
      <c r="C30" s="157">
        <v>69</v>
      </c>
      <c r="D30" s="157">
        <v>7</v>
      </c>
      <c r="E30" s="158">
        <v>2.1654430452221058</v>
      </c>
      <c r="F30" s="159">
        <v>65.427018975383533</v>
      </c>
      <c r="G30" s="159">
        <v>72.572981024616467</v>
      </c>
      <c r="I30" s="160"/>
      <c r="J30" s="160"/>
    </row>
    <row r="31" spans="1:10">
      <c r="A31" s="157">
        <v>26</v>
      </c>
      <c r="B31" s="157" t="s">
        <v>3033</v>
      </c>
      <c r="C31" s="157">
        <v>69</v>
      </c>
      <c r="D31" s="157">
        <v>6</v>
      </c>
      <c r="E31" s="158">
        <v>7.212852978798602</v>
      </c>
      <c r="F31" s="159">
        <v>57.098792584982306</v>
      </c>
      <c r="G31" s="159">
        <v>80.901207415017694</v>
      </c>
      <c r="I31" s="160"/>
      <c r="J31" s="160"/>
    </row>
    <row r="32" spans="1:10">
      <c r="A32" s="157">
        <v>29</v>
      </c>
      <c r="B32" s="157" t="s">
        <v>3032</v>
      </c>
      <c r="C32" s="157">
        <v>67</v>
      </c>
      <c r="D32" s="157">
        <v>3</v>
      </c>
      <c r="E32" s="158">
        <v>4.6380414884239993</v>
      </c>
      <c r="F32" s="159">
        <v>59.347231544100403</v>
      </c>
      <c r="G32" s="159">
        <v>74.652768455899604</v>
      </c>
      <c r="I32" s="160"/>
      <c r="J32" s="160"/>
    </row>
    <row r="33" spans="1:10">
      <c r="A33" s="157">
        <v>30</v>
      </c>
      <c r="B33" s="157" t="s">
        <v>3031</v>
      </c>
      <c r="C33" s="157">
        <v>65</v>
      </c>
      <c r="D33" s="157">
        <v>4</v>
      </c>
      <c r="E33" s="158">
        <v>1.8097549495105651</v>
      </c>
      <c r="F33" s="159">
        <v>62.013904333307565</v>
      </c>
      <c r="G33" s="159">
        <v>67.986095666692435</v>
      </c>
      <c r="I33" s="160"/>
      <c r="J33" s="160"/>
    </row>
    <row r="34" spans="1:10">
      <c r="A34" s="157">
        <v>31</v>
      </c>
      <c r="B34" s="157" t="s">
        <v>2909</v>
      </c>
      <c r="C34" s="157">
        <v>63</v>
      </c>
      <c r="D34" s="157">
        <v>6</v>
      </c>
      <c r="E34" s="158">
        <v>1.9329044192774625</v>
      </c>
      <c r="F34" s="159">
        <v>59.81070770819219</v>
      </c>
      <c r="G34" s="159">
        <v>66.189292291807817</v>
      </c>
      <c r="I34" s="160"/>
      <c r="J34" s="160"/>
    </row>
    <row r="35" spans="1:10">
      <c r="A35" s="157">
        <v>31</v>
      </c>
      <c r="B35" s="157" t="s">
        <v>3030</v>
      </c>
      <c r="C35" s="157">
        <v>63</v>
      </c>
      <c r="D35" s="157">
        <v>5</v>
      </c>
      <c r="E35" s="158">
        <v>3.9175324993520331</v>
      </c>
      <c r="F35" s="159">
        <v>56.536071376069145</v>
      </c>
      <c r="G35" s="159">
        <v>69.463928623930855</v>
      </c>
      <c r="I35" s="160"/>
      <c r="J35" s="160"/>
    </row>
    <row r="36" spans="1:10">
      <c r="A36" s="157">
        <v>31</v>
      </c>
      <c r="B36" s="157" t="s">
        <v>3029</v>
      </c>
      <c r="C36" s="157">
        <v>63</v>
      </c>
      <c r="D36" s="157">
        <v>7</v>
      </c>
      <c r="E36" s="158">
        <v>3.3635475360493281</v>
      </c>
      <c r="F36" s="159">
        <v>57.450146565518608</v>
      </c>
      <c r="G36" s="159">
        <v>68.549853434481392</v>
      </c>
      <c r="I36" s="160"/>
      <c r="J36" s="160"/>
    </row>
    <row r="37" spans="1:10">
      <c r="A37" s="157">
        <v>31</v>
      </c>
      <c r="B37" s="157" t="s">
        <v>3028</v>
      </c>
      <c r="C37" s="157">
        <v>63</v>
      </c>
      <c r="D37" s="157">
        <v>3</v>
      </c>
      <c r="E37" s="158">
        <v>4.371166726603942</v>
      </c>
      <c r="F37" s="159">
        <v>55.787574901103497</v>
      </c>
      <c r="G37" s="159">
        <v>70.212425098896503</v>
      </c>
      <c r="I37" s="160"/>
      <c r="J37" s="160"/>
    </row>
    <row r="38" spans="1:10">
      <c r="A38" s="157">
        <v>35</v>
      </c>
      <c r="B38" s="157" t="s">
        <v>3027</v>
      </c>
      <c r="C38" s="157">
        <v>61</v>
      </c>
      <c r="D38" s="157">
        <v>9</v>
      </c>
      <c r="E38" s="158">
        <v>2.701960574037495</v>
      </c>
      <c r="F38" s="159">
        <v>56.54176505283813</v>
      </c>
      <c r="G38" s="159">
        <v>65.45823494716187</v>
      </c>
      <c r="I38" s="160"/>
      <c r="J38" s="160"/>
    </row>
    <row r="39" spans="1:10">
      <c r="A39" s="157">
        <v>35</v>
      </c>
      <c r="B39" s="157" t="s">
        <v>3026</v>
      </c>
      <c r="C39" s="157">
        <v>61</v>
      </c>
      <c r="D39" s="157">
        <v>7</v>
      </c>
      <c r="E39" s="158">
        <v>4.1675921673299037</v>
      </c>
      <c r="F39" s="159">
        <v>54.123472923905659</v>
      </c>
      <c r="G39" s="159">
        <v>67.876527076094334</v>
      </c>
      <c r="I39" s="160"/>
      <c r="J39" s="160"/>
    </row>
    <row r="40" spans="1:10">
      <c r="A40" s="157">
        <v>37</v>
      </c>
      <c r="B40" s="157" t="s">
        <v>3025</v>
      </c>
      <c r="C40" s="157">
        <v>60</v>
      </c>
      <c r="D40" s="157">
        <v>6</v>
      </c>
      <c r="E40" s="158">
        <v>2.3416248185910247</v>
      </c>
      <c r="F40" s="159">
        <v>56.136319049324811</v>
      </c>
      <c r="G40" s="159">
        <v>63.863680950675189</v>
      </c>
      <c r="I40" s="160"/>
      <c r="J40" s="160"/>
    </row>
    <row r="41" spans="1:10">
      <c r="A41" s="157">
        <v>37</v>
      </c>
      <c r="B41" s="157" t="s">
        <v>3024</v>
      </c>
      <c r="C41" s="157">
        <v>60</v>
      </c>
      <c r="D41" s="157">
        <v>7</v>
      </c>
      <c r="E41" s="158">
        <v>3.7464797397788274</v>
      </c>
      <c r="F41" s="159">
        <v>53.818308429364933</v>
      </c>
      <c r="G41" s="159">
        <v>66.181691570635067</v>
      </c>
      <c r="I41" s="160"/>
      <c r="J41" s="160"/>
    </row>
    <row r="42" spans="1:10">
      <c r="A42" s="157">
        <v>39</v>
      </c>
      <c r="B42" s="157" t="s">
        <v>3023</v>
      </c>
      <c r="C42" s="157">
        <v>58</v>
      </c>
      <c r="D42" s="157">
        <v>3</v>
      </c>
      <c r="E42" s="158">
        <v>2.3383116435205209</v>
      </c>
      <c r="F42" s="159">
        <v>54.141785788191143</v>
      </c>
      <c r="G42" s="159">
        <v>61.858214211808857</v>
      </c>
      <c r="I42" s="160"/>
      <c r="J42" s="160"/>
    </row>
    <row r="43" spans="1:10">
      <c r="A43" s="157">
        <v>39</v>
      </c>
      <c r="B43" s="157" t="s">
        <v>3022</v>
      </c>
      <c r="C43" s="157">
        <v>58</v>
      </c>
      <c r="D43" s="157">
        <v>8</v>
      </c>
      <c r="E43" s="158">
        <v>3.8484379864550156</v>
      </c>
      <c r="F43" s="159">
        <v>51.650077322349226</v>
      </c>
      <c r="G43" s="159">
        <v>64.349922677650781</v>
      </c>
      <c r="I43" s="160"/>
      <c r="J43" s="160"/>
    </row>
    <row r="44" spans="1:10">
      <c r="A44" s="157">
        <v>39</v>
      </c>
      <c r="B44" s="157" t="s">
        <v>3021</v>
      </c>
      <c r="C44" s="157">
        <v>58</v>
      </c>
      <c r="D44" s="157">
        <v>9</v>
      </c>
      <c r="E44" s="158">
        <v>3.0308647905167585</v>
      </c>
      <c r="F44" s="159">
        <v>52.999073095647347</v>
      </c>
      <c r="G44" s="159">
        <v>63.000926904352653</v>
      </c>
      <c r="I44" s="160"/>
      <c r="J44" s="160"/>
    </row>
    <row r="45" spans="1:10">
      <c r="A45" s="157">
        <v>42</v>
      </c>
      <c r="B45" s="157" t="s">
        <v>3020</v>
      </c>
      <c r="C45" s="157">
        <v>57</v>
      </c>
      <c r="D45" s="157">
        <v>4</v>
      </c>
      <c r="E45" s="158">
        <v>5.9421687390658242</v>
      </c>
      <c r="F45" s="159">
        <v>47.195421580541392</v>
      </c>
      <c r="G45" s="159">
        <v>66.804578419458608</v>
      </c>
      <c r="I45" s="160"/>
      <c r="J45" s="160"/>
    </row>
    <row r="46" spans="1:10">
      <c r="A46" s="157">
        <v>43</v>
      </c>
      <c r="B46" s="157" t="s">
        <v>3019</v>
      </c>
      <c r="C46" s="157">
        <v>55</v>
      </c>
      <c r="D46" s="157">
        <v>9</v>
      </c>
      <c r="E46" s="158">
        <v>2.6431832238731565</v>
      </c>
      <c r="F46" s="159">
        <v>50.638747680609292</v>
      </c>
      <c r="G46" s="159">
        <v>59.361252319390708</v>
      </c>
      <c r="I46" s="160"/>
      <c r="J46" s="160"/>
    </row>
    <row r="47" spans="1:10">
      <c r="A47" s="157">
        <v>43</v>
      </c>
      <c r="B47" s="157" t="s">
        <v>3018</v>
      </c>
      <c r="C47" s="157">
        <v>55</v>
      </c>
      <c r="D47" s="157">
        <v>8</v>
      </c>
      <c r="E47" s="158">
        <v>3.3512981687814363</v>
      </c>
      <c r="F47" s="159">
        <v>49.470358021510634</v>
      </c>
      <c r="G47" s="159">
        <v>60.529641978489366</v>
      </c>
      <c r="I47" s="160"/>
      <c r="J47" s="160"/>
    </row>
    <row r="48" spans="1:10">
      <c r="A48" s="157">
        <v>43</v>
      </c>
      <c r="B48" s="157" t="s">
        <v>3017</v>
      </c>
      <c r="C48" s="157">
        <v>55</v>
      </c>
      <c r="D48" s="157">
        <v>5</v>
      </c>
      <c r="E48" s="158">
        <v>2.6320069819058189</v>
      </c>
      <c r="F48" s="159">
        <v>50.6571884798554</v>
      </c>
      <c r="G48" s="159">
        <v>59.3428115201446</v>
      </c>
      <c r="I48" s="160"/>
      <c r="J48" s="160"/>
    </row>
    <row r="49" spans="1:10">
      <c r="A49" s="157">
        <v>43</v>
      </c>
      <c r="B49" s="157" t="s">
        <v>3016</v>
      </c>
      <c r="C49" s="157">
        <v>55</v>
      </c>
      <c r="D49" s="157">
        <v>3</v>
      </c>
      <c r="E49" s="158">
        <v>8.6223705733221685</v>
      </c>
      <c r="F49" s="159">
        <v>40.773088554018422</v>
      </c>
      <c r="G49" s="159">
        <v>69.226911445981571</v>
      </c>
      <c r="I49" s="160"/>
      <c r="J49" s="160"/>
    </row>
    <row r="50" spans="1:10">
      <c r="A50" s="157">
        <v>47</v>
      </c>
      <c r="B50" s="157" t="s">
        <v>3015</v>
      </c>
      <c r="C50" s="157">
        <v>54</v>
      </c>
      <c r="D50" s="157">
        <v>5</v>
      </c>
      <c r="E50" s="158">
        <v>4.0653657772643426</v>
      </c>
      <c r="F50" s="159">
        <v>47.292146467513838</v>
      </c>
      <c r="G50" s="159">
        <v>60.707853532486162</v>
      </c>
      <c r="I50" s="160"/>
      <c r="J50" s="160"/>
    </row>
    <row r="51" spans="1:10">
      <c r="A51" s="157">
        <v>47</v>
      </c>
      <c r="B51" s="157" t="s">
        <v>3014</v>
      </c>
      <c r="C51" s="157">
        <v>54</v>
      </c>
      <c r="D51" s="157">
        <v>9</v>
      </c>
      <c r="E51" s="158">
        <v>3.4505257132096609</v>
      </c>
      <c r="F51" s="159">
        <v>48.306632573204062</v>
      </c>
      <c r="G51" s="159">
        <v>59.693367426795938</v>
      </c>
      <c r="I51" s="160"/>
      <c r="J51" s="160"/>
    </row>
    <row r="52" spans="1:10">
      <c r="A52" s="157">
        <v>47</v>
      </c>
      <c r="B52" s="157" t="s">
        <v>3013</v>
      </c>
      <c r="C52" s="157">
        <v>54</v>
      </c>
      <c r="D52" s="157">
        <v>4</v>
      </c>
      <c r="E52" s="158">
        <v>2.393545872466329</v>
      </c>
      <c r="F52" s="159">
        <v>50.050649310430558</v>
      </c>
      <c r="G52" s="159">
        <v>57.949350689569442</v>
      </c>
      <c r="I52" s="160"/>
      <c r="J52" s="160"/>
    </row>
    <row r="53" spans="1:10">
      <c r="A53" s="157">
        <v>50</v>
      </c>
      <c r="B53" s="157" t="s">
        <v>3012</v>
      </c>
      <c r="C53" s="157">
        <v>52</v>
      </c>
      <c r="D53" s="157">
        <v>6</v>
      </c>
      <c r="E53" s="158">
        <v>6.4733865462887668</v>
      </c>
      <c r="F53" s="159">
        <v>41.318912198623536</v>
      </c>
      <c r="G53" s="159">
        <v>62.681087801376464</v>
      </c>
      <c r="I53" s="160"/>
      <c r="J53" s="160"/>
    </row>
    <row r="54" spans="1:10">
      <c r="A54" s="157">
        <v>50</v>
      </c>
      <c r="B54" s="157" t="s">
        <v>2908</v>
      </c>
      <c r="C54" s="157">
        <v>52</v>
      </c>
      <c r="D54" s="157">
        <v>8</v>
      </c>
      <c r="E54" s="158">
        <v>2.8816059930278763</v>
      </c>
      <c r="F54" s="159">
        <v>47.245350111504003</v>
      </c>
      <c r="G54" s="159">
        <v>56.754649888495997</v>
      </c>
      <c r="I54" s="160"/>
      <c r="J54" s="160"/>
    </row>
    <row r="55" spans="1:10">
      <c r="A55" s="157">
        <v>50</v>
      </c>
      <c r="B55" s="157" t="s">
        <v>3011</v>
      </c>
      <c r="C55" s="157">
        <v>52</v>
      </c>
      <c r="D55" s="157">
        <v>3</v>
      </c>
      <c r="E55" s="158">
        <v>4.8790590840047807</v>
      </c>
      <c r="F55" s="159">
        <v>43.949552511392113</v>
      </c>
      <c r="G55" s="159">
        <v>60.050447488607887</v>
      </c>
      <c r="I55" s="160"/>
      <c r="J55" s="160"/>
    </row>
    <row r="56" spans="1:10">
      <c r="A56" s="157">
        <v>53</v>
      </c>
      <c r="B56" s="157" t="s">
        <v>3010</v>
      </c>
      <c r="C56" s="157">
        <v>51</v>
      </c>
      <c r="D56" s="157">
        <v>9</v>
      </c>
      <c r="E56" s="158">
        <v>2.939060347447231</v>
      </c>
      <c r="F56" s="159">
        <v>46.150550426712073</v>
      </c>
      <c r="G56" s="159">
        <v>55.849449573287927</v>
      </c>
      <c r="I56" s="160"/>
      <c r="J56" s="160"/>
    </row>
    <row r="57" spans="1:10">
      <c r="A57" s="157">
        <v>54</v>
      </c>
      <c r="B57" s="157" t="s">
        <v>3009</v>
      </c>
      <c r="C57" s="157">
        <v>50</v>
      </c>
      <c r="D57" s="157">
        <v>8</v>
      </c>
      <c r="E57" s="158">
        <v>4.0710182752570043</v>
      </c>
      <c r="F57" s="159">
        <v>43.282819845825941</v>
      </c>
      <c r="G57" s="159">
        <v>56.717180154174059</v>
      </c>
      <c r="I57" s="160"/>
      <c r="J57" s="160"/>
    </row>
    <row r="58" spans="1:10">
      <c r="A58" s="157">
        <v>55</v>
      </c>
      <c r="B58" s="157" t="s">
        <v>3008</v>
      </c>
      <c r="C58" s="157">
        <v>49</v>
      </c>
      <c r="D58" s="157">
        <v>5</v>
      </c>
      <c r="E58" s="158">
        <v>6.1115227448208085</v>
      </c>
      <c r="F58" s="159">
        <v>38.915987471045668</v>
      </c>
      <c r="G58" s="159">
        <v>59.084012528954332</v>
      </c>
      <c r="I58" s="160"/>
      <c r="J58" s="160"/>
    </row>
    <row r="59" spans="1:10">
      <c r="A59" s="157">
        <v>55</v>
      </c>
      <c r="B59" s="157" t="s">
        <v>3007</v>
      </c>
      <c r="C59" s="157">
        <v>49</v>
      </c>
      <c r="D59" s="157">
        <v>7</v>
      </c>
      <c r="E59" s="158">
        <v>2.8748000999788141</v>
      </c>
      <c r="F59" s="159">
        <v>44.256579835034955</v>
      </c>
      <c r="G59" s="159">
        <v>53.743420164965045</v>
      </c>
      <c r="I59" s="160"/>
      <c r="J59" s="160"/>
    </row>
    <row r="60" spans="1:10">
      <c r="A60" s="157">
        <v>55</v>
      </c>
      <c r="B60" s="157" t="s">
        <v>3006</v>
      </c>
      <c r="C60" s="157">
        <v>49</v>
      </c>
      <c r="D60" s="157">
        <v>5</v>
      </c>
      <c r="E60" s="158">
        <v>3.554199964970068</v>
      </c>
      <c r="F60" s="159">
        <v>43.135570057799384</v>
      </c>
      <c r="G60" s="159">
        <v>54.864429942200616</v>
      </c>
      <c r="I60" s="160"/>
      <c r="J60" s="160"/>
    </row>
    <row r="61" spans="1:10">
      <c r="A61" s="157">
        <v>55</v>
      </c>
      <c r="B61" s="157" t="s">
        <v>3005</v>
      </c>
      <c r="C61" s="157">
        <v>49</v>
      </c>
      <c r="D61" s="157">
        <v>5</v>
      </c>
      <c r="E61" s="158">
        <v>3.9997550370615929</v>
      </c>
      <c r="F61" s="159">
        <v>42.40040418884837</v>
      </c>
      <c r="G61" s="159">
        <v>55.59959581115163</v>
      </c>
      <c r="I61" s="160"/>
      <c r="J61" s="160"/>
    </row>
    <row r="62" spans="1:10">
      <c r="A62" s="157">
        <v>55</v>
      </c>
      <c r="B62" s="157" t="s">
        <v>3004</v>
      </c>
      <c r="C62" s="157">
        <v>49</v>
      </c>
      <c r="D62" s="157">
        <v>4</v>
      </c>
      <c r="E62" s="158">
        <v>3.2266777605507526</v>
      </c>
      <c r="F62" s="159">
        <v>43.675981695091259</v>
      </c>
      <c r="G62" s="159">
        <v>54.324018304908741</v>
      </c>
      <c r="I62" s="160"/>
      <c r="J62" s="160"/>
    </row>
    <row r="63" spans="1:10">
      <c r="A63" s="157">
        <v>55</v>
      </c>
      <c r="B63" s="157" t="s">
        <v>2914</v>
      </c>
      <c r="C63" s="157">
        <v>49</v>
      </c>
      <c r="D63" s="157">
        <v>5</v>
      </c>
      <c r="E63" s="158">
        <v>6.6854633608935217</v>
      </c>
      <c r="F63" s="159">
        <v>37.968985454525694</v>
      </c>
      <c r="G63" s="159">
        <v>60.031014545474306</v>
      </c>
      <c r="I63" s="160"/>
      <c r="J63" s="160"/>
    </row>
    <row r="64" spans="1:10">
      <c r="A64" s="157">
        <v>61</v>
      </c>
      <c r="B64" s="157" t="s">
        <v>3003</v>
      </c>
      <c r="C64" s="157">
        <v>48</v>
      </c>
      <c r="D64" s="157">
        <v>9</v>
      </c>
      <c r="E64" s="158">
        <v>3.2529074892142051</v>
      </c>
      <c r="F64" s="159">
        <v>42.632702642796559</v>
      </c>
      <c r="G64" s="159">
        <v>53.367297357203441</v>
      </c>
      <c r="I64" s="160"/>
      <c r="J64" s="160"/>
    </row>
    <row r="65" spans="1:10">
      <c r="A65" s="157">
        <v>61</v>
      </c>
      <c r="B65" s="157" t="s">
        <v>189</v>
      </c>
      <c r="C65" s="157">
        <v>48</v>
      </c>
      <c r="D65" s="157">
        <v>8</v>
      </c>
      <c r="E65" s="158">
        <v>3.0107509388805895</v>
      </c>
      <c r="F65" s="159">
        <v>43.032260950847025</v>
      </c>
      <c r="G65" s="159">
        <v>52.967739049152975</v>
      </c>
      <c r="I65" s="160"/>
      <c r="J65" s="160"/>
    </row>
    <row r="66" spans="1:10">
      <c r="A66" s="157">
        <v>63</v>
      </c>
      <c r="B66" s="157" t="s">
        <v>3002</v>
      </c>
      <c r="C66" s="157">
        <v>46</v>
      </c>
      <c r="D66" s="157">
        <v>4</v>
      </c>
      <c r="E66" s="158">
        <v>4.4553944646018806</v>
      </c>
      <c r="F66" s="159">
        <v>38.648599133406897</v>
      </c>
      <c r="G66" s="159">
        <v>53.351400866593103</v>
      </c>
      <c r="I66" s="160"/>
      <c r="J66" s="160"/>
    </row>
    <row r="67" spans="1:10">
      <c r="A67" s="157">
        <v>64</v>
      </c>
      <c r="B67" s="157" t="s">
        <v>3001</v>
      </c>
      <c r="C67" s="157">
        <v>45</v>
      </c>
      <c r="D67" s="157">
        <v>5</v>
      </c>
      <c r="E67" s="158">
        <v>6.5471012371030461</v>
      </c>
      <c r="F67" s="159">
        <v>34.197282958779972</v>
      </c>
      <c r="G67" s="159">
        <v>55.802717041220028</v>
      </c>
      <c r="I67" s="160"/>
      <c r="J67" s="160"/>
    </row>
    <row r="68" spans="1:10">
      <c r="A68" s="157">
        <v>64</v>
      </c>
      <c r="B68" s="157" t="s">
        <v>3000</v>
      </c>
      <c r="C68" s="157">
        <v>45</v>
      </c>
      <c r="D68" s="157">
        <v>6</v>
      </c>
      <c r="E68" s="158">
        <v>5.9234872052881036</v>
      </c>
      <c r="F68" s="159">
        <v>35.226246111274634</v>
      </c>
      <c r="G68" s="159">
        <v>54.773753888725366</v>
      </c>
      <c r="I68" s="160"/>
      <c r="J68" s="160"/>
    </row>
    <row r="69" spans="1:10">
      <c r="A69" s="157">
        <v>64</v>
      </c>
      <c r="B69" s="157" t="s">
        <v>2999</v>
      </c>
      <c r="C69" s="157">
        <v>45</v>
      </c>
      <c r="D69" s="157">
        <v>8</v>
      </c>
      <c r="E69" s="158">
        <v>2.6895957858956967</v>
      </c>
      <c r="F69" s="159">
        <v>40.562166953272097</v>
      </c>
      <c r="G69" s="159">
        <v>49.437833046727903</v>
      </c>
      <c r="I69" s="160"/>
      <c r="J69" s="160"/>
    </row>
    <row r="70" spans="1:10">
      <c r="A70" s="157">
        <v>67</v>
      </c>
      <c r="B70" s="157" t="s">
        <v>2915</v>
      </c>
      <c r="C70" s="157">
        <v>44</v>
      </c>
      <c r="D70" s="157">
        <v>5</v>
      </c>
      <c r="E70" s="158">
        <v>5.2416185130326083</v>
      </c>
      <c r="F70" s="159">
        <v>35.351329453496199</v>
      </c>
      <c r="G70" s="159">
        <v>52.648670546503801</v>
      </c>
      <c r="I70" s="160"/>
      <c r="J70" s="160"/>
    </row>
    <row r="71" spans="1:10">
      <c r="A71" s="157">
        <v>67</v>
      </c>
      <c r="B71" s="157" t="s">
        <v>2905</v>
      </c>
      <c r="C71" s="157">
        <v>44</v>
      </c>
      <c r="D71" s="157">
        <v>7</v>
      </c>
      <c r="E71" s="158">
        <v>2.4103061130465133</v>
      </c>
      <c r="F71" s="159">
        <v>40.022994913473255</v>
      </c>
      <c r="G71" s="159">
        <v>47.977005086526745</v>
      </c>
      <c r="I71" s="160"/>
      <c r="J71" s="160"/>
    </row>
    <row r="72" spans="1:10">
      <c r="A72" s="157">
        <v>69</v>
      </c>
      <c r="B72" s="157" t="s">
        <v>2897</v>
      </c>
      <c r="C72" s="157">
        <v>43</v>
      </c>
      <c r="D72" s="157">
        <v>7</v>
      </c>
      <c r="E72" s="158">
        <v>4.0100173346841235</v>
      </c>
      <c r="F72" s="159">
        <v>36.383471397771196</v>
      </c>
      <c r="G72" s="159">
        <v>49.616528602228804</v>
      </c>
      <c r="I72" s="160"/>
      <c r="J72" s="160"/>
    </row>
    <row r="73" spans="1:10">
      <c r="A73" s="157">
        <v>69</v>
      </c>
      <c r="B73" s="157" t="s">
        <v>2998</v>
      </c>
      <c r="C73" s="157">
        <v>43</v>
      </c>
      <c r="D73" s="157">
        <v>9</v>
      </c>
      <c r="E73" s="158">
        <v>2.8159014041006412</v>
      </c>
      <c r="F73" s="159">
        <v>38.353762683233938</v>
      </c>
      <c r="G73" s="159">
        <v>47.646237316766062</v>
      </c>
      <c r="I73" s="160"/>
      <c r="J73" s="160"/>
    </row>
    <row r="74" spans="1:10">
      <c r="A74" s="157">
        <v>69</v>
      </c>
      <c r="B74" s="157" t="s">
        <v>2997</v>
      </c>
      <c r="C74" s="157">
        <v>43</v>
      </c>
      <c r="D74" s="157">
        <v>7</v>
      </c>
      <c r="E74" s="158">
        <v>5.5560171527118323</v>
      </c>
      <c r="F74" s="159">
        <v>33.832571698025475</v>
      </c>
      <c r="G74" s="159">
        <v>52.167428301974525</v>
      </c>
      <c r="I74" s="160"/>
      <c r="J74" s="160"/>
    </row>
    <row r="75" spans="1:10">
      <c r="A75" s="157">
        <v>69</v>
      </c>
      <c r="B75" s="157" t="s">
        <v>2996</v>
      </c>
      <c r="C75" s="157">
        <v>43</v>
      </c>
      <c r="D75" s="157">
        <v>7</v>
      </c>
      <c r="E75" s="158">
        <v>2.2644140259721435</v>
      </c>
      <c r="F75" s="159">
        <v>39.263716857145965</v>
      </c>
      <c r="G75" s="159">
        <v>46.736283142854035</v>
      </c>
      <c r="I75" s="160"/>
      <c r="J75" s="160"/>
    </row>
    <row r="76" spans="1:10">
      <c r="A76" s="157">
        <v>69</v>
      </c>
      <c r="B76" s="157" t="s">
        <v>2995</v>
      </c>
      <c r="C76" s="157">
        <v>43</v>
      </c>
      <c r="D76" s="157">
        <v>9</v>
      </c>
      <c r="E76" s="158">
        <v>3.596815406728346</v>
      </c>
      <c r="F76" s="159">
        <v>37.065254578898227</v>
      </c>
      <c r="G76" s="159">
        <v>48.934745421101773</v>
      </c>
      <c r="I76" s="160"/>
      <c r="J76" s="160"/>
    </row>
    <row r="77" spans="1:10">
      <c r="A77" s="157">
        <v>69</v>
      </c>
      <c r="B77" s="157" t="s">
        <v>2994</v>
      </c>
      <c r="C77" s="157">
        <v>43</v>
      </c>
      <c r="D77" s="157">
        <v>8</v>
      </c>
      <c r="E77" s="158">
        <v>2.2809008387009353</v>
      </c>
      <c r="F77" s="159">
        <v>39.236513616143455</v>
      </c>
      <c r="G77" s="159">
        <v>46.763486383856545</v>
      </c>
      <c r="I77" s="160"/>
      <c r="J77" s="160"/>
    </row>
    <row r="78" spans="1:10">
      <c r="A78" s="157">
        <v>69</v>
      </c>
      <c r="B78" s="157" t="s">
        <v>2993</v>
      </c>
      <c r="C78" s="157">
        <v>43</v>
      </c>
      <c r="D78" s="157">
        <v>3</v>
      </c>
      <c r="E78" s="158">
        <v>2.9809736200440566</v>
      </c>
      <c r="F78" s="159">
        <v>38.081393526927307</v>
      </c>
      <c r="G78" s="159">
        <v>47.918606473072693</v>
      </c>
      <c r="I78" s="160"/>
      <c r="J78" s="160"/>
    </row>
    <row r="79" spans="1:10">
      <c r="A79" s="157">
        <v>76</v>
      </c>
      <c r="B79" s="157" t="s">
        <v>2992</v>
      </c>
      <c r="C79" s="157">
        <v>42</v>
      </c>
      <c r="D79" s="157">
        <v>4</v>
      </c>
      <c r="E79" s="158">
        <v>4.2466331039837675</v>
      </c>
      <c r="F79" s="159">
        <v>34.993055378426781</v>
      </c>
      <c r="G79" s="159">
        <v>49.006944621573219</v>
      </c>
      <c r="I79" s="160"/>
      <c r="J79" s="160"/>
    </row>
    <row r="80" spans="1:10">
      <c r="A80" s="157">
        <v>76</v>
      </c>
      <c r="B80" s="157" t="s">
        <v>2991</v>
      </c>
      <c r="C80" s="157">
        <v>42</v>
      </c>
      <c r="D80" s="157">
        <v>3</v>
      </c>
      <c r="E80" s="158">
        <v>5.0478923099147313</v>
      </c>
      <c r="F80" s="159">
        <v>33.67097768864069</v>
      </c>
      <c r="G80" s="159">
        <v>50.32902231135931</v>
      </c>
      <c r="I80" s="160"/>
      <c r="J80" s="160"/>
    </row>
    <row r="81" spans="1:10">
      <c r="A81" s="157">
        <v>78</v>
      </c>
      <c r="B81" s="157" t="s">
        <v>2990</v>
      </c>
      <c r="C81" s="157">
        <v>41</v>
      </c>
      <c r="D81" s="157">
        <v>7</v>
      </c>
      <c r="E81" s="158">
        <v>2.9155669235971149</v>
      </c>
      <c r="F81" s="159">
        <v>36.18931457606476</v>
      </c>
      <c r="G81" s="159">
        <v>45.81068542393524</v>
      </c>
      <c r="I81" s="160"/>
      <c r="J81" s="160"/>
    </row>
    <row r="82" spans="1:10">
      <c r="A82" s="157">
        <v>79</v>
      </c>
      <c r="B82" s="157" t="s">
        <v>2989</v>
      </c>
      <c r="C82" s="157">
        <v>40</v>
      </c>
      <c r="D82" s="157">
        <v>6</v>
      </c>
      <c r="E82" s="158">
        <v>1.717877012553062</v>
      </c>
      <c r="F82" s="159">
        <v>37.165502929287449</v>
      </c>
      <c r="G82" s="159">
        <v>42.834497070712551</v>
      </c>
      <c r="I82" s="160"/>
      <c r="J82" s="160"/>
    </row>
    <row r="83" spans="1:10">
      <c r="A83" s="157">
        <v>80</v>
      </c>
      <c r="B83" s="157" t="s">
        <v>2988</v>
      </c>
      <c r="C83" s="157">
        <v>39</v>
      </c>
      <c r="D83" s="157">
        <v>4</v>
      </c>
      <c r="E83" s="158">
        <v>4.3751986014254278</v>
      </c>
      <c r="F83" s="159">
        <v>31.780922307648044</v>
      </c>
      <c r="G83" s="159">
        <v>46.219077692351959</v>
      </c>
      <c r="I83" s="160"/>
      <c r="J83" s="160"/>
    </row>
    <row r="84" spans="1:10">
      <c r="A84" s="157">
        <v>80</v>
      </c>
      <c r="B84" s="157" t="s">
        <v>2987</v>
      </c>
      <c r="C84" s="157">
        <v>39</v>
      </c>
      <c r="D84" s="157">
        <v>6</v>
      </c>
      <c r="E84" s="158">
        <v>1.1460178884176817</v>
      </c>
      <c r="F84" s="159">
        <v>37.109070484110823</v>
      </c>
      <c r="G84" s="159">
        <v>40.890929515889177</v>
      </c>
      <c r="I84" s="160"/>
      <c r="J84" s="160"/>
    </row>
    <row r="85" spans="1:10">
      <c r="A85" s="157">
        <v>80</v>
      </c>
      <c r="B85" s="157" t="s">
        <v>2986</v>
      </c>
      <c r="C85" s="157">
        <v>39</v>
      </c>
      <c r="D85" s="157">
        <v>6</v>
      </c>
      <c r="E85" s="158">
        <v>1.9772175042184807</v>
      </c>
      <c r="F85" s="159">
        <v>35.737591118039504</v>
      </c>
      <c r="G85" s="159">
        <v>42.262408881960496</v>
      </c>
      <c r="I85" s="160"/>
      <c r="J85" s="160"/>
    </row>
    <row r="86" spans="1:10">
      <c r="A86" s="157">
        <v>80</v>
      </c>
      <c r="B86" s="157" t="s">
        <v>357</v>
      </c>
      <c r="C86" s="157">
        <v>39</v>
      </c>
      <c r="D86" s="157">
        <v>7</v>
      </c>
      <c r="E86" s="158">
        <v>2.1335625091677164</v>
      </c>
      <c r="F86" s="159">
        <v>35.479621859873269</v>
      </c>
      <c r="G86" s="159">
        <v>42.520378140126731</v>
      </c>
      <c r="I86" s="160"/>
      <c r="J86" s="160"/>
    </row>
    <row r="87" spans="1:10">
      <c r="A87" s="157">
        <v>80</v>
      </c>
      <c r="B87" s="157" t="s">
        <v>2985</v>
      </c>
      <c r="C87" s="157">
        <v>39</v>
      </c>
      <c r="D87" s="157">
        <v>6</v>
      </c>
      <c r="E87" s="158">
        <v>3.5718739681481781</v>
      </c>
      <c r="F87" s="159">
        <v>33.106407952555507</v>
      </c>
      <c r="G87" s="159">
        <v>44.893592047444493</v>
      </c>
      <c r="I87" s="160"/>
      <c r="J87" s="160"/>
    </row>
    <row r="88" spans="1:10">
      <c r="A88" s="157">
        <v>85</v>
      </c>
      <c r="B88" s="157" t="s">
        <v>93</v>
      </c>
      <c r="C88" s="157">
        <v>38</v>
      </c>
      <c r="D88" s="157">
        <v>7</v>
      </c>
      <c r="E88" s="158">
        <v>2.6701262939728769</v>
      </c>
      <c r="F88" s="159">
        <v>33.594291614944751</v>
      </c>
      <c r="G88" s="159">
        <v>42.405708385055249</v>
      </c>
      <c r="I88" s="160"/>
      <c r="J88" s="160"/>
    </row>
    <row r="89" spans="1:10">
      <c r="A89" s="157">
        <v>85</v>
      </c>
      <c r="B89" s="157" t="s">
        <v>2984</v>
      </c>
      <c r="C89" s="157">
        <v>38</v>
      </c>
      <c r="D89" s="157">
        <v>9</v>
      </c>
      <c r="E89" s="158">
        <v>2.2699066571571906</v>
      </c>
      <c r="F89" s="159">
        <v>34.254654015690633</v>
      </c>
      <c r="G89" s="159">
        <v>41.745345984309367</v>
      </c>
      <c r="I89" s="160"/>
      <c r="J89" s="160"/>
    </row>
    <row r="90" spans="1:10">
      <c r="A90" s="157">
        <v>85</v>
      </c>
      <c r="B90" s="157" t="s">
        <v>2983</v>
      </c>
      <c r="C90" s="157">
        <v>38</v>
      </c>
      <c r="D90" s="157">
        <v>6</v>
      </c>
      <c r="E90" s="158">
        <v>1.7968356728881774</v>
      </c>
      <c r="F90" s="159">
        <v>35.03522113973451</v>
      </c>
      <c r="G90" s="159">
        <v>40.96477886026549</v>
      </c>
      <c r="I90" s="160"/>
      <c r="J90" s="160"/>
    </row>
    <row r="91" spans="1:10">
      <c r="A91" s="157">
        <v>85</v>
      </c>
      <c r="B91" s="157" t="s">
        <v>442</v>
      </c>
      <c r="C91" s="157">
        <v>38</v>
      </c>
      <c r="D91" s="157">
        <v>7</v>
      </c>
      <c r="E91" s="158">
        <v>2.6294297176060306</v>
      </c>
      <c r="F91" s="159">
        <v>33.66144096595005</v>
      </c>
      <c r="G91" s="159">
        <v>42.33855903404995</v>
      </c>
      <c r="I91" s="160"/>
      <c r="J91" s="160"/>
    </row>
    <row r="92" spans="1:10">
      <c r="A92" s="157">
        <v>85</v>
      </c>
      <c r="B92" s="157" t="s">
        <v>2982</v>
      </c>
      <c r="C92" s="157">
        <v>38</v>
      </c>
      <c r="D92" s="157">
        <v>8</v>
      </c>
      <c r="E92" s="158">
        <v>1.8366835582301153</v>
      </c>
      <c r="F92" s="159">
        <v>34.969472128920309</v>
      </c>
      <c r="G92" s="159">
        <v>41.030527871079691</v>
      </c>
      <c r="I92" s="160"/>
      <c r="J92" s="160"/>
    </row>
    <row r="93" spans="1:10">
      <c r="A93" s="157">
        <v>85</v>
      </c>
      <c r="B93" s="157" t="s">
        <v>2981</v>
      </c>
      <c r="C93" s="157">
        <v>38</v>
      </c>
      <c r="D93" s="157">
        <v>7</v>
      </c>
      <c r="E93" s="158">
        <v>2.1764438259005154</v>
      </c>
      <c r="F93" s="159">
        <v>34.408867687264149</v>
      </c>
      <c r="G93" s="159">
        <v>41.591132312735851</v>
      </c>
      <c r="I93" s="160"/>
      <c r="J93" s="160"/>
    </row>
    <row r="94" spans="1:10">
      <c r="A94" s="157">
        <v>85</v>
      </c>
      <c r="B94" s="157" t="s">
        <v>2980</v>
      </c>
      <c r="C94" s="157">
        <v>38</v>
      </c>
      <c r="D94" s="157">
        <v>8</v>
      </c>
      <c r="E94" s="158">
        <v>1.6036172055341802</v>
      </c>
      <c r="F94" s="159">
        <v>35.354031610868603</v>
      </c>
      <c r="G94" s="159">
        <v>40.645968389131397</v>
      </c>
      <c r="I94" s="160"/>
      <c r="J94" s="160"/>
    </row>
    <row r="95" spans="1:10">
      <c r="A95" s="157">
        <v>85</v>
      </c>
      <c r="B95" s="157" t="s">
        <v>2845</v>
      </c>
      <c r="C95" s="157">
        <v>38</v>
      </c>
      <c r="D95" s="157">
        <v>4</v>
      </c>
      <c r="E95" s="158">
        <v>4.8248557293865026</v>
      </c>
      <c r="F95" s="159">
        <v>30.038988046512273</v>
      </c>
      <c r="G95" s="159">
        <v>45.961011953487727</v>
      </c>
      <c r="I95" s="160"/>
      <c r="J95" s="160"/>
    </row>
    <row r="96" spans="1:10">
      <c r="A96" s="157">
        <v>85</v>
      </c>
      <c r="B96" s="157" t="s">
        <v>534</v>
      </c>
      <c r="C96" s="157">
        <v>38</v>
      </c>
      <c r="D96" s="157">
        <v>8</v>
      </c>
      <c r="E96" s="158">
        <v>2.2727646643510151</v>
      </c>
      <c r="F96" s="159">
        <v>34.249938303820826</v>
      </c>
      <c r="G96" s="159">
        <v>41.750061696179174</v>
      </c>
      <c r="I96" s="160"/>
      <c r="J96" s="160"/>
    </row>
    <row r="97" spans="1:10">
      <c r="A97" s="157">
        <v>94</v>
      </c>
      <c r="B97" s="157" t="s">
        <v>2979</v>
      </c>
      <c r="C97" s="157">
        <v>37</v>
      </c>
      <c r="D97" s="157">
        <v>6</v>
      </c>
      <c r="E97" s="158">
        <v>3.6867657148621458</v>
      </c>
      <c r="F97" s="159">
        <v>30.916836570477461</v>
      </c>
      <c r="G97" s="159">
        <v>43.083163429522543</v>
      </c>
      <c r="I97" s="160"/>
      <c r="J97" s="160"/>
    </row>
    <row r="98" spans="1:10">
      <c r="A98" s="157">
        <v>94</v>
      </c>
      <c r="B98" s="157" t="s">
        <v>2901</v>
      </c>
      <c r="C98" s="157">
        <v>37</v>
      </c>
      <c r="D98" s="157">
        <v>7</v>
      </c>
      <c r="E98" s="158">
        <v>1.6845731709576066</v>
      </c>
      <c r="F98" s="159">
        <v>34.220454267919948</v>
      </c>
      <c r="G98" s="159">
        <v>39.779545732080052</v>
      </c>
      <c r="I98" s="160"/>
      <c r="J98" s="160"/>
    </row>
    <row r="99" spans="1:10">
      <c r="A99" s="157">
        <v>94</v>
      </c>
      <c r="B99" s="157" t="s">
        <v>2978</v>
      </c>
      <c r="C99" s="157">
        <v>37</v>
      </c>
      <c r="D99" s="157">
        <v>6</v>
      </c>
      <c r="E99" s="158">
        <v>2.9115868060341228</v>
      </c>
      <c r="F99" s="159">
        <v>32.195881770043698</v>
      </c>
      <c r="G99" s="159">
        <v>41.804118229956302</v>
      </c>
      <c r="I99" s="160"/>
      <c r="J99" s="160"/>
    </row>
    <row r="100" spans="1:10">
      <c r="A100" s="157">
        <v>94</v>
      </c>
      <c r="B100" s="157" t="s">
        <v>185</v>
      </c>
      <c r="C100" s="157">
        <v>37</v>
      </c>
      <c r="D100" s="157">
        <v>4</v>
      </c>
      <c r="E100" s="158">
        <v>4.1879044330020356</v>
      </c>
      <c r="F100" s="159">
        <v>30.089957685546644</v>
      </c>
      <c r="G100" s="159">
        <v>43.910042314453356</v>
      </c>
      <c r="I100" s="160"/>
      <c r="J100" s="160"/>
    </row>
    <row r="101" spans="1:10">
      <c r="A101" s="157">
        <v>94</v>
      </c>
      <c r="B101" s="157" t="s">
        <v>294</v>
      </c>
      <c r="C101" s="157">
        <v>37</v>
      </c>
      <c r="D101" s="157">
        <v>6</v>
      </c>
      <c r="E101" s="158">
        <v>3.0860588212975246</v>
      </c>
      <c r="F101" s="159">
        <v>31.908002944859085</v>
      </c>
      <c r="G101" s="159">
        <v>42.091997055140915</v>
      </c>
      <c r="I101" s="160"/>
      <c r="J101" s="160"/>
    </row>
    <row r="102" spans="1:10">
      <c r="A102" s="157">
        <v>94</v>
      </c>
      <c r="B102" s="157" t="s">
        <v>2977</v>
      </c>
      <c r="C102" s="157">
        <v>37</v>
      </c>
      <c r="D102" s="157">
        <v>6</v>
      </c>
      <c r="E102" s="158">
        <v>3.4899332963598804</v>
      </c>
      <c r="F102" s="159">
        <v>31.241610061006199</v>
      </c>
      <c r="G102" s="159">
        <v>42.758389938993801</v>
      </c>
      <c r="I102" s="160"/>
      <c r="J102" s="160"/>
    </row>
    <row r="103" spans="1:10">
      <c r="A103" s="157">
        <v>100</v>
      </c>
      <c r="B103" s="157" t="s">
        <v>2916</v>
      </c>
      <c r="C103" s="157">
        <v>36</v>
      </c>
      <c r="D103" s="157">
        <v>5</v>
      </c>
      <c r="E103" s="158">
        <v>2.0628705577532509</v>
      </c>
      <c r="F103" s="159">
        <v>32.596263579707134</v>
      </c>
      <c r="G103" s="159">
        <v>39.403736420292866</v>
      </c>
      <c r="I103" s="160"/>
      <c r="J103" s="160"/>
    </row>
    <row r="104" spans="1:10">
      <c r="A104" s="157">
        <v>100</v>
      </c>
      <c r="B104" s="157" t="s">
        <v>2910</v>
      </c>
      <c r="C104" s="157">
        <v>36</v>
      </c>
      <c r="D104" s="157">
        <v>8</v>
      </c>
      <c r="E104" s="158">
        <v>2.173627874228333</v>
      </c>
      <c r="F104" s="159">
        <v>32.413514007523247</v>
      </c>
      <c r="G104" s="159">
        <v>39.586485992476753</v>
      </c>
      <c r="I104" s="160"/>
      <c r="J104" s="160"/>
    </row>
    <row r="105" spans="1:10">
      <c r="A105" s="157">
        <v>100</v>
      </c>
      <c r="B105" s="157" t="s">
        <v>2976</v>
      </c>
      <c r="C105" s="157">
        <v>36</v>
      </c>
      <c r="D105" s="157">
        <v>3</v>
      </c>
      <c r="E105" s="158">
        <v>3.2485560761111514</v>
      </c>
      <c r="F105" s="159">
        <v>30.639882474416602</v>
      </c>
      <c r="G105" s="159">
        <v>41.360117525583398</v>
      </c>
      <c r="I105" s="160"/>
      <c r="J105" s="160"/>
    </row>
    <row r="106" spans="1:10">
      <c r="A106" s="157">
        <v>103</v>
      </c>
      <c r="B106" s="157" t="s">
        <v>2906</v>
      </c>
      <c r="C106" s="157">
        <v>35</v>
      </c>
      <c r="D106" s="157">
        <v>7</v>
      </c>
      <c r="E106" s="158">
        <v>2.9786076656185148</v>
      </c>
      <c r="F106" s="159">
        <v>30.085297351729452</v>
      </c>
      <c r="G106" s="159">
        <v>39.914702648270548</v>
      </c>
      <c r="I106" s="160"/>
      <c r="J106" s="160"/>
    </row>
    <row r="107" spans="1:10">
      <c r="A107" s="157">
        <v>103</v>
      </c>
      <c r="B107" s="157" t="s">
        <v>2899</v>
      </c>
      <c r="C107" s="157">
        <v>35</v>
      </c>
      <c r="D107" s="157">
        <v>8</v>
      </c>
      <c r="E107" s="158">
        <v>1.6593051434567847</v>
      </c>
      <c r="F107" s="159">
        <v>32.262146513296308</v>
      </c>
      <c r="G107" s="159">
        <v>37.737853486703692</v>
      </c>
      <c r="I107" s="160"/>
      <c r="J107" s="160"/>
    </row>
    <row r="108" spans="1:10">
      <c r="A108" s="157">
        <v>103</v>
      </c>
      <c r="B108" s="157" t="s">
        <v>2975</v>
      </c>
      <c r="C108" s="157">
        <v>35</v>
      </c>
      <c r="D108" s="157">
        <v>8</v>
      </c>
      <c r="E108" s="158">
        <v>2.6951915472429202</v>
      </c>
      <c r="F108" s="159">
        <v>30.552933947049183</v>
      </c>
      <c r="G108" s="159">
        <v>39.447066052950817</v>
      </c>
      <c r="I108" s="160"/>
      <c r="J108" s="160"/>
    </row>
    <row r="109" spans="1:10">
      <c r="A109" s="157">
        <v>103</v>
      </c>
      <c r="B109" s="157" t="s">
        <v>387</v>
      </c>
      <c r="C109" s="157">
        <v>35</v>
      </c>
      <c r="D109" s="157">
        <v>5</v>
      </c>
      <c r="E109" s="158">
        <v>3.9946594874837635</v>
      </c>
      <c r="F109" s="159">
        <v>28.40881184565179</v>
      </c>
      <c r="G109" s="159">
        <v>41.59118815434821</v>
      </c>
      <c r="I109" s="160"/>
      <c r="J109" s="160"/>
    </row>
    <row r="110" spans="1:10">
      <c r="A110" s="157">
        <v>107</v>
      </c>
      <c r="B110" s="157" t="s">
        <v>2974</v>
      </c>
      <c r="C110" s="157">
        <v>34</v>
      </c>
      <c r="D110" s="157">
        <v>7</v>
      </c>
      <c r="E110" s="158">
        <v>2.416445043859675</v>
      </c>
      <c r="F110" s="159">
        <v>30.012865677631538</v>
      </c>
      <c r="G110" s="159">
        <v>37.987134322368462</v>
      </c>
      <c r="I110" s="160"/>
      <c r="J110" s="160"/>
    </row>
    <row r="111" spans="1:10">
      <c r="A111" s="157">
        <v>107</v>
      </c>
      <c r="B111" s="157" t="s">
        <v>2973</v>
      </c>
      <c r="C111" s="157">
        <v>34</v>
      </c>
      <c r="D111" s="157">
        <v>3</v>
      </c>
      <c r="E111" s="158">
        <v>9.0979060262002527</v>
      </c>
      <c r="F111" s="159">
        <v>18.988455056769585</v>
      </c>
      <c r="G111" s="159">
        <v>49.011544943230419</v>
      </c>
      <c r="I111" s="160"/>
      <c r="J111" s="160"/>
    </row>
    <row r="112" spans="1:10">
      <c r="A112" s="157">
        <v>107</v>
      </c>
      <c r="B112" s="157" t="s">
        <v>237</v>
      </c>
      <c r="C112" s="157">
        <v>34</v>
      </c>
      <c r="D112" s="157">
        <v>8</v>
      </c>
      <c r="E112" s="158">
        <v>3.5704228726105045</v>
      </c>
      <c r="F112" s="159">
        <v>28.108802260192668</v>
      </c>
      <c r="G112" s="159">
        <v>39.891197739807332</v>
      </c>
      <c r="I112" s="160"/>
      <c r="J112" s="160"/>
    </row>
    <row r="113" spans="1:10">
      <c r="A113" s="157">
        <v>110</v>
      </c>
      <c r="B113" s="157" t="s">
        <v>33</v>
      </c>
      <c r="C113" s="157">
        <v>33</v>
      </c>
      <c r="D113" s="157">
        <v>7</v>
      </c>
      <c r="E113" s="158">
        <v>1.513038360597259</v>
      </c>
      <c r="F113" s="159">
        <v>30.503486705014524</v>
      </c>
      <c r="G113" s="159">
        <v>35.496513294985476</v>
      </c>
      <c r="I113" s="160"/>
      <c r="J113" s="160"/>
    </row>
    <row r="114" spans="1:10">
      <c r="A114" s="157">
        <v>110</v>
      </c>
      <c r="B114" s="157" t="s">
        <v>2902</v>
      </c>
      <c r="C114" s="157">
        <v>33</v>
      </c>
      <c r="D114" s="157">
        <v>5</v>
      </c>
      <c r="E114" s="158">
        <v>3.5572942850775626</v>
      </c>
      <c r="F114" s="159">
        <v>27.130464429622023</v>
      </c>
      <c r="G114" s="159">
        <v>38.869535570377977</v>
      </c>
      <c r="I114" s="160"/>
      <c r="J114" s="160"/>
    </row>
    <row r="115" spans="1:10">
      <c r="A115" s="157">
        <v>110</v>
      </c>
      <c r="B115" s="157" t="s">
        <v>2972</v>
      </c>
      <c r="C115" s="157">
        <v>33</v>
      </c>
      <c r="D115" s="157">
        <v>8</v>
      </c>
      <c r="E115" s="158">
        <v>2.5448558738660689</v>
      </c>
      <c r="F115" s="159">
        <v>28.800987808120986</v>
      </c>
      <c r="G115" s="159">
        <v>37.199012191879014</v>
      </c>
      <c r="I115" s="160"/>
      <c r="J115" s="160"/>
    </row>
    <row r="116" spans="1:10">
      <c r="A116" s="157">
        <v>110</v>
      </c>
      <c r="B116" s="157" t="s">
        <v>2971</v>
      </c>
      <c r="C116" s="157">
        <v>33</v>
      </c>
      <c r="D116" s="157">
        <v>3</v>
      </c>
      <c r="E116" s="158">
        <v>2.3326751622399753</v>
      </c>
      <c r="F116" s="159">
        <v>29.151085982304039</v>
      </c>
      <c r="G116" s="159">
        <v>36.848914017695961</v>
      </c>
      <c r="I116" s="160"/>
      <c r="J116" s="160"/>
    </row>
    <row r="117" spans="1:10">
      <c r="A117" s="157">
        <v>110</v>
      </c>
      <c r="B117" s="157" t="s">
        <v>2970</v>
      </c>
      <c r="C117" s="157">
        <v>33</v>
      </c>
      <c r="D117" s="157">
        <v>8</v>
      </c>
      <c r="E117" s="158">
        <v>3.0275601913937953</v>
      </c>
      <c r="F117" s="159">
        <v>28.004525684200239</v>
      </c>
      <c r="G117" s="159">
        <v>37.995474315799761</v>
      </c>
      <c r="I117" s="160"/>
      <c r="J117" s="160"/>
    </row>
    <row r="118" spans="1:10">
      <c r="A118" s="157">
        <v>115</v>
      </c>
      <c r="B118" s="157" t="s">
        <v>2969</v>
      </c>
      <c r="C118" s="157">
        <v>32</v>
      </c>
      <c r="D118" s="157">
        <v>8</v>
      </c>
      <c r="E118" s="158">
        <v>4.2007506442246996</v>
      </c>
      <c r="F118" s="159">
        <v>25.068761437029245</v>
      </c>
      <c r="G118" s="159">
        <v>38.931238562970755</v>
      </c>
      <c r="I118" s="160"/>
      <c r="J118" s="160"/>
    </row>
    <row r="119" spans="1:10">
      <c r="A119" s="157">
        <v>115</v>
      </c>
      <c r="B119" s="157" t="s">
        <v>2968</v>
      </c>
      <c r="C119" s="157">
        <v>32</v>
      </c>
      <c r="D119" s="157">
        <v>6</v>
      </c>
      <c r="E119" s="158">
        <v>3.3045318219593609</v>
      </c>
      <c r="F119" s="159">
        <v>26.547522493767055</v>
      </c>
      <c r="G119" s="159">
        <v>37.452477506232945</v>
      </c>
      <c r="I119" s="160"/>
      <c r="J119" s="160"/>
    </row>
    <row r="120" spans="1:10">
      <c r="A120" s="157">
        <v>115</v>
      </c>
      <c r="B120" s="157" t="s">
        <v>213</v>
      </c>
      <c r="C120" s="157">
        <v>32</v>
      </c>
      <c r="D120" s="157">
        <v>6</v>
      </c>
      <c r="E120" s="158">
        <v>2.9561693452033313</v>
      </c>
      <c r="F120" s="159">
        <v>27.122320580414502</v>
      </c>
      <c r="G120" s="159">
        <v>36.877679419585498</v>
      </c>
      <c r="I120" s="160"/>
      <c r="J120" s="160"/>
    </row>
    <row r="121" spans="1:10">
      <c r="A121" s="157">
        <v>115</v>
      </c>
      <c r="B121" s="157" t="s">
        <v>322</v>
      </c>
      <c r="C121" s="157">
        <v>32</v>
      </c>
      <c r="D121" s="157">
        <v>6</v>
      </c>
      <c r="E121" s="158">
        <v>3.366819076250263</v>
      </c>
      <c r="F121" s="159">
        <v>26.444748524187066</v>
      </c>
      <c r="G121" s="159">
        <v>37.555251475812931</v>
      </c>
      <c r="I121" s="160"/>
      <c r="J121" s="160"/>
    </row>
    <row r="122" spans="1:10">
      <c r="A122" s="157">
        <v>119</v>
      </c>
      <c r="B122" s="157" t="s">
        <v>2967</v>
      </c>
      <c r="C122" s="157">
        <v>31</v>
      </c>
      <c r="D122" s="157">
        <v>5</v>
      </c>
      <c r="E122" s="158">
        <v>4.0446308383125684</v>
      </c>
      <c r="F122" s="159">
        <v>24.326359116784261</v>
      </c>
      <c r="G122" s="159">
        <v>37.673640883215739</v>
      </c>
      <c r="I122" s="160"/>
      <c r="J122" s="160"/>
    </row>
    <row r="123" spans="1:10">
      <c r="A123" s="157">
        <v>119</v>
      </c>
      <c r="B123" s="157" t="s">
        <v>378</v>
      </c>
      <c r="C123" s="157">
        <v>31</v>
      </c>
      <c r="D123" s="157">
        <v>7</v>
      </c>
      <c r="E123" s="158">
        <v>1.8888609021679872</v>
      </c>
      <c r="F123" s="159">
        <v>27.88337951142282</v>
      </c>
      <c r="G123" s="159">
        <v>34.116620488577176</v>
      </c>
      <c r="I123" s="160"/>
      <c r="J123" s="160"/>
    </row>
    <row r="124" spans="1:10">
      <c r="A124" s="157">
        <v>119</v>
      </c>
      <c r="B124" s="157" t="s">
        <v>481</v>
      </c>
      <c r="C124" s="157">
        <v>31</v>
      </c>
      <c r="D124" s="157">
        <v>8</v>
      </c>
      <c r="E124" s="158">
        <v>2.2988873621730259</v>
      </c>
      <c r="F124" s="159">
        <v>27.206835852414507</v>
      </c>
      <c r="G124" s="159">
        <v>34.793164147585493</v>
      </c>
      <c r="I124" s="160"/>
      <c r="J124" s="160"/>
    </row>
    <row r="125" spans="1:10">
      <c r="A125" s="157">
        <v>119</v>
      </c>
      <c r="B125" s="157" t="s">
        <v>492</v>
      </c>
      <c r="C125" s="157">
        <v>31</v>
      </c>
      <c r="D125" s="157">
        <v>8</v>
      </c>
      <c r="E125" s="158">
        <v>3.1981816880348037</v>
      </c>
      <c r="F125" s="159">
        <v>25.723000214742573</v>
      </c>
      <c r="G125" s="159">
        <v>36.276999785257424</v>
      </c>
      <c r="I125" s="160"/>
      <c r="J125" s="160"/>
    </row>
    <row r="126" spans="1:10">
      <c r="A126" s="157">
        <v>119</v>
      </c>
      <c r="B126" s="157" t="s">
        <v>2966</v>
      </c>
      <c r="C126" s="157">
        <v>31</v>
      </c>
      <c r="D126" s="157">
        <v>8</v>
      </c>
      <c r="E126" s="158">
        <v>2.5455061480090451</v>
      </c>
      <c r="F126" s="159">
        <v>26.799914855785076</v>
      </c>
      <c r="G126" s="159">
        <v>35.200085144214924</v>
      </c>
      <c r="I126" s="160"/>
      <c r="J126" s="160"/>
    </row>
    <row r="127" spans="1:10">
      <c r="A127" s="157">
        <v>124</v>
      </c>
      <c r="B127" s="157" t="s">
        <v>2965</v>
      </c>
      <c r="C127" s="157">
        <v>30</v>
      </c>
      <c r="D127" s="157">
        <v>4</v>
      </c>
      <c r="E127" s="158">
        <v>3.0284402732767766</v>
      </c>
      <c r="F127" s="159">
        <v>25.003073549093319</v>
      </c>
      <c r="G127" s="159">
        <v>34.996926450906685</v>
      </c>
      <c r="I127" s="160"/>
      <c r="J127" s="160"/>
    </row>
    <row r="128" spans="1:10">
      <c r="A128" s="157">
        <v>124</v>
      </c>
      <c r="B128" s="157" t="s">
        <v>338</v>
      </c>
      <c r="C128" s="157">
        <v>30</v>
      </c>
      <c r="D128" s="157">
        <v>5</v>
      </c>
      <c r="E128" s="158">
        <v>4.2288580658560724</v>
      </c>
      <c r="F128" s="159">
        <v>23.02238419133748</v>
      </c>
      <c r="G128" s="159">
        <v>36.97761580866252</v>
      </c>
      <c r="I128" s="160"/>
      <c r="J128" s="160"/>
    </row>
    <row r="129" spans="1:10" ht="12.75" customHeight="1">
      <c r="A129" s="157">
        <v>126</v>
      </c>
      <c r="B129" s="157" t="s">
        <v>48</v>
      </c>
      <c r="C129" s="157">
        <v>29</v>
      </c>
      <c r="D129" s="157">
        <v>6</v>
      </c>
      <c r="E129" s="158">
        <v>3.0192687069045085</v>
      </c>
      <c r="F129" s="159">
        <v>24.018206633607562</v>
      </c>
      <c r="G129" s="159">
        <v>33.981793366392438</v>
      </c>
      <c r="I129" s="160"/>
      <c r="J129" s="160"/>
    </row>
    <row r="130" spans="1:10">
      <c r="A130" s="157">
        <v>126</v>
      </c>
      <c r="B130" s="157" t="s">
        <v>2964</v>
      </c>
      <c r="C130" s="157">
        <v>29</v>
      </c>
      <c r="D130" s="157">
        <v>5</v>
      </c>
      <c r="E130" s="158">
        <v>7.5531824842949247</v>
      </c>
      <c r="F130" s="159">
        <v>16.537248900913376</v>
      </c>
      <c r="G130" s="159">
        <v>41.462751099086624</v>
      </c>
      <c r="I130" s="160"/>
      <c r="J130" s="160"/>
    </row>
    <row r="131" spans="1:10">
      <c r="A131" s="157">
        <v>126</v>
      </c>
      <c r="B131" s="157" t="s">
        <v>2963</v>
      </c>
      <c r="C131" s="157">
        <v>29</v>
      </c>
      <c r="D131" s="157">
        <v>6</v>
      </c>
      <c r="E131" s="158">
        <v>3.4894421343188378</v>
      </c>
      <c r="F131" s="159">
        <v>23.242420478373919</v>
      </c>
      <c r="G131" s="159">
        <v>34.757579521626084</v>
      </c>
      <c r="I131" s="160"/>
      <c r="J131" s="160"/>
    </row>
    <row r="132" spans="1:10">
      <c r="A132" s="157">
        <v>126</v>
      </c>
      <c r="B132" s="157" t="s">
        <v>273</v>
      </c>
      <c r="C132" s="157">
        <v>29</v>
      </c>
      <c r="D132" s="157">
        <v>8</v>
      </c>
      <c r="E132" s="158">
        <v>4.4040771618770398</v>
      </c>
      <c r="F132" s="159">
        <v>21.733272682902886</v>
      </c>
      <c r="G132" s="159">
        <v>36.266727317097114</v>
      </c>
      <c r="I132" s="160"/>
      <c r="J132" s="160"/>
    </row>
    <row r="133" spans="1:10">
      <c r="A133" s="157">
        <v>126</v>
      </c>
      <c r="B133" s="157" t="s">
        <v>2962</v>
      </c>
      <c r="C133" s="157">
        <v>29</v>
      </c>
      <c r="D133" s="157">
        <v>5</v>
      </c>
      <c r="E133" s="158">
        <v>2.2010364153043209</v>
      </c>
      <c r="F133" s="159">
        <v>25.368289914747869</v>
      </c>
      <c r="G133" s="159">
        <v>32.631710085252131</v>
      </c>
      <c r="I133" s="160"/>
      <c r="J133" s="160"/>
    </row>
    <row r="134" spans="1:10">
      <c r="A134" s="157">
        <v>126</v>
      </c>
      <c r="B134" s="157" t="s">
        <v>2961</v>
      </c>
      <c r="C134" s="157">
        <v>29</v>
      </c>
      <c r="D134" s="157">
        <v>7</v>
      </c>
      <c r="E134" s="158">
        <v>3.2408608686702847</v>
      </c>
      <c r="F134" s="159">
        <v>23.65257956669403</v>
      </c>
      <c r="G134" s="159">
        <v>34.34742043330597</v>
      </c>
      <c r="I134" s="160"/>
      <c r="J134" s="160"/>
    </row>
    <row r="135" spans="1:10">
      <c r="A135" s="157">
        <v>126</v>
      </c>
      <c r="B135" s="157" t="s">
        <v>510</v>
      </c>
      <c r="C135" s="157">
        <v>29</v>
      </c>
      <c r="D135" s="157">
        <v>5</v>
      </c>
      <c r="E135" s="158">
        <v>3.6867544651149275</v>
      </c>
      <c r="F135" s="159">
        <v>22.916855132560372</v>
      </c>
      <c r="G135" s="159">
        <v>35.083144867439628</v>
      </c>
      <c r="I135" s="160"/>
      <c r="J135" s="160"/>
    </row>
    <row r="136" spans="1:10">
      <c r="A136" s="157">
        <v>133</v>
      </c>
      <c r="B136" s="157" t="s">
        <v>309</v>
      </c>
      <c r="C136" s="157">
        <v>28</v>
      </c>
      <c r="D136" s="157">
        <v>8</v>
      </c>
      <c r="E136" s="158">
        <v>3.3821675714935382</v>
      </c>
      <c r="F136" s="159">
        <v>22.419423507035663</v>
      </c>
      <c r="G136" s="159">
        <v>33.58057649296434</v>
      </c>
      <c r="I136" s="160"/>
      <c r="J136" s="160"/>
    </row>
    <row r="137" spans="1:10">
      <c r="A137" s="157">
        <v>133</v>
      </c>
      <c r="B137" s="157" t="s">
        <v>2960</v>
      </c>
      <c r="C137" s="157">
        <v>28</v>
      </c>
      <c r="D137" s="157">
        <v>7</v>
      </c>
      <c r="E137" s="158">
        <v>2.0303833860199534</v>
      </c>
      <c r="F137" s="159">
        <v>24.649867413067078</v>
      </c>
      <c r="G137" s="159">
        <v>31.350132586932922</v>
      </c>
      <c r="I137" s="160"/>
      <c r="J137" s="160"/>
    </row>
    <row r="138" spans="1:10">
      <c r="A138" s="157">
        <v>133</v>
      </c>
      <c r="B138" s="157" t="s">
        <v>2844</v>
      </c>
      <c r="C138" s="157">
        <v>28</v>
      </c>
      <c r="D138" s="157">
        <v>3</v>
      </c>
      <c r="E138" s="158">
        <v>5.1776102198882503</v>
      </c>
      <c r="F138" s="159">
        <v>19.456943137184389</v>
      </c>
      <c r="G138" s="159">
        <v>36.543056862815611</v>
      </c>
      <c r="I138" s="160"/>
      <c r="J138" s="160"/>
    </row>
    <row r="139" spans="1:10">
      <c r="A139" s="157">
        <v>136</v>
      </c>
      <c r="B139" s="157" t="s">
        <v>96</v>
      </c>
      <c r="C139" s="157">
        <v>27</v>
      </c>
      <c r="D139" s="157">
        <v>8</v>
      </c>
      <c r="E139" s="158">
        <v>2.8666391075145681</v>
      </c>
      <c r="F139" s="159">
        <v>22.270045472600962</v>
      </c>
      <c r="G139" s="159">
        <v>31.729954527399038</v>
      </c>
      <c r="I139" s="160"/>
      <c r="J139" s="160"/>
    </row>
    <row r="140" spans="1:10">
      <c r="A140" s="157">
        <v>136</v>
      </c>
      <c r="B140" s="157" t="s">
        <v>2912</v>
      </c>
      <c r="C140" s="157">
        <v>27</v>
      </c>
      <c r="D140" s="157">
        <v>6</v>
      </c>
      <c r="E140" s="158">
        <v>4.7195752573203809</v>
      </c>
      <c r="F140" s="159">
        <v>19.212700825421372</v>
      </c>
      <c r="G140" s="159">
        <v>34.787299174578628</v>
      </c>
      <c r="I140" s="160"/>
      <c r="J140" s="160"/>
    </row>
    <row r="141" spans="1:10">
      <c r="A141" s="157">
        <v>136</v>
      </c>
      <c r="B141" s="157" t="s">
        <v>2895</v>
      </c>
      <c r="C141" s="157">
        <v>27</v>
      </c>
      <c r="D141" s="157">
        <v>6</v>
      </c>
      <c r="E141" s="158">
        <v>2.3496370363443022</v>
      </c>
      <c r="F141" s="159">
        <v>23.123098890031901</v>
      </c>
      <c r="G141" s="159">
        <v>30.876901109968099</v>
      </c>
      <c r="I141" s="160"/>
      <c r="J141" s="160"/>
    </row>
    <row r="142" spans="1:10">
      <c r="A142" s="157">
        <v>136</v>
      </c>
      <c r="B142" s="157" t="s">
        <v>2959</v>
      </c>
      <c r="C142" s="157">
        <v>27</v>
      </c>
      <c r="D142" s="157">
        <v>6</v>
      </c>
      <c r="E142" s="158">
        <v>3.3712439800116969</v>
      </c>
      <c r="F142" s="159">
        <v>21.437447432980701</v>
      </c>
      <c r="G142" s="159">
        <v>32.562552567019296</v>
      </c>
      <c r="I142" s="160"/>
      <c r="J142" s="160"/>
    </row>
    <row r="143" spans="1:10">
      <c r="A143" s="157">
        <v>136</v>
      </c>
      <c r="B143" s="157" t="s">
        <v>406</v>
      </c>
      <c r="C143" s="157">
        <v>27</v>
      </c>
      <c r="D143" s="157">
        <v>8</v>
      </c>
      <c r="E143" s="158">
        <v>2.8243027989837781</v>
      </c>
      <c r="F143" s="159">
        <v>22.339900381676767</v>
      </c>
      <c r="G143" s="159">
        <v>31.660099618323233</v>
      </c>
      <c r="I143" s="160"/>
      <c r="J143" s="160"/>
    </row>
    <row r="144" spans="1:10">
      <c r="A144" s="157">
        <v>136</v>
      </c>
      <c r="B144" s="157" t="s">
        <v>2898</v>
      </c>
      <c r="C144" s="157">
        <v>27</v>
      </c>
      <c r="D144" s="157">
        <v>8</v>
      </c>
      <c r="E144" s="158">
        <v>2.6066039683223634</v>
      </c>
      <c r="F144" s="159">
        <v>22.699103452268101</v>
      </c>
      <c r="G144" s="159">
        <v>31.300896547731899</v>
      </c>
      <c r="I144" s="160"/>
      <c r="J144" s="160"/>
    </row>
    <row r="145" spans="1:10">
      <c r="A145" s="157">
        <v>142</v>
      </c>
      <c r="B145" s="157" t="s">
        <v>2958</v>
      </c>
      <c r="C145" s="157">
        <v>26</v>
      </c>
      <c r="D145" s="157">
        <v>3</v>
      </c>
      <c r="E145" s="158">
        <v>8.7456258855587858</v>
      </c>
      <c r="F145" s="159">
        <v>11.569717288828004</v>
      </c>
      <c r="G145" s="159">
        <v>40.430282711171998</v>
      </c>
      <c r="I145" s="160"/>
      <c r="J145" s="160"/>
    </row>
    <row r="146" spans="1:10">
      <c r="A146" s="157">
        <v>142</v>
      </c>
      <c r="B146" s="157" t="s">
        <v>2957</v>
      </c>
      <c r="C146" s="157">
        <v>26</v>
      </c>
      <c r="D146" s="157">
        <v>8</v>
      </c>
      <c r="E146" s="158">
        <v>3.0295988245364915</v>
      </c>
      <c r="F146" s="159">
        <v>21.001161939514787</v>
      </c>
      <c r="G146" s="159">
        <v>30.998838060485213</v>
      </c>
      <c r="I146" s="160"/>
      <c r="J146" s="160"/>
    </row>
    <row r="147" spans="1:10">
      <c r="A147" s="157">
        <v>142</v>
      </c>
      <c r="B147" s="157" t="s">
        <v>2956</v>
      </c>
      <c r="C147" s="157">
        <v>26</v>
      </c>
      <c r="D147" s="157">
        <v>8</v>
      </c>
      <c r="E147" s="158">
        <v>1.6385108448952883</v>
      </c>
      <c r="F147" s="159">
        <v>23.296457105922773</v>
      </c>
      <c r="G147" s="159">
        <v>28.703542894077227</v>
      </c>
      <c r="I147" s="160"/>
      <c r="J147" s="160"/>
    </row>
    <row r="148" spans="1:10">
      <c r="A148" s="157">
        <v>145</v>
      </c>
      <c r="B148" s="157" t="s">
        <v>2955</v>
      </c>
      <c r="C148" s="157">
        <v>25</v>
      </c>
      <c r="D148" s="157">
        <v>7</v>
      </c>
      <c r="E148" s="158">
        <v>4.234565311685591</v>
      </c>
      <c r="F148" s="159">
        <v>18.012967235718776</v>
      </c>
      <c r="G148" s="159">
        <v>31.987032764281224</v>
      </c>
      <c r="I148" s="160"/>
      <c r="J148" s="160"/>
    </row>
    <row r="149" spans="1:10">
      <c r="A149" s="157">
        <v>145</v>
      </c>
      <c r="B149" s="157" t="s">
        <v>2843</v>
      </c>
      <c r="C149" s="157">
        <v>25</v>
      </c>
      <c r="D149" s="157">
        <v>7</v>
      </c>
      <c r="E149" s="158">
        <v>3.2120145317726991</v>
      </c>
      <c r="F149" s="159">
        <v>19.700176022575047</v>
      </c>
      <c r="G149" s="159">
        <v>30.299823977424953</v>
      </c>
      <c r="I149" s="160"/>
      <c r="J149" s="160"/>
    </row>
    <row r="150" spans="1:10">
      <c r="A150" s="157">
        <v>145</v>
      </c>
      <c r="B150" s="157" t="s">
        <v>2954</v>
      </c>
      <c r="C150" s="157">
        <v>25</v>
      </c>
      <c r="D150" s="157">
        <v>8</v>
      </c>
      <c r="E150" s="158">
        <v>2.9830758812116649</v>
      </c>
      <c r="F150" s="159">
        <v>20.077924796000751</v>
      </c>
      <c r="G150" s="159">
        <v>29.922075203999249</v>
      </c>
      <c r="I150" s="160"/>
      <c r="J150" s="160"/>
    </row>
    <row r="151" spans="1:10">
      <c r="A151" s="157">
        <v>145</v>
      </c>
      <c r="B151" s="157" t="s">
        <v>2953</v>
      </c>
      <c r="C151" s="157">
        <v>25</v>
      </c>
      <c r="D151" s="157">
        <v>4</v>
      </c>
      <c r="E151" s="158">
        <v>3.8038199545273854</v>
      </c>
      <c r="F151" s="159">
        <v>18.723697075029815</v>
      </c>
      <c r="G151" s="159">
        <v>31.276302924970185</v>
      </c>
      <c r="I151" s="160"/>
      <c r="J151" s="160"/>
    </row>
    <row r="152" spans="1:10">
      <c r="A152" s="157">
        <v>145</v>
      </c>
      <c r="B152" s="157" t="s">
        <v>2907</v>
      </c>
      <c r="C152" s="157">
        <v>25</v>
      </c>
      <c r="D152" s="157">
        <v>5</v>
      </c>
      <c r="E152" s="158">
        <v>4.1619582946558564</v>
      </c>
      <c r="F152" s="159">
        <v>18.132768813817837</v>
      </c>
      <c r="G152" s="159">
        <v>31.867231186182163</v>
      </c>
      <c r="I152" s="160"/>
      <c r="J152" s="160"/>
    </row>
    <row r="153" spans="1:10">
      <c r="A153" s="157">
        <v>150</v>
      </c>
      <c r="B153" s="157" t="s">
        <v>122</v>
      </c>
      <c r="C153" s="157">
        <v>24</v>
      </c>
      <c r="D153" s="157">
        <v>4</v>
      </c>
      <c r="E153" s="158">
        <v>1.3342012030687851</v>
      </c>
      <c r="F153" s="159">
        <v>21.798568014936507</v>
      </c>
      <c r="G153" s="159">
        <v>26.201431985063493</v>
      </c>
      <c r="I153" s="160"/>
      <c r="J153" s="160"/>
    </row>
    <row r="154" spans="1:10">
      <c r="A154" s="157">
        <v>150</v>
      </c>
      <c r="B154" s="157" t="s">
        <v>2952</v>
      </c>
      <c r="C154" s="157">
        <v>24</v>
      </c>
      <c r="D154" s="157">
        <v>5</v>
      </c>
      <c r="E154" s="158">
        <v>2.9529371293426823</v>
      </c>
      <c r="F154" s="159">
        <v>19.127653736584573</v>
      </c>
      <c r="G154" s="159">
        <v>28.872346263415427</v>
      </c>
      <c r="I154" s="160"/>
      <c r="J154" s="160"/>
    </row>
    <row r="155" spans="1:10">
      <c r="A155" s="157">
        <v>152</v>
      </c>
      <c r="B155" s="157" t="s">
        <v>2951</v>
      </c>
      <c r="C155" s="157">
        <v>23</v>
      </c>
      <c r="D155" s="157">
        <v>6</v>
      </c>
      <c r="E155" s="158">
        <v>4.2028948395662864</v>
      </c>
      <c r="F155" s="159">
        <v>16.065223514715626</v>
      </c>
      <c r="G155" s="159">
        <v>29.934776485284374</v>
      </c>
      <c r="I155" s="160"/>
      <c r="J155" s="160"/>
    </row>
    <row r="156" spans="1:10">
      <c r="A156" s="157">
        <v>152</v>
      </c>
      <c r="B156" s="157" t="s">
        <v>2950</v>
      </c>
      <c r="C156" s="157">
        <v>23</v>
      </c>
      <c r="D156" s="157">
        <v>5</v>
      </c>
      <c r="E156" s="158">
        <v>5.3245680270448918</v>
      </c>
      <c r="F156" s="159">
        <v>14.214462755375928</v>
      </c>
      <c r="G156" s="159">
        <v>31.785537244624074</v>
      </c>
      <c r="I156" s="160"/>
      <c r="J156" s="160"/>
    </row>
    <row r="157" spans="1:10">
      <c r="A157" s="157">
        <v>154</v>
      </c>
      <c r="B157" s="157" t="s">
        <v>133</v>
      </c>
      <c r="C157" s="157">
        <v>22</v>
      </c>
      <c r="D157" s="157">
        <v>5</v>
      </c>
      <c r="E157" s="158">
        <v>2.9487721483391689</v>
      </c>
      <c r="F157" s="159">
        <v>17.13452595524037</v>
      </c>
      <c r="G157" s="159">
        <v>26.86547404475963</v>
      </c>
      <c r="I157" s="160"/>
      <c r="J157" s="160"/>
    </row>
    <row r="158" spans="1:10">
      <c r="A158" s="157">
        <v>154</v>
      </c>
      <c r="B158" s="157" t="s">
        <v>2949</v>
      </c>
      <c r="C158" s="157">
        <v>22</v>
      </c>
      <c r="D158" s="157">
        <v>5</v>
      </c>
      <c r="E158" s="158">
        <v>4.1938504410912198</v>
      </c>
      <c r="F158" s="159">
        <v>15.080146772199488</v>
      </c>
      <c r="G158" s="159">
        <v>28.919853227800512</v>
      </c>
      <c r="I158" s="160"/>
      <c r="J158" s="160"/>
    </row>
    <row r="159" spans="1:10">
      <c r="A159" s="157">
        <v>156</v>
      </c>
      <c r="B159" s="157" t="s">
        <v>2948</v>
      </c>
      <c r="C159" s="157">
        <v>21</v>
      </c>
      <c r="D159" s="157">
        <v>7</v>
      </c>
      <c r="E159" s="158">
        <v>2.2475786606680028</v>
      </c>
      <c r="F159" s="159">
        <v>17.291495209897796</v>
      </c>
      <c r="G159" s="159">
        <v>24.708504790102204</v>
      </c>
      <c r="I159" s="160"/>
      <c r="J159" s="160"/>
    </row>
    <row r="160" spans="1:10">
      <c r="A160" s="157">
        <v>156</v>
      </c>
      <c r="B160" s="157" t="s">
        <v>2947</v>
      </c>
      <c r="C160" s="157">
        <v>21</v>
      </c>
      <c r="D160" s="157">
        <v>7</v>
      </c>
      <c r="E160" s="158">
        <v>2.8731652926305338</v>
      </c>
      <c r="F160" s="159">
        <v>16.259277267159618</v>
      </c>
      <c r="G160" s="159">
        <v>25.740722732840382</v>
      </c>
      <c r="I160" s="160"/>
      <c r="J160" s="160"/>
    </row>
    <row r="161" spans="1:10">
      <c r="A161" s="157">
        <v>156</v>
      </c>
      <c r="B161" s="157" t="s">
        <v>2946</v>
      </c>
      <c r="C161" s="157">
        <v>21</v>
      </c>
      <c r="D161" s="157">
        <v>8</v>
      </c>
      <c r="E161" s="158">
        <v>4.1827897969634371</v>
      </c>
      <c r="F161" s="159">
        <v>14.09839683501033</v>
      </c>
      <c r="G161" s="159">
        <v>27.90160316498967</v>
      </c>
      <c r="I161" s="160"/>
      <c r="J161" s="160"/>
    </row>
    <row r="162" spans="1:10">
      <c r="A162" s="157">
        <v>159</v>
      </c>
      <c r="B162" s="157" t="s">
        <v>2945</v>
      </c>
      <c r="C162" s="157">
        <v>20</v>
      </c>
      <c r="D162" s="157">
        <v>5</v>
      </c>
      <c r="E162" s="158">
        <v>3.6508790895730718</v>
      </c>
      <c r="F162" s="159">
        <v>13.976049502204432</v>
      </c>
      <c r="G162" s="159">
        <v>26.023950497795568</v>
      </c>
      <c r="I162" s="160"/>
      <c r="J162" s="160"/>
    </row>
    <row r="163" spans="1:10">
      <c r="A163" s="157">
        <v>159</v>
      </c>
      <c r="B163" s="157" t="s">
        <v>2944</v>
      </c>
      <c r="C163" s="157">
        <v>20</v>
      </c>
      <c r="D163" s="157">
        <v>4</v>
      </c>
      <c r="E163" s="158">
        <v>5.3121906321815855</v>
      </c>
      <c r="F163" s="159">
        <v>11.234885456900384</v>
      </c>
      <c r="G163" s="159">
        <v>28.765114543099614</v>
      </c>
      <c r="I163" s="160"/>
      <c r="J163" s="160"/>
    </row>
    <row r="164" spans="1:10">
      <c r="A164" s="157">
        <v>161</v>
      </c>
      <c r="B164" s="157" t="s">
        <v>2913</v>
      </c>
      <c r="C164" s="157">
        <v>19</v>
      </c>
      <c r="D164" s="157">
        <v>6</v>
      </c>
      <c r="E164" s="158">
        <v>1.7141685465310623</v>
      </c>
      <c r="F164" s="159">
        <v>16.171621898223748</v>
      </c>
      <c r="G164" s="159">
        <v>21.828378101776252</v>
      </c>
      <c r="I164" s="160"/>
      <c r="J164" s="160"/>
    </row>
    <row r="165" spans="1:10">
      <c r="A165" s="157">
        <v>161</v>
      </c>
      <c r="B165" s="157" t="s">
        <v>2943</v>
      </c>
      <c r="C165" s="157">
        <v>19</v>
      </c>
      <c r="D165" s="157">
        <v>4</v>
      </c>
      <c r="E165" s="158">
        <v>2.3672144885878899</v>
      </c>
      <c r="F165" s="159">
        <v>15.094096093829982</v>
      </c>
      <c r="G165" s="159">
        <v>22.905903906170018</v>
      </c>
      <c r="I165" s="160"/>
      <c r="J165" s="160"/>
    </row>
    <row r="166" spans="1:10">
      <c r="A166" s="157">
        <v>161</v>
      </c>
      <c r="B166" s="157" t="s">
        <v>2942</v>
      </c>
      <c r="C166" s="157">
        <v>19</v>
      </c>
      <c r="D166" s="157">
        <v>5</v>
      </c>
      <c r="E166" s="158">
        <v>2.8572886368515156</v>
      </c>
      <c r="F166" s="159">
        <v>14.285473749194999</v>
      </c>
      <c r="G166" s="159">
        <v>23.714526250805001</v>
      </c>
      <c r="I166" s="160"/>
      <c r="J166" s="160"/>
    </row>
    <row r="167" spans="1:10">
      <c r="A167" s="157">
        <v>161</v>
      </c>
      <c r="B167" s="157" t="s">
        <v>2904</v>
      </c>
      <c r="C167" s="157">
        <v>19</v>
      </c>
      <c r="D167" s="157">
        <v>7</v>
      </c>
      <c r="E167" s="158">
        <v>1.693653247401649</v>
      </c>
      <c r="F167" s="159">
        <v>16.205472141787279</v>
      </c>
      <c r="G167" s="159">
        <v>21.794527858212721</v>
      </c>
      <c r="I167" s="160"/>
      <c r="J167" s="160"/>
    </row>
    <row r="168" spans="1:10">
      <c r="A168" s="157">
        <v>161</v>
      </c>
      <c r="B168" s="157" t="s">
        <v>522</v>
      </c>
      <c r="C168" s="157">
        <v>19</v>
      </c>
      <c r="D168" s="157">
        <v>6</v>
      </c>
      <c r="E168" s="158">
        <v>2.3723519152826658</v>
      </c>
      <c r="F168" s="159">
        <v>15.085619339783602</v>
      </c>
      <c r="G168" s="159">
        <v>22.914380660216398</v>
      </c>
      <c r="I168" s="160"/>
      <c r="J168" s="160"/>
    </row>
    <row r="169" spans="1:10">
      <c r="A169" s="157">
        <v>166</v>
      </c>
      <c r="B169" s="157" t="s">
        <v>2941</v>
      </c>
      <c r="C169" s="157">
        <v>18</v>
      </c>
      <c r="D169" s="157">
        <v>4</v>
      </c>
      <c r="E169" s="158">
        <v>7.9060942348044847</v>
      </c>
      <c r="F169" s="159">
        <v>4.9549445125726006</v>
      </c>
      <c r="G169" s="159">
        <v>31.045055487427398</v>
      </c>
      <c r="I169" s="160"/>
      <c r="J169" s="160"/>
    </row>
    <row r="170" spans="1:10">
      <c r="A170" s="157">
        <v>166</v>
      </c>
      <c r="B170" s="157" t="s">
        <v>2940</v>
      </c>
      <c r="C170" s="157">
        <v>18</v>
      </c>
      <c r="D170" s="157">
        <v>5</v>
      </c>
      <c r="E170" s="158">
        <v>2.81220268605562</v>
      </c>
      <c r="F170" s="159">
        <v>13.359865568008228</v>
      </c>
      <c r="G170" s="159">
        <v>22.640134431991772</v>
      </c>
      <c r="I170" s="160"/>
      <c r="J170" s="160"/>
    </row>
    <row r="171" spans="1:10">
      <c r="A171" s="157">
        <v>166</v>
      </c>
      <c r="B171" s="157" t="s">
        <v>2939</v>
      </c>
      <c r="C171" s="157">
        <v>18</v>
      </c>
      <c r="D171" s="157">
        <v>6</v>
      </c>
      <c r="E171" s="158">
        <v>2.5443037524984038</v>
      </c>
      <c r="F171" s="159">
        <v>13.801898808377633</v>
      </c>
      <c r="G171" s="159">
        <v>22.198101191622367</v>
      </c>
      <c r="I171" s="160"/>
      <c r="J171" s="160"/>
    </row>
    <row r="172" spans="1:10">
      <c r="A172" s="157">
        <v>169</v>
      </c>
      <c r="B172" s="157" t="s">
        <v>2918</v>
      </c>
      <c r="C172" s="157">
        <v>17</v>
      </c>
      <c r="D172" s="157">
        <v>3</v>
      </c>
      <c r="E172" s="158">
        <v>2.8510115317341622</v>
      </c>
      <c r="F172" s="159">
        <v>12.295830972638633</v>
      </c>
      <c r="G172" s="159">
        <v>21.704169027361367</v>
      </c>
      <c r="I172" s="160"/>
      <c r="J172" s="160"/>
    </row>
    <row r="173" spans="1:10">
      <c r="A173" s="157">
        <v>170</v>
      </c>
      <c r="B173" s="157" t="s">
        <v>245</v>
      </c>
      <c r="C173" s="157">
        <v>16</v>
      </c>
      <c r="D173" s="157">
        <v>4</v>
      </c>
      <c r="E173" s="158">
        <v>2.3744578432950796</v>
      </c>
      <c r="F173" s="159">
        <v>12.082144558563119</v>
      </c>
      <c r="G173" s="159">
        <v>19.917855441436881</v>
      </c>
      <c r="I173" s="160"/>
      <c r="J173" s="160"/>
    </row>
    <row r="174" spans="1:10">
      <c r="A174" s="157">
        <v>171</v>
      </c>
      <c r="B174" s="157" t="s">
        <v>2938</v>
      </c>
      <c r="C174" s="157">
        <v>15</v>
      </c>
      <c r="D174" s="157">
        <v>3</v>
      </c>
      <c r="E174" s="158">
        <v>2.3516950779206609</v>
      </c>
      <c r="F174" s="159">
        <v>11.119703121430909</v>
      </c>
      <c r="G174" s="159">
        <v>18.880296878569091</v>
      </c>
      <c r="I174" s="160"/>
      <c r="J174" s="160"/>
    </row>
    <row r="175" spans="1:10">
      <c r="A175" s="157">
        <v>172</v>
      </c>
      <c r="B175" s="157" t="s">
        <v>16</v>
      </c>
      <c r="C175" s="157">
        <v>12</v>
      </c>
      <c r="D175" s="157">
        <v>4</v>
      </c>
      <c r="E175" s="158">
        <v>1.2886908852741683</v>
      </c>
      <c r="F175" s="159">
        <v>9.8736600392976221</v>
      </c>
      <c r="G175" s="159">
        <v>14.126339960702378</v>
      </c>
      <c r="I175" s="160"/>
      <c r="J175" s="160"/>
    </row>
    <row r="176" spans="1:10">
      <c r="A176" s="157">
        <v>173</v>
      </c>
      <c r="B176" s="157" t="s">
        <v>2911</v>
      </c>
      <c r="C176" s="157">
        <v>11</v>
      </c>
      <c r="D176" s="157">
        <v>6</v>
      </c>
      <c r="E176" s="158">
        <v>3.5463602295490304</v>
      </c>
      <c r="F176" s="159">
        <v>5.1485056212440998</v>
      </c>
      <c r="G176" s="159">
        <v>16.851494378755902</v>
      </c>
      <c r="I176" s="160"/>
      <c r="J176" s="160"/>
    </row>
    <row r="177" spans="1:10">
      <c r="A177" s="157">
        <v>174</v>
      </c>
      <c r="B177" s="157" t="s">
        <v>2937</v>
      </c>
      <c r="C177" s="157">
        <v>8</v>
      </c>
      <c r="D177" s="157">
        <v>3</v>
      </c>
      <c r="E177" s="158">
        <v>3.3503719936227245</v>
      </c>
      <c r="F177" s="159">
        <v>2.4718862105225048</v>
      </c>
      <c r="G177" s="159">
        <v>13.528113789477494</v>
      </c>
      <c r="I177" s="160"/>
      <c r="J177" s="160"/>
    </row>
    <row r="178" spans="1:10">
      <c r="A178" s="157">
        <v>174</v>
      </c>
      <c r="B178" s="157" t="s">
        <v>2936</v>
      </c>
      <c r="C178" s="157">
        <v>8</v>
      </c>
      <c r="D178" s="157">
        <v>4</v>
      </c>
      <c r="E178" s="158">
        <v>2.3405133153713513</v>
      </c>
      <c r="F178" s="159">
        <v>4.1381530296372704</v>
      </c>
      <c r="G178" s="159">
        <v>11.861846970362731</v>
      </c>
      <c r="I178" s="160"/>
      <c r="J178" s="160"/>
    </row>
  </sheetData>
  <mergeCells count="6">
    <mergeCell ref="F2:G2"/>
    <mergeCell ref="A2:A3"/>
    <mergeCell ref="B2:B3"/>
    <mergeCell ref="C2:C3"/>
    <mergeCell ref="D2:D3"/>
    <mergeCell ref="E2:E3"/>
  </mergeCells>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9"/>
  <sheetViews>
    <sheetView zoomScale="80" zoomScaleNormal="80" zoomScalePageLayoutView="80" workbookViewId="0">
      <pane ySplit="1" topLeftCell="A2" activePane="bottomLeft" state="frozen"/>
      <selection pane="bottomLeft" activeCell="Q661" sqref="Q661"/>
    </sheetView>
  </sheetViews>
  <sheetFormatPr defaultColWidth="8.85546875" defaultRowHeight="15"/>
  <cols>
    <col min="1" max="14" width="20.7109375" style="114" customWidth="1"/>
    <col min="15" max="15" width="20.7109375" style="475" customWidth="1"/>
    <col min="16" max="16" width="54.7109375" style="479" customWidth="1"/>
    <col min="17" max="16384" width="8.85546875" style="98"/>
  </cols>
  <sheetData>
    <row r="1" spans="1:17" s="96" customFormat="1" ht="60.75" customHeight="1" thickBot="1">
      <c r="A1" s="95" t="s">
        <v>0</v>
      </c>
      <c r="B1" s="95" t="s">
        <v>2275</v>
      </c>
      <c r="C1" s="533" t="s">
        <v>2</v>
      </c>
      <c r="D1" s="536" t="s">
        <v>3</v>
      </c>
      <c r="E1" s="537" t="s">
        <v>3752</v>
      </c>
      <c r="F1" s="538" t="s">
        <v>5</v>
      </c>
      <c r="G1" s="538" t="s">
        <v>553</v>
      </c>
      <c r="H1" s="538" t="s">
        <v>3753</v>
      </c>
      <c r="I1" s="539" t="s">
        <v>2276</v>
      </c>
      <c r="J1" s="539" t="s">
        <v>3754</v>
      </c>
      <c r="K1" s="539" t="s">
        <v>555</v>
      </c>
      <c r="L1" s="540" t="s">
        <v>3755</v>
      </c>
      <c r="M1" s="540" t="s">
        <v>3704</v>
      </c>
      <c r="N1" s="540" t="s">
        <v>3756</v>
      </c>
      <c r="O1" s="540" t="s">
        <v>3757</v>
      </c>
      <c r="P1" s="541" t="s">
        <v>557</v>
      </c>
    </row>
    <row r="2" spans="1:17" ht="15" customHeight="1">
      <c r="A2" s="97" t="s">
        <v>205</v>
      </c>
      <c r="B2" s="97">
        <v>2010</v>
      </c>
      <c r="C2" s="97" t="s">
        <v>189</v>
      </c>
      <c r="D2" s="542" t="s">
        <v>81</v>
      </c>
      <c r="E2" s="101" t="s">
        <v>2277</v>
      </c>
      <c r="F2" s="101" t="s">
        <v>98</v>
      </c>
      <c r="G2" s="101" t="s">
        <v>98</v>
      </c>
      <c r="H2" s="18">
        <v>1181088</v>
      </c>
      <c r="I2" s="27" t="s">
        <v>2278</v>
      </c>
      <c r="J2" s="101" t="s">
        <v>871</v>
      </c>
      <c r="K2" s="101"/>
      <c r="L2" s="101" t="s">
        <v>2279</v>
      </c>
      <c r="M2" s="101" t="s">
        <v>871</v>
      </c>
      <c r="N2" s="101" t="s">
        <v>871</v>
      </c>
      <c r="O2" s="472">
        <v>19</v>
      </c>
      <c r="P2" s="543"/>
    </row>
    <row r="3" spans="1:17" ht="15" customHeight="1">
      <c r="A3" s="97" t="s">
        <v>205</v>
      </c>
      <c r="B3" s="97">
        <v>2010</v>
      </c>
      <c r="C3" s="97" t="s">
        <v>189</v>
      </c>
      <c r="D3" s="542" t="s">
        <v>81</v>
      </c>
      <c r="E3" s="101" t="s">
        <v>2277</v>
      </c>
      <c r="F3" s="101" t="s">
        <v>98</v>
      </c>
      <c r="G3" s="101"/>
      <c r="H3" s="18"/>
      <c r="I3" s="27"/>
      <c r="J3" s="101"/>
      <c r="K3" s="101"/>
      <c r="L3" s="101" t="s">
        <v>2280</v>
      </c>
      <c r="M3" s="18"/>
      <c r="N3" s="18"/>
      <c r="O3" s="472"/>
      <c r="P3" s="543"/>
    </row>
    <row r="4" spans="1:17" ht="15" customHeight="1">
      <c r="A4" s="97" t="s">
        <v>205</v>
      </c>
      <c r="B4" s="97">
        <v>2010</v>
      </c>
      <c r="C4" s="97" t="s">
        <v>189</v>
      </c>
      <c r="D4" s="542" t="s">
        <v>81</v>
      </c>
      <c r="E4" s="101" t="s">
        <v>2277</v>
      </c>
      <c r="F4" s="101" t="s">
        <v>98</v>
      </c>
      <c r="G4" s="101"/>
      <c r="H4" s="18"/>
      <c r="I4" s="27"/>
      <c r="J4" s="101"/>
      <c r="K4" s="101"/>
      <c r="L4" s="101" t="s">
        <v>2281</v>
      </c>
      <c r="M4" s="18"/>
      <c r="N4" s="18"/>
      <c r="O4" s="472"/>
      <c r="P4" s="543"/>
    </row>
    <row r="5" spans="1:17" ht="15" customHeight="1">
      <c r="A5" s="97" t="s">
        <v>205</v>
      </c>
      <c r="B5" s="97">
        <v>2010</v>
      </c>
      <c r="C5" s="97" t="s">
        <v>189</v>
      </c>
      <c r="D5" s="542" t="s">
        <v>81</v>
      </c>
      <c r="E5" s="101" t="s">
        <v>2277</v>
      </c>
      <c r="F5" s="101" t="s">
        <v>98</v>
      </c>
      <c r="G5" s="101"/>
      <c r="H5" s="18"/>
      <c r="I5" s="27"/>
      <c r="J5" s="101"/>
      <c r="K5" s="101"/>
      <c r="L5" s="101" t="s">
        <v>2282</v>
      </c>
      <c r="M5" s="18"/>
      <c r="N5" s="18"/>
      <c r="O5" s="472"/>
      <c r="P5" s="543"/>
    </row>
    <row r="6" spans="1:17" ht="15" customHeight="1">
      <c r="A6" s="97" t="s">
        <v>205</v>
      </c>
      <c r="B6" s="97">
        <v>2010</v>
      </c>
      <c r="C6" s="97" t="s">
        <v>189</v>
      </c>
      <c r="D6" s="542" t="s">
        <v>81</v>
      </c>
      <c r="E6" s="101" t="s">
        <v>2277</v>
      </c>
      <c r="F6" s="101" t="s">
        <v>98</v>
      </c>
      <c r="G6" s="101"/>
      <c r="H6" s="18"/>
      <c r="I6" s="27"/>
      <c r="J6" s="101"/>
      <c r="K6" s="101"/>
      <c r="L6" s="101" t="s">
        <v>2283</v>
      </c>
      <c r="M6" s="18"/>
      <c r="N6" s="18"/>
      <c r="O6" s="472"/>
      <c r="P6" s="543"/>
    </row>
    <row r="7" spans="1:17" ht="15" customHeight="1">
      <c r="A7" s="97" t="s">
        <v>205</v>
      </c>
      <c r="B7" s="97">
        <v>2010</v>
      </c>
      <c r="C7" s="97" t="s">
        <v>189</v>
      </c>
      <c r="D7" s="542" t="s">
        <v>81</v>
      </c>
      <c r="E7" s="101" t="s">
        <v>2277</v>
      </c>
      <c r="F7" s="101" t="s">
        <v>98</v>
      </c>
      <c r="G7" s="101"/>
      <c r="H7" s="18"/>
      <c r="I7" s="27"/>
      <c r="J7" s="101"/>
      <c r="K7" s="101"/>
      <c r="L7" s="101" t="s">
        <v>2284</v>
      </c>
      <c r="M7" s="18"/>
      <c r="N7" s="18"/>
      <c r="O7" s="472"/>
      <c r="P7" s="543"/>
    </row>
    <row r="8" spans="1:17" s="100" customFormat="1" ht="15" customHeight="1">
      <c r="A8" s="99" t="s">
        <v>208</v>
      </c>
      <c r="B8" s="99">
        <v>2011</v>
      </c>
      <c r="C8" s="99" t="s">
        <v>189</v>
      </c>
      <c r="D8" s="544" t="s">
        <v>81</v>
      </c>
      <c r="E8" s="99" t="s">
        <v>2277</v>
      </c>
      <c r="F8" s="99" t="s">
        <v>98</v>
      </c>
      <c r="G8" s="99" t="s">
        <v>98</v>
      </c>
      <c r="H8" s="34">
        <v>24195895</v>
      </c>
      <c r="I8" s="33" t="s">
        <v>2278</v>
      </c>
      <c r="J8" s="99">
        <v>113.075</v>
      </c>
      <c r="K8" s="99" t="s">
        <v>626</v>
      </c>
      <c r="L8" s="99" t="s">
        <v>2285</v>
      </c>
      <c r="M8" s="99" t="s">
        <v>871</v>
      </c>
      <c r="N8" s="99" t="s">
        <v>871</v>
      </c>
      <c r="O8" s="471" t="s">
        <v>2286</v>
      </c>
      <c r="P8" s="545"/>
    </row>
    <row r="9" spans="1:17" s="102" customFormat="1" ht="15" customHeight="1">
      <c r="A9" s="101" t="s">
        <v>208</v>
      </c>
      <c r="B9" s="101">
        <v>2011</v>
      </c>
      <c r="C9" s="101" t="s">
        <v>189</v>
      </c>
      <c r="D9" s="542" t="s">
        <v>81</v>
      </c>
      <c r="E9" s="101" t="s">
        <v>2277</v>
      </c>
      <c r="F9" s="101" t="s">
        <v>98</v>
      </c>
      <c r="G9" s="101"/>
      <c r="H9" s="18"/>
      <c r="I9" s="27"/>
      <c r="J9" s="101"/>
      <c r="K9" s="101"/>
      <c r="L9" s="101" t="s">
        <v>2287</v>
      </c>
      <c r="M9" s="18"/>
      <c r="N9" s="18"/>
      <c r="O9" s="472"/>
      <c r="P9" s="543"/>
    </row>
    <row r="10" spans="1:17" s="102" customFormat="1" ht="15" customHeight="1">
      <c r="A10" s="101" t="s">
        <v>208</v>
      </c>
      <c r="B10" s="101">
        <v>2011</v>
      </c>
      <c r="C10" s="101" t="s">
        <v>189</v>
      </c>
      <c r="D10" s="542" t="s">
        <v>81</v>
      </c>
      <c r="E10" s="101" t="s">
        <v>2277</v>
      </c>
      <c r="F10" s="101" t="s">
        <v>98</v>
      </c>
      <c r="G10" s="101"/>
      <c r="H10" s="18"/>
      <c r="I10" s="27"/>
      <c r="J10" s="101"/>
      <c r="K10" s="101"/>
      <c r="L10" s="101" t="s">
        <v>2288</v>
      </c>
      <c r="M10" s="18"/>
      <c r="N10" s="18"/>
      <c r="O10" s="472"/>
      <c r="P10" s="543"/>
    </row>
    <row r="11" spans="1:17" s="102" customFormat="1" ht="15" customHeight="1">
      <c r="A11" s="101" t="s">
        <v>208</v>
      </c>
      <c r="B11" s="101">
        <v>2011</v>
      </c>
      <c r="C11" s="101" t="s">
        <v>189</v>
      </c>
      <c r="D11" s="542" t="s">
        <v>81</v>
      </c>
      <c r="E11" s="101" t="s">
        <v>2277</v>
      </c>
      <c r="F11" s="101" t="s">
        <v>98</v>
      </c>
      <c r="G11" s="101"/>
      <c r="H11" s="18"/>
      <c r="I11" s="27"/>
      <c r="J11" s="101"/>
      <c r="K11" s="101"/>
      <c r="L11" s="101" t="s">
        <v>2289</v>
      </c>
      <c r="M11" s="18"/>
      <c r="N11" s="18"/>
      <c r="O11" s="472"/>
      <c r="P11" s="543"/>
    </row>
    <row r="12" spans="1:17" s="104" customFormat="1" ht="15" customHeight="1" thickBot="1">
      <c r="A12" s="103" t="s">
        <v>208</v>
      </c>
      <c r="B12" s="103">
        <v>2011</v>
      </c>
      <c r="C12" s="103" t="s">
        <v>189</v>
      </c>
      <c r="D12" s="546" t="s">
        <v>81</v>
      </c>
      <c r="E12" s="103" t="s">
        <v>2277</v>
      </c>
      <c r="F12" s="103" t="s">
        <v>98</v>
      </c>
      <c r="G12" s="103"/>
      <c r="H12" s="38"/>
      <c r="I12" s="37"/>
      <c r="J12" s="103"/>
      <c r="K12" s="103"/>
      <c r="L12" s="103" t="s">
        <v>2290</v>
      </c>
      <c r="M12" s="38"/>
      <c r="N12" s="38"/>
      <c r="O12" s="473"/>
      <c r="P12" s="547"/>
    </row>
    <row r="13" spans="1:17" ht="15" customHeight="1">
      <c r="A13" s="97" t="s">
        <v>236</v>
      </c>
      <c r="B13" s="97">
        <v>2009</v>
      </c>
      <c r="C13" s="97" t="s">
        <v>237</v>
      </c>
      <c r="D13" s="332" t="s">
        <v>238</v>
      </c>
      <c r="E13" s="101" t="s">
        <v>2291</v>
      </c>
      <c r="F13" s="101" t="s">
        <v>50</v>
      </c>
      <c r="G13" s="101" t="s">
        <v>2292</v>
      </c>
      <c r="H13" s="18" t="s">
        <v>871</v>
      </c>
      <c r="I13" s="27"/>
      <c r="J13" s="101"/>
      <c r="K13" s="101"/>
      <c r="L13" s="101" t="s">
        <v>2293</v>
      </c>
      <c r="M13" s="18">
        <v>5477067000</v>
      </c>
      <c r="N13" s="18">
        <v>5477072000</v>
      </c>
      <c r="O13" s="472" t="s">
        <v>2294</v>
      </c>
      <c r="P13" s="548" t="s">
        <v>3705</v>
      </c>
      <c r="Q13" s="97"/>
    </row>
    <row r="14" spans="1:17" ht="15" customHeight="1">
      <c r="A14" s="97" t="s">
        <v>236</v>
      </c>
      <c r="B14" s="97">
        <v>2009</v>
      </c>
      <c r="C14" s="97" t="s">
        <v>237</v>
      </c>
      <c r="D14" s="332" t="s">
        <v>238</v>
      </c>
      <c r="E14" s="101" t="s">
        <v>2295</v>
      </c>
      <c r="F14" s="101" t="s">
        <v>50</v>
      </c>
      <c r="G14" s="101" t="s">
        <v>2292</v>
      </c>
      <c r="H14" s="18" t="s">
        <v>871</v>
      </c>
      <c r="I14" s="27"/>
      <c r="J14" s="101"/>
      <c r="K14" s="101"/>
      <c r="L14" s="101" t="s">
        <v>2296</v>
      </c>
      <c r="M14" s="18">
        <v>371120000</v>
      </c>
      <c r="N14" s="18">
        <v>371121000</v>
      </c>
      <c r="O14" s="472" t="s">
        <v>2297</v>
      </c>
      <c r="P14" s="543"/>
      <c r="Q14" s="97"/>
    </row>
    <row r="15" spans="1:17" ht="15" customHeight="1">
      <c r="A15" s="97" t="s">
        <v>236</v>
      </c>
      <c r="B15" s="97">
        <v>2009</v>
      </c>
      <c r="C15" s="97" t="s">
        <v>237</v>
      </c>
      <c r="D15" s="332" t="s">
        <v>238</v>
      </c>
      <c r="E15" s="101" t="s">
        <v>2298</v>
      </c>
      <c r="F15" s="101" t="s">
        <v>50</v>
      </c>
      <c r="G15" s="101" t="s">
        <v>2292</v>
      </c>
      <c r="H15" s="18" t="s">
        <v>871</v>
      </c>
      <c r="I15" s="27"/>
      <c r="J15" s="101"/>
      <c r="K15" s="101"/>
      <c r="L15" s="101" t="s">
        <v>2299</v>
      </c>
      <c r="M15" s="18">
        <v>189152000</v>
      </c>
      <c r="N15" s="18">
        <v>186646000</v>
      </c>
      <c r="O15" s="472" t="s">
        <v>2300</v>
      </c>
      <c r="P15" s="543"/>
      <c r="Q15" s="97"/>
    </row>
    <row r="16" spans="1:17" ht="15" customHeight="1">
      <c r="A16" s="97" t="s">
        <v>236</v>
      </c>
      <c r="B16" s="97">
        <v>2009</v>
      </c>
      <c r="C16" s="97" t="s">
        <v>237</v>
      </c>
      <c r="D16" s="332" t="s">
        <v>238</v>
      </c>
      <c r="E16" s="101" t="s">
        <v>2301</v>
      </c>
      <c r="F16" s="101" t="s">
        <v>50</v>
      </c>
      <c r="G16" s="101" t="s">
        <v>2292</v>
      </c>
      <c r="H16" s="18" t="s">
        <v>871</v>
      </c>
      <c r="I16" s="27"/>
      <c r="J16" s="101"/>
      <c r="K16" s="101"/>
      <c r="L16" s="101" t="s">
        <v>2302</v>
      </c>
      <c r="M16" s="18">
        <v>34868000</v>
      </c>
      <c r="N16" s="18">
        <v>34868000</v>
      </c>
      <c r="O16" s="472" t="s">
        <v>2303</v>
      </c>
      <c r="P16" s="543"/>
      <c r="Q16" s="97"/>
    </row>
    <row r="17" spans="1:17" ht="15" customHeight="1">
      <c r="A17" s="97" t="s">
        <v>236</v>
      </c>
      <c r="B17" s="97">
        <v>2009</v>
      </c>
      <c r="C17" s="97" t="s">
        <v>237</v>
      </c>
      <c r="D17" s="332" t="s">
        <v>238</v>
      </c>
      <c r="E17" s="101" t="s">
        <v>2304</v>
      </c>
      <c r="F17" s="101" t="s">
        <v>50</v>
      </c>
      <c r="G17" s="101" t="s">
        <v>2292</v>
      </c>
      <c r="H17" s="18" t="s">
        <v>871</v>
      </c>
      <c r="I17" s="27"/>
      <c r="J17" s="101"/>
      <c r="K17" s="101"/>
      <c r="L17" s="101" t="s">
        <v>2305</v>
      </c>
      <c r="M17" s="18">
        <v>9123000</v>
      </c>
      <c r="N17" s="18">
        <v>8797000</v>
      </c>
      <c r="O17" s="472" t="s">
        <v>2306</v>
      </c>
      <c r="P17" s="543"/>
      <c r="Q17" s="97"/>
    </row>
    <row r="18" spans="1:17" ht="15" customHeight="1">
      <c r="A18" s="97" t="s">
        <v>236</v>
      </c>
      <c r="B18" s="97">
        <v>2009</v>
      </c>
      <c r="C18" s="97" t="s">
        <v>237</v>
      </c>
      <c r="D18" s="332" t="s">
        <v>238</v>
      </c>
      <c r="E18" s="101" t="s">
        <v>2307</v>
      </c>
      <c r="F18" s="101" t="s">
        <v>50</v>
      </c>
      <c r="G18" s="101" t="s">
        <v>2292</v>
      </c>
      <c r="H18" s="18" t="s">
        <v>871</v>
      </c>
      <c r="I18" s="27"/>
      <c r="J18" s="101"/>
      <c r="K18" s="101"/>
      <c r="L18" s="101" t="s">
        <v>2308</v>
      </c>
      <c r="M18" s="18">
        <v>2597509000</v>
      </c>
      <c r="N18" s="18">
        <v>2597509000</v>
      </c>
      <c r="O18" s="472" t="s">
        <v>2309</v>
      </c>
      <c r="P18" s="543"/>
      <c r="Q18" s="97"/>
    </row>
    <row r="19" spans="1:17" ht="15" customHeight="1">
      <c r="A19" s="97" t="s">
        <v>236</v>
      </c>
      <c r="B19" s="97">
        <v>2009</v>
      </c>
      <c r="C19" s="97" t="s">
        <v>237</v>
      </c>
      <c r="D19" s="332" t="s">
        <v>238</v>
      </c>
      <c r="E19" s="101" t="s">
        <v>2307</v>
      </c>
      <c r="F19" s="101" t="s">
        <v>50</v>
      </c>
      <c r="G19" s="101"/>
      <c r="H19" s="18" t="s">
        <v>871</v>
      </c>
      <c r="I19" s="27"/>
      <c r="J19" s="101"/>
      <c r="K19" s="101"/>
      <c r="L19" s="101" t="s">
        <v>2310</v>
      </c>
      <c r="M19" s="18">
        <v>2290007000</v>
      </c>
      <c r="N19" s="18">
        <v>1456838000</v>
      </c>
      <c r="O19" s="472" t="s">
        <v>2311</v>
      </c>
      <c r="P19" s="543"/>
      <c r="Q19" s="97"/>
    </row>
    <row r="20" spans="1:17" ht="15" customHeight="1">
      <c r="A20" s="97" t="s">
        <v>236</v>
      </c>
      <c r="B20" s="97">
        <v>2009</v>
      </c>
      <c r="C20" s="97" t="s">
        <v>237</v>
      </c>
      <c r="D20" s="332" t="s">
        <v>238</v>
      </c>
      <c r="E20" s="101" t="s">
        <v>2312</v>
      </c>
      <c r="F20" s="101" t="s">
        <v>50</v>
      </c>
      <c r="G20" s="101" t="s">
        <v>2292</v>
      </c>
      <c r="H20" s="18" t="s">
        <v>871</v>
      </c>
      <c r="I20" s="27"/>
      <c r="J20" s="101"/>
      <c r="K20" s="101"/>
      <c r="L20" s="101" t="s">
        <v>2313</v>
      </c>
      <c r="M20" s="18">
        <v>1233560000</v>
      </c>
      <c r="N20" s="18">
        <v>1233561000</v>
      </c>
      <c r="O20" s="472" t="s">
        <v>2314</v>
      </c>
      <c r="P20" s="543"/>
      <c r="Q20" s="97"/>
    </row>
    <row r="21" spans="1:17" ht="15" customHeight="1">
      <c r="A21" s="97" t="s">
        <v>236</v>
      </c>
      <c r="B21" s="97">
        <v>2009</v>
      </c>
      <c r="C21" s="97" t="s">
        <v>237</v>
      </c>
      <c r="D21" s="332" t="s">
        <v>238</v>
      </c>
      <c r="E21" s="101" t="s">
        <v>2315</v>
      </c>
      <c r="F21" s="101" t="s">
        <v>50</v>
      </c>
      <c r="G21" s="101" t="s">
        <v>2292</v>
      </c>
      <c r="H21" s="18" t="s">
        <v>871</v>
      </c>
      <c r="I21" s="27"/>
      <c r="J21" s="101"/>
      <c r="K21" s="101"/>
      <c r="L21" s="101" t="s">
        <v>2316</v>
      </c>
      <c r="M21" s="18">
        <v>1272176000</v>
      </c>
      <c r="N21" s="18">
        <v>1272238000</v>
      </c>
      <c r="O21" s="472" t="s">
        <v>2317</v>
      </c>
      <c r="P21" s="543"/>
      <c r="Q21" s="97"/>
    </row>
    <row r="22" spans="1:17" ht="15" customHeight="1">
      <c r="A22" s="97" t="s">
        <v>236</v>
      </c>
      <c r="B22" s="97">
        <v>2009</v>
      </c>
      <c r="C22" s="97" t="s">
        <v>237</v>
      </c>
      <c r="D22" s="332" t="s">
        <v>238</v>
      </c>
      <c r="E22" s="101" t="s">
        <v>2318</v>
      </c>
      <c r="F22" s="101" t="s">
        <v>50</v>
      </c>
      <c r="G22" s="101" t="s">
        <v>2292</v>
      </c>
      <c r="H22" s="18" t="s">
        <v>871</v>
      </c>
      <c r="I22" s="27"/>
      <c r="J22" s="101"/>
      <c r="K22" s="101"/>
      <c r="L22" s="101" t="s">
        <v>2319</v>
      </c>
      <c r="M22" s="18">
        <v>6958000</v>
      </c>
      <c r="N22" s="18">
        <v>6047000</v>
      </c>
      <c r="O22" s="472" t="s">
        <v>2320</v>
      </c>
      <c r="P22" s="543"/>
      <c r="Q22" s="97"/>
    </row>
    <row r="23" spans="1:17" ht="15" customHeight="1">
      <c r="A23" s="97" t="s">
        <v>236</v>
      </c>
      <c r="B23" s="97">
        <v>2009</v>
      </c>
      <c r="C23" s="97" t="s">
        <v>237</v>
      </c>
      <c r="D23" s="332" t="s">
        <v>238</v>
      </c>
      <c r="E23" s="101" t="s">
        <v>2321</v>
      </c>
      <c r="F23" s="101" t="s">
        <v>50</v>
      </c>
      <c r="G23" s="101" t="s">
        <v>2292</v>
      </c>
      <c r="H23" s="18" t="s">
        <v>871</v>
      </c>
      <c r="I23" s="27"/>
      <c r="J23" s="101"/>
      <c r="K23" s="101"/>
      <c r="L23" s="101" t="s">
        <v>2322</v>
      </c>
      <c r="M23" s="18">
        <v>1387958000</v>
      </c>
      <c r="N23" s="18">
        <v>1367305000</v>
      </c>
      <c r="O23" s="472" t="s">
        <v>2323</v>
      </c>
      <c r="P23" s="543"/>
      <c r="Q23" s="97"/>
    </row>
    <row r="24" spans="1:17" ht="15" customHeight="1">
      <c r="A24" s="97" t="s">
        <v>236</v>
      </c>
      <c r="B24" s="97">
        <v>2009</v>
      </c>
      <c r="C24" s="97" t="s">
        <v>237</v>
      </c>
      <c r="D24" s="332" t="s">
        <v>238</v>
      </c>
      <c r="E24" s="101" t="s">
        <v>2324</v>
      </c>
      <c r="F24" s="101" t="s">
        <v>50</v>
      </c>
      <c r="G24" s="101" t="s">
        <v>2292</v>
      </c>
      <c r="H24" s="18" t="s">
        <v>871</v>
      </c>
      <c r="I24" s="27"/>
      <c r="J24" s="101"/>
      <c r="K24" s="101"/>
      <c r="L24" s="101" t="s">
        <v>2325</v>
      </c>
      <c r="M24" s="18">
        <v>666025000</v>
      </c>
      <c r="N24" s="18">
        <v>670618000</v>
      </c>
      <c r="O24" s="472" t="s">
        <v>2326</v>
      </c>
      <c r="P24" s="543"/>
      <c r="Q24" s="97"/>
    </row>
    <row r="25" spans="1:17" ht="15" customHeight="1">
      <c r="A25" s="97" t="s">
        <v>236</v>
      </c>
      <c r="B25" s="97">
        <v>2009</v>
      </c>
      <c r="C25" s="97" t="s">
        <v>237</v>
      </c>
      <c r="D25" s="332" t="s">
        <v>238</v>
      </c>
      <c r="E25" s="101" t="s">
        <v>2327</v>
      </c>
      <c r="F25" s="101" t="s">
        <v>50</v>
      </c>
      <c r="G25" s="101" t="s">
        <v>2292</v>
      </c>
      <c r="H25" s="18" t="s">
        <v>871</v>
      </c>
      <c r="I25" s="27"/>
      <c r="J25" s="101"/>
      <c r="K25" s="101"/>
      <c r="L25" s="101" t="s">
        <v>2328</v>
      </c>
      <c r="M25" s="18">
        <v>355402000</v>
      </c>
      <c r="N25" s="18">
        <v>355402000</v>
      </c>
      <c r="O25" s="472" t="s">
        <v>2329</v>
      </c>
      <c r="P25" s="543"/>
      <c r="Q25" s="97"/>
    </row>
    <row r="26" spans="1:17" ht="15" customHeight="1">
      <c r="A26" s="97" t="s">
        <v>236</v>
      </c>
      <c r="B26" s="97">
        <v>2009</v>
      </c>
      <c r="C26" s="97" t="s">
        <v>237</v>
      </c>
      <c r="D26" s="332" t="s">
        <v>238</v>
      </c>
      <c r="E26" s="101" t="s">
        <v>2330</v>
      </c>
      <c r="F26" s="101" t="s">
        <v>50</v>
      </c>
      <c r="G26" s="101" t="s">
        <v>2292</v>
      </c>
      <c r="H26" s="18" t="s">
        <v>871</v>
      </c>
      <c r="I26" s="27"/>
      <c r="J26" s="101"/>
      <c r="K26" s="101"/>
      <c r="L26" s="101" t="s">
        <v>2331</v>
      </c>
      <c r="M26" s="18">
        <v>330720000</v>
      </c>
      <c r="N26" s="18">
        <v>330721000</v>
      </c>
      <c r="O26" s="472" t="s">
        <v>2332</v>
      </c>
      <c r="P26" s="543"/>
      <c r="Q26" s="97"/>
    </row>
    <row r="27" spans="1:17" ht="15" customHeight="1">
      <c r="A27" s="97" t="s">
        <v>236</v>
      </c>
      <c r="B27" s="97">
        <v>2009</v>
      </c>
      <c r="C27" s="97" t="s">
        <v>237</v>
      </c>
      <c r="D27" s="332" t="s">
        <v>238</v>
      </c>
      <c r="E27" s="101" t="s">
        <v>2333</v>
      </c>
      <c r="F27" s="101" t="s">
        <v>50</v>
      </c>
      <c r="G27" s="101" t="s">
        <v>2292</v>
      </c>
      <c r="H27" s="18" t="s">
        <v>871</v>
      </c>
      <c r="I27" s="27"/>
      <c r="J27" s="101"/>
      <c r="K27" s="101"/>
      <c r="L27" s="101" t="s">
        <v>2334</v>
      </c>
      <c r="M27" s="18">
        <v>22792000</v>
      </c>
      <c r="N27" s="18">
        <v>22792000</v>
      </c>
      <c r="O27" s="472" t="s">
        <v>2335</v>
      </c>
      <c r="P27" s="543"/>
      <c r="Q27" s="97"/>
    </row>
    <row r="28" spans="1:17" ht="15" customHeight="1">
      <c r="A28" s="97" t="s">
        <v>236</v>
      </c>
      <c r="B28" s="97">
        <v>2009</v>
      </c>
      <c r="C28" s="97" t="s">
        <v>237</v>
      </c>
      <c r="D28" s="332" t="s">
        <v>238</v>
      </c>
      <c r="E28" s="101" t="s">
        <v>2336</v>
      </c>
      <c r="F28" s="101" t="s">
        <v>50</v>
      </c>
      <c r="G28" s="101" t="s">
        <v>2292</v>
      </c>
      <c r="H28" s="18" t="s">
        <v>871</v>
      </c>
      <c r="I28" s="27"/>
      <c r="J28" s="101"/>
      <c r="K28" s="101"/>
      <c r="L28" s="101" t="s">
        <v>2337</v>
      </c>
      <c r="M28" s="18">
        <v>906000</v>
      </c>
      <c r="N28" s="18">
        <v>1146000</v>
      </c>
      <c r="O28" s="472" t="s">
        <v>2338</v>
      </c>
      <c r="P28" s="543"/>
      <c r="Q28" s="97"/>
    </row>
    <row r="29" spans="1:17" ht="15" customHeight="1">
      <c r="A29" s="97" t="s">
        <v>236</v>
      </c>
      <c r="B29" s="97">
        <v>2009</v>
      </c>
      <c r="C29" s="97" t="s">
        <v>237</v>
      </c>
      <c r="D29" s="332" t="s">
        <v>238</v>
      </c>
      <c r="E29" s="101" t="s">
        <v>2339</v>
      </c>
      <c r="F29" s="101" t="s">
        <v>50</v>
      </c>
      <c r="G29" s="101" t="s">
        <v>2292</v>
      </c>
      <c r="H29" s="18" t="s">
        <v>871</v>
      </c>
      <c r="I29" s="27"/>
      <c r="J29" s="101"/>
      <c r="K29" s="101"/>
      <c r="L29" s="101" t="s">
        <v>2340</v>
      </c>
      <c r="M29" s="18">
        <v>577228000</v>
      </c>
      <c r="N29" s="18">
        <v>561290000</v>
      </c>
      <c r="O29" s="472" t="s">
        <v>2341</v>
      </c>
      <c r="P29" s="543"/>
      <c r="Q29" s="97"/>
    </row>
    <row r="30" spans="1:17" ht="15" customHeight="1">
      <c r="A30" s="97" t="s">
        <v>236</v>
      </c>
      <c r="B30" s="97">
        <v>2009</v>
      </c>
      <c r="C30" s="97" t="s">
        <v>237</v>
      </c>
      <c r="D30" s="332" t="s">
        <v>238</v>
      </c>
      <c r="E30" s="101" t="s">
        <v>2342</v>
      </c>
      <c r="F30" s="101" t="s">
        <v>50</v>
      </c>
      <c r="G30" s="101" t="s">
        <v>2292</v>
      </c>
      <c r="H30" s="18" t="s">
        <v>871</v>
      </c>
      <c r="I30" s="27"/>
      <c r="J30" s="101"/>
      <c r="K30" s="101"/>
      <c r="L30" s="101" t="s">
        <v>2343</v>
      </c>
      <c r="M30" s="18">
        <v>318379000</v>
      </c>
      <c r="N30" s="18">
        <v>319903000</v>
      </c>
      <c r="O30" s="472" t="s">
        <v>2344</v>
      </c>
      <c r="P30" s="543"/>
      <c r="Q30" s="97"/>
    </row>
    <row r="31" spans="1:17" ht="15" customHeight="1">
      <c r="A31" s="97" t="s">
        <v>236</v>
      </c>
      <c r="B31" s="97">
        <v>2009</v>
      </c>
      <c r="C31" s="97" t="s">
        <v>237</v>
      </c>
      <c r="D31" s="332" t="s">
        <v>238</v>
      </c>
      <c r="E31" s="101" t="s">
        <v>2345</v>
      </c>
      <c r="F31" s="101" t="s">
        <v>50</v>
      </c>
      <c r="G31" s="101" t="s">
        <v>2292</v>
      </c>
      <c r="H31" s="18" t="s">
        <v>871</v>
      </c>
      <c r="I31" s="27"/>
      <c r="J31" s="101"/>
      <c r="K31" s="101"/>
      <c r="L31" s="101" t="s">
        <v>2346</v>
      </c>
      <c r="M31" s="18">
        <v>134410000</v>
      </c>
      <c r="N31" s="18">
        <v>134950000</v>
      </c>
      <c r="O31" s="472" t="s">
        <v>2347</v>
      </c>
      <c r="P31" s="543"/>
      <c r="Q31" s="97"/>
    </row>
    <row r="32" spans="1:17" ht="15" customHeight="1">
      <c r="A32" s="97" t="s">
        <v>236</v>
      </c>
      <c r="B32" s="97">
        <v>2009</v>
      </c>
      <c r="C32" s="97" t="s">
        <v>237</v>
      </c>
      <c r="D32" s="332" t="s">
        <v>238</v>
      </c>
      <c r="E32" s="101" t="s">
        <v>2345</v>
      </c>
      <c r="F32" s="101" t="s">
        <v>50</v>
      </c>
      <c r="G32" s="101"/>
      <c r="H32" s="18"/>
      <c r="I32" s="27"/>
      <c r="J32" s="101"/>
      <c r="K32" s="101"/>
      <c r="L32" s="101" t="s">
        <v>2348</v>
      </c>
      <c r="M32" s="18">
        <v>139671000</v>
      </c>
      <c r="N32" s="18">
        <v>140695000</v>
      </c>
      <c r="O32" s="472" t="s">
        <v>2349</v>
      </c>
      <c r="P32" s="543"/>
      <c r="Q32" s="97"/>
    </row>
    <row r="33" spans="1:17" ht="15" customHeight="1">
      <c r="A33" s="97" t="s">
        <v>236</v>
      </c>
      <c r="B33" s="97">
        <v>2009</v>
      </c>
      <c r="C33" s="97" t="s">
        <v>237</v>
      </c>
      <c r="D33" s="332" t="s">
        <v>238</v>
      </c>
      <c r="E33" s="101" t="s">
        <v>2350</v>
      </c>
      <c r="F33" s="101" t="s">
        <v>50</v>
      </c>
      <c r="G33" s="101" t="s">
        <v>2292</v>
      </c>
      <c r="H33" s="18" t="s">
        <v>871</v>
      </c>
      <c r="I33" s="27"/>
      <c r="J33" s="101"/>
      <c r="K33" s="101"/>
      <c r="L33" s="101" t="s">
        <v>2351</v>
      </c>
      <c r="M33" s="18">
        <v>68409000</v>
      </c>
      <c r="N33" s="18">
        <v>70719000</v>
      </c>
      <c r="O33" s="472" t="s">
        <v>2352</v>
      </c>
      <c r="P33" s="543"/>
      <c r="Q33" s="97"/>
    </row>
    <row r="34" spans="1:17" ht="15" customHeight="1">
      <c r="A34" s="97" t="s">
        <v>236</v>
      </c>
      <c r="B34" s="97">
        <v>2009</v>
      </c>
      <c r="C34" s="97" t="s">
        <v>237</v>
      </c>
      <c r="D34" s="332" t="s">
        <v>238</v>
      </c>
      <c r="E34" s="101" t="s">
        <v>2350</v>
      </c>
      <c r="F34" s="101" t="s">
        <v>50</v>
      </c>
      <c r="G34" s="101" t="s">
        <v>2292</v>
      </c>
      <c r="H34" s="18"/>
      <c r="I34" s="27"/>
      <c r="J34" s="101"/>
      <c r="K34" s="101"/>
      <c r="L34" s="101" t="s">
        <v>2353</v>
      </c>
      <c r="M34" s="18">
        <v>80947000</v>
      </c>
      <c r="N34" s="18">
        <v>74147000</v>
      </c>
      <c r="O34" s="472" t="s">
        <v>2354</v>
      </c>
      <c r="P34" s="543"/>
      <c r="Q34" s="97"/>
    </row>
    <row r="35" spans="1:17" ht="15" customHeight="1">
      <c r="A35" s="97" t="s">
        <v>236</v>
      </c>
      <c r="B35" s="97">
        <v>2009</v>
      </c>
      <c r="C35" s="97" t="s">
        <v>237</v>
      </c>
      <c r="D35" s="332" t="s">
        <v>238</v>
      </c>
      <c r="E35" s="101" t="s">
        <v>2355</v>
      </c>
      <c r="F35" s="101" t="s">
        <v>50</v>
      </c>
      <c r="G35" s="101" t="s">
        <v>2292</v>
      </c>
      <c r="H35" s="18" t="s">
        <v>871</v>
      </c>
      <c r="I35" s="27"/>
      <c r="J35" s="101"/>
      <c r="K35" s="101"/>
      <c r="L35" s="101" t="s">
        <v>2356</v>
      </c>
      <c r="M35" s="18">
        <v>33172000</v>
      </c>
      <c r="N35" s="18">
        <v>33172000</v>
      </c>
      <c r="O35" s="472" t="s">
        <v>2357</v>
      </c>
      <c r="P35" s="543"/>
      <c r="Q35" s="97"/>
    </row>
    <row r="36" spans="1:17" ht="15" customHeight="1">
      <c r="A36" s="97" t="s">
        <v>236</v>
      </c>
      <c r="B36" s="97">
        <v>2009</v>
      </c>
      <c r="C36" s="97" t="s">
        <v>237</v>
      </c>
      <c r="D36" s="332" t="s">
        <v>238</v>
      </c>
      <c r="E36" s="101" t="s">
        <v>2355</v>
      </c>
      <c r="F36" s="101" t="s">
        <v>50</v>
      </c>
      <c r="G36" s="101"/>
      <c r="H36" s="18"/>
      <c r="I36" s="27"/>
      <c r="J36" s="101"/>
      <c r="K36" s="101"/>
      <c r="L36" s="101" t="s">
        <v>2358</v>
      </c>
      <c r="M36" s="18">
        <v>35461000</v>
      </c>
      <c r="N36" s="18">
        <v>35695000</v>
      </c>
      <c r="O36" s="472" t="s">
        <v>2359</v>
      </c>
      <c r="P36" s="543"/>
      <c r="Q36" s="97"/>
    </row>
    <row r="37" spans="1:17" ht="15" customHeight="1">
      <c r="A37" s="97" t="s">
        <v>236</v>
      </c>
      <c r="B37" s="97">
        <v>2009</v>
      </c>
      <c r="C37" s="97" t="s">
        <v>237</v>
      </c>
      <c r="D37" s="332" t="s">
        <v>238</v>
      </c>
      <c r="E37" s="101" t="s">
        <v>2360</v>
      </c>
      <c r="F37" s="101" t="s">
        <v>50</v>
      </c>
      <c r="G37" s="101" t="s">
        <v>2292</v>
      </c>
      <c r="H37" s="18" t="s">
        <v>871</v>
      </c>
      <c r="I37" s="27"/>
      <c r="J37" s="101"/>
      <c r="K37" s="101"/>
      <c r="L37" s="101" t="s">
        <v>2361</v>
      </c>
      <c r="M37" s="18">
        <v>20608000</v>
      </c>
      <c r="N37" s="18">
        <v>21894000</v>
      </c>
      <c r="O37" s="472" t="s">
        <v>2362</v>
      </c>
      <c r="P37" s="543"/>
      <c r="Q37" s="97"/>
    </row>
    <row r="38" spans="1:17" ht="15" customHeight="1">
      <c r="A38" s="97" t="s">
        <v>236</v>
      </c>
      <c r="B38" s="97">
        <v>2009</v>
      </c>
      <c r="C38" s="97" t="s">
        <v>237</v>
      </c>
      <c r="D38" s="332" t="s">
        <v>238</v>
      </c>
      <c r="E38" s="101" t="s">
        <v>2360</v>
      </c>
      <c r="F38" s="101" t="s">
        <v>50</v>
      </c>
      <c r="G38" s="101"/>
      <c r="H38" s="18"/>
      <c r="I38" s="27"/>
      <c r="J38" s="101"/>
      <c r="K38" s="101"/>
      <c r="L38" s="101" t="s">
        <v>2363</v>
      </c>
      <c r="M38" s="18">
        <v>23992000</v>
      </c>
      <c r="N38" s="18">
        <v>22479000</v>
      </c>
      <c r="O38" s="472" t="s">
        <v>2364</v>
      </c>
      <c r="P38" s="543"/>
      <c r="Q38" s="97"/>
    </row>
    <row r="39" spans="1:17" ht="15" customHeight="1">
      <c r="A39" s="97" t="s">
        <v>236</v>
      </c>
      <c r="B39" s="97">
        <v>2009</v>
      </c>
      <c r="C39" s="97" t="s">
        <v>237</v>
      </c>
      <c r="D39" s="332" t="s">
        <v>238</v>
      </c>
      <c r="E39" s="101" t="s">
        <v>2365</v>
      </c>
      <c r="F39" s="101" t="s">
        <v>50</v>
      </c>
      <c r="G39" s="101" t="s">
        <v>2292</v>
      </c>
      <c r="H39" s="18" t="s">
        <v>871</v>
      </c>
      <c r="I39" s="27"/>
      <c r="J39" s="101"/>
      <c r="K39" s="101"/>
      <c r="L39" s="101" t="s">
        <v>2366</v>
      </c>
      <c r="M39" s="18">
        <v>9391000</v>
      </c>
      <c r="N39" s="18">
        <v>9391000</v>
      </c>
      <c r="O39" s="472" t="s">
        <v>2367</v>
      </c>
      <c r="P39" s="543"/>
      <c r="Q39" s="97"/>
    </row>
    <row r="40" spans="1:17" ht="15" customHeight="1">
      <c r="A40" s="97" t="s">
        <v>236</v>
      </c>
      <c r="B40" s="97">
        <v>2009</v>
      </c>
      <c r="C40" s="97" t="s">
        <v>237</v>
      </c>
      <c r="D40" s="332" t="s">
        <v>238</v>
      </c>
      <c r="E40" s="101" t="s">
        <v>2365</v>
      </c>
      <c r="F40" s="101" t="s">
        <v>50</v>
      </c>
      <c r="G40" s="101" t="s">
        <v>2292</v>
      </c>
      <c r="H40" s="18"/>
      <c r="I40" s="27"/>
      <c r="J40" s="101"/>
      <c r="K40" s="101"/>
      <c r="L40" s="101" t="s">
        <v>2368</v>
      </c>
      <c r="M40" s="105">
        <v>6175000</v>
      </c>
      <c r="N40" s="105">
        <v>6175000</v>
      </c>
      <c r="O40" s="472" t="s">
        <v>2369</v>
      </c>
      <c r="P40" s="543"/>
      <c r="Q40" s="97"/>
    </row>
    <row r="41" spans="1:17" ht="15" customHeight="1">
      <c r="A41" s="97" t="s">
        <v>236</v>
      </c>
      <c r="B41" s="97">
        <v>2009</v>
      </c>
      <c r="C41" s="97" t="s">
        <v>237</v>
      </c>
      <c r="D41" s="332" t="s">
        <v>238</v>
      </c>
      <c r="E41" s="101" t="s">
        <v>2370</v>
      </c>
      <c r="F41" s="101" t="s">
        <v>50</v>
      </c>
      <c r="G41" s="101" t="s">
        <v>2292</v>
      </c>
      <c r="H41" s="18" t="s">
        <v>871</v>
      </c>
      <c r="I41" s="27"/>
      <c r="J41" s="101"/>
      <c r="K41" s="101"/>
      <c r="L41" s="101" t="s">
        <v>2371</v>
      </c>
      <c r="M41" s="18">
        <v>6341000</v>
      </c>
      <c r="N41" s="18">
        <v>6317000</v>
      </c>
      <c r="O41" s="472" t="s">
        <v>2372</v>
      </c>
      <c r="P41" s="543"/>
      <c r="Q41" s="97"/>
    </row>
    <row r="42" spans="1:17" ht="15" customHeight="1">
      <c r="A42" s="97" t="s">
        <v>236</v>
      </c>
      <c r="B42" s="97">
        <v>2009</v>
      </c>
      <c r="C42" s="97" t="s">
        <v>237</v>
      </c>
      <c r="D42" s="332" t="s">
        <v>238</v>
      </c>
      <c r="E42" s="101" t="s">
        <v>2370</v>
      </c>
      <c r="F42" s="101" t="s">
        <v>50</v>
      </c>
      <c r="G42" s="101"/>
      <c r="H42" s="18"/>
      <c r="I42" s="27"/>
      <c r="J42" s="101"/>
      <c r="K42" s="101"/>
      <c r="L42" s="101" t="s">
        <v>2373</v>
      </c>
      <c r="M42" s="18">
        <v>5067000</v>
      </c>
      <c r="N42" s="18">
        <v>5233000</v>
      </c>
      <c r="O42" s="472" t="s">
        <v>2374</v>
      </c>
      <c r="P42" s="543"/>
      <c r="Q42" s="97"/>
    </row>
    <row r="43" spans="1:17" ht="15" customHeight="1">
      <c r="A43" s="97" t="s">
        <v>236</v>
      </c>
      <c r="B43" s="97">
        <v>2009</v>
      </c>
      <c r="C43" s="97" t="s">
        <v>237</v>
      </c>
      <c r="D43" s="332" t="s">
        <v>238</v>
      </c>
      <c r="E43" s="101" t="s">
        <v>2375</v>
      </c>
      <c r="F43" s="101" t="s">
        <v>50</v>
      </c>
      <c r="G43" s="101" t="s">
        <v>2292</v>
      </c>
      <c r="H43" s="18" t="s">
        <v>871</v>
      </c>
      <c r="I43" s="27"/>
      <c r="J43" s="101"/>
      <c r="K43" s="101"/>
      <c r="L43" s="101" t="s">
        <v>2376</v>
      </c>
      <c r="M43" s="18">
        <v>634789000</v>
      </c>
      <c r="N43" s="18">
        <v>583988000</v>
      </c>
      <c r="O43" s="472" t="s">
        <v>2377</v>
      </c>
      <c r="P43" s="543"/>
      <c r="Q43" s="97"/>
    </row>
    <row r="44" spans="1:17" ht="15" customHeight="1">
      <c r="A44" s="97" t="s">
        <v>236</v>
      </c>
      <c r="B44" s="97">
        <v>2009</v>
      </c>
      <c r="C44" s="97" t="s">
        <v>237</v>
      </c>
      <c r="D44" s="332" t="s">
        <v>238</v>
      </c>
      <c r="E44" s="101" t="s">
        <v>2378</v>
      </c>
      <c r="F44" s="101" t="s">
        <v>50</v>
      </c>
      <c r="G44" s="101" t="s">
        <v>2292</v>
      </c>
      <c r="H44" s="18" t="s">
        <v>871</v>
      </c>
      <c r="I44" s="27"/>
      <c r="J44" s="101"/>
      <c r="K44" s="101"/>
      <c r="L44" s="101" t="s">
        <v>2379</v>
      </c>
      <c r="M44" s="18">
        <v>75043000</v>
      </c>
      <c r="N44" s="18">
        <v>75043000</v>
      </c>
      <c r="O44" s="472" t="s">
        <v>2380</v>
      </c>
      <c r="P44" s="543"/>
      <c r="Q44" s="97"/>
    </row>
    <row r="45" spans="1:17" ht="15" customHeight="1">
      <c r="A45" s="97" t="s">
        <v>236</v>
      </c>
      <c r="B45" s="97">
        <v>2009</v>
      </c>
      <c r="C45" s="97" t="s">
        <v>237</v>
      </c>
      <c r="D45" s="332" t="s">
        <v>238</v>
      </c>
      <c r="E45" s="101" t="s">
        <v>2381</v>
      </c>
      <c r="F45" s="101" t="s">
        <v>50</v>
      </c>
      <c r="G45" s="101" t="s">
        <v>2292</v>
      </c>
      <c r="H45" s="18" t="s">
        <v>871</v>
      </c>
      <c r="I45" s="27"/>
      <c r="J45" s="101"/>
      <c r="K45" s="101"/>
      <c r="L45" s="101" t="s">
        <v>2382</v>
      </c>
      <c r="M45" s="18">
        <v>685000</v>
      </c>
      <c r="N45" s="18">
        <v>685000</v>
      </c>
      <c r="O45" s="472" t="s">
        <v>2383</v>
      </c>
      <c r="P45" s="543"/>
      <c r="Q45" s="97"/>
    </row>
    <row r="46" spans="1:17" ht="15" customHeight="1">
      <c r="A46" s="97" t="s">
        <v>236</v>
      </c>
      <c r="B46" s="97">
        <v>2009</v>
      </c>
      <c r="C46" s="97" t="s">
        <v>237</v>
      </c>
      <c r="D46" s="332" t="s">
        <v>238</v>
      </c>
      <c r="E46" s="101" t="s">
        <v>2384</v>
      </c>
      <c r="F46" s="101" t="s">
        <v>50</v>
      </c>
      <c r="G46" s="101" t="s">
        <v>2292</v>
      </c>
      <c r="H46" s="18" t="s">
        <v>871</v>
      </c>
      <c r="I46" s="27"/>
      <c r="J46" s="101"/>
      <c r="K46" s="101"/>
      <c r="L46" s="101" t="s">
        <v>2385</v>
      </c>
      <c r="M46" s="18">
        <v>406903000</v>
      </c>
      <c r="N46" s="18">
        <v>398032000</v>
      </c>
      <c r="O46" s="472" t="s">
        <v>2386</v>
      </c>
      <c r="P46" s="543"/>
      <c r="Q46" s="97"/>
    </row>
    <row r="47" spans="1:17" ht="15" customHeight="1">
      <c r="A47" s="97" t="s">
        <v>236</v>
      </c>
      <c r="B47" s="97">
        <v>2009</v>
      </c>
      <c r="C47" s="97" t="s">
        <v>237</v>
      </c>
      <c r="D47" s="332" t="s">
        <v>238</v>
      </c>
      <c r="E47" s="101" t="s">
        <v>2387</v>
      </c>
      <c r="F47" s="101" t="s">
        <v>50</v>
      </c>
      <c r="G47" s="101" t="s">
        <v>2292</v>
      </c>
      <c r="H47" s="18" t="s">
        <v>871</v>
      </c>
      <c r="I47" s="27"/>
      <c r="J47" s="101"/>
      <c r="K47" s="101"/>
      <c r="L47" s="101" t="s">
        <v>2388</v>
      </c>
      <c r="M47" s="18">
        <v>3227000</v>
      </c>
      <c r="N47" s="18">
        <v>3226000</v>
      </c>
      <c r="O47" s="472" t="s">
        <v>2389</v>
      </c>
      <c r="P47" s="543"/>
      <c r="Q47" s="97"/>
    </row>
    <row r="48" spans="1:17" ht="15" customHeight="1">
      <c r="A48" s="97" t="s">
        <v>236</v>
      </c>
      <c r="B48" s="97">
        <v>2009</v>
      </c>
      <c r="C48" s="97" t="s">
        <v>237</v>
      </c>
      <c r="D48" s="332" t="s">
        <v>238</v>
      </c>
      <c r="E48" s="101" t="s">
        <v>2390</v>
      </c>
      <c r="F48" s="101" t="s">
        <v>50</v>
      </c>
      <c r="G48" s="101" t="s">
        <v>2292</v>
      </c>
      <c r="H48" s="18" t="s">
        <v>871</v>
      </c>
      <c r="I48" s="27"/>
      <c r="J48" s="101"/>
      <c r="K48" s="101"/>
      <c r="L48" s="101" t="s">
        <v>2391</v>
      </c>
      <c r="M48" s="18">
        <v>971000</v>
      </c>
      <c r="N48" s="18">
        <v>971000</v>
      </c>
      <c r="O48" s="472" t="s">
        <v>2392</v>
      </c>
      <c r="P48" s="543"/>
      <c r="Q48" s="97"/>
    </row>
    <row r="49" spans="1:17" ht="15" customHeight="1">
      <c r="A49" s="97" t="s">
        <v>236</v>
      </c>
      <c r="B49" s="97">
        <v>2009</v>
      </c>
      <c r="C49" s="97" t="s">
        <v>237</v>
      </c>
      <c r="D49" s="332" t="s">
        <v>238</v>
      </c>
      <c r="E49" s="101" t="s">
        <v>2393</v>
      </c>
      <c r="F49" s="101" t="s">
        <v>50</v>
      </c>
      <c r="G49" s="101" t="s">
        <v>2292</v>
      </c>
      <c r="H49" s="18" t="s">
        <v>871</v>
      </c>
      <c r="I49" s="27"/>
      <c r="J49" s="101"/>
      <c r="K49" s="101"/>
      <c r="L49" s="101" t="s">
        <v>2394</v>
      </c>
      <c r="M49" s="18">
        <v>386000</v>
      </c>
      <c r="N49" s="18">
        <v>387000</v>
      </c>
      <c r="O49" s="472" t="s">
        <v>2395</v>
      </c>
      <c r="P49" s="543"/>
      <c r="Q49" s="97"/>
    </row>
    <row r="50" spans="1:17" ht="15" customHeight="1">
      <c r="A50" s="97" t="s">
        <v>236</v>
      </c>
      <c r="B50" s="97">
        <v>2009</v>
      </c>
      <c r="C50" s="97" t="s">
        <v>237</v>
      </c>
      <c r="D50" s="332" t="s">
        <v>238</v>
      </c>
      <c r="E50" s="101" t="s">
        <v>2396</v>
      </c>
      <c r="F50" s="101" t="s">
        <v>50</v>
      </c>
      <c r="G50" s="101" t="s">
        <v>2292</v>
      </c>
      <c r="H50" s="18" t="s">
        <v>871</v>
      </c>
      <c r="I50" s="27"/>
      <c r="J50" s="101"/>
      <c r="K50" s="101"/>
      <c r="L50" s="101" t="s">
        <v>2397</v>
      </c>
      <c r="M50" s="18">
        <v>326226000</v>
      </c>
      <c r="N50" s="18">
        <v>235463000</v>
      </c>
      <c r="O50" s="472" t="s">
        <v>2398</v>
      </c>
      <c r="P50" s="543"/>
      <c r="Q50" s="97"/>
    </row>
    <row r="51" spans="1:17" ht="15" customHeight="1">
      <c r="A51" s="97" t="s">
        <v>236</v>
      </c>
      <c r="B51" s="97">
        <v>2009</v>
      </c>
      <c r="C51" s="97" t="s">
        <v>237</v>
      </c>
      <c r="D51" s="332" t="s">
        <v>238</v>
      </c>
      <c r="E51" s="101" t="s">
        <v>2399</v>
      </c>
      <c r="F51" s="101" t="s">
        <v>50</v>
      </c>
      <c r="G51" s="101" t="s">
        <v>2292</v>
      </c>
      <c r="H51" s="18" t="s">
        <v>871</v>
      </c>
      <c r="I51" s="27"/>
      <c r="J51" s="101"/>
      <c r="K51" s="101"/>
      <c r="L51" s="101" t="s">
        <v>2400</v>
      </c>
      <c r="M51" s="18">
        <v>166905000</v>
      </c>
      <c r="N51" s="18">
        <v>257667000</v>
      </c>
      <c r="O51" s="472" t="s">
        <v>2401</v>
      </c>
      <c r="P51" s="543"/>
      <c r="Q51" s="97"/>
    </row>
    <row r="52" spans="1:17" ht="15" customHeight="1">
      <c r="A52" s="97" t="s">
        <v>236</v>
      </c>
      <c r="B52" s="97">
        <v>2009</v>
      </c>
      <c r="C52" s="97" t="s">
        <v>237</v>
      </c>
      <c r="D52" s="332" t="s">
        <v>238</v>
      </c>
      <c r="E52" s="101" t="s">
        <v>2402</v>
      </c>
      <c r="F52" s="101" t="s">
        <v>50</v>
      </c>
      <c r="G52" s="101" t="s">
        <v>2292</v>
      </c>
      <c r="H52" s="18" t="s">
        <v>871</v>
      </c>
      <c r="I52" s="27"/>
      <c r="J52" s="101"/>
      <c r="K52" s="101"/>
      <c r="L52" s="101" t="s">
        <v>2403</v>
      </c>
      <c r="M52" s="18">
        <v>39340000</v>
      </c>
      <c r="N52" s="18">
        <v>39340000</v>
      </c>
      <c r="O52" s="472" t="s">
        <v>2404</v>
      </c>
      <c r="P52" s="543"/>
      <c r="Q52" s="97"/>
    </row>
    <row r="53" spans="1:17" ht="15" customHeight="1">
      <c r="A53" s="97" t="s">
        <v>236</v>
      </c>
      <c r="B53" s="97">
        <v>2009</v>
      </c>
      <c r="C53" s="97" t="s">
        <v>237</v>
      </c>
      <c r="D53" s="332" t="s">
        <v>238</v>
      </c>
      <c r="E53" s="101" t="s">
        <v>2405</v>
      </c>
      <c r="F53" s="101" t="s">
        <v>50</v>
      </c>
      <c r="G53" s="101" t="s">
        <v>2292</v>
      </c>
      <c r="H53" s="18" t="s">
        <v>871</v>
      </c>
      <c r="I53" s="27"/>
      <c r="J53" s="101"/>
      <c r="K53" s="101"/>
      <c r="L53" s="101" t="s">
        <v>2406</v>
      </c>
      <c r="M53" s="18">
        <v>45000</v>
      </c>
      <c r="N53" s="18">
        <v>45000</v>
      </c>
      <c r="O53" s="472" t="s">
        <v>2407</v>
      </c>
      <c r="P53" s="543"/>
      <c r="Q53" s="97"/>
    </row>
    <row r="54" spans="1:17" ht="15" customHeight="1">
      <c r="A54" s="97" t="s">
        <v>236</v>
      </c>
      <c r="B54" s="97">
        <v>2009</v>
      </c>
      <c r="C54" s="97" t="s">
        <v>237</v>
      </c>
      <c r="D54" s="332" t="s">
        <v>238</v>
      </c>
      <c r="E54" s="101" t="s">
        <v>2408</v>
      </c>
      <c r="F54" s="101" t="s">
        <v>50</v>
      </c>
      <c r="G54" s="101" t="s">
        <v>2292</v>
      </c>
      <c r="H54" s="18" t="s">
        <v>871</v>
      </c>
      <c r="I54" s="27"/>
      <c r="J54" s="101"/>
      <c r="K54" s="101"/>
      <c r="L54" s="101" t="s">
        <v>2409</v>
      </c>
      <c r="M54" s="18">
        <v>345456000</v>
      </c>
      <c r="N54" s="18">
        <v>345090000</v>
      </c>
      <c r="O54" s="472" t="s">
        <v>2410</v>
      </c>
      <c r="P54" s="543"/>
      <c r="Q54" s="97"/>
    </row>
    <row r="55" spans="1:17" ht="15" customHeight="1">
      <c r="A55" s="97" t="s">
        <v>236</v>
      </c>
      <c r="B55" s="97">
        <v>2009</v>
      </c>
      <c r="C55" s="97" t="s">
        <v>237</v>
      </c>
      <c r="D55" s="332" t="s">
        <v>238</v>
      </c>
      <c r="E55" s="101" t="s">
        <v>2411</v>
      </c>
      <c r="F55" s="101" t="s">
        <v>50</v>
      </c>
      <c r="G55" s="101" t="s">
        <v>2292</v>
      </c>
      <c r="H55" s="18" t="s">
        <v>871</v>
      </c>
      <c r="I55" s="27"/>
      <c r="J55" s="101"/>
      <c r="K55" s="101"/>
      <c r="L55" s="101" t="s">
        <v>2412</v>
      </c>
      <c r="M55" s="18">
        <v>126891000</v>
      </c>
      <c r="N55" s="18">
        <v>125739000</v>
      </c>
      <c r="O55" s="472" t="s">
        <v>2413</v>
      </c>
      <c r="P55" s="543"/>
      <c r="Q55" s="97"/>
    </row>
    <row r="56" spans="1:17" ht="15" customHeight="1">
      <c r="A56" s="97" t="s">
        <v>236</v>
      </c>
      <c r="B56" s="97">
        <v>2009</v>
      </c>
      <c r="C56" s="97" t="s">
        <v>237</v>
      </c>
      <c r="D56" s="332" t="s">
        <v>238</v>
      </c>
      <c r="E56" s="101" t="s">
        <v>2414</v>
      </c>
      <c r="F56" s="101" t="s">
        <v>50</v>
      </c>
      <c r="G56" s="101" t="s">
        <v>2292</v>
      </c>
      <c r="H56" s="18" t="s">
        <v>871</v>
      </c>
      <c r="I56" s="27"/>
      <c r="J56" s="101"/>
      <c r="K56" s="101"/>
      <c r="L56" s="101" t="s">
        <v>2415</v>
      </c>
      <c r="M56" s="18">
        <v>8097000</v>
      </c>
      <c r="N56" s="18">
        <v>8098000</v>
      </c>
      <c r="O56" s="472" t="s">
        <v>2416</v>
      </c>
      <c r="P56" s="543"/>
      <c r="Q56" s="97"/>
    </row>
    <row r="57" spans="1:17" ht="15" customHeight="1">
      <c r="A57" s="97" t="s">
        <v>236</v>
      </c>
      <c r="B57" s="97">
        <v>2009</v>
      </c>
      <c r="C57" s="97" t="s">
        <v>237</v>
      </c>
      <c r="D57" s="332" t="s">
        <v>238</v>
      </c>
      <c r="E57" s="101" t="s">
        <v>2417</v>
      </c>
      <c r="F57" s="101" t="s">
        <v>50</v>
      </c>
      <c r="G57" s="101" t="s">
        <v>2292</v>
      </c>
      <c r="H57" s="18" t="s">
        <v>871</v>
      </c>
      <c r="I57" s="27"/>
      <c r="J57" s="101"/>
      <c r="K57" s="101"/>
      <c r="L57" s="101" t="s">
        <v>2418</v>
      </c>
      <c r="M57" s="18">
        <v>1217000</v>
      </c>
      <c r="N57" s="18">
        <v>1217000</v>
      </c>
      <c r="O57" s="472" t="s">
        <v>2419</v>
      </c>
      <c r="P57" s="543"/>
      <c r="Q57" s="97"/>
    </row>
    <row r="58" spans="1:17" ht="15" customHeight="1">
      <c r="A58" s="97" t="s">
        <v>236</v>
      </c>
      <c r="B58" s="97">
        <v>2009</v>
      </c>
      <c r="C58" s="97" t="s">
        <v>237</v>
      </c>
      <c r="D58" s="332" t="s">
        <v>238</v>
      </c>
      <c r="E58" s="101" t="s">
        <v>2420</v>
      </c>
      <c r="F58" s="101" t="s">
        <v>50</v>
      </c>
      <c r="G58" s="101" t="s">
        <v>2292</v>
      </c>
      <c r="H58" s="18" t="s">
        <v>871</v>
      </c>
      <c r="I58" s="27"/>
      <c r="J58" s="101"/>
      <c r="K58" s="101"/>
      <c r="L58" s="101" t="s">
        <v>2421</v>
      </c>
      <c r="M58" s="18">
        <v>1694000</v>
      </c>
      <c r="N58" s="18">
        <v>1695000</v>
      </c>
      <c r="O58" s="472" t="s">
        <v>2422</v>
      </c>
      <c r="P58" s="543"/>
      <c r="Q58" s="97"/>
    </row>
    <row r="59" spans="1:17" ht="15" customHeight="1">
      <c r="A59" s="97" t="s">
        <v>236</v>
      </c>
      <c r="B59" s="97">
        <v>2009</v>
      </c>
      <c r="C59" s="97" t="s">
        <v>237</v>
      </c>
      <c r="D59" s="332" t="s">
        <v>238</v>
      </c>
      <c r="E59" s="101" t="s">
        <v>2423</v>
      </c>
      <c r="F59" s="101" t="s">
        <v>50</v>
      </c>
      <c r="G59" s="101" t="s">
        <v>2292</v>
      </c>
      <c r="H59" s="18" t="s">
        <v>871</v>
      </c>
      <c r="I59" s="27"/>
      <c r="J59" s="101"/>
      <c r="K59" s="101"/>
      <c r="L59" s="101" t="s">
        <v>2424</v>
      </c>
      <c r="M59" s="18">
        <v>116257000</v>
      </c>
      <c r="N59" s="18">
        <v>117583000</v>
      </c>
      <c r="O59" s="472" t="s">
        <v>2425</v>
      </c>
      <c r="P59" s="543"/>
      <c r="Q59" s="97"/>
    </row>
    <row r="60" spans="1:17" ht="15" customHeight="1">
      <c r="A60" s="97" t="s">
        <v>236</v>
      </c>
      <c r="B60" s="97">
        <v>2009</v>
      </c>
      <c r="C60" s="97" t="s">
        <v>237</v>
      </c>
      <c r="D60" s="332" t="s">
        <v>238</v>
      </c>
      <c r="E60" s="101" t="s">
        <v>2426</v>
      </c>
      <c r="F60" s="101" t="s">
        <v>50</v>
      </c>
      <c r="G60" s="101" t="s">
        <v>2292</v>
      </c>
      <c r="H60" s="18" t="s">
        <v>871</v>
      </c>
      <c r="I60" s="27"/>
      <c r="J60" s="101"/>
      <c r="K60" s="101"/>
      <c r="L60" s="101" t="s">
        <v>2427</v>
      </c>
      <c r="M60" s="18">
        <v>18954000</v>
      </c>
      <c r="N60" s="18">
        <v>18954000</v>
      </c>
      <c r="O60" s="472" t="s">
        <v>2428</v>
      </c>
      <c r="P60" s="543"/>
      <c r="Q60" s="97"/>
    </row>
    <row r="61" spans="1:17" ht="15" customHeight="1">
      <c r="A61" s="97" t="s">
        <v>236</v>
      </c>
      <c r="B61" s="97">
        <v>2009</v>
      </c>
      <c r="C61" s="97" t="s">
        <v>237</v>
      </c>
      <c r="D61" s="332" t="s">
        <v>238</v>
      </c>
      <c r="E61" s="101" t="s">
        <v>2429</v>
      </c>
      <c r="F61" s="101" t="s">
        <v>50</v>
      </c>
      <c r="G61" s="101" t="s">
        <v>2292</v>
      </c>
      <c r="H61" s="18" t="s">
        <v>871</v>
      </c>
      <c r="I61" s="27"/>
      <c r="J61" s="101"/>
      <c r="K61" s="101"/>
      <c r="L61" s="101" t="s">
        <v>2430</v>
      </c>
      <c r="M61" s="18">
        <v>13577000</v>
      </c>
      <c r="N61" s="18">
        <v>13578000</v>
      </c>
      <c r="O61" s="472" t="s">
        <v>2431</v>
      </c>
      <c r="P61" s="543"/>
      <c r="Q61" s="97"/>
    </row>
    <row r="62" spans="1:17" ht="15" customHeight="1">
      <c r="A62" s="97" t="s">
        <v>236</v>
      </c>
      <c r="B62" s="97">
        <v>2009</v>
      </c>
      <c r="C62" s="97" t="s">
        <v>237</v>
      </c>
      <c r="D62" s="332" t="s">
        <v>238</v>
      </c>
      <c r="E62" s="101" t="s">
        <v>2432</v>
      </c>
      <c r="F62" s="101" t="s">
        <v>50</v>
      </c>
      <c r="G62" s="101" t="s">
        <v>2292</v>
      </c>
      <c r="H62" s="18" t="s">
        <v>871</v>
      </c>
      <c r="I62" s="27"/>
      <c r="J62" s="101"/>
      <c r="K62" s="101"/>
      <c r="L62" s="101" t="s">
        <v>2433</v>
      </c>
      <c r="M62" s="18">
        <v>8590000</v>
      </c>
      <c r="N62" s="18">
        <v>8589000</v>
      </c>
      <c r="O62" s="472" t="s">
        <v>2434</v>
      </c>
      <c r="P62" s="543"/>
      <c r="Q62" s="97"/>
    </row>
    <row r="63" spans="1:17" ht="15" customHeight="1">
      <c r="A63" s="97" t="s">
        <v>236</v>
      </c>
      <c r="B63" s="97">
        <v>2009</v>
      </c>
      <c r="C63" s="97" t="s">
        <v>237</v>
      </c>
      <c r="D63" s="332" t="s">
        <v>238</v>
      </c>
      <c r="E63" s="101" t="s">
        <v>2435</v>
      </c>
      <c r="F63" s="101" t="s">
        <v>50</v>
      </c>
      <c r="G63" s="101" t="s">
        <v>2292</v>
      </c>
      <c r="H63" s="18" t="s">
        <v>871</v>
      </c>
      <c r="I63" s="27"/>
      <c r="J63" s="101"/>
      <c r="K63" s="101"/>
      <c r="L63" s="101" t="s">
        <v>2436</v>
      </c>
      <c r="M63" s="18">
        <v>7228000</v>
      </c>
      <c r="N63" s="18">
        <v>7228000</v>
      </c>
      <c r="O63" s="472" t="s">
        <v>2437</v>
      </c>
      <c r="P63" s="543"/>
      <c r="Q63" s="97"/>
    </row>
    <row r="64" spans="1:17" ht="15" customHeight="1">
      <c r="A64" s="97" t="s">
        <v>236</v>
      </c>
      <c r="B64" s="97">
        <v>2009</v>
      </c>
      <c r="C64" s="97" t="s">
        <v>237</v>
      </c>
      <c r="D64" s="332" t="s">
        <v>238</v>
      </c>
      <c r="E64" s="101" t="s">
        <v>2438</v>
      </c>
      <c r="F64" s="101" t="s">
        <v>50</v>
      </c>
      <c r="G64" s="101" t="s">
        <v>2292</v>
      </c>
      <c r="H64" s="18" t="s">
        <v>871</v>
      </c>
      <c r="I64" s="27"/>
      <c r="J64" s="101"/>
      <c r="K64" s="101"/>
      <c r="L64" s="101" t="s">
        <v>2439</v>
      </c>
      <c r="M64" s="18">
        <v>3095000</v>
      </c>
      <c r="N64" s="18">
        <v>3095000</v>
      </c>
      <c r="O64" s="472" t="s">
        <v>2440</v>
      </c>
      <c r="P64" s="543"/>
      <c r="Q64" s="97"/>
    </row>
    <row r="65" spans="1:17" ht="15" customHeight="1">
      <c r="A65" s="97" t="s">
        <v>236</v>
      </c>
      <c r="B65" s="97">
        <v>2009</v>
      </c>
      <c r="C65" s="97" t="s">
        <v>237</v>
      </c>
      <c r="D65" s="332" t="s">
        <v>238</v>
      </c>
      <c r="E65" s="101" t="s">
        <v>2441</v>
      </c>
      <c r="F65" s="101" t="s">
        <v>50</v>
      </c>
      <c r="G65" s="101" t="s">
        <v>2292</v>
      </c>
      <c r="H65" s="18" t="s">
        <v>871</v>
      </c>
      <c r="I65" s="27"/>
      <c r="J65" s="101"/>
      <c r="K65" s="101"/>
      <c r="L65" s="101" t="s">
        <v>2442</v>
      </c>
      <c r="M65" s="18">
        <v>1056000</v>
      </c>
      <c r="N65" s="18">
        <v>1055000</v>
      </c>
      <c r="O65" s="472" t="s">
        <v>2443</v>
      </c>
      <c r="P65" s="543"/>
      <c r="Q65" s="97"/>
    </row>
    <row r="66" spans="1:17" ht="15" customHeight="1">
      <c r="A66" s="97" t="s">
        <v>236</v>
      </c>
      <c r="B66" s="97">
        <v>2009</v>
      </c>
      <c r="C66" s="97" t="s">
        <v>237</v>
      </c>
      <c r="D66" s="332" t="s">
        <v>238</v>
      </c>
      <c r="E66" s="101" t="s">
        <v>2444</v>
      </c>
      <c r="F66" s="101" t="s">
        <v>50</v>
      </c>
      <c r="G66" s="101" t="s">
        <v>2292</v>
      </c>
      <c r="H66" s="18" t="s">
        <v>871</v>
      </c>
      <c r="I66" s="27"/>
      <c r="J66" s="101"/>
      <c r="K66" s="101"/>
      <c r="L66" s="101" t="s">
        <v>2445</v>
      </c>
      <c r="M66" s="18">
        <v>1837000</v>
      </c>
      <c r="N66" s="18">
        <v>1837000</v>
      </c>
      <c r="O66" s="472" t="s">
        <v>2446</v>
      </c>
      <c r="P66" s="543"/>
      <c r="Q66" s="97"/>
    </row>
    <row r="67" spans="1:17" ht="15" customHeight="1">
      <c r="A67" s="97" t="s">
        <v>236</v>
      </c>
      <c r="B67" s="97">
        <v>2009</v>
      </c>
      <c r="C67" s="97" t="s">
        <v>237</v>
      </c>
      <c r="D67" s="332" t="s">
        <v>238</v>
      </c>
      <c r="E67" s="101" t="s">
        <v>2447</v>
      </c>
      <c r="F67" s="101" t="s">
        <v>50</v>
      </c>
      <c r="G67" s="101" t="s">
        <v>2292</v>
      </c>
      <c r="H67" s="18" t="s">
        <v>871</v>
      </c>
      <c r="I67" s="27"/>
      <c r="J67" s="101"/>
      <c r="K67" s="101"/>
      <c r="L67" s="101" t="s">
        <v>2448</v>
      </c>
      <c r="M67" s="18">
        <v>1123000</v>
      </c>
      <c r="N67" s="18">
        <v>1123000</v>
      </c>
      <c r="O67" s="472" t="s">
        <v>2449</v>
      </c>
      <c r="P67" s="543"/>
      <c r="Q67" s="97"/>
    </row>
    <row r="68" spans="1:17" ht="15" customHeight="1">
      <c r="A68" s="97" t="s">
        <v>236</v>
      </c>
      <c r="B68" s="97">
        <v>2009</v>
      </c>
      <c r="C68" s="97" t="s">
        <v>237</v>
      </c>
      <c r="D68" s="332" t="s">
        <v>238</v>
      </c>
      <c r="E68" s="101" t="s">
        <v>2450</v>
      </c>
      <c r="F68" s="101" t="s">
        <v>50</v>
      </c>
      <c r="G68" s="101" t="s">
        <v>2292</v>
      </c>
      <c r="H68" s="18" t="s">
        <v>871</v>
      </c>
      <c r="I68" s="27"/>
      <c r="J68" s="101"/>
      <c r="K68" s="101"/>
      <c r="L68" s="101" t="s">
        <v>2451</v>
      </c>
      <c r="M68" s="18">
        <v>442000</v>
      </c>
      <c r="N68" s="18">
        <v>442000</v>
      </c>
      <c r="O68" s="472" t="s">
        <v>2452</v>
      </c>
      <c r="P68" s="543"/>
      <c r="Q68" s="97"/>
    </row>
    <row r="69" spans="1:17" ht="15" customHeight="1">
      <c r="A69" s="97" t="s">
        <v>236</v>
      </c>
      <c r="B69" s="97">
        <v>2009</v>
      </c>
      <c r="C69" s="97" t="s">
        <v>237</v>
      </c>
      <c r="D69" s="332" t="s">
        <v>238</v>
      </c>
      <c r="E69" s="101" t="s">
        <v>2453</v>
      </c>
      <c r="F69" s="101" t="s">
        <v>50</v>
      </c>
      <c r="G69" s="101" t="s">
        <v>2292</v>
      </c>
      <c r="H69" s="18" t="s">
        <v>871</v>
      </c>
      <c r="I69" s="27"/>
      <c r="J69" s="101"/>
      <c r="K69" s="101"/>
      <c r="L69" s="101" t="s">
        <v>2454</v>
      </c>
      <c r="M69" s="18">
        <v>103000</v>
      </c>
      <c r="N69" s="18">
        <v>103000</v>
      </c>
      <c r="O69" s="472" t="s">
        <v>2455</v>
      </c>
      <c r="P69" s="543"/>
      <c r="Q69" s="97"/>
    </row>
    <row r="70" spans="1:17" s="100" customFormat="1" ht="15" customHeight="1">
      <c r="A70" s="99" t="s">
        <v>240</v>
      </c>
      <c r="B70" s="99">
        <v>2010</v>
      </c>
      <c r="C70" s="99" t="s">
        <v>237</v>
      </c>
      <c r="D70" s="549" t="s">
        <v>238</v>
      </c>
      <c r="E70" s="99" t="s">
        <v>2291</v>
      </c>
      <c r="F70" s="99" t="s">
        <v>50</v>
      </c>
      <c r="G70" s="99" t="s">
        <v>98</v>
      </c>
      <c r="H70" s="34">
        <v>123168812</v>
      </c>
      <c r="I70" s="33" t="s">
        <v>2456</v>
      </c>
      <c r="J70" s="34" t="s">
        <v>871</v>
      </c>
      <c r="K70" s="99"/>
      <c r="L70" s="99" t="s">
        <v>2293</v>
      </c>
      <c r="M70" s="34">
        <v>7127862000</v>
      </c>
      <c r="N70" s="34">
        <v>7127862000</v>
      </c>
      <c r="O70" s="471" t="s">
        <v>2457</v>
      </c>
      <c r="P70" s="545"/>
      <c r="Q70" s="99"/>
    </row>
    <row r="71" spans="1:17" s="102" customFormat="1" ht="15" customHeight="1">
      <c r="A71" s="101" t="s">
        <v>240</v>
      </c>
      <c r="B71" s="101">
        <v>2010</v>
      </c>
      <c r="C71" s="101" t="s">
        <v>237</v>
      </c>
      <c r="D71" s="332" t="s">
        <v>238</v>
      </c>
      <c r="E71" s="101" t="s">
        <v>2295</v>
      </c>
      <c r="F71" s="101" t="s">
        <v>50</v>
      </c>
      <c r="G71" s="101" t="s">
        <v>98</v>
      </c>
      <c r="H71" s="18">
        <v>8435754</v>
      </c>
      <c r="I71" s="27" t="s">
        <v>2456</v>
      </c>
      <c r="J71" s="18" t="s">
        <v>871</v>
      </c>
      <c r="K71" s="101"/>
      <c r="L71" s="101" t="s">
        <v>2296</v>
      </c>
      <c r="M71" s="18">
        <v>545349000</v>
      </c>
      <c r="N71" s="18">
        <v>545349000</v>
      </c>
      <c r="O71" s="472" t="s">
        <v>2457</v>
      </c>
      <c r="P71" s="543"/>
      <c r="Q71" s="101"/>
    </row>
    <row r="72" spans="1:17" s="102" customFormat="1" ht="15" customHeight="1">
      <c r="A72" s="101" t="s">
        <v>240</v>
      </c>
      <c r="B72" s="101">
        <v>2010</v>
      </c>
      <c r="C72" s="101" t="s">
        <v>237</v>
      </c>
      <c r="D72" s="332" t="s">
        <v>238</v>
      </c>
      <c r="E72" s="101" t="s">
        <v>2295</v>
      </c>
      <c r="F72" s="101" t="s">
        <v>50</v>
      </c>
      <c r="G72" s="101" t="s">
        <v>552</v>
      </c>
      <c r="H72" s="18">
        <v>31986233</v>
      </c>
      <c r="I72" s="27" t="s">
        <v>2458</v>
      </c>
      <c r="J72" s="18" t="s">
        <v>871</v>
      </c>
      <c r="K72" s="101"/>
      <c r="L72" s="101" t="s">
        <v>2459</v>
      </c>
      <c r="M72" s="18">
        <v>10391000</v>
      </c>
      <c r="N72" s="18">
        <v>10391000</v>
      </c>
      <c r="O72" s="472" t="s">
        <v>2457</v>
      </c>
      <c r="P72" s="543"/>
      <c r="Q72" s="101"/>
    </row>
    <row r="73" spans="1:17" s="102" customFormat="1" ht="15" customHeight="1">
      <c r="A73" s="101" t="s">
        <v>240</v>
      </c>
      <c r="B73" s="101">
        <v>2010</v>
      </c>
      <c r="C73" s="101" t="s">
        <v>237</v>
      </c>
      <c r="D73" s="332" t="s">
        <v>238</v>
      </c>
      <c r="E73" s="101" t="s">
        <v>2298</v>
      </c>
      <c r="F73" s="101" t="s">
        <v>50</v>
      </c>
      <c r="G73" s="101" t="s">
        <v>98</v>
      </c>
      <c r="H73" s="18">
        <v>1698543</v>
      </c>
      <c r="I73" s="27" t="s">
        <v>2456</v>
      </c>
      <c r="J73" s="18" t="s">
        <v>871</v>
      </c>
      <c r="K73" s="101"/>
      <c r="L73" s="101" t="s">
        <v>2299</v>
      </c>
      <c r="M73" s="18">
        <v>128022000</v>
      </c>
      <c r="N73" s="18">
        <v>128022000</v>
      </c>
      <c r="O73" s="472" t="s">
        <v>2457</v>
      </c>
      <c r="P73" s="543"/>
      <c r="Q73" s="101"/>
    </row>
    <row r="74" spans="1:17" s="102" customFormat="1" ht="15" customHeight="1">
      <c r="A74" s="101" t="s">
        <v>240</v>
      </c>
      <c r="B74" s="101">
        <v>2010</v>
      </c>
      <c r="C74" s="101" t="s">
        <v>237</v>
      </c>
      <c r="D74" s="332" t="s">
        <v>238</v>
      </c>
      <c r="E74" s="101" t="s">
        <v>2298</v>
      </c>
      <c r="F74" s="101" t="s">
        <v>50</v>
      </c>
      <c r="G74" s="101" t="s">
        <v>552</v>
      </c>
      <c r="H74" s="18">
        <v>8501184</v>
      </c>
      <c r="I74" s="27" t="s">
        <v>2458</v>
      </c>
      <c r="J74" s="18" t="s">
        <v>871</v>
      </c>
      <c r="K74" s="101"/>
      <c r="L74" s="101" t="s">
        <v>2460</v>
      </c>
      <c r="M74" s="18">
        <v>12367000</v>
      </c>
      <c r="N74" s="18">
        <v>12367000</v>
      </c>
      <c r="O74" s="472" t="s">
        <v>2457</v>
      </c>
      <c r="P74" s="543"/>
      <c r="Q74" s="101"/>
    </row>
    <row r="75" spans="1:17" s="102" customFormat="1" ht="15" customHeight="1">
      <c r="A75" s="101" t="s">
        <v>240</v>
      </c>
      <c r="B75" s="101">
        <v>2010</v>
      </c>
      <c r="C75" s="101" t="s">
        <v>237</v>
      </c>
      <c r="D75" s="332" t="s">
        <v>238</v>
      </c>
      <c r="E75" s="101" t="s">
        <v>2301</v>
      </c>
      <c r="F75" s="101" t="s">
        <v>50</v>
      </c>
      <c r="G75" s="101" t="s">
        <v>98</v>
      </c>
      <c r="H75" s="18">
        <v>749000</v>
      </c>
      <c r="I75" s="27" t="s">
        <v>2456</v>
      </c>
      <c r="J75" s="18" t="s">
        <v>871</v>
      </c>
      <c r="K75" s="101"/>
      <c r="L75" s="101" t="s">
        <v>2302</v>
      </c>
      <c r="M75" s="18">
        <v>46967000</v>
      </c>
      <c r="N75" s="18">
        <v>46967000</v>
      </c>
      <c r="O75" s="472" t="s">
        <v>2457</v>
      </c>
      <c r="P75" s="543"/>
      <c r="Q75" s="101"/>
    </row>
    <row r="76" spans="1:17" s="102" customFormat="1" ht="15" customHeight="1">
      <c r="A76" s="101" t="s">
        <v>240</v>
      </c>
      <c r="B76" s="101">
        <v>2010</v>
      </c>
      <c r="C76" s="101" t="s">
        <v>237</v>
      </c>
      <c r="D76" s="332" t="s">
        <v>238</v>
      </c>
      <c r="E76" s="101" t="s">
        <v>2304</v>
      </c>
      <c r="F76" s="101" t="s">
        <v>50</v>
      </c>
      <c r="G76" s="101" t="s">
        <v>98</v>
      </c>
      <c r="H76" s="18">
        <v>47948</v>
      </c>
      <c r="I76" s="27" t="s">
        <v>2456</v>
      </c>
      <c r="J76" s="18" t="s">
        <v>871</v>
      </c>
      <c r="K76" s="101"/>
      <c r="L76" s="101" t="s">
        <v>2305</v>
      </c>
      <c r="M76" s="18">
        <v>3211000</v>
      </c>
      <c r="N76" s="18">
        <v>3211000</v>
      </c>
      <c r="O76" s="472" t="s">
        <v>2457</v>
      </c>
      <c r="P76" s="543"/>
      <c r="Q76" s="101"/>
    </row>
    <row r="77" spans="1:17" s="102" customFormat="1" ht="15" customHeight="1">
      <c r="A77" s="101" t="s">
        <v>240</v>
      </c>
      <c r="B77" s="101">
        <v>2010</v>
      </c>
      <c r="C77" s="101" t="s">
        <v>237</v>
      </c>
      <c r="D77" s="332" t="s">
        <v>238</v>
      </c>
      <c r="E77" s="101" t="s">
        <v>2304</v>
      </c>
      <c r="F77" s="101" t="s">
        <v>50</v>
      </c>
      <c r="G77" s="101"/>
      <c r="H77" s="18"/>
      <c r="I77" s="27"/>
      <c r="J77" s="18"/>
      <c r="K77" s="101"/>
      <c r="L77" s="101" t="s">
        <v>2461</v>
      </c>
      <c r="M77" s="18">
        <v>240000</v>
      </c>
      <c r="N77" s="18">
        <v>240000</v>
      </c>
      <c r="O77" s="472" t="s">
        <v>2462</v>
      </c>
      <c r="P77" s="543"/>
      <c r="Q77" s="101"/>
    </row>
    <row r="78" spans="1:17" s="102" customFormat="1" ht="15" customHeight="1">
      <c r="A78" s="101" t="s">
        <v>240</v>
      </c>
      <c r="B78" s="101">
        <v>2010</v>
      </c>
      <c r="C78" s="101" t="s">
        <v>237</v>
      </c>
      <c r="D78" s="332" t="s">
        <v>238</v>
      </c>
      <c r="E78" s="101" t="s">
        <v>2307</v>
      </c>
      <c r="F78" s="101" t="s">
        <v>50</v>
      </c>
      <c r="G78" s="101" t="s">
        <v>98</v>
      </c>
      <c r="H78" s="18">
        <v>34104006</v>
      </c>
      <c r="I78" s="27" t="s">
        <v>2456</v>
      </c>
      <c r="J78" s="18" t="s">
        <v>871</v>
      </c>
      <c r="K78" s="101"/>
      <c r="L78" s="101" t="s">
        <v>2308</v>
      </c>
      <c r="M78" s="18">
        <v>4540376000</v>
      </c>
      <c r="N78" s="18">
        <v>4540376000</v>
      </c>
      <c r="O78" s="472" t="s">
        <v>2457</v>
      </c>
      <c r="P78" s="543"/>
      <c r="Q78" s="101"/>
    </row>
    <row r="79" spans="1:17" s="102" customFormat="1" ht="15" customHeight="1">
      <c r="A79" s="101" t="s">
        <v>240</v>
      </c>
      <c r="B79" s="101">
        <v>2010</v>
      </c>
      <c r="C79" s="101" t="s">
        <v>237</v>
      </c>
      <c r="D79" s="332" t="s">
        <v>238</v>
      </c>
      <c r="E79" s="101" t="s">
        <v>2307</v>
      </c>
      <c r="F79" s="101" t="s">
        <v>50</v>
      </c>
      <c r="G79" s="101" t="s">
        <v>552</v>
      </c>
      <c r="H79" s="18">
        <v>807568771</v>
      </c>
      <c r="I79" s="27" t="s">
        <v>2458</v>
      </c>
      <c r="J79" s="18" t="s">
        <v>871</v>
      </c>
      <c r="K79" s="101"/>
      <c r="L79" s="101" t="s">
        <v>2310</v>
      </c>
      <c r="M79" s="18">
        <v>1873828000</v>
      </c>
      <c r="N79" s="18">
        <v>1873750000</v>
      </c>
      <c r="O79" s="472" t="s">
        <v>2457</v>
      </c>
      <c r="P79" s="543"/>
      <c r="Q79" s="101"/>
    </row>
    <row r="80" spans="1:17" s="102" customFormat="1" ht="15" customHeight="1">
      <c r="A80" s="101" t="s">
        <v>240</v>
      </c>
      <c r="B80" s="101">
        <v>2010</v>
      </c>
      <c r="C80" s="101" t="s">
        <v>237</v>
      </c>
      <c r="D80" s="332" t="s">
        <v>238</v>
      </c>
      <c r="E80" s="101" t="s">
        <v>2307</v>
      </c>
      <c r="F80" s="101" t="s">
        <v>50</v>
      </c>
      <c r="G80" s="101"/>
      <c r="H80" s="18"/>
      <c r="I80" s="27"/>
      <c r="J80" s="18"/>
      <c r="K80" s="101"/>
      <c r="L80" s="101" t="s">
        <v>2463</v>
      </c>
      <c r="M80" s="18"/>
      <c r="N80" s="18"/>
      <c r="O80" s="472"/>
      <c r="P80" s="543"/>
      <c r="Q80" s="101"/>
    </row>
    <row r="81" spans="1:17" s="102" customFormat="1" ht="15" customHeight="1">
      <c r="A81" s="101" t="s">
        <v>240</v>
      </c>
      <c r="B81" s="101">
        <v>2010</v>
      </c>
      <c r="C81" s="101" t="s">
        <v>237</v>
      </c>
      <c r="D81" s="332" t="s">
        <v>238</v>
      </c>
      <c r="E81" s="101" t="s">
        <v>2312</v>
      </c>
      <c r="F81" s="101" t="s">
        <v>50</v>
      </c>
      <c r="G81" s="101" t="s">
        <v>98</v>
      </c>
      <c r="H81" s="18">
        <v>21555884</v>
      </c>
      <c r="I81" s="27" t="s">
        <v>2456</v>
      </c>
      <c r="J81" s="18" t="s">
        <v>871</v>
      </c>
      <c r="K81" s="101"/>
      <c r="L81" s="101" t="s">
        <v>2313</v>
      </c>
      <c r="M81" s="18">
        <v>1487339000</v>
      </c>
      <c r="N81" s="18">
        <v>1468298000</v>
      </c>
      <c r="O81" s="472" t="s">
        <v>2457</v>
      </c>
      <c r="P81" s="543"/>
      <c r="Q81" s="101"/>
    </row>
    <row r="82" spans="1:17" s="102" customFormat="1" ht="15" customHeight="1">
      <c r="A82" s="101" t="s">
        <v>240</v>
      </c>
      <c r="B82" s="101">
        <v>2010</v>
      </c>
      <c r="C82" s="101" t="s">
        <v>237</v>
      </c>
      <c r="D82" s="332" t="s">
        <v>238</v>
      </c>
      <c r="E82" s="101" t="s">
        <v>2312</v>
      </c>
      <c r="F82" s="101" t="s">
        <v>50</v>
      </c>
      <c r="G82" s="101" t="s">
        <v>552</v>
      </c>
      <c r="H82" s="18">
        <v>166688250</v>
      </c>
      <c r="I82" s="27" t="s">
        <v>2458</v>
      </c>
      <c r="J82" s="18" t="s">
        <v>871</v>
      </c>
      <c r="K82" s="101"/>
      <c r="L82" s="101" t="s">
        <v>2464</v>
      </c>
      <c r="M82" s="18">
        <v>108150000</v>
      </c>
      <c r="N82" s="18">
        <v>108150000</v>
      </c>
      <c r="O82" s="472" t="s">
        <v>2457</v>
      </c>
      <c r="P82" s="543"/>
      <c r="Q82" s="101"/>
    </row>
    <row r="83" spans="1:17" s="102" customFormat="1" ht="15" customHeight="1">
      <c r="A83" s="101" t="s">
        <v>240</v>
      </c>
      <c r="B83" s="101">
        <v>2010</v>
      </c>
      <c r="C83" s="101" t="s">
        <v>237</v>
      </c>
      <c r="D83" s="332" t="s">
        <v>238</v>
      </c>
      <c r="E83" s="101" t="s">
        <v>2312</v>
      </c>
      <c r="F83" s="101" t="s">
        <v>50</v>
      </c>
      <c r="G83" s="101"/>
      <c r="H83" s="18"/>
      <c r="I83" s="27"/>
      <c r="J83" s="18"/>
      <c r="K83" s="101"/>
      <c r="L83" s="101" t="s">
        <v>2465</v>
      </c>
      <c r="M83" s="18">
        <v>177139000</v>
      </c>
      <c r="N83" s="18">
        <v>177139000</v>
      </c>
      <c r="O83" s="472" t="s">
        <v>2462</v>
      </c>
      <c r="P83" s="543"/>
      <c r="Q83" s="101"/>
    </row>
    <row r="84" spans="1:17" s="102" customFormat="1" ht="15" customHeight="1">
      <c r="A84" s="101" t="s">
        <v>240</v>
      </c>
      <c r="B84" s="101">
        <v>2010</v>
      </c>
      <c r="C84" s="101" t="s">
        <v>237</v>
      </c>
      <c r="D84" s="332" t="s">
        <v>238</v>
      </c>
      <c r="E84" s="101" t="s">
        <v>2315</v>
      </c>
      <c r="F84" s="101" t="s">
        <v>50</v>
      </c>
      <c r="G84" s="101" t="s">
        <v>98</v>
      </c>
      <c r="H84" s="18">
        <v>3964416</v>
      </c>
      <c r="I84" s="27" t="s">
        <v>2456</v>
      </c>
      <c r="J84" s="18" t="s">
        <v>871</v>
      </c>
      <c r="K84" s="101"/>
      <c r="L84" s="101" t="s">
        <v>2316</v>
      </c>
      <c r="M84" s="18">
        <v>1409579000</v>
      </c>
      <c r="N84" s="18">
        <v>1406750000</v>
      </c>
      <c r="O84" s="472" t="s">
        <v>2457</v>
      </c>
      <c r="P84" s="543"/>
      <c r="Q84" s="101"/>
    </row>
    <row r="85" spans="1:17" s="102" customFormat="1" ht="15" customHeight="1">
      <c r="A85" s="101" t="s">
        <v>240</v>
      </c>
      <c r="B85" s="101">
        <v>2010</v>
      </c>
      <c r="C85" s="101" t="s">
        <v>237</v>
      </c>
      <c r="D85" s="332" t="s">
        <v>238</v>
      </c>
      <c r="E85" s="101" t="s">
        <v>2315</v>
      </c>
      <c r="F85" s="101" t="s">
        <v>50</v>
      </c>
      <c r="G85" s="101" t="s">
        <v>552</v>
      </c>
      <c r="H85" s="18">
        <v>349021784</v>
      </c>
      <c r="I85" s="27" t="s">
        <v>2458</v>
      </c>
      <c r="J85" s="18" t="s">
        <v>871</v>
      </c>
      <c r="K85" s="101"/>
      <c r="L85" s="101" t="s">
        <v>2466</v>
      </c>
      <c r="M85" s="18">
        <v>221486000</v>
      </c>
      <c r="N85" s="18">
        <v>221486000</v>
      </c>
      <c r="O85" s="472" t="s">
        <v>2457</v>
      </c>
      <c r="P85" s="543"/>
      <c r="Q85" s="101"/>
    </row>
    <row r="86" spans="1:17" s="102" customFormat="1" ht="15" customHeight="1">
      <c r="A86" s="101" t="s">
        <v>240</v>
      </c>
      <c r="B86" s="101">
        <v>2010</v>
      </c>
      <c r="C86" s="101" t="s">
        <v>237</v>
      </c>
      <c r="D86" s="332" t="s">
        <v>238</v>
      </c>
      <c r="E86" s="101" t="s">
        <v>2315</v>
      </c>
      <c r="F86" s="101" t="s">
        <v>50</v>
      </c>
      <c r="G86" s="101"/>
      <c r="H86" s="18"/>
      <c r="I86" s="27"/>
      <c r="J86" s="18"/>
      <c r="K86" s="101"/>
      <c r="L86" s="101" t="s">
        <v>2467</v>
      </c>
      <c r="M86" s="18">
        <v>71318000</v>
      </c>
      <c r="N86" s="18">
        <v>71318000</v>
      </c>
      <c r="O86" s="472" t="s">
        <v>2462</v>
      </c>
      <c r="P86" s="543"/>
      <c r="Q86" s="101"/>
    </row>
    <row r="87" spans="1:17" s="102" customFormat="1" ht="15" customHeight="1">
      <c r="A87" s="101" t="s">
        <v>240</v>
      </c>
      <c r="B87" s="101">
        <v>2010</v>
      </c>
      <c r="C87" s="101" t="s">
        <v>237</v>
      </c>
      <c r="D87" s="332" t="s">
        <v>238</v>
      </c>
      <c r="E87" s="101" t="s">
        <v>2318</v>
      </c>
      <c r="F87" s="101" t="s">
        <v>50</v>
      </c>
      <c r="G87" s="101" t="s">
        <v>98</v>
      </c>
      <c r="H87" s="18">
        <v>23085</v>
      </c>
      <c r="I87" s="27" t="s">
        <v>2456</v>
      </c>
      <c r="J87" s="18" t="s">
        <v>871</v>
      </c>
      <c r="K87" s="101"/>
      <c r="L87" s="101" t="s">
        <v>2319</v>
      </c>
      <c r="M87" s="18">
        <v>1425000</v>
      </c>
      <c r="N87" s="18">
        <v>1723000</v>
      </c>
      <c r="O87" s="472" t="s">
        <v>2457</v>
      </c>
      <c r="P87" s="543"/>
      <c r="Q87" s="101"/>
    </row>
    <row r="88" spans="1:17" s="102" customFormat="1" ht="15" customHeight="1">
      <c r="A88" s="101" t="s">
        <v>240</v>
      </c>
      <c r="B88" s="101">
        <v>2010</v>
      </c>
      <c r="C88" s="101" t="s">
        <v>237</v>
      </c>
      <c r="D88" s="332" t="s">
        <v>238</v>
      </c>
      <c r="E88" s="101" t="s">
        <v>2318</v>
      </c>
      <c r="F88" s="101" t="s">
        <v>50</v>
      </c>
      <c r="G88" s="101" t="s">
        <v>552</v>
      </c>
      <c r="H88" s="18">
        <v>1093203</v>
      </c>
      <c r="I88" s="27" t="s">
        <v>2458</v>
      </c>
      <c r="J88" s="18" t="s">
        <v>871</v>
      </c>
      <c r="K88" s="101"/>
      <c r="L88" s="101" t="s">
        <v>2468</v>
      </c>
      <c r="M88" s="18">
        <v>293000</v>
      </c>
      <c r="N88" s="18">
        <v>293000</v>
      </c>
      <c r="O88" s="472" t="s">
        <v>2457</v>
      </c>
      <c r="P88" s="543"/>
      <c r="Q88" s="101"/>
    </row>
    <row r="89" spans="1:17" s="102" customFormat="1" ht="15" customHeight="1">
      <c r="A89" s="101" t="s">
        <v>240</v>
      </c>
      <c r="B89" s="101">
        <v>2010</v>
      </c>
      <c r="C89" s="101" t="s">
        <v>237</v>
      </c>
      <c r="D89" s="332" t="s">
        <v>238</v>
      </c>
      <c r="E89" s="101" t="s">
        <v>2318</v>
      </c>
      <c r="F89" s="101" t="s">
        <v>50</v>
      </c>
      <c r="G89" s="101"/>
      <c r="H89" s="18"/>
      <c r="I89" s="27"/>
      <c r="J89" s="18"/>
      <c r="K89" s="101"/>
      <c r="L89" s="101" t="s">
        <v>2469</v>
      </c>
      <c r="M89" s="18">
        <v>500000</v>
      </c>
      <c r="N89" s="18"/>
      <c r="O89" s="472" t="s">
        <v>2462</v>
      </c>
      <c r="P89" s="543"/>
      <c r="Q89" s="101"/>
    </row>
    <row r="90" spans="1:17" s="102" customFormat="1" ht="15" customHeight="1">
      <c r="A90" s="101" t="s">
        <v>240</v>
      </c>
      <c r="B90" s="101">
        <v>2010</v>
      </c>
      <c r="C90" s="101" t="s">
        <v>237</v>
      </c>
      <c r="D90" s="332" t="s">
        <v>238</v>
      </c>
      <c r="E90" s="101" t="s">
        <v>2318</v>
      </c>
      <c r="F90" s="101" t="s">
        <v>50</v>
      </c>
      <c r="G90" s="101"/>
      <c r="H90" s="18"/>
      <c r="I90" s="27"/>
      <c r="J90" s="18"/>
      <c r="K90" s="101"/>
      <c r="L90" s="101" t="s">
        <v>2470</v>
      </c>
      <c r="M90" s="18"/>
      <c r="N90" s="18"/>
      <c r="O90" s="472"/>
      <c r="P90" s="543"/>
      <c r="Q90" s="101"/>
    </row>
    <row r="91" spans="1:17" s="102" customFormat="1" ht="15" customHeight="1">
      <c r="A91" s="101" t="s">
        <v>240</v>
      </c>
      <c r="B91" s="101">
        <v>2010</v>
      </c>
      <c r="C91" s="101" t="s">
        <v>237</v>
      </c>
      <c r="D91" s="332" t="s">
        <v>238</v>
      </c>
      <c r="E91" s="101" t="s">
        <v>2321</v>
      </c>
      <c r="F91" s="101" t="s">
        <v>50</v>
      </c>
      <c r="G91" s="101" t="s">
        <v>98</v>
      </c>
      <c r="H91" s="18">
        <v>46758400</v>
      </c>
      <c r="I91" s="27" t="s">
        <v>2456</v>
      </c>
      <c r="J91" s="18" t="s">
        <v>871</v>
      </c>
      <c r="K91" s="101"/>
      <c r="L91" s="101" t="s">
        <v>2322</v>
      </c>
      <c r="M91" s="18">
        <v>1635485000</v>
      </c>
      <c r="N91" s="18">
        <v>1637507000</v>
      </c>
      <c r="O91" s="472" t="s">
        <v>2457</v>
      </c>
      <c r="P91" s="543"/>
      <c r="Q91" s="101"/>
    </row>
    <row r="92" spans="1:17" s="102" customFormat="1" ht="15" customHeight="1">
      <c r="A92" s="101" t="s">
        <v>240</v>
      </c>
      <c r="B92" s="101">
        <v>2010</v>
      </c>
      <c r="C92" s="101" t="s">
        <v>237</v>
      </c>
      <c r="D92" s="332" t="s">
        <v>238</v>
      </c>
      <c r="E92" s="101" t="s">
        <v>2321</v>
      </c>
      <c r="F92" s="101" t="s">
        <v>50</v>
      </c>
      <c r="G92" s="101" t="s">
        <v>552</v>
      </c>
      <c r="H92" s="18">
        <v>299389811</v>
      </c>
      <c r="I92" s="27" t="s">
        <v>2458</v>
      </c>
      <c r="J92" s="18" t="s">
        <v>871</v>
      </c>
      <c r="K92" s="101"/>
      <c r="L92" s="101" t="s">
        <v>2471</v>
      </c>
      <c r="M92" s="18"/>
      <c r="N92" s="18"/>
      <c r="O92" s="472" t="s">
        <v>2472</v>
      </c>
      <c r="P92" s="543"/>
      <c r="Q92" s="101"/>
    </row>
    <row r="93" spans="1:17" s="102" customFormat="1" ht="15" customHeight="1">
      <c r="A93" s="101" t="s">
        <v>240</v>
      </c>
      <c r="B93" s="101">
        <v>2010</v>
      </c>
      <c r="C93" s="101" t="s">
        <v>237</v>
      </c>
      <c r="D93" s="332" t="s">
        <v>238</v>
      </c>
      <c r="E93" s="101" t="s">
        <v>2324</v>
      </c>
      <c r="F93" s="101" t="s">
        <v>50</v>
      </c>
      <c r="G93" s="101" t="s">
        <v>98</v>
      </c>
      <c r="H93" s="18">
        <v>6484541</v>
      </c>
      <c r="I93" s="27" t="s">
        <v>2456</v>
      </c>
      <c r="J93" s="18" t="s">
        <v>871</v>
      </c>
      <c r="K93" s="101"/>
      <c r="L93" s="101" t="s">
        <v>2325</v>
      </c>
      <c r="M93" s="18">
        <v>675289000</v>
      </c>
      <c r="N93" s="18">
        <v>675289000</v>
      </c>
      <c r="O93" s="472" t="s">
        <v>2457</v>
      </c>
      <c r="P93" s="543"/>
      <c r="Q93" s="101"/>
    </row>
    <row r="94" spans="1:17" s="102" customFormat="1" ht="15" customHeight="1">
      <c r="A94" s="101" t="s">
        <v>240</v>
      </c>
      <c r="B94" s="101">
        <v>2010</v>
      </c>
      <c r="C94" s="101" t="s">
        <v>237</v>
      </c>
      <c r="D94" s="332" t="s">
        <v>238</v>
      </c>
      <c r="E94" s="101" t="s">
        <v>2324</v>
      </c>
      <c r="F94" s="101" t="s">
        <v>50</v>
      </c>
      <c r="G94" s="101" t="s">
        <v>552</v>
      </c>
      <c r="H94" s="18">
        <v>104958149</v>
      </c>
      <c r="I94" s="27" t="s">
        <v>2458</v>
      </c>
      <c r="J94" s="18" t="s">
        <v>871</v>
      </c>
      <c r="K94" s="101"/>
      <c r="L94" s="101" t="s">
        <v>2473</v>
      </c>
      <c r="M94" s="18">
        <v>49876000</v>
      </c>
      <c r="N94" s="18">
        <v>49877000</v>
      </c>
      <c r="O94" s="472" t="s">
        <v>2457</v>
      </c>
      <c r="P94" s="543"/>
      <c r="Q94" s="101"/>
    </row>
    <row r="95" spans="1:17" s="102" customFormat="1" ht="15" customHeight="1">
      <c r="A95" s="101" t="s">
        <v>240</v>
      </c>
      <c r="B95" s="101">
        <v>2010</v>
      </c>
      <c r="C95" s="101" t="s">
        <v>237</v>
      </c>
      <c r="D95" s="332" t="s">
        <v>238</v>
      </c>
      <c r="E95" s="101" t="s">
        <v>2324</v>
      </c>
      <c r="F95" s="101" t="s">
        <v>50</v>
      </c>
      <c r="G95" s="101"/>
      <c r="H95" s="18"/>
      <c r="I95" s="27"/>
      <c r="J95" s="18"/>
      <c r="K95" s="101"/>
      <c r="L95" s="101" t="s">
        <v>2474</v>
      </c>
      <c r="M95" s="18">
        <v>47982000</v>
      </c>
      <c r="N95" s="18">
        <v>47981000</v>
      </c>
      <c r="O95" s="472" t="s">
        <v>2462</v>
      </c>
      <c r="P95" s="543"/>
      <c r="Q95" s="101"/>
    </row>
    <row r="96" spans="1:17" s="102" customFormat="1" ht="15" customHeight="1">
      <c r="A96" s="101" t="s">
        <v>240</v>
      </c>
      <c r="B96" s="101">
        <v>2010</v>
      </c>
      <c r="C96" s="101" t="s">
        <v>237</v>
      </c>
      <c r="D96" s="332" t="s">
        <v>238</v>
      </c>
      <c r="E96" s="101" t="s">
        <v>2324</v>
      </c>
      <c r="F96" s="101" t="s">
        <v>50</v>
      </c>
      <c r="G96" s="101"/>
      <c r="H96" s="18"/>
      <c r="I96" s="27"/>
      <c r="J96" s="18"/>
      <c r="K96" s="101"/>
      <c r="L96" s="101" t="s">
        <v>2475</v>
      </c>
      <c r="M96" s="18">
        <v>43568000</v>
      </c>
      <c r="N96" s="18">
        <v>43568000</v>
      </c>
      <c r="O96" s="472" t="s">
        <v>2462</v>
      </c>
      <c r="P96" s="543"/>
      <c r="Q96" s="101"/>
    </row>
    <row r="97" spans="1:17" s="102" customFormat="1" ht="15" customHeight="1">
      <c r="A97" s="101" t="s">
        <v>240</v>
      </c>
      <c r="B97" s="101">
        <v>2010</v>
      </c>
      <c r="C97" s="101" t="s">
        <v>237</v>
      </c>
      <c r="D97" s="332" t="s">
        <v>238</v>
      </c>
      <c r="E97" s="101" t="s">
        <v>2324</v>
      </c>
      <c r="F97" s="101" t="s">
        <v>50</v>
      </c>
      <c r="G97" s="101"/>
      <c r="H97" s="18"/>
      <c r="I97" s="27"/>
      <c r="J97" s="18"/>
      <c r="K97" s="101"/>
      <c r="L97" s="101" t="s">
        <v>2476</v>
      </c>
      <c r="M97" s="18">
        <v>33686000</v>
      </c>
      <c r="N97" s="18">
        <v>33686000</v>
      </c>
      <c r="O97" s="472" t="s">
        <v>2462</v>
      </c>
      <c r="P97" s="543"/>
      <c r="Q97" s="101"/>
    </row>
    <row r="98" spans="1:17" s="102" customFormat="1" ht="15" customHeight="1">
      <c r="A98" s="101" t="s">
        <v>240</v>
      </c>
      <c r="B98" s="101">
        <v>2010</v>
      </c>
      <c r="C98" s="101" t="s">
        <v>237</v>
      </c>
      <c r="D98" s="332" t="s">
        <v>238</v>
      </c>
      <c r="E98" s="101" t="s">
        <v>2324</v>
      </c>
      <c r="F98" s="101" t="s">
        <v>50</v>
      </c>
      <c r="G98" s="101"/>
      <c r="H98" s="18"/>
      <c r="I98" s="27"/>
      <c r="J98" s="18"/>
      <c r="K98" s="101"/>
      <c r="L98" s="101" t="s">
        <v>2477</v>
      </c>
      <c r="M98" s="18">
        <v>9381000</v>
      </c>
      <c r="N98" s="18">
        <v>9381000</v>
      </c>
      <c r="O98" s="472" t="s">
        <v>2462</v>
      </c>
      <c r="P98" s="543"/>
      <c r="Q98" s="101"/>
    </row>
    <row r="99" spans="1:17" s="102" customFormat="1" ht="15" customHeight="1">
      <c r="A99" s="101" t="s">
        <v>240</v>
      </c>
      <c r="B99" s="101">
        <v>2010</v>
      </c>
      <c r="C99" s="101" t="s">
        <v>237</v>
      </c>
      <c r="D99" s="332" t="s">
        <v>238</v>
      </c>
      <c r="E99" s="101" t="s">
        <v>2327</v>
      </c>
      <c r="F99" s="101" t="s">
        <v>50</v>
      </c>
      <c r="G99" s="101" t="s">
        <v>98</v>
      </c>
      <c r="H99" s="18">
        <v>389370</v>
      </c>
      <c r="I99" s="27" t="s">
        <v>2456</v>
      </c>
      <c r="J99" s="18" t="s">
        <v>871</v>
      </c>
      <c r="K99" s="101"/>
      <c r="L99" s="101" t="s">
        <v>2328</v>
      </c>
      <c r="M99" s="18">
        <v>561627000</v>
      </c>
      <c r="N99" s="18">
        <v>561627000</v>
      </c>
      <c r="O99" s="472" t="s">
        <v>2457</v>
      </c>
      <c r="P99" s="543"/>
      <c r="Q99" s="101"/>
    </row>
    <row r="100" spans="1:17" s="102" customFormat="1" ht="15" customHeight="1">
      <c r="A100" s="101" t="s">
        <v>240</v>
      </c>
      <c r="B100" s="101">
        <v>2010</v>
      </c>
      <c r="C100" s="101" t="s">
        <v>237</v>
      </c>
      <c r="D100" s="332" t="s">
        <v>238</v>
      </c>
      <c r="E100" s="101" t="s">
        <v>2327</v>
      </c>
      <c r="F100" s="101" t="s">
        <v>50</v>
      </c>
      <c r="G100" s="101" t="s">
        <v>552</v>
      </c>
      <c r="H100" s="18">
        <v>70461263</v>
      </c>
      <c r="I100" s="27" t="s">
        <v>2458</v>
      </c>
      <c r="J100" s="18" t="s">
        <v>871</v>
      </c>
      <c r="K100" s="101"/>
      <c r="L100" s="101"/>
      <c r="M100" s="18"/>
      <c r="N100" s="18"/>
      <c r="O100" s="472" t="s">
        <v>2472</v>
      </c>
      <c r="P100" s="543"/>
      <c r="Q100" s="101"/>
    </row>
    <row r="101" spans="1:17" s="102" customFormat="1" ht="15" customHeight="1">
      <c r="A101" s="101" t="s">
        <v>240</v>
      </c>
      <c r="B101" s="101">
        <v>2010</v>
      </c>
      <c r="C101" s="101" t="s">
        <v>237</v>
      </c>
      <c r="D101" s="332" t="s">
        <v>238</v>
      </c>
      <c r="E101" s="101" t="s">
        <v>2330</v>
      </c>
      <c r="F101" s="101" t="s">
        <v>50</v>
      </c>
      <c r="G101" s="101" t="s">
        <v>98</v>
      </c>
      <c r="H101" s="18">
        <v>1334436</v>
      </c>
      <c r="I101" s="27" t="s">
        <v>2456</v>
      </c>
      <c r="J101" s="18" t="s">
        <v>871</v>
      </c>
      <c r="K101" s="101"/>
      <c r="L101" s="101" t="s">
        <v>2331</v>
      </c>
      <c r="M101" s="18">
        <v>403217000</v>
      </c>
      <c r="N101" s="18">
        <v>403141000</v>
      </c>
      <c r="O101" s="472" t="s">
        <v>2457</v>
      </c>
      <c r="P101" s="543"/>
      <c r="Q101" s="101"/>
    </row>
    <row r="102" spans="1:17" s="102" customFormat="1" ht="15" customHeight="1">
      <c r="A102" s="101" t="s">
        <v>240</v>
      </c>
      <c r="B102" s="101">
        <v>2010</v>
      </c>
      <c r="C102" s="101" t="s">
        <v>237</v>
      </c>
      <c r="D102" s="332" t="s">
        <v>238</v>
      </c>
      <c r="E102" s="101" t="s">
        <v>2330</v>
      </c>
      <c r="F102" s="101" t="s">
        <v>50</v>
      </c>
      <c r="G102" s="101" t="s">
        <v>552</v>
      </c>
      <c r="H102" s="18">
        <v>39664433</v>
      </c>
      <c r="I102" s="27" t="s">
        <v>2458</v>
      </c>
      <c r="J102" s="18" t="s">
        <v>871</v>
      </c>
      <c r="K102" s="101"/>
      <c r="L102" s="101"/>
      <c r="M102" s="18"/>
      <c r="N102" s="18"/>
      <c r="O102" s="472" t="s">
        <v>2472</v>
      </c>
      <c r="P102" s="543"/>
      <c r="Q102" s="101"/>
    </row>
    <row r="103" spans="1:17" s="102" customFormat="1" ht="15" customHeight="1">
      <c r="A103" s="101" t="s">
        <v>240</v>
      </c>
      <c r="B103" s="101">
        <v>2010</v>
      </c>
      <c r="C103" s="101" t="s">
        <v>237</v>
      </c>
      <c r="D103" s="332" t="s">
        <v>238</v>
      </c>
      <c r="E103" s="101" t="s">
        <v>2333</v>
      </c>
      <c r="F103" s="101" t="s">
        <v>50</v>
      </c>
      <c r="G103" s="101" t="s">
        <v>98</v>
      </c>
      <c r="H103" s="18">
        <v>6772071</v>
      </c>
      <c r="I103" s="27" t="s">
        <v>2456</v>
      </c>
      <c r="J103" s="18" t="s">
        <v>871</v>
      </c>
      <c r="K103" s="101"/>
      <c r="L103" s="101" t="s">
        <v>2334</v>
      </c>
      <c r="M103" s="18">
        <v>72533000</v>
      </c>
      <c r="N103" s="18">
        <v>72533000</v>
      </c>
      <c r="O103" s="472" t="s">
        <v>2457</v>
      </c>
      <c r="P103" s="543"/>
      <c r="Q103" s="101"/>
    </row>
    <row r="104" spans="1:17" s="102" customFormat="1" ht="15" customHeight="1">
      <c r="A104" s="101" t="s">
        <v>240</v>
      </c>
      <c r="B104" s="101">
        <v>2010</v>
      </c>
      <c r="C104" s="101" t="s">
        <v>237</v>
      </c>
      <c r="D104" s="332" t="s">
        <v>238</v>
      </c>
      <c r="E104" s="101" t="s">
        <v>2333</v>
      </c>
      <c r="F104" s="101" t="s">
        <v>50</v>
      </c>
      <c r="G104" s="101"/>
      <c r="H104" s="18"/>
      <c r="I104" s="27"/>
      <c r="J104" s="18"/>
      <c r="K104" s="101"/>
      <c r="L104" s="101" t="s">
        <v>2478</v>
      </c>
      <c r="M104" s="18">
        <v>199000</v>
      </c>
      <c r="N104" s="18">
        <v>199000</v>
      </c>
      <c r="O104" s="472" t="s">
        <v>2462</v>
      </c>
      <c r="P104" s="543"/>
      <c r="Q104" s="101"/>
    </row>
    <row r="105" spans="1:17" s="102" customFormat="1" ht="15" customHeight="1">
      <c r="A105" s="101" t="s">
        <v>240</v>
      </c>
      <c r="B105" s="101">
        <v>2010</v>
      </c>
      <c r="C105" s="101" t="s">
        <v>237</v>
      </c>
      <c r="D105" s="332" t="s">
        <v>238</v>
      </c>
      <c r="E105" s="101" t="s">
        <v>2333</v>
      </c>
      <c r="F105" s="101" t="s">
        <v>50</v>
      </c>
      <c r="G105" s="101"/>
      <c r="H105" s="18"/>
      <c r="I105" s="27"/>
      <c r="J105" s="18"/>
      <c r="K105" s="101"/>
      <c r="L105" s="101" t="s">
        <v>2479</v>
      </c>
      <c r="M105" s="18"/>
      <c r="N105" s="18"/>
      <c r="O105" s="472"/>
      <c r="P105" s="543"/>
      <c r="Q105" s="101"/>
    </row>
    <row r="106" spans="1:17" s="102" customFormat="1" ht="15" customHeight="1">
      <c r="A106" s="101" t="s">
        <v>240</v>
      </c>
      <c r="B106" s="101">
        <v>2010</v>
      </c>
      <c r="C106" s="101" t="s">
        <v>237</v>
      </c>
      <c r="D106" s="332" t="s">
        <v>238</v>
      </c>
      <c r="E106" s="101" t="s">
        <v>2333</v>
      </c>
      <c r="F106" s="101" t="s">
        <v>50</v>
      </c>
      <c r="G106" s="101"/>
      <c r="H106" s="18"/>
      <c r="I106" s="27"/>
      <c r="J106" s="18"/>
      <c r="K106" s="101"/>
      <c r="L106" s="101" t="s">
        <v>2480</v>
      </c>
      <c r="M106" s="18"/>
      <c r="N106" s="18"/>
      <c r="O106" s="472"/>
      <c r="P106" s="543"/>
      <c r="Q106" s="101"/>
    </row>
    <row r="107" spans="1:17" s="102" customFormat="1" ht="15" customHeight="1">
      <c r="A107" s="101" t="s">
        <v>240</v>
      </c>
      <c r="B107" s="101">
        <v>2010</v>
      </c>
      <c r="C107" s="101" t="s">
        <v>237</v>
      </c>
      <c r="D107" s="332" t="s">
        <v>238</v>
      </c>
      <c r="E107" s="101" t="s">
        <v>2333</v>
      </c>
      <c r="F107" s="101" t="s">
        <v>50</v>
      </c>
      <c r="G107" s="101"/>
      <c r="H107" s="18"/>
      <c r="I107" s="27"/>
      <c r="J107" s="18"/>
      <c r="K107" s="101"/>
      <c r="L107" s="101" t="s">
        <v>2481</v>
      </c>
      <c r="M107" s="18"/>
      <c r="N107" s="18"/>
      <c r="O107" s="472"/>
      <c r="P107" s="543"/>
      <c r="Q107" s="101"/>
    </row>
    <row r="108" spans="1:17" s="102" customFormat="1" ht="15" customHeight="1">
      <c r="A108" s="101" t="s">
        <v>240</v>
      </c>
      <c r="B108" s="101">
        <v>2010</v>
      </c>
      <c r="C108" s="101" t="s">
        <v>237</v>
      </c>
      <c r="D108" s="332" t="s">
        <v>238</v>
      </c>
      <c r="E108" s="101" t="s">
        <v>2333</v>
      </c>
      <c r="F108" s="101" t="s">
        <v>50</v>
      </c>
      <c r="G108" s="101"/>
      <c r="H108" s="18"/>
      <c r="I108" s="27"/>
      <c r="J108" s="18"/>
      <c r="K108" s="101"/>
      <c r="L108" s="101" t="s">
        <v>2482</v>
      </c>
      <c r="M108" s="18"/>
      <c r="N108" s="18"/>
      <c r="O108" s="472"/>
      <c r="P108" s="543"/>
      <c r="Q108" s="101"/>
    </row>
    <row r="109" spans="1:17" s="102" customFormat="1" ht="15" customHeight="1">
      <c r="A109" s="101" t="s">
        <v>240</v>
      </c>
      <c r="B109" s="101">
        <v>2010</v>
      </c>
      <c r="C109" s="101" t="s">
        <v>237</v>
      </c>
      <c r="D109" s="332" t="s">
        <v>238</v>
      </c>
      <c r="E109" s="101" t="s">
        <v>2333</v>
      </c>
      <c r="F109" s="101" t="s">
        <v>50</v>
      </c>
      <c r="G109" s="101"/>
      <c r="H109" s="18"/>
      <c r="I109" s="27"/>
      <c r="J109" s="18"/>
      <c r="K109" s="101"/>
      <c r="L109" s="101" t="s">
        <v>2483</v>
      </c>
      <c r="M109" s="18"/>
      <c r="N109" s="18"/>
      <c r="O109" s="472"/>
      <c r="P109" s="543"/>
      <c r="Q109" s="101"/>
    </row>
    <row r="110" spans="1:17" s="102" customFormat="1" ht="15" customHeight="1">
      <c r="A110" s="101" t="s">
        <v>240</v>
      </c>
      <c r="B110" s="101">
        <v>2010</v>
      </c>
      <c r="C110" s="101" t="s">
        <v>237</v>
      </c>
      <c r="D110" s="332" t="s">
        <v>238</v>
      </c>
      <c r="E110" s="101" t="s">
        <v>2339</v>
      </c>
      <c r="F110" s="101" t="s">
        <v>50</v>
      </c>
      <c r="G110" s="101" t="s">
        <v>98</v>
      </c>
      <c r="H110" s="18">
        <v>14994753</v>
      </c>
      <c r="I110" s="27" t="s">
        <v>2456</v>
      </c>
      <c r="J110" s="18" t="s">
        <v>871</v>
      </c>
      <c r="K110" s="101"/>
      <c r="L110" s="101" t="s">
        <v>2340</v>
      </c>
      <c r="M110" s="18">
        <v>767094000</v>
      </c>
      <c r="N110" s="18">
        <v>766912000</v>
      </c>
      <c r="O110" s="472" t="s">
        <v>2457</v>
      </c>
      <c r="P110" s="543"/>
      <c r="Q110" s="101"/>
    </row>
    <row r="111" spans="1:17" s="102" customFormat="1" ht="15" customHeight="1">
      <c r="A111" s="101" t="s">
        <v>240</v>
      </c>
      <c r="B111" s="101">
        <v>2010</v>
      </c>
      <c r="C111" s="101" t="s">
        <v>237</v>
      </c>
      <c r="D111" s="332" t="s">
        <v>238</v>
      </c>
      <c r="E111" s="101" t="s">
        <v>2339</v>
      </c>
      <c r="F111" s="101" t="s">
        <v>50</v>
      </c>
      <c r="G111" s="101" t="s">
        <v>552</v>
      </c>
      <c r="H111" s="18">
        <v>23989265</v>
      </c>
      <c r="I111" s="27" t="s">
        <v>2458</v>
      </c>
      <c r="J111" s="18" t="s">
        <v>871</v>
      </c>
      <c r="K111" s="101"/>
      <c r="L111" s="101" t="s">
        <v>2484</v>
      </c>
      <c r="M111" s="18">
        <v>12214000</v>
      </c>
      <c r="N111" s="18">
        <v>21214000</v>
      </c>
      <c r="O111" s="472" t="s">
        <v>2457</v>
      </c>
      <c r="P111" s="543"/>
      <c r="Q111" s="101"/>
    </row>
    <row r="112" spans="1:17" s="102" customFormat="1" ht="15" customHeight="1">
      <c r="A112" s="101" t="s">
        <v>240</v>
      </c>
      <c r="B112" s="101">
        <v>2010</v>
      </c>
      <c r="C112" s="101" t="s">
        <v>237</v>
      </c>
      <c r="D112" s="332" t="s">
        <v>238</v>
      </c>
      <c r="E112" s="101" t="s">
        <v>2339</v>
      </c>
      <c r="F112" s="101" t="s">
        <v>50</v>
      </c>
      <c r="G112" s="101"/>
      <c r="H112" s="18"/>
      <c r="I112" s="27"/>
      <c r="J112" s="18"/>
      <c r="K112" s="101"/>
      <c r="L112" s="101" t="s">
        <v>2485</v>
      </c>
      <c r="M112" s="18">
        <v>7195000</v>
      </c>
      <c r="N112" s="18"/>
      <c r="O112" s="472"/>
      <c r="P112" s="543"/>
      <c r="Q112" s="101"/>
    </row>
    <row r="113" spans="1:17" s="102" customFormat="1" ht="15" customHeight="1">
      <c r="A113" s="101" t="s">
        <v>240</v>
      </c>
      <c r="B113" s="101">
        <v>2010</v>
      </c>
      <c r="C113" s="101" t="s">
        <v>237</v>
      </c>
      <c r="D113" s="332" t="s">
        <v>238</v>
      </c>
      <c r="E113" s="101" t="s">
        <v>2339</v>
      </c>
      <c r="F113" s="101" t="s">
        <v>50</v>
      </c>
      <c r="G113" s="101"/>
      <c r="H113" s="18"/>
      <c r="I113" s="27"/>
      <c r="J113" s="18"/>
      <c r="K113" s="101"/>
      <c r="L113" s="101" t="s">
        <v>2486</v>
      </c>
      <c r="M113" s="18">
        <v>3598000</v>
      </c>
      <c r="N113" s="18">
        <v>3598000</v>
      </c>
      <c r="O113" s="472" t="s">
        <v>2462</v>
      </c>
      <c r="P113" s="543"/>
      <c r="Q113" s="101"/>
    </row>
    <row r="114" spans="1:17" s="102" customFormat="1" ht="15" customHeight="1">
      <c r="A114" s="101" t="s">
        <v>240</v>
      </c>
      <c r="B114" s="101">
        <v>2010</v>
      </c>
      <c r="C114" s="101" t="s">
        <v>237</v>
      </c>
      <c r="D114" s="332" t="s">
        <v>238</v>
      </c>
      <c r="E114" s="101" t="s">
        <v>2339</v>
      </c>
      <c r="F114" s="101" t="s">
        <v>50</v>
      </c>
      <c r="G114" s="101"/>
      <c r="H114" s="18"/>
      <c r="I114" s="27"/>
      <c r="J114" s="18"/>
      <c r="K114" s="101"/>
      <c r="L114" s="101" t="s">
        <v>2487</v>
      </c>
      <c r="M114" s="18"/>
      <c r="N114" s="18"/>
      <c r="O114" s="472"/>
      <c r="P114" s="543"/>
      <c r="Q114" s="101"/>
    </row>
    <row r="115" spans="1:17" s="102" customFormat="1" ht="15" customHeight="1">
      <c r="A115" s="101" t="s">
        <v>240</v>
      </c>
      <c r="B115" s="101">
        <v>2010</v>
      </c>
      <c r="C115" s="101" t="s">
        <v>237</v>
      </c>
      <c r="D115" s="332" t="s">
        <v>238</v>
      </c>
      <c r="E115" s="101" t="s">
        <v>2339</v>
      </c>
      <c r="F115" s="101" t="s">
        <v>50</v>
      </c>
      <c r="G115" s="101"/>
      <c r="H115" s="18"/>
      <c r="I115" s="27"/>
      <c r="J115" s="18"/>
      <c r="K115" s="101"/>
      <c r="L115" s="101" t="s">
        <v>2488</v>
      </c>
      <c r="M115" s="18">
        <v>2049000</v>
      </c>
      <c r="N115" s="18">
        <v>2049000</v>
      </c>
      <c r="O115" s="472" t="s">
        <v>2462</v>
      </c>
      <c r="P115" s="543"/>
      <c r="Q115" s="101"/>
    </row>
    <row r="116" spans="1:17" s="102" customFormat="1" ht="15" customHeight="1">
      <c r="A116" s="101" t="s">
        <v>240</v>
      </c>
      <c r="B116" s="101">
        <v>2010</v>
      </c>
      <c r="C116" s="101" t="s">
        <v>237</v>
      </c>
      <c r="D116" s="332" t="s">
        <v>238</v>
      </c>
      <c r="E116" s="101" t="s">
        <v>2339</v>
      </c>
      <c r="F116" s="101" t="s">
        <v>50</v>
      </c>
      <c r="G116" s="101"/>
      <c r="H116" s="18"/>
      <c r="I116" s="27"/>
      <c r="J116" s="18"/>
      <c r="K116" s="101"/>
      <c r="L116" s="101" t="s">
        <v>2489</v>
      </c>
      <c r="M116" s="18">
        <v>1120000</v>
      </c>
      <c r="N116" s="18">
        <v>1120000</v>
      </c>
      <c r="O116" s="472" t="s">
        <v>2462</v>
      </c>
      <c r="P116" s="543"/>
      <c r="Q116" s="101"/>
    </row>
    <row r="117" spans="1:17" s="102" customFormat="1" ht="15" customHeight="1">
      <c r="A117" s="101" t="s">
        <v>240</v>
      </c>
      <c r="B117" s="101">
        <v>2010</v>
      </c>
      <c r="C117" s="101" t="s">
        <v>237</v>
      </c>
      <c r="D117" s="332" t="s">
        <v>238</v>
      </c>
      <c r="E117" s="101" t="s">
        <v>2339</v>
      </c>
      <c r="F117" s="101" t="s">
        <v>50</v>
      </c>
      <c r="G117" s="101"/>
      <c r="H117" s="18"/>
      <c r="I117" s="27"/>
      <c r="J117" s="18"/>
      <c r="K117" s="101"/>
      <c r="L117" s="101" t="s">
        <v>2490</v>
      </c>
      <c r="M117" s="18">
        <v>924000</v>
      </c>
      <c r="N117" s="18">
        <v>924000</v>
      </c>
      <c r="O117" s="472" t="s">
        <v>2462</v>
      </c>
      <c r="P117" s="543"/>
      <c r="Q117" s="101"/>
    </row>
    <row r="118" spans="1:17" s="102" customFormat="1" ht="15" customHeight="1">
      <c r="A118" s="101" t="s">
        <v>240</v>
      </c>
      <c r="B118" s="101">
        <v>2010</v>
      </c>
      <c r="C118" s="101" t="s">
        <v>237</v>
      </c>
      <c r="D118" s="332" t="s">
        <v>238</v>
      </c>
      <c r="E118" s="101" t="s">
        <v>2390</v>
      </c>
      <c r="F118" s="101" t="s">
        <v>50</v>
      </c>
      <c r="G118" s="101" t="s">
        <v>98</v>
      </c>
      <c r="H118" s="18">
        <v>371868</v>
      </c>
      <c r="I118" s="27" t="s">
        <v>2456</v>
      </c>
      <c r="J118" s="18" t="s">
        <v>871</v>
      </c>
      <c r="K118" s="101"/>
      <c r="L118" s="101" t="s">
        <v>2491</v>
      </c>
      <c r="M118" s="18">
        <v>7737000</v>
      </c>
      <c r="N118" s="18">
        <v>7737000</v>
      </c>
      <c r="O118" s="472" t="s">
        <v>2457</v>
      </c>
      <c r="P118" s="543"/>
      <c r="Q118" s="101"/>
    </row>
    <row r="119" spans="1:17" s="102" customFormat="1" ht="15" customHeight="1">
      <c r="A119" s="101" t="s">
        <v>240</v>
      </c>
      <c r="B119" s="101">
        <v>2010</v>
      </c>
      <c r="C119" s="101" t="s">
        <v>237</v>
      </c>
      <c r="D119" s="332" t="s">
        <v>238</v>
      </c>
      <c r="E119" s="101" t="s">
        <v>2390</v>
      </c>
      <c r="F119" s="101" t="s">
        <v>50</v>
      </c>
      <c r="G119" s="101" t="s">
        <v>552</v>
      </c>
      <c r="H119" s="18">
        <v>54631085</v>
      </c>
      <c r="I119" s="27" t="s">
        <v>2458</v>
      </c>
      <c r="J119" s="18" t="s">
        <v>871</v>
      </c>
      <c r="K119" s="101"/>
      <c r="L119" s="101" t="s">
        <v>2492</v>
      </c>
      <c r="M119" s="18">
        <v>1250000</v>
      </c>
      <c r="N119" s="18">
        <v>1250000</v>
      </c>
      <c r="O119" s="472" t="s">
        <v>2457</v>
      </c>
      <c r="P119" s="543"/>
      <c r="Q119" s="101"/>
    </row>
    <row r="120" spans="1:17" s="102" customFormat="1" ht="15" customHeight="1">
      <c r="A120" s="101" t="s">
        <v>240</v>
      </c>
      <c r="B120" s="101">
        <v>2010</v>
      </c>
      <c r="C120" s="101" t="s">
        <v>237</v>
      </c>
      <c r="D120" s="332" t="s">
        <v>238</v>
      </c>
      <c r="E120" s="101" t="s">
        <v>2390</v>
      </c>
      <c r="F120" s="101" t="s">
        <v>50</v>
      </c>
      <c r="G120" s="101"/>
      <c r="H120" s="18"/>
      <c r="I120" s="27"/>
      <c r="J120" s="18"/>
      <c r="K120" s="101"/>
      <c r="L120" s="101" t="s">
        <v>2493</v>
      </c>
      <c r="M120" s="18">
        <v>5088000</v>
      </c>
      <c r="N120" s="18">
        <v>5088000</v>
      </c>
      <c r="O120" s="472" t="s">
        <v>2462</v>
      </c>
      <c r="P120" s="543"/>
      <c r="Q120" s="101"/>
    </row>
    <row r="121" spans="1:17" s="102" customFormat="1" ht="15" customHeight="1">
      <c r="A121" s="101" t="s">
        <v>240</v>
      </c>
      <c r="B121" s="101">
        <v>2010</v>
      </c>
      <c r="C121" s="101" t="s">
        <v>237</v>
      </c>
      <c r="D121" s="332" t="s">
        <v>238</v>
      </c>
      <c r="E121" s="101" t="s">
        <v>2342</v>
      </c>
      <c r="F121" s="101" t="s">
        <v>50</v>
      </c>
      <c r="G121" s="101" t="s">
        <v>98</v>
      </c>
      <c r="H121" s="18">
        <v>6259258</v>
      </c>
      <c r="I121" s="27" t="s">
        <v>2456</v>
      </c>
      <c r="J121" s="18" t="s">
        <v>871</v>
      </c>
      <c r="K121" s="101"/>
      <c r="L121" s="101" t="s">
        <v>2494</v>
      </c>
      <c r="M121" s="18">
        <v>328259000</v>
      </c>
      <c r="N121" s="18">
        <v>328259000</v>
      </c>
      <c r="O121" s="472" t="s">
        <v>2457</v>
      </c>
      <c r="P121" s="543"/>
      <c r="Q121" s="101"/>
    </row>
    <row r="122" spans="1:17" s="102" customFormat="1" ht="15" customHeight="1">
      <c r="A122" s="101" t="s">
        <v>240</v>
      </c>
      <c r="B122" s="101">
        <v>2010</v>
      </c>
      <c r="C122" s="101" t="s">
        <v>237</v>
      </c>
      <c r="D122" s="332" t="s">
        <v>238</v>
      </c>
      <c r="E122" s="101" t="s">
        <v>2342</v>
      </c>
      <c r="F122" s="101" t="s">
        <v>50</v>
      </c>
      <c r="G122" s="101"/>
      <c r="H122" s="18"/>
      <c r="I122" s="27"/>
      <c r="J122" s="18"/>
      <c r="K122" s="101"/>
      <c r="L122" s="101" t="s">
        <v>2495</v>
      </c>
      <c r="M122" s="18">
        <v>17243000</v>
      </c>
      <c r="N122" s="18">
        <v>17243000</v>
      </c>
      <c r="O122" s="472" t="s">
        <v>2462</v>
      </c>
      <c r="P122" s="543"/>
      <c r="Q122" s="101"/>
    </row>
    <row r="123" spans="1:17" s="102" customFormat="1" ht="15" customHeight="1">
      <c r="A123" s="101" t="s">
        <v>240</v>
      </c>
      <c r="B123" s="101">
        <v>2010</v>
      </c>
      <c r="C123" s="101" t="s">
        <v>237</v>
      </c>
      <c r="D123" s="332" t="s">
        <v>238</v>
      </c>
      <c r="E123" s="101" t="s">
        <v>2384</v>
      </c>
      <c r="F123" s="101" t="s">
        <v>50</v>
      </c>
      <c r="G123" s="101" t="s">
        <v>98</v>
      </c>
      <c r="H123" s="18">
        <v>9902748</v>
      </c>
      <c r="I123" s="27" t="s">
        <v>2456</v>
      </c>
      <c r="J123" s="18" t="s">
        <v>871</v>
      </c>
      <c r="K123" s="101"/>
      <c r="L123" s="101" t="s">
        <v>2385</v>
      </c>
      <c r="M123" s="18">
        <v>497209000</v>
      </c>
      <c r="N123" s="18">
        <v>497209000</v>
      </c>
      <c r="O123" s="472" t="s">
        <v>2457</v>
      </c>
      <c r="P123" s="543"/>
      <c r="Q123" s="101"/>
    </row>
    <row r="124" spans="1:17" s="102" customFormat="1" ht="15" customHeight="1">
      <c r="A124" s="101" t="s">
        <v>240</v>
      </c>
      <c r="B124" s="101">
        <v>2010</v>
      </c>
      <c r="C124" s="101" t="s">
        <v>237</v>
      </c>
      <c r="D124" s="332" t="s">
        <v>238</v>
      </c>
      <c r="E124" s="101" t="s">
        <v>2384</v>
      </c>
      <c r="F124" s="101" t="s">
        <v>50</v>
      </c>
      <c r="G124" s="101" t="s">
        <v>552</v>
      </c>
      <c r="H124" s="18">
        <v>74149557</v>
      </c>
      <c r="I124" s="27" t="s">
        <v>2458</v>
      </c>
      <c r="J124" s="18" t="s">
        <v>871</v>
      </c>
      <c r="K124" s="101"/>
      <c r="L124" s="101" t="s">
        <v>2496</v>
      </c>
      <c r="M124" s="18">
        <v>23362000</v>
      </c>
      <c r="N124" s="18">
        <v>23362000</v>
      </c>
      <c r="O124" s="472" t="s">
        <v>2457</v>
      </c>
      <c r="P124" s="543"/>
      <c r="Q124" s="101"/>
    </row>
    <row r="125" spans="1:17" s="102" customFormat="1" ht="15" customHeight="1">
      <c r="A125" s="101" t="s">
        <v>240</v>
      </c>
      <c r="B125" s="101">
        <v>2010</v>
      </c>
      <c r="C125" s="101" t="s">
        <v>237</v>
      </c>
      <c r="D125" s="332" t="s">
        <v>238</v>
      </c>
      <c r="E125" s="101" t="s">
        <v>2384</v>
      </c>
      <c r="F125" s="101" t="s">
        <v>50</v>
      </c>
      <c r="G125" s="101"/>
      <c r="H125" s="18"/>
      <c r="I125" s="27"/>
      <c r="J125" s="18"/>
      <c r="K125" s="101"/>
      <c r="L125" s="101" t="s">
        <v>2497</v>
      </c>
      <c r="M125" s="18">
        <v>862000</v>
      </c>
      <c r="N125" s="18"/>
      <c r="O125" s="472"/>
      <c r="P125" s="543"/>
      <c r="Q125" s="101"/>
    </row>
    <row r="126" spans="1:17" s="102" customFormat="1" ht="15" customHeight="1">
      <c r="A126" s="101" t="s">
        <v>240</v>
      </c>
      <c r="B126" s="101">
        <v>2010</v>
      </c>
      <c r="C126" s="101" t="s">
        <v>237</v>
      </c>
      <c r="D126" s="332" t="s">
        <v>238</v>
      </c>
      <c r="E126" s="101" t="s">
        <v>2384</v>
      </c>
      <c r="F126" s="101" t="s">
        <v>50</v>
      </c>
      <c r="G126" s="101"/>
      <c r="H126" s="18"/>
      <c r="I126" s="27"/>
      <c r="J126" s="18"/>
      <c r="K126" s="101"/>
      <c r="L126" s="101" t="s">
        <v>2498</v>
      </c>
      <c r="M126" s="18">
        <v>8033000</v>
      </c>
      <c r="N126" s="18">
        <v>8033000</v>
      </c>
      <c r="O126" s="472" t="s">
        <v>2462</v>
      </c>
      <c r="P126" s="543"/>
      <c r="Q126" s="101"/>
    </row>
    <row r="127" spans="1:17" s="102" customFormat="1" ht="15" customHeight="1">
      <c r="A127" s="101" t="s">
        <v>240</v>
      </c>
      <c r="B127" s="101">
        <v>2010</v>
      </c>
      <c r="C127" s="101" t="s">
        <v>237</v>
      </c>
      <c r="D127" s="332" t="s">
        <v>238</v>
      </c>
      <c r="E127" s="101" t="s">
        <v>2384</v>
      </c>
      <c r="F127" s="101" t="s">
        <v>50</v>
      </c>
      <c r="G127" s="101"/>
      <c r="H127" s="18"/>
      <c r="I127" s="27"/>
      <c r="J127" s="18"/>
      <c r="K127" s="101"/>
      <c r="L127" s="101" t="s">
        <v>2499</v>
      </c>
      <c r="M127" s="18">
        <v>3733000</v>
      </c>
      <c r="N127" s="18">
        <v>3733000</v>
      </c>
      <c r="O127" s="472" t="s">
        <v>2462</v>
      </c>
      <c r="P127" s="543"/>
      <c r="Q127" s="101"/>
    </row>
    <row r="128" spans="1:17" s="102" customFormat="1" ht="15" customHeight="1">
      <c r="A128" s="101" t="s">
        <v>240</v>
      </c>
      <c r="B128" s="101">
        <v>2010</v>
      </c>
      <c r="C128" s="101" t="s">
        <v>237</v>
      </c>
      <c r="D128" s="332" t="s">
        <v>238</v>
      </c>
      <c r="E128" s="101" t="s">
        <v>2384</v>
      </c>
      <c r="F128" s="101" t="s">
        <v>50</v>
      </c>
      <c r="G128" s="101"/>
      <c r="H128" s="18"/>
      <c r="I128" s="27"/>
      <c r="J128" s="18"/>
      <c r="K128" s="101"/>
      <c r="L128" s="101" t="s">
        <v>2500</v>
      </c>
      <c r="M128" s="18">
        <v>4010000</v>
      </c>
      <c r="N128" s="18">
        <v>4010000</v>
      </c>
      <c r="O128" s="472" t="s">
        <v>2462</v>
      </c>
      <c r="P128" s="543"/>
      <c r="Q128" s="101"/>
    </row>
    <row r="129" spans="1:17" s="102" customFormat="1" ht="15" customHeight="1">
      <c r="A129" s="101" t="s">
        <v>240</v>
      </c>
      <c r="B129" s="101">
        <v>2010</v>
      </c>
      <c r="C129" s="101" t="s">
        <v>237</v>
      </c>
      <c r="D129" s="332" t="s">
        <v>238</v>
      </c>
      <c r="E129" s="101" t="s">
        <v>2345</v>
      </c>
      <c r="F129" s="101" t="s">
        <v>50</v>
      </c>
      <c r="G129" s="101" t="s">
        <v>98</v>
      </c>
      <c r="H129" s="18">
        <v>3707980</v>
      </c>
      <c r="I129" s="27" t="s">
        <v>2456</v>
      </c>
      <c r="J129" s="18" t="s">
        <v>871</v>
      </c>
      <c r="K129" s="101"/>
      <c r="L129" s="101" t="s">
        <v>2501</v>
      </c>
      <c r="M129" s="18">
        <v>-110440000</v>
      </c>
      <c r="N129" s="18">
        <v>-110440000</v>
      </c>
      <c r="O129" s="472" t="s">
        <v>2457</v>
      </c>
      <c r="P129" s="543"/>
      <c r="Q129" s="101"/>
    </row>
    <row r="130" spans="1:17" s="102" customFormat="1" ht="15" customHeight="1">
      <c r="A130" s="101" t="s">
        <v>240</v>
      </c>
      <c r="B130" s="101">
        <v>2010</v>
      </c>
      <c r="C130" s="101" t="s">
        <v>237</v>
      </c>
      <c r="D130" s="332" t="s">
        <v>238</v>
      </c>
      <c r="E130" s="101" t="s">
        <v>2345</v>
      </c>
      <c r="F130" s="101" t="s">
        <v>50</v>
      </c>
      <c r="G130" s="101" t="s">
        <v>552</v>
      </c>
      <c r="H130" s="18">
        <v>30182148</v>
      </c>
      <c r="I130" s="27" t="s">
        <v>2458</v>
      </c>
      <c r="J130" s="18" t="s">
        <v>871</v>
      </c>
      <c r="K130" s="101"/>
      <c r="L130" s="101"/>
      <c r="M130" s="18"/>
      <c r="N130" s="18"/>
      <c r="O130" s="472" t="s">
        <v>2457</v>
      </c>
      <c r="P130" s="543"/>
      <c r="Q130" s="101"/>
    </row>
    <row r="131" spans="1:17" s="102" customFormat="1" ht="15" customHeight="1">
      <c r="A131" s="101" t="s">
        <v>240</v>
      </c>
      <c r="B131" s="101">
        <v>2010</v>
      </c>
      <c r="C131" s="101" t="s">
        <v>237</v>
      </c>
      <c r="D131" s="332" t="s">
        <v>238</v>
      </c>
      <c r="E131" s="101" t="s">
        <v>2350</v>
      </c>
      <c r="F131" s="101" t="s">
        <v>50</v>
      </c>
      <c r="G131" s="101" t="s">
        <v>98</v>
      </c>
      <c r="H131" s="18">
        <v>3902484</v>
      </c>
      <c r="I131" s="27" t="s">
        <v>2456</v>
      </c>
      <c r="J131" s="18" t="s">
        <v>871</v>
      </c>
      <c r="K131" s="101"/>
      <c r="L131" s="101" t="s">
        <v>2502</v>
      </c>
      <c r="M131" s="18">
        <v>107591000</v>
      </c>
      <c r="N131" s="18">
        <v>107591000</v>
      </c>
      <c r="O131" s="472" t="s">
        <v>2457</v>
      </c>
      <c r="P131" s="543"/>
      <c r="Q131" s="101"/>
    </row>
    <row r="132" spans="1:17" s="102" customFormat="1" ht="15" customHeight="1">
      <c r="A132" s="101" t="s">
        <v>240</v>
      </c>
      <c r="B132" s="101">
        <v>2010</v>
      </c>
      <c r="C132" s="101" t="s">
        <v>237</v>
      </c>
      <c r="D132" s="332" t="s">
        <v>238</v>
      </c>
      <c r="E132" s="101" t="s">
        <v>2350</v>
      </c>
      <c r="F132" s="101" t="s">
        <v>50</v>
      </c>
      <c r="G132" s="101" t="s">
        <v>552</v>
      </c>
      <c r="H132" s="18">
        <v>2378410</v>
      </c>
      <c r="I132" s="27" t="s">
        <v>2458</v>
      </c>
      <c r="J132" s="18" t="s">
        <v>871</v>
      </c>
      <c r="K132" s="101"/>
      <c r="L132" s="101" t="s">
        <v>2503</v>
      </c>
      <c r="M132" s="18">
        <v>97397000</v>
      </c>
      <c r="N132" s="18">
        <v>97391000</v>
      </c>
      <c r="O132" s="472" t="s">
        <v>2457</v>
      </c>
      <c r="P132" s="543"/>
      <c r="Q132" s="101"/>
    </row>
    <row r="133" spans="1:17" s="102" customFormat="1" ht="15" customHeight="1">
      <c r="A133" s="101" t="s">
        <v>240</v>
      </c>
      <c r="B133" s="101">
        <v>2010</v>
      </c>
      <c r="C133" s="101" t="s">
        <v>237</v>
      </c>
      <c r="D133" s="332" t="s">
        <v>238</v>
      </c>
      <c r="E133" s="101" t="s">
        <v>2350</v>
      </c>
      <c r="F133" s="101" t="s">
        <v>50</v>
      </c>
      <c r="G133" s="101"/>
      <c r="H133" s="18"/>
      <c r="I133" s="27"/>
      <c r="J133" s="18"/>
      <c r="K133" s="101"/>
      <c r="L133" s="101" t="s">
        <v>2504</v>
      </c>
      <c r="M133" s="18">
        <v>6821000</v>
      </c>
      <c r="N133" s="18">
        <v>6821000</v>
      </c>
      <c r="O133" s="472" t="s">
        <v>2462</v>
      </c>
      <c r="P133" s="543"/>
      <c r="Q133" s="101"/>
    </row>
    <row r="134" spans="1:17" s="102" customFormat="1" ht="15" customHeight="1">
      <c r="A134" s="101" t="s">
        <v>240</v>
      </c>
      <c r="B134" s="101">
        <v>2010</v>
      </c>
      <c r="C134" s="101" t="s">
        <v>237</v>
      </c>
      <c r="D134" s="332" t="s">
        <v>238</v>
      </c>
      <c r="E134" s="101" t="s">
        <v>2505</v>
      </c>
      <c r="F134" s="101" t="s">
        <v>50</v>
      </c>
      <c r="G134" s="101" t="s">
        <v>98</v>
      </c>
      <c r="H134" s="18">
        <v>1108250</v>
      </c>
      <c r="I134" s="27" t="s">
        <v>2456</v>
      </c>
      <c r="J134" s="18" t="s">
        <v>871</v>
      </c>
      <c r="K134" s="101"/>
      <c r="L134" s="101" t="s">
        <v>2506</v>
      </c>
      <c r="M134" s="18">
        <v>17451000</v>
      </c>
      <c r="N134" s="18">
        <v>17451000</v>
      </c>
      <c r="O134" s="472" t="s">
        <v>2457</v>
      </c>
      <c r="P134" s="543"/>
      <c r="Q134" s="101"/>
    </row>
    <row r="135" spans="1:17" s="102" customFormat="1" ht="15" customHeight="1">
      <c r="A135" s="101" t="s">
        <v>240</v>
      </c>
      <c r="B135" s="101">
        <v>2010</v>
      </c>
      <c r="C135" s="101" t="s">
        <v>237</v>
      </c>
      <c r="D135" s="332" t="s">
        <v>238</v>
      </c>
      <c r="E135" s="101" t="s">
        <v>2505</v>
      </c>
      <c r="F135" s="101" t="s">
        <v>50</v>
      </c>
      <c r="G135" s="101"/>
      <c r="H135" s="18"/>
      <c r="I135" s="27"/>
      <c r="J135" s="18"/>
      <c r="K135" s="101"/>
      <c r="L135" s="101" t="s">
        <v>2507</v>
      </c>
      <c r="M135" s="18">
        <v>15216000</v>
      </c>
      <c r="N135" s="18">
        <v>15189000</v>
      </c>
      <c r="O135" s="472" t="s">
        <v>2462</v>
      </c>
      <c r="P135" s="543"/>
      <c r="Q135" s="101"/>
    </row>
    <row r="136" spans="1:17" s="102" customFormat="1" ht="15" customHeight="1">
      <c r="A136" s="101" t="s">
        <v>240</v>
      </c>
      <c r="B136" s="101">
        <v>2010</v>
      </c>
      <c r="C136" s="101" t="s">
        <v>237</v>
      </c>
      <c r="D136" s="332" t="s">
        <v>238</v>
      </c>
      <c r="E136" s="101" t="s">
        <v>2505</v>
      </c>
      <c r="F136" s="101" t="s">
        <v>50</v>
      </c>
      <c r="G136" s="101"/>
      <c r="H136" s="18"/>
      <c r="I136" s="27"/>
      <c r="J136" s="18"/>
      <c r="K136" s="101"/>
      <c r="L136" s="101" t="s">
        <v>2508</v>
      </c>
      <c r="M136" s="18">
        <v>947000</v>
      </c>
      <c r="N136" s="18">
        <v>947000</v>
      </c>
      <c r="O136" s="472" t="s">
        <v>2462</v>
      </c>
      <c r="P136" s="543"/>
      <c r="Q136" s="101"/>
    </row>
    <row r="137" spans="1:17" s="102" customFormat="1" ht="15" customHeight="1">
      <c r="A137" s="101" t="s">
        <v>240</v>
      </c>
      <c r="B137" s="101">
        <v>2010</v>
      </c>
      <c r="C137" s="101" t="s">
        <v>237</v>
      </c>
      <c r="D137" s="332" t="s">
        <v>238</v>
      </c>
      <c r="E137" s="101" t="s">
        <v>2505</v>
      </c>
      <c r="F137" s="101" t="s">
        <v>50</v>
      </c>
      <c r="G137" s="101"/>
      <c r="H137" s="18"/>
      <c r="I137" s="27"/>
      <c r="J137" s="18"/>
      <c r="K137" s="101"/>
      <c r="L137" s="101" t="s">
        <v>2509</v>
      </c>
      <c r="M137" s="18">
        <v>1221000</v>
      </c>
      <c r="N137" s="18">
        <v>1221000</v>
      </c>
      <c r="O137" s="472" t="s">
        <v>2462</v>
      </c>
      <c r="P137" s="543"/>
      <c r="Q137" s="101"/>
    </row>
    <row r="138" spans="1:17" s="102" customFormat="1" ht="15" customHeight="1">
      <c r="A138" s="101" t="s">
        <v>240</v>
      </c>
      <c r="B138" s="101">
        <v>2010</v>
      </c>
      <c r="C138" s="101" t="s">
        <v>237</v>
      </c>
      <c r="D138" s="332" t="s">
        <v>238</v>
      </c>
      <c r="E138" s="101" t="s">
        <v>2365</v>
      </c>
      <c r="F138" s="101" t="s">
        <v>50</v>
      </c>
      <c r="G138" s="101" t="s">
        <v>98</v>
      </c>
      <c r="H138" s="18">
        <v>618580</v>
      </c>
      <c r="I138" s="27" t="s">
        <v>2456</v>
      </c>
      <c r="J138" s="18" t="s">
        <v>871</v>
      </c>
      <c r="K138" s="101"/>
      <c r="L138" s="101" t="s">
        <v>2510</v>
      </c>
      <c r="M138" s="18">
        <v>21411000</v>
      </c>
      <c r="N138" s="18">
        <v>21411000</v>
      </c>
      <c r="O138" s="472" t="s">
        <v>2457</v>
      </c>
      <c r="P138" s="543"/>
      <c r="Q138" s="101"/>
    </row>
    <row r="139" spans="1:17" s="102" customFormat="1" ht="15" customHeight="1">
      <c r="A139" s="101" t="s">
        <v>240</v>
      </c>
      <c r="B139" s="101">
        <v>2010</v>
      </c>
      <c r="C139" s="101" t="s">
        <v>237</v>
      </c>
      <c r="D139" s="332" t="s">
        <v>238</v>
      </c>
      <c r="E139" s="101" t="s">
        <v>2365</v>
      </c>
      <c r="F139" s="101" t="s">
        <v>50</v>
      </c>
      <c r="G139" s="101"/>
      <c r="H139" s="18"/>
      <c r="I139" s="27"/>
      <c r="J139" s="18"/>
      <c r="K139" s="101"/>
      <c r="L139" s="101" t="s">
        <v>2511</v>
      </c>
      <c r="M139" s="105">
        <v>2243000</v>
      </c>
      <c r="N139" s="105">
        <v>2243000</v>
      </c>
      <c r="O139" s="472" t="s">
        <v>2462</v>
      </c>
      <c r="P139" s="543"/>
      <c r="Q139" s="101"/>
    </row>
    <row r="140" spans="1:17" s="102" customFormat="1" ht="15" customHeight="1">
      <c r="A140" s="101" t="s">
        <v>240</v>
      </c>
      <c r="B140" s="101">
        <v>2010</v>
      </c>
      <c r="C140" s="101" t="s">
        <v>237</v>
      </c>
      <c r="D140" s="332" t="s">
        <v>238</v>
      </c>
      <c r="E140" s="101" t="s">
        <v>2512</v>
      </c>
      <c r="F140" s="101" t="s">
        <v>50</v>
      </c>
      <c r="G140" s="101" t="s">
        <v>98</v>
      </c>
      <c r="H140" s="18">
        <v>404463</v>
      </c>
      <c r="I140" s="27" t="s">
        <v>2456</v>
      </c>
      <c r="J140" s="18" t="s">
        <v>871</v>
      </c>
      <c r="K140" s="101"/>
      <c r="L140" s="101" t="s">
        <v>2513</v>
      </c>
      <c r="M140" s="18">
        <v>10674000</v>
      </c>
      <c r="N140" s="18">
        <v>10674000</v>
      </c>
      <c r="O140" s="472" t="s">
        <v>2457</v>
      </c>
      <c r="P140" s="543"/>
      <c r="Q140" s="101"/>
    </row>
    <row r="141" spans="1:17" s="102" customFormat="1" ht="15" customHeight="1">
      <c r="A141" s="101" t="s">
        <v>240</v>
      </c>
      <c r="B141" s="101">
        <v>2010</v>
      </c>
      <c r="C141" s="101" t="s">
        <v>237</v>
      </c>
      <c r="D141" s="332" t="s">
        <v>238</v>
      </c>
      <c r="E141" s="101" t="s">
        <v>2512</v>
      </c>
      <c r="F141" s="101" t="s">
        <v>50</v>
      </c>
      <c r="G141" s="101" t="s">
        <v>552</v>
      </c>
      <c r="H141" s="18">
        <v>636692</v>
      </c>
      <c r="I141" s="27" t="s">
        <v>2458</v>
      </c>
      <c r="J141" s="18" t="s">
        <v>871</v>
      </c>
      <c r="K141" s="101"/>
      <c r="L141" s="101" t="s">
        <v>2514</v>
      </c>
      <c r="M141" s="18">
        <v>6363000</v>
      </c>
      <c r="N141" s="18">
        <v>6363000</v>
      </c>
      <c r="O141" s="472" t="s">
        <v>2457</v>
      </c>
      <c r="P141" s="543"/>
      <c r="Q141" s="101"/>
    </row>
    <row r="142" spans="1:17" s="102" customFormat="1" ht="15" customHeight="1">
      <c r="A142" s="101" t="s">
        <v>240</v>
      </c>
      <c r="B142" s="101">
        <v>2010</v>
      </c>
      <c r="C142" s="101" t="s">
        <v>237</v>
      </c>
      <c r="D142" s="332" t="s">
        <v>238</v>
      </c>
      <c r="E142" s="101" t="s">
        <v>2375</v>
      </c>
      <c r="F142" s="101" t="s">
        <v>50</v>
      </c>
      <c r="G142" s="101" t="s">
        <v>98</v>
      </c>
      <c r="H142" s="18">
        <v>6649830</v>
      </c>
      <c r="I142" s="27" t="s">
        <v>2456</v>
      </c>
      <c r="J142" s="18" t="s">
        <v>871</v>
      </c>
      <c r="K142" s="101"/>
      <c r="L142" s="101" t="s">
        <v>2376</v>
      </c>
      <c r="M142" s="18">
        <v>664387000</v>
      </c>
      <c r="N142" s="18">
        <v>664387000</v>
      </c>
      <c r="O142" s="472" t="s">
        <v>2457</v>
      </c>
      <c r="P142" s="543"/>
      <c r="Q142" s="101"/>
    </row>
    <row r="143" spans="1:17" s="102" customFormat="1" ht="15" customHeight="1">
      <c r="A143" s="101" t="s">
        <v>240</v>
      </c>
      <c r="B143" s="101">
        <v>2010</v>
      </c>
      <c r="C143" s="101" t="s">
        <v>237</v>
      </c>
      <c r="D143" s="332" t="s">
        <v>238</v>
      </c>
      <c r="E143" s="101" t="s">
        <v>2375</v>
      </c>
      <c r="F143" s="101" t="s">
        <v>50</v>
      </c>
      <c r="G143" s="101" t="s">
        <v>552</v>
      </c>
      <c r="H143" s="18">
        <v>57017376</v>
      </c>
      <c r="I143" s="27" t="s">
        <v>2458</v>
      </c>
      <c r="J143" s="18" t="s">
        <v>871</v>
      </c>
      <c r="K143" s="101"/>
      <c r="L143" s="101" t="s">
        <v>2515</v>
      </c>
      <c r="M143" s="18">
        <v>76792000</v>
      </c>
      <c r="N143" s="18">
        <v>76792000</v>
      </c>
      <c r="O143" s="472" t="s">
        <v>2457</v>
      </c>
      <c r="P143" s="543"/>
      <c r="Q143" s="101"/>
    </row>
    <row r="144" spans="1:17" s="102" customFormat="1" ht="15" customHeight="1">
      <c r="A144" s="101" t="s">
        <v>240</v>
      </c>
      <c r="B144" s="101">
        <v>2010</v>
      </c>
      <c r="C144" s="101" t="s">
        <v>237</v>
      </c>
      <c r="D144" s="332" t="s">
        <v>238</v>
      </c>
      <c r="E144" s="101" t="s">
        <v>2375</v>
      </c>
      <c r="F144" s="101" t="s">
        <v>50</v>
      </c>
      <c r="G144" s="101"/>
      <c r="H144" s="18"/>
      <c r="I144" s="27"/>
      <c r="J144" s="18"/>
      <c r="K144" s="101"/>
      <c r="L144" s="101" t="s">
        <v>2516</v>
      </c>
      <c r="M144" s="18">
        <v>73910000</v>
      </c>
      <c r="N144" s="18">
        <v>73910000</v>
      </c>
      <c r="O144" s="472" t="s">
        <v>2462</v>
      </c>
      <c r="P144" s="543"/>
      <c r="Q144" s="101"/>
    </row>
    <row r="145" spans="1:17" s="102" customFormat="1" ht="15" customHeight="1">
      <c r="A145" s="101" t="s">
        <v>240</v>
      </c>
      <c r="B145" s="101">
        <v>2010</v>
      </c>
      <c r="C145" s="101" t="s">
        <v>237</v>
      </c>
      <c r="D145" s="332" t="s">
        <v>238</v>
      </c>
      <c r="E145" s="101" t="s">
        <v>2375</v>
      </c>
      <c r="F145" s="101" t="s">
        <v>50</v>
      </c>
      <c r="G145" s="101"/>
      <c r="H145" s="18"/>
      <c r="I145" s="27"/>
      <c r="J145" s="18"/>
      <c r="K145" s="101"/>
      <c r="L145" s="101" t="s">
        <v>2517</v>
      </c>
      <c r="M145" s="18">
        <v>47534000</v>
      </c>
      <c r="N145" s="18">
        <v>47534000</v>
      </c>
      <c r="O145" s="472" t="s">
        <v>2462</v>
      </c>
      <c r="P145" s="543"/>
      <c r="Q145" s="101"/>
    </row>
    <row r="146" spans="1:17" s="102" customFormat="1" ht="15" customHeight="1">
      <c r="A146" s="101" t="s">
        <v>240</v>
      </c>
      <c r="B146" s="101">
        <v>2010</v>
      </c>
      <c r="C146" s="101" t="s">
        <v>237</v>
      </c>
      <c r="D146" s="332" t="s">
        <v>238</v>
      </c>
      <c r="E146" s="101" t="s">
        <v>2378</v>
      </c>
      <c r="F146" s="101" t="s">
        <v>50</v>
      </c>
      <c r="G146" s="101" t="s">
        <v>98</v>
      </c>
      <c r="H146" s="18">
        <v>2271599</v>
      </c>
      <c r="I146" s="27" t="s">
        <v>2456</v>
      </c>
      <c r="J146" s="18" t="s">
        <v>871</v>
      </c>
      <c r="K146" s="101"/>
      <c r="L146" s="101" t="s">
        <v>2518</v>
      </c>
      <c r="M146" s="18">
        <v>98317000</v>
      </c>
      <c r="N146" s="18">
        <v>98317000</v>
      </c>
      <c r="O146" s="472" t="s">
        <v>2457</v>
      </c>
      <c r="P146" s="543"/>
      <c r="Q146" s="101"/>
    </row>
    <row r="147" spans="1:17" s="102" customFormat="1" ht="15" customHeight="1">
      <c r="A147" s="101" t="s">
        <v>240</v>
      </c>
      <c r="B147" s="101">
        <v>2010</v>
      </c>
      <c r="C147" s="101" t="s">
        <v>237</v>
      </c>
      <c r="D147" s="332" t="s">
        <v>238</v>
      </c>
      <c r="E147" s="101" t="s">
        <v>2378</v>
      </c>
      <c r="F147" s="101" t="s">
        <v>50</v>
      </c>
      <c r="G147" s="101" t="s">
        <v>552</v>
      </c>
      <c r="H147" s="18">
        <v>481163</v>
      </c>
      <c r="I147" s="27" t="s">
        <v>2458</v>
      </c>
      <c r="J147" s="18" t="s">
        <v>871</v>
      </c>
      <c r="K147" s="101"/>
      <c r="L147" s="101" t="s">
        <v>2519</v>
      </c>
      <c r="M147" s="18">
        <v>2509000</v>
      </c>
      <c r="N147" s="18">
        <v>2509000</v>
      </c>
      <c r="O147" s="472" t="s">
        <v>2457</v>
      </c>
      <c r="P147" s="543"/>
      <c r="Q147" s="101"/>
    </row>
    <row r="148" spans="1:17" s="102" customFormat="1" ht="15" customHeight="1">
      <c r="A148" s="101" t="s">
        <v>240</v>
      </c>
      <c r="B148" s="101">
        <v>2010</v>
      </c>
      <c r="C148" s="101" t="s">
        <v>237</v>
      </c>
      <c r="D148" s="332" t="s">
        <v>238</v>
      </c>
      <c r="E148" s="101" t="s">
        <v>2378</v>
      </c>
      <c r="F148" s="101" t="s">
        <v>50</v>
      </c>
      <c r="G148" s="101"/>
      <c r="H148" s="18"/>
      <c r="I148" s="27"/>
      <c r="J148" s="18"/>
      <c r="K148" s="101"/>
      <c r="L148" s="101" t="s">
        <v>2520</v>
      </c>
      <c r="M148" s="18">
        <v>1909000</v>
      </c>
      <c r="N148" s="18">
        <v>1909000</v>
      </c>
      <c r="O148" s="472" t="s">
        <v>2462</v>
      </c>
      <c r="P148" s="543"/>
      <c r="Q148" s="101"/>
    </row>
    <row r="149" spans="1:17" s="102" customFormat="1" ht="15" customHeight="1">
      <c r="A149" s="101" t="s">
        <v>240</v>
      </c>
      <c r="B149" s="101">
        <v>2010</v>
      </c>
      <c r="C149" s="101" t="s">
        <v>237</v>
      </c>
      <c r="D149" s="332" t="s">
        <v>238</v>
      </c>
      <c r="E149" s="101" t="s">
        <v>2378</v>
      </c>
      <c r="F149" s="101" t="s">
        <v>50</v>
      </c>
      <c r="G149" s="101"/>
      <c r="H149" s="18"/>
      <c r="I149" s="27"/>
      <c r="J149" s="18"/>
      <c r="K149" s="101"/>
      <c r="L149" s="101" t="s">
        <v>2521</v>
      </c>
      <c r="M149" s="18"/>
      <c r="N149" s="18"/>
      <c r="O149" s="472"/>
      <c r="P149" s="543"/>
      <c r="Q149" s="101"/>
    </row>
    <row r="150" spans="1:17" s="102" customFormat="1" ht="15" customHeight="1">
      <c r="A150" s="101" t="s">
        <v>240</v>
      </c>
      <c r="B150" s="101">
        <v>2010</v>
      </c>
      <c r="C150" s="101" t="s">
        <v>237</v>
      </c>
      <c r="D150" s="332" t="s">
        <v>238</v>
      </c>
      <c r="E150" s="101" t="s">
        <v>2378</v>
      </c>
      <c r="F150" s="101" t="s">
        <v>50</v>
      </c>
      <c r="G150" s="101"/>
      <c r="H150" s="18"/>
      <c r="I150" s="27"/>
      <c r="J150" s="18"/>
      <c r="K150" s="101"/>
      <c r="L150" s="101" t="s">
        <v>2522</v>
      </c>
      <c r="M150" s="18"/>
      <c r="N150" s="18"/>
      <c r="O150" s="472"/>
      <c r="P150" s="543"/>
      <c r="Q150" s="101"/>
    </row>
    <row r="151" spans="1:17" s="102" customFormat="1" ht="15" customHeight="1">
      <c r="A151" s="101" t="s">
        <v>240</v>
      </c>
      <c r="B151" s="101">
        <v>2010</v>
      </c>
      <c r="C151" s="101" t="s">
        <v>237</v>
      </c>
      <c r="D151" s="332" t="s">
        <v>238</v>
      </c>
      <c r="E151" s="101" t="s">
        <v>2378</v>
      </c>
      <c r="F151" s="101" t="s">
        <v>50</v>
      </c>
      <c r="G151" s="101"/>
      <c r="H151" s="18"/>
      <c r="I151" s="27"/>
      <c r="J151" s="18"/>
      <c r="K151" s="101"/>
      <c r="L151" s="101" t="s">
        <v>2523</v>
      </c>
      <c r="M151" s="18">
        <v>678000</v>
      </c>
      <c r="N151" s="18">
        <v>678000</v>
      </c>
      <c r="O151" s="472" t="s">
        <v>2462</v>
      </c>
      <c r="P151" s="543"/>
      <c r="Q151" s="101"/>
    </row>
    <row r="152" spans="1:17" s="102" customFormat="1" ht="15" customHeight="1">
      <c r="A152" s="101" t="s">
        <v>240</v>
      </c>
      <c r="B152" s="101">
        <v>2010</v>
      </c>
      <c r="C152" s="101" t="s">
        <v>237</v>
      </c>
      <c r="D152" s="332" t="s">
        <v>238</v>
      </c>
      <c r="E152" s="101" t="s">
        <v>2381</v>
      </c>
      <c r="F152" s="101" t="s">
        <v>50</v>
      </c>
      <c r="G152" s="101" t="s">
        <v>98</v>
      </c>
      <c r="H152" s="18">
        <v>22999</v>
      </c>
      <c r="I152" s="27" t="s">
        <v>2456</v>
      </c>
      <c r="J152" s="18" t="s">
        <v>871</v>
      </c>
      <c r="K152" s="101"/>
      <c r="L152" s="101" t="s">
        <v>2382</v>
      </c>
      <c r="M152" s="18">
        <v>226000</v>
      </c>
      <c r="N152" s="18">
        <v>226000</v>
      </c>
      <c r="O152" s="472" t="s">
        <v>2457</v>
      </c>
      <c r="P152" s="543"/>
      <c r="Q152" s="101"/>
    </row>
    <row r="153" spans="1:17" s="102" customFormat="1" ht="15" customHeight="1">
      <c r="A153" s="101" t="s">
        <v>240</v>
      </c>
      <c r="B153" s="101">
        <v>2010</v>
      </c>
      <c r="C153" s="101" t="s">
        <v>237</v>
      </c>
      <c r="D153" s="332" t="s">
        <v>238</v>
      </c>
      <c r="E153" s="101" t="s">
        <v>2387</v>
      </c>
      <c r="F153" s="101" t="s">
        <v>50</v>
      </c>
      <c r="G153" s="101" t="s">
        <v>98</v>
      </c>
      <c r="H153" s="18">
        <v>1235929</v>
      </c>
      <c r="I153" s="27" t="s">
        <v>2456</v>
      </c>
      <c r="J153" s="18" t="s">
        <v>871</v>
      </c>
      <c r="K153" s="101"/>
      <c r="L153" s="101" t="s">
        <v>2388</v>
      </c>
      <c r="M153" s="18">
        <v>45764000</v>
      </c>
      <c r="N153" s="18">
        <v>45764000</v>
      </c>
      <c r="O153" s="472" t="s">
        <v>2457</v>
      </c>
      <c r="P153" s="543"/>
      <c r="Q153" s="101"/>
    </row>
    <row r="154" spans="1:17" s="102" customFormat="1" ht="15" customHeight="1">
      <c r="A154" s="101" t="s">
        <v>240</v>
      </c>
      <c r="B154" s="101">
        <v>2010</v>
      </c>
      <c r="C154" s="101" t="s">
        <v>237</v>
      </c>
      <c r="D154" s="332" t="s">
        <v>238</v>
      </c>
      <c r="E154" s="101" t="s">
        <v>2387</v>
      </c>
      <c r="F154" s="101" t="s">
        <v>50</v>
      </c>
      <c r="G154" s="101" t="s">
        <v>552</v>
      </c>
      <c r="H154" s="18">
        <v>181570074</v>
      </c>
      <c r="I154" s="27" t="s">
        <v>2458</v>
      </c>
      <c r="J154" s="18" t="s">
        <v>871</v>
      </c>
      <c r="K154" s="101"/>
      <c r="L154" s="101" t="s">
        <v>2524</v>
      </c>
      <c r="M154" s="18">
        <v>9761000</v>
      </c>
      <c r="N154" s="18">
        <v>9761000</v>
      </c>
      <c r="O154" s="472" t="s">
        <v>2457</v>
      </c>
      <c r="P154" s="543"/>
      <c r="Q154" s="101"/>
    </row>
    <row r="155" spans="1:17" s="102" customFormat="1" ht="15" customHeight="1">
      <c r="A155" s="101" t="s">
        <v>240</v>
      </c>
      <c r="B155" s="101">
        <v>2010</v>
      </c>
      <c r="C155" s="101" t="s">
        <v>237</v>
      </c>
      <c r="D155" s="332" t="s">
        <v>238</v>
      </c>
      <c r="E155" s="101" t="s">
        <v>2387</v>
      </c>
      <c r="F155" s="101" t="s">
        <v>50</v>
      </c>
      <c r="G155" s="101"/>
      <c r="H155" s="18"/>
      <c r="I155" s="27"/>
      <c r="J155" s="18"/>
      <c r="K155" s="101"/>
      <c r="L155" s="101" t="s">
        <v>2525</v>
      </c>
      <c r="M155" s="18">
        <v>8468000</v>
      </c>
      <c r="N155" s="18">
        <v>8468000</v>
      </c>
      <c r="O155" s="472" t="s">
        <v>2462</v>
      </c>
      <c r="P155" s="543"/>
      <c r="Q155" s="101"/>
    </row>
    <row r="156" spans="1:17" s="102" customFormat="1" ht="15" customHeight="1">
      <c r="A156" s="101" t="s">
        <v>240</v>
      </c>
      <c r="B156" s="101">
        <v>2010</v>
      </c>
      <c r="C156" s="101" t="s">
        <v>237</v>
      </c>
      <c r="D156" s="332" t="s">
        <v>238</v>
      </c>
      <c r="E156" s="101" t="s">
        <v>2387</v>
      </c>
      <c r="F156" s="101" t="s">
        <v>50</v>
      </c>
      <c r="G156" s="101"/>
      <c r="H156" s="18"/>
      <c r="I156" s="27"/>
      <c r="J156" s="18"/>
      <c r="K156" s="101"/>
      <c r="L156" s="101" t="s">
        <v>2526</v>
      </c>
      <c r="M156" s="18">
        <v>5927000</v>
      </c>
      <c r="N156" s="18">
        <v>5927000</v>
      </c>
      <c r="O156" s="472" t="s">
        <v>2462</v>
      </c>
      <c r="P156" s="543"/>
      <c r="Q156" s="101"/>
    </row>
    <row r="157" spans="1:17" s="102" customFormat="1" ht="15" customHeight="1">
      <c r="A157" s="101" t="s">
        <v>240</v>
      </c>
      <c r="B157" s="101">
        <v>2010</v>
      </c>
      <c r="C157" s="101" t="s">
        <v>237</v>
      </c>
      <c r="D157" s="332" t="s">
        <v>238</v>
      </c>
      <c r="E157" s="101" t="s">
        <v>2393</v>
      </c>
      <c r="F157" s="101" t="s">
        <v>50</v>
      </c>
      <c r="G157" s="101" t="s">
        <v>98</v>
      </c>
      <c r="H157" s="18">
        <v>124919</v>
      </c>
      <c r="I157" s="27" t="s">
        <v>2456</v>
      </c>
      <c r="J157" s="18" t="s">
        <v>871</v>
      </c>
      <c r="K157" s="101"/>
      <c r="L157" s="101" t="s">
        <v>2394</v>
      </c>
      <c r="M157" s="18">
        <v>4590000</v>
      </c>
      <c r="N157" s="18">
        <v>4590000</v>
      </c>
      <c r="O157" s="472" t="s">
        <v>2457</v>
      </c>
      <c r="P157" s="543"/>
      <c r="Q157" s="101"/>
    </row>
    <row r="158" spans="1:17" s="102" customFormat="1" ht="15" customHeight="1">
      <c r="A158" s="101" t="s">
        <v>240</v>
      </c>
      <c r="B158" s="101">
        <v>2010</v>
      </c>
      <c r="C158" s="101" t="s">
        <v>237</v>
      </c>
      <c r="D158" s="332" t="s">
        <v>238</v>
      </c>
      <c r="E158" s="101" t="s">
        <v>2393</v>
      </c>
      <c r="F158" s="101" t="s">
        <v>50</v>
      </c>
      <c r="G158" s="101" t="s">
        <v>552</v>
      </c>
      <c r="H158" s="18">
        <v>18351791</v>
      </c>
      <c r="I158" s="27" t="s">
        <v>2458</v>
      </c>
      <c r="J158" s="18" t="s">
        <v>871</v>
      </c>
      <c r="K158" s="101"/>
      <c r="L158" s="101" t="s">
        <v>2527</v>
      </c>
      <c r="M158" s="18">
        <v>1640000</v>
      </c>
      <c r="N158" s="18">
        <v>1715000</v>
      </c>
      <c r="O158" s="472" t="s">
        <v>2457</v>
      </c>
      <c r="P158" s="543"/>
      <c r="Q158" s="101"/>
    </row>
    <row r="159" spans="1:17" s="102" customFormat="1" ht="15" customHeight="1">
      <c r="A159" s="101" t="s">
        <v>240</v>
      </c>
      <c r="B159" s="101">
        <v>2010</v>
      </c>
      <c r="C159" s="101" t="s">
        <v>237</v>
      </c>
      <c r="D159" s="332" t="s">
        <v>238</v>
      </c>
      <c r="E159" s="101" t="s">
        <v>2393</v>
      </c>
      <c r="F159" s="101" t="s">
        <v>50</v>
      </c>
      <c r="G159" s="101"/>
      <c r="H159" s="18"/>
      <c r="I159" s="27"/>
      <c r="J159" s="18"/>
      <c r="K159" s="101"/>
      <c r="L159" s="101" t="s">
        <v>2528</v>
      </c>
      <c r="M159" s="18">
        <v>956000</v>
      </c>
      <c r="N159" s="18">
        <v>956000</v>
      </c>
      <c r="O159" s="472" t="s">
        <v>2462</v>
      </c>
      <c r="P159" s="543"/>
      <c r="Q159" s="101"/>
    </row>
    <row r="160" spans="1:17" s="102" customFormat="1" ht="15" customHeight="1">
      <c r="A160" s="101" t="s">
        <v>240</v>
      </c>
      <c r="B160" s="101">
        <v>2010</v>
      </c>
      <c r="C160" s="101" t="s">
        <v>237</v>
      </c>
      <c r="D160" s="332" t="s">
        <v>238</v>
      </c>
      <c r="E160" s="101" t="s">
        <v>2529</v>
      </c>
      <c r="F160" s="101" t="s">
        <v>50</v>
      </c>
      <c r="G160" s="101" t="s">
        <v>98</v>
      </c>
      <c r="H160" s="18">
        <v>6216130</v>
      </c>
      <c r="I160" s="27" t="s">
        <v>2456</v>
      </c>
      <c r="J160" s="18" t="s">
        <v>871</v>
      </c>
      <c r="K160" s="101"/>
      <c r="L160" s="101" t="s">
        <v>2397</v>
      </c>
      <c r="M160" s="18">
        <v>248788000</v>
      </c>
      <c r="N160" s="18">
        <v>248788000</v>
      </c>
      <c r="O160" s="472" t="s">
        <v>2457</v>
      </c>
      <c r="P160" s="543"/>
      <c r="Q160" s="101"/>
    </row>
    <row r="161" spans="1:17" s="102" customFormat="1" ht="15" customHeight="1">
      <c r="A161" s="101" t="s">
        <v>240</v>
      </c>
      <c r="B161" s="101">
        <v>2010</v>
      </c>
      <c r="C161" s="101" t="s">
        <v>237</v>
      </c>
      <c r="D161" s="332" t="s">
        <v>238</v>
      </c>
      <c r="E161" s="101" t="s">
        <v>2529</v>
      </c>
      <c r="F161" s="101" t="s">
        <v>50</v>
      </c>
      <c r="G161" s="101" t="s">
        <v>552</v>
      </c>
      <c r="H161" s="18">
        <v>2332120</v>
      </c>
      <c r="I161" s="27" t="s">
        <v>2458</v>
      </c>
      <c r="J161" s="18" t="s">
        <v>871</v>
      </c>
      <c r="K161" s="101"/>
      <c r="L161" s="101" t="s">
        <v>2530</v>
      </c>
      <c r="M161" s="18">
        <v>1383000</v>
      </c>
      <c r="N161" s="18">
        <v>1383000</v>
      </c>
      <c r="O161" s="472" t="s">
        <v>2457</v>
      </c>
      <c r="P161" s="543"/>
      <c r="Q161" s="101"/>
    </row>
    <row r="162" spans="1:17" s="102" customFormat="1" ht="15" customHeight="1">
      <c r="A162" s="101" t="s">
        <v>240</v>
      </c>
      <c r="B162" s="101">
        <v>2010</v>
      </c>
      <c r="C162" s="101" t="s">
        <v>237</v>
      </c>
      <c r="D162" s="332" t="s">
        <v>238</v>
      </c>
      <c r="E162" s="101" t="s">
        <v>2399</v>
      </c>
      <c r="F162" s="101" t="s">
        <v>50</v>
      </c>
      <c r="G162" s="101" t="s">
        <v>98</v>
      </c>
      <c r="H162" s="18">
        <v>2843054</v>
      </c>
      <c r="I162" s="27" t="s">
        <v>2456</v>
      </c>
      <c r="J162" s="18" t="s">
        <v>871</v>
      </c>
      <c r="K162" s="101"/>
      <c r="L162" s="101" t="s">
        <v>2400</v>
      </c>
      <c r="M162" s="18">
        <v>308664000</v>
      </c>
      <c r="N162" s="18">
        <v>308664000</v>
      </c>
      <c r="O162" s="472" t="s">
        <v>2457</v>
      </c>
      <c r="P162" s="543"/>
      <c r="Q162" s="101"/>
    </row>
    <row r="163" spans="1:17" s="102" customFormat="1" ht="15" customHeight="1">
      <c r="A163" s="101" t="s">
        <v>240</v>
      </c>
      <c r="B163" s="101">
        <v>2010</v>
      </c>
      <c r="C163" s="101" t="s">
        <v>237</v>
      </c>
      <c r="D163" s="332" t="s">
        <v>238</v>
      </c>
      <c r="E163" s="101" t="s">
        <v>2399</v>
      </c>
      <c r="F163" s="101" t="s">
        <v>50</v>
      </c>
      <c r="G163" s="101" t="s">
        <v>552</v>
      </c>
      <c r="H163" s="18">
        <v>44523280</v>
      </c>
      <c r="I163" s="27" t="s">
        <v>2458</v>
      </c>
      <c r="J163" s="18" t="s">
        <v>871</v>
      </c>
      <c r="K163" s="101"/>
      <c r="L163" s="101"/>
      <c r="M163" s="18"/>
      <c r="N163" s="18"/>
      <c r="O163" s="472" t="s">
        <v>2472</v>
      </c>
      <c r="P163" s="543"/>
      <c r="Q163" s="101"/>
    </row>
    <row r="164" spans="1:17" s="102" customFormat="1" ht="15" customHeight="1">
      <c r="A164" s="101" t="s">
        <v>240</v>
      </c>
      <c r="B164" s="101">
        <v>2010</v>
      </c>
      <c r="C164" s="101" t="s">
        <v>237</v>
      </c>
      <c r="D164" s="332" t="s">
        <v>238</v>
      </c>
      <c r="E164" s="101" t="s">
        <v>2402</v>
      </c>
      <c r="F164" s="101" t="s">
        <v>50</v>
      </c>
      <c r="G164" s="101" t="s">
        <v>98</v>
      </c>
      <c r="H164" s="18">
        <v>691859</v>
      </c>
      <c r="I164" s="27" t="s">
        <v>2456</v>
      </c>
      <c r="J164" s="18" t="s">
        <v>871</v>
      </c>
      <c r="K164" s="101"/>
      <c r="L164" s="101" t="s">
        <v>2403</v>
      </c>
      <c r="M164" s="18">
        <v>33749000</v>
      </c>
      <c r="N164" s="18">
        <v>33749000</v>
      </c>
      <c r="O164" s="472" t="s">
        <v>2457</v>
      </c>
      <c r="P164" s="543"/>
      <c r="Q164" s="101"/>
    </row>
    <row r="165" spans="1:17" s="102" customFormat="1" ht="15" customHeight="1">
      <c r="A165" s="101" t="s">
        <v>240</v>
      </c>
      <c r="B165" s="101">
        <v>2010</v>
      </c>
      <c r="C165" s="101" t="s">
        <v>237</v>
      </c>
      <c r="D165" s="332" t="s">
        <v>238</v>
      </c>
      <c r="E165" s="101" t="s">
        <v>2402</v>
      </c>
      <c r="F165" s="101" t="s">
        <v>50</v>
      </c>
      <c r="G165" s="101" t="s">
        <v>552</v>
      </c>
      <c r="H165" s="18">
        <v>1864501</v>
      </c>
      <c r="I165" s="27" t="s">
        <v>2458</v>
      </c>
      <c r="J165" s="18" t="s">
        <v>871</v>
      </c>
      <c r="K165" s="101"/>
      <c r="L165" s="101"/>
      <c r="M165" s="18"/>
      <c r="N165" s="18"/>
      <c r="O165" s="472" t="s">
        <v>2472</v>
      </c>
      <c r="P165" s="543"/>
      <c r="Q165" s="101"/>
    </row>
    <row r="166" spans="1:17" s="102" customFormat="1" ht="15" customHeight="1">
      <c r="A166" s="101" t="s">
        <v>240</v>
      </c>
      <c r="B166" s="101">
        <v>2010</v>
      </c>
      <c r="C166" s="101" t="s">
        <v>237</v>
      </c>
      <c r="D166" s="332" t="s">
        <v>238</v>
      </c>
      <c r="E166" s="101" t="s">
        <v>2405</v>
      </c>
      <c r="F166" s="101" t="s">
        <v>50</v>
      </c>
      <c r="G166" s="101" t="s">
        <v>98</v>
      </c>
      <c r="H166" s="18">
        <v>1781</v>
      </c>
      <c r="I166" s="27" t="s">
        <v>2456</v>
      </c>
      <c r="J166" s="18" t="s">
        <v>871</v>
      </c>
      <c r="K166" s="101"/>
      <c r="L166" s="101" t="s">
        <v>2406</v>
      </c>
      <c r="M166" s="18">
        <v>1552000</v>
      </c>
      <c r="N166" s="18">
        <v>1552000</v>
      </c>
      <c r="O166" s="472" t="s">
        <v>2457</v>
      </c>
      <c r="P166" s="543"/>
      <c r="Q166" s="101"/>
    </row>
    <row r="167" spans="1:17" s="102" customFormat="1" ht="15" customHeight="1">
      <c r="A167" s="101" t="s">
        <v>240</v>
      </c>
      <c r="B167" s="101">
        <v>2010</v>
      </c>
      <c r="C167" s="101" t="s">
        <v>237</v>
      </c>
      <c r="D167" s="332" t="s">
        <v>238</v>
      </c>
      <c r="E167" s="101" t="s">
        <v>2405</v>
      </c>
      <c r="F167" s="101" t="s">
        <v>50</v>
      </c>
      <c r="G167" s="101" t="s">
        <v>552</v>
      </c>
      <c r="H167" s="18">
        <v>3227984</v>
      </c>
      <c r="I167" s="27" t="s">
        <v>2458</v>
      </c>
      <c r="J167" s="18" t="s">
        <v>871</v>
      </c>
      <c r="K167" s="101"/>
      <c r="L167" s="101" t="s">
        <v>2531</v>
      </c>
      <c r="M167" s="18"/>
      <c r="N167" s="18"/>
      <c r="O167" s="472" t="s">
        <v>2472</v>
      </c>
      <c r="P167" s="543"/>
      <c r="Q167" s="101"/>
    </row>
    <row r="168" spans="1:17" s="102" customFormat="1" ht="15" customHeight="1">
      <c r="A168" s="101" t="s">
        <v>240</v>
      </c>
      <c r="B168" s="101">
        <v>2010</v>
      </c>
      <c r="C168" s="101" t="s">
        <v>237</v>
      </c>
      <c r="D168" s="332" t="s">
        <v>238</v>
      </c>
      <c r="E168" s="101" t="s">
        <v>2405</v>
      </c>
      <c r="F168" s="101" t="s">
        <v>50</v>
      </c>
      <c r="G168" s="101"/>
      <c r="H168" s="18"/>
      <c r="I168" s="27"/>
      <c r="J168" s="18"/>
      <c r="K168" s="101"/>
      <c r="L168" s="101" t="s">
        <v>2532</v>
      </c>
      <c r="M168" s="18"/>
      <c r="N168" s="18"/>
      <c r="O168" s="472"/>
      <c r="P168" s="543"/>
      <c r="Q168" s="101"/>
    </row>
    <row r="169" spans="1:17" s="102" customFormat="1" ht="15" customHeight="1">
      <c r="A169" s="101" t="s">
        <v>240</v>
      </c>
      <c r="B169" s="101">
        <v>2010</v>
      </c>
      <c r="C169" s="101" t="s">
        <v>237</v>
      </c>
      <c r="D169" s="332" t="s">
        <v>238</v>
      </c>
      <c r="E169" s="101" t="s">
        <v>2533</v>
      </c>
      <c r="F169" s="101" t="s">
        <v>50</v>
      </c>
      <c r="G169" s="101"/>
      <c r="H169" s="18"/>
      <c r="I169" s="27"/>
      <c r="J169" s="18"/>
      <c r="K169" s="101"/>
      <c r="L169" s="101" t="s">
        <v>2534</v>
      </c>
      <c r="M169" s="18">
        <v>2500000</v>
      </c>
      <c r="N169" s="18">
        <v>2500000</v>
      </c>
      <c r="O169" s="472" t="s">
        <v>2462</v>
      </c>
      <c r="P169" s="543"/>
      <c r="Q169" s="101"/>
    </row>
    <row r="170" spans="1:17" s="102" customFormat="1" ht="15" customHeight="1">
      <c r="A170" s="101" t="s">
        <v>240</v>
      </c>
      <c r="B170" s="101">
        <v>2010</v>
      </c>
      <c r="C170" s="101" t="s">
        <v>237</v>
      </c>
      <c r="D170" s="332" t="s">
        <v>238</v>
      </c>
      <c r="E170" s="101" t="s">
        <v>2533</v>
      </c>
      <c r="F170" s="101" t="s">
        <v>50</v>
      </c>
      <c r="G170" s="101"/>
      <c r="H170" s="18"/>
      <c r="I170" s="27"/>
      <c r="J170" s="18"/>
      <c r="K170" s="101"/>
      <c r="L170" s="101" t="s">
        <v>2535</v>
      </c>
      <c r="M170" s="18"/>
      <c r="N170" s="18"/>
      <c r="O170" s="472"/>
      <c r="P170" s="543"/>
      <c r="Q170" s="101"/>
    </row>
    <row r="171" spans="1:17" s="102" customFormat="1" ht="15" customHeight="1">
      <c r="A171" s="101" t="s">
        <v>240</v>
      </c>
      <c r="B171" s="101">
        <v>2010</v>
      </c>
      <c r="C171" s="101" t="s">
        <v>237</v>
      </c>
      <c r="D171" s="332" t="s">
        <v>238</v>
      </c>
      <c r="E171" s="101" t="s">
        <v>2533</v>
      </c>
      <c r="F171" s="101" t="s">
        <v>50</v>
      </c>
      <c r="G171" s="101"/>
      <c r="H171" s="18"/>
      <c r="I171" s="27"/>
      <c r="J171" s="18"/>
      <c r="K171" s="101"/>
      <c r="L171" s="101" t="s">
        <v>2536</v>
      </c>
      <c r="M171" s="18"/>
      <c r="N171" s="18"/>
      <c r="O171" s="472"/>
      <c r="P171" s="543"/>
      <c r="Q171" s="101"/>
    </row>
    <row r="172" spans="1:17" s="102" customFormat="1" ht="15" customHeight="1">
      <c r="A172" s="101" t="s">
        <v>240</v>
      </c>
      <c r="B172" s="101">
        <v>2010</v>
      </c>
      <c r="C172" s="101" t="s">
        <v>237</v>
      </c>
      <c r="D172" s="332" t="s">
        <v>238</v>
      </c>
      <c r="E172" s="101" t="s">
        <v>2537</v>
      </c>
      <c r="F172" s="101" t="s">
        <v>50</v>
      </c>
      <c r="G172" s="101" t="s">
        <v>98</v>
      </c>
      <c r="H172" s="18">
        <v>676929</v>
      </c>
      <c r="I172" s="27" t="s">
        <v>2456</v>
      </c>
      <c r="J172" s="18" t="s">
        <v>871</v>
      </c>
      <c r="K172" s="101"/>
      <c r="L172" s="101" t="s">
        <v>2409</v>
      </c>
      <c r="M172" s="18">
        <v>310532000</v>
      </c>
      <c r="N172" s="18">
        <v>310532000</v>
      </c>
      <c r="O172" s="472" t="s">
        <v>2457</v>
      </c>
      <c r="P172" s="543"/>
      <c r="Q172" s="101"/>
    </row>
    <row r="173" spans="1:17" s="102" customFormat="1" ht="15" customHeight="1">
      <c r="A173" s="101" t="s">
        <v>240</v>
      </c>
      <c r="B173" s="101">
        <v>2010</v>
      </c>
      <c r="C173" s="101" t="s">
        <v>237</v>
      </c>
      <c r="D173" s="332" t="s">
        <v>238</v>
      </c>
      <c r="E173" s="101" t="s">
        <v>2537</v>
      </c>
      <c r="F173" s="101" t="s">
        <v>50</v>
      </c>
      <c r="G173" s="101" t="s">
        <v>552</v>
      </c>
      <c r="H173" s="18">
        <v>53411</v>
      </c>
      <c r="I173" s="27" t="s">
        <v>2458</v>
      </c>
      <c r="J173" s="18" t="s">
        <v>871</v>
      </c>
      <c r="K173" s="101"/>
      <c r="L173" s="101" t="s">
        <v>2538</v>
      </c>
      <c r="M173" s="18">
        <v>48662000</v>
      </c>
      <c r="N173" s="18">
        <v>48662000</v>
      </c>
      <c r="O173" s="472" t="s">
        <v>2457</v>
      </c>
      <c r="P173" s="543"/>
      <c r="Q173" s="101"/>
    </row>
    <row r="174" spans="1:17" s="102" customFormat="1" ht="15" customHeight="1">
      <c r="A174" s="101" t="s">
        <v>240</v>
      </c>
      <c r="B174" s="101">
        <v>2010</v>
      </c>
      <c r="C174" s="101" t="s">
        <v>237</v>
      </c>
      <c r="D174" s="332" t="s">
        <v>238</v>
      </c>
      <c r="E174" s="101" t="s">
        <v>2537</v>
      </c>
      <c r="F174" s="101" t="s">
        <v>50</v>
      </c>
      <c r="G174" s="101"/>
      <c r="H174" s="18"/>
      <c r="I174" s="27"/>
      <c r="J174" s="18"/>
      <c r="K174" s="101"/>
      <c r="L174" s="101" t="s">
        <v>2539</v>
      </c>
      <c r="M174" s="18">
        <v>33577000</v>
      </c>
      <c r="N174" s="18">
        <v>33577000</v>
      </c>
      <c r="O174" s="472" t="s">
        <v>2462</v>
      </c>
      <c r="P174" s="543"/>
      <c r="Q174" s="101"/>
    </row>
    <row r="175" spans="1:17" s="102" customFormat="1" ht="15" customHeight="1">
      <c r="A175" s="101" t="s">
        <v>240</v>
      </c>
      <c r="B175" s="101">
        <v>2010</v>
      </c>
      <c r="C175" s="101" t="s">
        <v>237</v>
      </c>
      <c r="D175" s="332" t="s">
        <v>238</v>
      </c>
      <c r="E175" s="101" t="s">
        <v>2537</v>
      </c>
      <c r="F175" s="101" t="s">
        <v>50</v>
      </c>
      <c r="G175" s="101"/>
      <c r="H175" s="18"/>
      <c r="I175" s="27"/>
      <c r="J175" s="18"/>
      <c r="K175" s="101"/>
      <c r="L175" s="101" t="s">
        <v>2540</v>
      </c>
      <c r="M175" s="18">
        <v>21898000</v>
      </c>
      <c r="N175" s="18">
        <v>21898000</v>
      </c>
      <c r="O175" s="472" t="s">
        <v>2462</v>
      </c>
      <c r="P175" s="543"/>
      <c r="Q175" s="101"/>
    </row>
    <row r="176" spans="1:17" s="102" customFormat="1" ht="15" customHeight="1">
      <c r="A176" s="101" t="s">
        <v>240</v>
      </c>
      <c r="B176" s="101">
        <v>2010</v>
      </c>
      <c r="C176" s="101" t="s">
        <v>237</v>
      </c>
      <c r="D176" s="332" t="s">
        <v>238</v>
      </c>
      <c r="E176" s="101" t="s">
        <v>2411</v>
      </c>
      <c r="F176" s="101" t="s">
        <v>50</v>
      </c>
      <c r="G176" s="101" t="s">
        <v>98</v>
      </c>
      <c r="H176" s="18">
        <v>2712959</v>
      </c>
      <c r="I176" s="27" t="s">
        <v>2456</v>
      </c>
      <c r="J176" s="18" t="s">
        <v>871</v>
      </c>
      <c r="K176" s="101"/>
      <c r="L176" s="101" t="s">
        <v>2541</v>
      </c>
      <c r="M176" s="18">
        <v>108295000</v>
      </c>
      <c r="N176" s="18">
        <v>108295000</v>
      </c>
      <c r="O176" s="472" t="s">
        <v>2457</v>
      </c>
      <c r="P176" s="543"/>
      <c r="Q176" s="101"/>
    </row>
    <row r="177" spans="1:17" s="102" customFormat="1" ht="15" customHeight="1">
      <c r="A177" s="101" t="s">
        <v>240</v>
      </c>
      <c r="B177" s="101">
        <v>2010</v>
      </c>
      <c r="C177" s="101" t="s">
        <v>237</v>
      </c>
      <c r="D177" s="332" t="s">
        <v>238</v>
      </c>
      <c r="E177" s="101" t="s">
        <v>2411</v>
      </c>
      <c r="F177" s="101" t="s">
        <v>50</v>
      </c>
      <c r="G177" s="101"/>
      <c r="H177" s="106"/>
      <c r="I177" s="27"/>
      <c r="J177" s="18"/>
      <c r="K177" s="101"/>
      <c r="L177" s="101" t="s">
        <v>2542</v>
      </c>
      <c r="M177" s="18">
        <v>3038000</v>
      </c>
      <c r="N177" s="18">
        <v>3038000</v>
      </c>
      <c r="O177" s="472" t="s">
        <v>2462</v>
      </c>
      <c r="P177" s="543"/>
      <c r="Q177" s="101"/>
    </row>
    <row r="178" spans="1:17" s="102" customFormat="1" ht="15" customHeight="1">
      <c r="A178" s="101" t="s">
        <v>240</v>
      </c>
      <c r="B178" s="101">
        <v>2010</v>
      </c>
      <c r="C178" s="101" t="s">
        <v>237</v>
      </c>
      <c r="D178" s="332" t="s">
        <v>238</v>
      </c>
      <c r="E178" s="101" t="s">
        <v>2411</v>
      </c>
      <c r="F178" s="101" t="s">
        <v>50</v>
      </c>
      <c r="G178" s="101"/>
      <c r="H178" s="18"/>
      <c r="I178" s="27"/>
      <c r="J178" s="18"/>
      <c r="K178" s="101"/>
      <c r="L178" s="101" t="s">
        <v>2543</v>
      </c>
      <c r="M178" s="18"/>
      <c r="N178" s="18"/>
      <c r="O178" s="472"/>
      <c r="P178" s="543"/>
      <c r="Q178" s="101"/>
    </row>
    <row r="179" spans="1:17" s="102" customFormat="1" ht="15" customHeight="1">
      <c r="A179" s="101" t="s">
        <v>240</v>
      </c>
      <c r="B179" s="101">
        <v>2010</v>
      </c>
      <c r="C179" s="101" t="s">
        <v>237</v>
      </c>
      <c r="D179" s="332" t="s">
        <v>238</v>
      </c>
      <c r="E179" s="101" t="s">
        <v>2411</v>
      </c>
      <c r="F179" s="101" t="s">
        <v>50</v>
      </c>
      <c r="G179" s="101"/>
      <c r="H179" s="18"/>
      <c r="I179" s="27"/>
      <c r="J179" s="18"/>
      <c r="K179" s="101"/>
      <c r="L179" s="101" t="s">
        <v>2544</v>
      </c>
      <c r="M179" s="18"/>
      <c r="N179" s="18"/>
      <c r="O179" s="472"/>
      <c r="P179" s="543"/>
      <c r="Q179" s="101"/>
    </row>
    <row r="180" spans="1:17" s="102" customFormat="1" ht="15" customHeight="1">
      <c r="A180" s="101" t="s">
        <v>240</v>
      </c>
      <c r="B180" s="101">
        <v>2010</v>
      </c>
      <c r="C180" s="101" t="s">
        <v>237</v>
      </c>
      <c r="D180" s="332" t="s">
        <v>238</v>
      </c>
      <c r="E180" s="101" t="s">
        <v>2414</v>
      </c>
      <c r="F180" s="101" t="s">
        <v>50</v>
      </c>
      <c r="G180" s="101" t="s">
        <v>98</v>
      </c>
      <c r="H180" s="18">
        <v>385580</v>
      </c>
      <c r="I180" s="27" t="s">
        <v>2456</v>
      </c>
      <c r="J180" s="18" t="s">
        <v>871</v>
      </c>
      <c r="K180" s="101"/>
      <c r="L180" s="101" t="s">
        <v>2415</v>
      </c>
      <c r="M180" s="18">
        <v>5496000</v>
      </c>
      <c r="N180" s="18">
        <v>5496000</v>
      </c>
      <c r="O180" s="472" t="s">
        <v>2457</v>
      </c>
      <c r="P180" s="543"/>
      <c r="Q180" s="101"/>
    </row>
    <row r="181" spans="1:17" s="102" customFormat="1" ht="15" customHeight="1">
      <c r="A181" s="101" t="s">
        <v>240</v>
      </c>
      <c r="B181" s="101">
        <v>2010</v>
      </c>
      <c r="C181" s="101" t="s">
        <v>237</v>
      </c>
      <c r="D181" s="332" t="s">
        <v>238</v>
      </c>
      <c r="E181" s="101" t="s">
        <v>2414</v>
      </c>
      <c r="F181" s="101" t="s">
        <v>50</v>
      </c>
      <c r="G181" s="101" t="s">
        <v>552</v>
      </c>
      <c r="H181" s="18">
        <v>8361777</v>
      </c>
      <c r="I181" s="27" t="s">
        <v>2458</v>
      </c>
      <c r="J181" s="18" t="s">
        <v>871</v>
      </c>
      <c r="K181" s="101"/>
      <c r="L181" s="101" t="s">
        <v>2545</v>
      </c>
      <c r="M181" s="18"/>
      <c r="N181" s="18"/>
      <c r="O181" s="472" t="s">
        <v>2472</v>
      </c>
      <c r="P181" s="543"/>
      <c r="Q181" s="101"/>
    </row>
    <row r="182" spans="1:17" s="102" customFormat="1" ht="15" customHeight="1">
      <c r="A182" s="101" t="s">
        <v>240</v>
      </c>
      <c r="B182" s="101">
        <v>2010</v>
      </c>
      <c r="C182" s="101" t="s">
        <v>237</v>
      </c>
      <c r="D182" s="332" t="s">
        <v>238</v>
      </c>
      <c r="E182" s="101" t="s">
        <v>2417</v>
      </c>
      <c r="F182" s="101" t="s">
        <v>50</v>
      </c>
      <c r="G182" s="101" t="s">
        <v>552</v>
      </c>
      <c r="H182" s="18">
        <v>3231216</v>
      </c>
      <c r="I182" s="27" t="s">
        <v>2458</v>
      </c>
      <c r="J182" s="18" t="s">
        <v>871</v>
      </c>
      <c r="K182" s="101"/>
      <c r="L182" s="101" t="s">
        <v>2418</v>
      </c>
      <c r="M182" s="18">
        <v>686000</v>
      </c>
      <c r="N182" s="18">
        <v>686000</v>
      </c>
      <c r="O182" s="472" t="s">
        <v>2457</v>
      </c>
      <c r="P182" s="543"/>
      <c r="Q182" s="101"/>
    </row>
    <row r="183" spans="1:17" s="102" customFormat="1" ht="15" customHeight="1">
      <c r="A183" s="101" t="s">
        <v>240</v>
      </c>
      <c r="B183" s="101">
        <v>2010</v>
      </c>
      <c r="C183" s="101" t="s">
        <v>237</v>
      </c>
      <c r="D183" s="332" t="s">
        <v>238</v>
      </c>
      <c r="E183" s="101" t="s">
        <v>2420</v>
      </c>
      <c r="F183" s="101" t="s">
        <v>50</v>
      </c>
      <c r="G183" s="101" t="s">
        <v>98</v>
      </c>
      <c r="H183" s="18">
        <v>3548</v>
      </c>
      <c r="I183" s="27" t="s">
        <v>2456</v>
      </c>
      <c r="J183" s="18" t="s">
        <v>871</v>
      </c>
      <c r="K183" s="101"/>
      <c r="L183" s="101" t="s">
        <v>2421</v>
      </c>
      <c r="M183" s="18">
        <v>1282000</v>
      </c>
      <c r="N183" s="18">
        <v>1282000</v>
      </c>
      <c r="O183" s="472" t="s">
        <v>2457</v>
      </c>
      <c r="P183" s="543"/>
      <c r="Q183" s="101"/>
    </row>
    <row r="184" spans="1:17" s="102" customFormat="1" ht="15" customHeight="1">
      <c r="A184" s="101" t="s">
        <v>240</v>
      </c>
      <c r="B184" s="101">
        <v>2010</v>
      </c>
      <c r="C184" s="101" t="s">
        <v>237</v>
      </c>
      <c r="D184" s="332" t="s">
        <v>238</v>
      </c>
      <c r="E184" s="101" t="s">
        <v>2420</v>
      </c>
      <c r="F184" s="101" t="s">
        <v>50</v>
      </c>
      <c r="G184" s="101" t="s">
        <v>552</v>
      </c>
      <c r="H184" s="18">
        <v>2542268</v>
      </c>
      <c r="I184" s="27" t="s">
        <v>2458</v>
      </c>
      <c r="J184" s="18" t="s">
        <v>871</v>
      </c>
      <c r="K184" s="101"/>
      <c r="L184" s="101" t="s">
        <v>2546</v>
      </c>
      <c r="M184" s="18"/>
      <c r="N184" s="18"/>
      <c r="O184" s="472" t="s">
        <v>2472</v>
      </c>
      <c r="P184" s="543"/>
      <c r="Q184" s="101"/>
    </row>
    <row r="185" spans="1:17" s="102" customFormat="1" ht="15" customHeight="1">
      <c r="A185" s="101" t="s">
        <v>240</v>
      </c>
      <c r="B185" s="101">
        <v>2010</v>
      </c>
      <c r="C185" s="101" t="s">
        <v>237</v>
      </c>
      <c r="D185" s="332" t="s">
        <v>238</v>
      </c>
      <c r="E185" s="101" t="s">
        <v>2420</v>
      </c>
      <c r="F185" s="101" t="s">
        <v>50</v>
      </c>
      <c r="G185" s="101"/>
      <c r="H185" s="18"/>
      <c r="I185" s="27"/>
      <c r="J185" s="18"/>
      <c r="K185" s="101"/>
      <c r="L185" s="101" t="s">
        <v>2547</v>
      </c>
      <c r="M185" s="18"/>
      <c r="N185" s="18"/>
      <c r="O185" s="472"/>
      <c r="P185" s="543"/>
      <c r="Q185" s="101"/>
    </row>
    <row r="186" spans="1:17" s="102" customFormat="1" ht="15" customHeight="1">
      <c r="A186" s="101" t="s">
        <v>240</v>
      </c>
      <c r="B186" s="101">
        <v>2010</v>
      </c>
      <c r="C186" s="101" t="s">
        <v>237</v>
      </c>
      <c r="D186" s="332" t="s">
        <v>238</v>
      </c>
      <c r="E186" s="101" t="s">
        <v>2548</v>
      </c>
      <c r="F186" s="101" t="s">
        <v>50</v>
      </c>
      <c r="G186" s="101"/>
      <c r="H186" s="18"/>
      <c r="I186" s="27"/>
      <c r="J186" s="18"/>
      <c r="K186" s="101"/>
      <c r="L186" s="101" t="s">
        <v>2549</v>
      </c>
      <c r="M186" s="18"/>
      <c r="N186" s="18"/>
      <c r="O186" s="472"/>
      <c r="P186" s="543"/>
      <c r="Q186" s="101"/>
    </row>
    <row r="187" spans="1:17" s="102" customFormat="1" ht="15" customHeight="1">
      <c r="A187" s="101" t="s">
        <v>240</v>
      </c>
      <c r="B187" s="101">
        <v>2010</v>
      </c>
      <c r="C187" s="101" t="s">
        <v>237</v>
      </c>
      <c r="D187" s="332" t="s">
        <v>238</v>
      </c>
      <c r="E187" s="101" t="s">
        <v>2550</v>
      </c>
      <c r="F187" s="101" t="s">
        <v>50</v>
      </c>
      <c r="G187" s="101"/>
      <c r="H187" s="18"/>
      <c r="I187" s="27"/>
      <c r="J187" s="18"/>
      <c r="K187" s="101"/>
      <c r="L187" s="101" t="s">
        <v>2551</v>
      </c>
      <c r="M187" s="18"/>
      <c r="N187" s="18"/>
      <c r="O187" s="472"/>
      <c r="P187" s="543"/>
      <c r="Q187" s="101"/>
    </row>
    <row r="188" spans="1:17" s="102" customFormat="1" ht="15" customHeight="1">
      <c r="A188" s="101" t="s">
        <v>240</v>
      </c>
      <c r="B188" s="101">
        <v>2010</v>
      </c>
      <c r="C188" s="101" t="s">
        <v>237</v>
      </c>
      <c r="D188" s="332" t="s">
        <v>238</v>
      </c>
      <c r="E188" s="101" t="s">
        <v>2550</v>
      </c>
      <c r="F188" s="101" t="s">
        <v>50</v>
      </c>
      <c r="G188" s="101"/>
      <c r="H188" s="18"/>
      <c r="I188" s="27"/>
      <c r="J188" s="18"/>
      <c r="K188" s="101"/>
      <c r="L188" s="101" t="s">
        <v>2552</v>
      </c>
      <c r="M188" s="18"/>
      <c r="N188" s="18"/>
      <c r="O188" s="472"/>
      <c r="P188" s="543"/>
      <c r="Q188" s="101"/>
    </row>
    <row r="189" spans="1:17" s="102" customFormat="1" ht="15" customHeight="1">
      <c r="A189" s="101" t="s">
        <v>240</v>
      </c>
      <c r="B189" s="101">
        <v>2010</v>
      </c>
      <c r="C189" s="101" t="s">
        <v>237</v>
      </c>
      <c r="D189" s="332" t="s">
        <v>238</v>
      </c>
      <c r="E189" s="101" t="s">
        <v>2550</v>
      </c>
      <c r="F189" s="101" t="s">
        <v>50</v>
      </c>
      <c r="G189" s="101"/>
      <c r="H189" s="18"/>
      <c r="I189" s="27"/>
      <c r="J189" s="18"/>
      <c r="K189" s="101"/>
      <c r="L189" s="101" t="s">
        <v>2553</v>
      </c>
      <c r="M189" s="18"/>
      <c r="N189" s="18"/>
      <c r="O189" s="472"/>
      <c r="P189" s="543"/>
      <c r="Q189" s="101"/>
    </row>
    <row r="190" spans="1:17" s="102" customFormat="1" ht="15" customHeight="1">
      <c r="A190" s="101" t="s">
        <v>240</v>
      </c>
      <c r="B190" s="101">
        <v>2010</v>
      </c>
      <c r="C190" s="101" t="s">
        <v>237</v>
      </c>
      <c r="D190" s="332" t="s">
        <v>238</v>
      </c>
      <c r="E190" s="101" t="s">
        <v>2423</v>
      </c>
      <c r="F190" s="101" t="s">
        <v>50</v>
      </c>
      <c r="G190" s="101" t="s">
        <v>98</v>
      </c>
      <c r="H190" s="18">
        <v>1142229</v>
      </c>
      <c r="I190" s="27" t="s">
        <v>2456</v>
      </c>
      <c r="J190" s="18" t="s">
        <v>871</v>
      </c>
      <c r="K190" s="101"/>
      <c r="L190" s="101" t="s">
        <v>2554</v>
      </c>
      <c r="M190" s="18">
        <v>136894000</v>
      </c>
      <c r="N190" s="18">
        <v>136894000</v>
      </c>
      <c r="O190" s="472" t="s">
        <v>2457</v>
      </c>
      <c r="P190" s="543"/>
      <c r="Q190" s="101"/>
    </row>
    <row r="191" spans="1:17" s="102" customFormat="1" ht="15" customHeight="1">
      <c r="A191" s="101" t="s">
        <v>240</v>
      </c>
      <c r="B191" s="101">
        <v>2010</v>
      </c>
      <c r="C191" s="101" t="s">
        <v>237</v>
      </c>
      <c r="D191" s="332" t="s">
        <v>238</v>
      </c>
      <c r="E191" s="101" t="s">
        <v>2423</v>
      </c>
      <c r="F191" s="101" t="s">
        <v>50</v>
      </c>
      <c r="G191" s="101" t="s">
        <v>552</v>
      </c>
      <c r="H191" s="18">
        <v>16703795</v>
      </c>
      <c r="I191" s="27" t="s">
        <v>2458</v>
      </c>
      <c r="J191" s="18" t="s">
        <v>871</v>
      </c>
      <c r="K191" s="101"/>
      <c r="L191" s="101" t="s">
        <v>2555</v>
      </c>
      <c r="M191" s="18">
        <v>9190000</v>
      </c>
      <c r="N191" s="18">
        <v>9190000</v>
      </c>
      <c r="O191" s="472" t="s">
        <v>2457</v>
      </c>
      <c r="P191" s="543"/>
      <c r="Q191" s="101"/>
    </row>
    <row r="192" spans="1:17" s="102" customFormat="1" ht="15" customHeight="1">
      <c r="A192" s="101" t="s">
        <v>240</v>
      </c>
      <c r="B192" s="101">
        <v>2010</v>
      </c>
      <c r="C192" s="101" t="s">
        <v>237</v>
      </c>
      <c r="D192" s="332" t="s">
        <v>238</v>
      </c>
      <c r="E192" s="101" t="s">
        <v>2423</v>
      </c>
      <c r="F192" s="101" t="s">
        <v>50</v>
      </c>
      <c r="G192" s="101"/>
      <c r="H192" s="18"/>
      <c r="I192" s="27"/>
      <c r="J192" s="18"/>
      <c r="K192" s="101"/>
      <c r="L192" s="101" t="s">
        <v>2556</v>
      </c>
      <c r="M192" s="18">
        <v>8371000</v>
      </c>
      <c r="N192" s="18">
        <v>8371000</v>
      </c>
      <c r="O192" s="472" t="s">
        <v>2462</v>
      </c>
      <c r="P192" s="543"/>
      <c r="Q192" s="101"/>
    </row>
    <row r="193" spans="1:17" s="102" customFormat="1" ht="15" customHeight="1">
      <c r="A193" s="101" t="s">
        <v>240</v>
      </c>
      <c r="B193" s="101">
        <v>2010</v>
      </c>
      <c r="C193" s="101" t="s">
        <v>237</v>
      </c>
      <c r="D193" s="332" t="s">
        <v>238</v>
      </c>
      <c r="E193" s="101" t="s">
        <v>2423</v>
      </c>
      <c r="F193" s="101" t="s">
        <v>50</v>
      </c>
      <c r="G193" s="101"/>
      <c r="H193" s="18"/>
      <c r="I193" s="27"/>
      <c r="J193" s="18"/>
      <c r="K193" s="101"/>
      <c r="L193" s="101" t="s">
        <v>2557</v>
      </c>
      <c r="M193" s="18">
        <v>6411000</v>
      </c>
      <c r="N193" s="18">
        <v>6411000</v>
      </c>
      <c r="O193" s="472" t="s">
        <v>2462</v>
      </c>
      <c r="P193" s="543"/>
      <c r="Q193" s="101"/>
    </row>
    <row r="194" spans="1:17" s="102" customFormat="1" ht="15" customHeight="1">
      <c r="A194" s="101" t="s">
        <v>240</v>
      </c>
      <c r="B194" s="101">
        <v>2010</v>
      </c>
      <c r="C194" s="101" t="s">
        <v>237</v>
      </c>
      <c r="D194" s="332" t="s">
        <v>238</v>
      </c>
      <c r="E194" s="101" t="s">
        <v>2423</v>
      </c>
      <c r="F194" s="101" t="s">
        <v>50</v>
      </c>
      <c r="G194" s="101"/>
      <c r="H194" s="18"/>
      <c r="I194" s="27"/>
      <c r="J194" s="18"/>
      <c r="K194" s="101"/>
      <c r="L194" s="101" t="s">
        <v>2558</v>
      </c>
      <c r="M194" s="18">
        <v>4828000</v>
      </c>
      <c r="N194" s="18">
        <v>4828000</v>
      </c>
      <c r="O194" s="472" t="s">
        <v>2462</v>
      </c>
      <c r="P194" s="543"/>
      <c r="Q194" s="101"/>
    </row>
    <row r="195" spans="1:17" s="102" customFormat="1" ht="15" customHeight="1">
      <c r="A195" s="101" t="s">
        <v>240</v>
      </c>
      <c r="B195" s="101">
        <v>2010</v>
      </c>
      <c r="C195" s="101" t="s">
        <v>237</v>
      </c>
      <c r="D195" s="332" t="s">
        <v>238</v>
      </c>
      <c r="E195" s="101" t="s">
        <v>2423</v>
      </c>
      <c r="F195" s="101" t="s">
        <v>50</v>
      </c>
      <c r="G195" s="101"/>
      <c r="H195" s="18"/>
      <c r="I195" s="27"/>
      <c r="J195" s="18"/>
      <c r="K195" s="101"/>
      <c r="L195" s="101" t="s">
        <v>2559</v>
      </c>
      <c r="M195" s="18">
        <v>1393000</v>
      </c>
      <c r="N195" s="18">
        <v>1392000</v>
      </c>
      <c r="O195" s="472" t="s">
        <v>2462</v>
      </c>
      <c r="P195" s="543"/>
      <c r="Q195" s="101"/>
    </row>
    <row r="196" spans="1:17" s="102" customFormat="1" ht="15" customHeight="1">
      <c r="A196" s="101" t="s">
        <v>240</v>
      </c>
      <c r="B196" s="101">
        <v>2010</v>
      </c>
      <c r="C196" s="101" t="s">
        <v>237</v>
      </c>
      <c r="D196" s="332" t="s">
        <v>238</v>
      </c>
      <c r="E196" s="101" t="s">
        <v>2423</v>
      </c>
      <c r="F196" s="101" t="s">
        <v>50</v>
      </c>
      <c r="G196" s="101"/>
      <c r="H196" s="18"/>
      <c r="I196" s="27"/>
      <c r="J196" s="18"/>
      <c r="K196" s="101"/>
      <c r="L196" s="101" t="s">
        <v>2560</v>
      </c>
      <c r="M196" s="18">
        <v>3009000</v>
      </c>
      <c r="N196" s="18">
        <v>3009000</v>
      </c>
      <c r="O196" s="472" t="s">
        <v>2462</v>
      </c>
      <c r="P196" s="543"/>
      <c r="Q196" s="101"/>
    </row>
    <row r="197" spans="1:17" s="102" customFormat="1" ht="15" customHeight="1">
      <c r="A197" s="101" t="s">
        <v>240</v>
      </c>
      <c r="B197" s="101">
        <v>2010</v>
      </c>
      <c r="C197" s="101" t="s">
        <v>237</v>
      </c>
      <c r="D197" s="332" t="s">
        <v>238</v>
      </c>
      <c r="E197" s="101" t="s">
        <v>2423</v>
      </c>
      <c r="F197" s="101" t="s">
        <v>50</v>
      </c>
      <c r="G197" s="101"/>
      <c r="H197" s="18"/>
      <c r="I197" s="27"/>
      <c r="J197" s="18"/>
      <c r="K197" s="101"/>
      <c r="L197" s="107" t="s">
        <v>2561</v>
      </c>
      <c r="M197" s="18">
        <v>1574000</v>
      </c>
      <c r="N197" s="18">
        <v>1575000</v>
      </c>
      <c r="O197" s="472" t="s">
        <v>2462</v>
      </c>
      <c r="P197" s="543"/>
      <c r="Q197" s="101"/>
    </row>
    <row r="198" spans="1:17" s="102" customFormat="1" ht="15" customHeight="1">
      <c r="A198" s="101" t="s">
        <v>240</v>
      </c>
      <c r="B198" s="101">
        <v>2010</v>
      </c>
      <c r="C198" s="101" t="s">
        <v>237</v>
      </c>
      <c r="D198" s="332" t="s">
        <v>238</v>
      </c>
      <c r="E198" s="101" t="s">
        <v>2355</v>
      </c>
      <c r="F198" s="101" t="s">
        <v>50</v>
      </c>
      <c r="G198" s="101" t="s">
        <v>98</v>
      </c>
      <c r="H198" s="18">
        <v>1657100</v>
      </c>
      <c r="I198" s="27" t="s">
        <v>2456</v>
      </c>
      <c r="J198" s="18" t="s">
        <v>871</v>
      </c>
      <c r="K198" s="101"/>
      <c r="L198" s="101" t="s">
        <v>2562</v>
      </c>
      <c r="M198" s="18">
        <v>45842000</v>
      </c>
      <c r="N198" s="18">
        <v>45842000</v>
      </c>
      <c r="O198" s="472" t="s">
        <v>2457</v>
      </c>
      <c r="P198" s="543"/>
      <c r="Q198" s="101"/>
    </row>
    <row r="199" spans="1:17" s="102" customFormat="1" ht="15" customHeight="1">
      <c r="A199" s="101" t="s">
        <v>240</v>
      </c>
      <c r="B199" s="101">
        <v>2010</v>
      </c>
      <c r="C199" s="101" t="s">
        <v>237</v>
      </c>
      <c r="D199" s="332" t="s">
        <v>238</v>
      </c>
      <c r="E199" s="101" t="s">
        <v>2355</v>
      </c>
      <c r="F199" s="101" t="s">
        <v>50</v>
      </c>
      <c r="G199" s="101" t="s">
        <v>552</v>
      </c>
      <c r="H199" s="18">
        <v>2789674</v>
      </c>
      <c r="I199" s="27" t="s">
        <v>2458</v>
      </c>
      <c r="J199" s="18" t="s">
        <v>871</v>
      </c>
      <c r="K199" s="101"/>
      <c r="L199" s="101" t="s">
        <v>2563</v>
      </c>
      <c r="M199" s="18">
        <v>33173000</v>
      </c>
      <c r="N199" s="18">
        <v>33173000</v>
      </c>
      <c r="O199" s="472" t="s">
        <v>2457</v>
      </c>
      <c r="P199" s="543"/>
      <c r="Q199" s="101"/>
    </row>
    <row r="200" spans="1:17" s="102" customFormat="1" ht="15" customHeight="1">
      <c r="A200" s="101" t="s">
        <v>240</v>
      </c>
      <c r="B200" s="101">
        <v>2010</v>
      </c>
      <c r="C200" s="101" t="s">
        <v>237</v>
      </c>
      <c r="D200" s="332" t="s">
        <v>238</v>
      </c>
      <c r="E200" s="101" t="s">
        <v>2355</v>
      </c>
      <c r="F200" s="101" t="s">
        <v>50</v>
      </c>
      <c r="G200" s="101"/>
      <c r="H200" s="18"/>
      <c r="I200" s="27"/>
      <c r="J200" s="18"/>
      <c r="K200" s="101"/>
      <c r="L200" s="101" t="s">
        <v>2564</v>
      </c>
      <c r="M200" s="18"/>
      <c r="N200" s="18"/>
      <c r="O200" s="472"/>
      <c r="P200" s="543"/>
      <c r="Q200" s="101"/>
    </row>
    <row r="201" spans="1:17" s="102" customFormat="1" ht="15" customHeight="1">
      <c r="A201" s="101" t="s">
        <v>240</v>
      </c>
      <c r="B201" s="101">
        <v>2010</v>
      </c>
      <c r="C201" s="101" t="s">
        <v>237</v>
      </c>
      <c r="D201" s="332" t="s">
        <v>238</v>
      </c>
      <c r="E201" s="101" t="s">
        <v>2565</v>
      </c>
      <c r="F201" s="101" t="s">
        <v>50</v>
      </c>
      <c r="G201" s="101" t="s">
        <v>98</v>
      </c>
      <c r="H201" s="18">
        <v>1214456</v>
      </c>
      <c r="I201" s="27" t="s">
        <v>2456</v>
      </c>
      <c r="J201" s="18" t="s">
        <v>871</v>
      </c>
      <c r="K201" s="101"/>
      <c r="L201" s="101" t="s">
        <v>2427</v>
      </c>
      <c r="M201" s="18">
        <v>20251000</v>
      </c>
      <c r="N201" s="18">
        <v>20251000</v>
      </c>
      <c r="O201" s="472" t="s">
        <v>2457</v>
      </c>
      <c r="P201" s="543"/>
      <c r="Q201" s="101"/>
    </row>
    <row r="202" spans="1:17" s="102" customFormat="1" ht="15" customHeight="1">
      <c r="A202" s="101" t="s">
        <v>240</v>
      </c>
      <c r="B202" s="101">
        <v>2010</v>
      </c>
      <c r="C202" s="101" t="s">
        <v>237</v>
      </c>
      <c r="D202" s="332" t="s">
        <v>238</v>
      </c>
      <c r="E202" s="101" t="s">
        <v>2565</v>
      </c>
      <c r="F202" s="101" t="s">
        <v>50</v>
      </c>
      <c r="G202" s="101" t="s">
        <v>552</v>
      </c>
      <c r="H202" s="18">
        <v>14263465</v>
      </c>
      <c r="I202" s="27" t="s">
        <v>2458</v>
      </c>
      <c r="J202" s="18" t="s">
        <v>871</v>
      </c>
      <c r="K202" s="101"/>
      <c r="L202" s="107" t="s">
        <v>2566</v>
      </c>
      <c r="M202" s="18"/>
      <c r="N202" s="18"/>
      <c r="O202" s="472" t="s">
        <v>2457</v>
      </c>
      <c r="P202" s="543"/>
      <c r="Q202" s="101"/>
    </row>
    <row r="203" spans="1:17" s="102" customFormat="1" ht="15" customHeight="1">
      <c r="A203" s="101" t="s">
        <v>240</v>
      </c>
      <c r="B203" s="101">
        <v>2010</v>
      </c>
      <c r="C203" s="101" t="s">
        <v>237</v>
      </c>
      <c r="D203" s="332" t="s">
        <v>238</v>
      </c>
      <c r="E203" s="101" t="s">
        <v>2565</v>
      </c>
      <c r="F203" s="101" t="s">
        <v>50</v>
      </c>
      <c r="G203" s="101"/>
      <c r="H203" s="18"/>
      <c r="I203" s="27"/>
      <c r="J203" s="18"/>
      <c r="K203" s="101"/>
      <c r="L203" s="107" t="s">
        <v>2567</v>
      </c>
      <c r="M203" s="18"/>
      <c r="N203" s="18"/>
      <c r="O203" s="472"/>
      <c r="P203" s="543"/>
      <c r="Q203" s="101"/>
    </row>
    <row r="204" spans="1:17" s="102" customFormat="1" ht="15" customHeight="1">
      <c r="A204" s="101" t="s">
        <v>240</v>
      </c>
      <c r="B204" s="101">
        <v>2010</v>
      </c>
      <c r="C204" s="101" t="s">
        <v>237</v>
      </c>
      <c r="D204" s="332" t="s">
        <v>238</v>
      </c>
      <c r="E204" s="101" t="s">
        <v>2568</v>
      </c>
      <c r="F204" s="101" t="s">
        <v>50</v>
      </c>
      <c r="G204" s="101" t="s">
        <v>98</v>
      </c>
      <c r="H204" s="18">
        <v>1515766</v>
      </c>
      <c r="I204" s="27" t="s">
        <v>2456</v>
      </c>
      <c r="J204" s="18" t="s">
        <v>871</v>
      </c>
      <c r="K204" s="101"/>
      <c r="L204" s="101" t="s">
        <v>2430</v>
      </c>
      <c r="M204" s="18">
        <v>19590000</v>
      </c>
      <c r="N204" s="18">
        <v>19590000</v>
      </c>
      <c r="O204" s="472" t="s">
        <v>2457</v>
      </c>
      <c r="P204" s="543"/>
      <c r="Q204" s="101"/>
    </row>
    <row r="205" spans="1:17" s="102" customFormat="1" ht="15" customHeight="1">
      <c r="A205" s="101" t="s">
        <v>240</v>
      </c>
      <c r="B205" s="101">
        <v>2010</v>
      </c>
      <c r="C205" s="101" t="s">
        <v>237</v>
      </c>
      <c r="D205" s="332" t="s">
        <v>238</v>
      </c>
      <c r="E205" s="101" t="s">
        <v>2568</v>
      </c>
      <c r="F205" s="101" t="s">
        <v>50</v>
      </c>
      <c r="G205" s="101" t="s">
        <v>552</v>
      </c>
      <c r="H205" s="18">
        <v>21187676</v>
      </c>
      <c r="I205" s="27" t="s">
        <v>2458</v>
      </c>
      <c r="J205" s="18" t="s">
        <v>871</v>
      </c>
      <c r="K205" s="101"/>
      <c r="L205" s="101" t="s">
        <v>2569</v>
      </c>
      <c r="M205" s="18"/>
      <c r="N205" s="18"/>
      <c r="O205" s="472" t="s">
        <v>2472</v>
      </c>
      <c r="P205" s="543"/>
      <c r="Q205" s="101"/>
    </row>
    <row r="206" spans="1:17" s="102" customFormat="1" ht="15" customHeight="1">
      <c r="A206" s="101" t="s">
        <v>240</v>
      </c>
      <c r="B206" s="101">
        <v>2010</v>
      </c>
      <c r="C206" s="101" t="s">
        <v>237</v>
      </c>
      <c r="D206" s="332" t="s">
        <v>238</v>
      </c>
      <c r="E206" s="101" t="s">
        <v>2568</v>
      </c>
      <c r="F206" s="101" t="s">
        <v>50</v>
      </c>
      <c r="G206" s="101"/>
      <c r="H206" s="18"/>
      <c r="I206" s="27"/>
      <c r="J206" s="18"/>
      <c r="K206" s="101"/>
      <c r="L206" s="101" t="s">
        <v>2570</v>
      </c>
      <c r="M206" s="18"/>
      <c r="N206" s="18"/>
      <c r="O206" s="472"/>
      <c r="P206" s="543"/>
      <c r="Q206" s="101"/>
    </row>
    <row r="207" spans="1:17" s="102" customFormat="1" ht="15" customHeight="1">
      <c r="A207" s="101" t="s">
        <v>240</v>
      </c>
      <c r="B207" s="101">
        <v>2010</v>
      </c>
      <c r="C207" s="101" t="s">
        <v>237</v>
      </c>
      <c r="D207" s="332" t="s">
        <v>238</v>
      </c>
      <c r="E207" s="101" t="s">
        <v>2571</v>
      </c>
      <c r="F207" s="101" t="s">
        <v>50</v>
      </c>
      <c r="G207" s="101" t="s">
        <v>552</v>
      </c>
      <c r="H207" s="18">
        <v>42160427</v>
      </c>
      <c r="I207" s="27" t="s">
        <v>2458</v>
      </c>
      <c r="J207" s="18" t="s">
        <v>871</v>
      </c>
      <c r="K207" s="101"/>
      <c r="L207" s="101" t="s">
        <v>2433</v>
      </c>
      <c r="M207" s="18">
        <v>7775000</v>
      </c>
      <c r="N207" s="18">
        <v>7775000</v>
      </c>
      <c r="O207" s="472" t="s">
        <v>2457</v>
      </c>
      <c r="P207" s="543"/>
      <c r="Q207" s="101"/>
    </row>
    <row r="208" spans="1:17" s="102" customFormat="1" ht="15" customHeight="1">
      <c r="A208" s="101" t="s">
        <v>240</v>
      </c>
      <c r="B208" s="101">
        <v>2010</v>
      </c>
      <c r="C208" s="101" t="s">
        <v>237</v>
      </c>
      <c r="D208" s="332" t="s">
        <v>238</v>
      </c>
      <c r="E208" s="101" t="s">
        <v>2571</v>
      </c>
      <c r="F208" s="101" t="s">
        <v>50</v>
      </c>
      <c r="G208" s="101"/>
      <c r="H208" s="18"/>
      <c r="I208" s="27"/>
      <c r="J208" s="18"/>
      <c r="K208" s="101"/>
      <c r="L208" s="101" t="s">
        <v>2572</v>
      </c>
      <c r="M208" s="18"/>
      <c r="N208" s="18"/>
      <c r="O208" s="472"/>
      <c r="P208" s="543"/>
      <c r="Q208" s="101"/>
    </row>
    <row r="209" spans="1:17" s="102" customFormat="1" ht="15" customHeight="1">
      <c r="A209" s="101" t="s">
        <v>240</v>
      </c>
      <c r="B209" s="101">
        <v>2010</v>
      </c>
      <c r="C209" s="101" t="s">
        <v>237</v>
      </c>
      <c r="D209" s="332" t="s">
        <v>238</v>
      </c>
      <c r="E209" s="101" t="s">
        <v>2571</v>
      </c>
      <c r="F209" s="101" t="s">
        <v>50</v>
      </c>
      <c r="G209" s="101"/>
      <c r="H209" s="18"/>
      <c r="I209" s="27"/>
      <c r="J209" s="18"/>
      <c r="K209" s="101"/>
      <c r="L209" s="101" t="s">
        <v>2573</v>
      </c>
      <c r="M209" s="18"/>
      <c r="N209" s="18"/>
      <c r="O209" s="472"/>
      <c r="P209" s="543"/>
      <c r="Q209" s="101"/>
    </row>
    <row r="210" spans="1:17" s="102" customFormat="1" ht="15" customHeight="1">
      <c r="A210" s="101" t="s">
        <v>240</v>
      </c>
      <c r="B210" s="101">
        <v>2010</v>
      </c>
      <c r="C210" s="101" t="s">
        <v>237</v>
      </c>
      <c r="D210" s="332" t="s">
        <v>238</v>
      </c>
      <c r="E210" s="101" t="s">
        <v>2574</v>
      </c>
      <c r="F210" s="101" t="s">
        <v>50</v>
      </c>
      <c r="G210" s="101" t="s">
        <v>552</v>
      </c>
      <c r="H210" s="18">
        <v>12859584</v>
      </c>
      <c r="I210" s="27" t="s">
        <v>2458</v>
      </c>
      <c r="J210" s="18" t="s">
        <v>871</v>
      </c>
      <c r="K210" s="101"/>
      <c r="L210" s="101" t="s">
        <v>2436</v>
      </c>
      <c r="M210" s="18">
        <v>13560000</v>
      </c>
      <c r="N210" s="18">
        <v>13142000</v>
      </c>
      <c r="O210" s="472" t="s">
        <v>2457</v>
      </c>
      <c r="P210" s="543"/>
      <c r="Q210" s="101"/>
    </row>
    <row r="211" spans="1:17" s="102" customFormat="1" ht="15" customHeight="1">
      <c r="A211" s="101" t="s">
        <v>240</v>
      </c>
      <c r="B211" s="101">
        <v>2010</v>
      </c>
      <c r="C211" s="101" t="s">
        <v>237</v>
      </c>
      <c r="D211" s="332" t="s">
        <v>238</v>
      </c>
      <c r="E211" s="101" t="s">
        <v>2438</v>
      </c>
      <c r="F211" s="101" t="s">
        <v>50</v>
      </c>
      <c r="G211" s="101" t="s">
        <v>98</v>
      </c>
      <c r="H211" s="18">
        <v>774866</v>
      </c>
      <c r="I211" s="27" t="s">
        <v>2456</v>
      </c>
      <c r="J211" s="18" t="s">
        <v>871</v>
      </c>
      <c r="K211" s="101"/>
      <c r="L211" s="101" t="s">
        <v>2439</v>
      </c>
      <c r="M211" s="18">
        <v>1341000</v>
      </c>
      <c r="N211" s="18">
        <v>1341000</v>
      </c>
      <c r="O211" s="472" t="s">
        <v>2457</v>
      </c>
      <c r="P211" s="543"/>
      <c r="Q211" s="101"/>
    </row>
    <row r="212" spans="1:17" s="102" customFormat="1" ht="15" customHeight="1">
      <c r="A212" s="101" t="s">
        <v>240</v>
      </c>
      <c r="B212" s="101">
        <v>2010</v>
      </c>
      <c r="C212" s="101" t="s">
        <v>237</v>
      </c>
      <c r="D212" s="332" t="s">
        <v>238</v>
      </c>
      <c r="E212" s="101" t="s">
        <v>2438</v>
      </c>
      <c r="F212" s="101" t="s">
        <v>50</v>
      </c>
      <c r="G212" s="101"/>
      <c r="H212" s="106"/>
      <c r="I212" s="106"/>
      <c r="J212" s="106"/>
      <c r="K212" s="101"/>
      <c r="L212" s="107" t="s">
        <v>2575</v>
      </c>
      <c r="M212" s="18"/>
      <c r="N212" s="18"/>
      <c r="O212" s="472"/>
      <c r="P212" s="543"/>
      <c r="Q212" s="101"/>
    </row>
    <row r="213" spans="1:17" s="102" customFormat="1" ht="15" customHeight="1">
      <c r="A213" s="101" t="s">
        <v>240</v>
      </c>
      <c r="B213" s="101">
        <v>2010</v>
      </c>
      <c r="C213" s="101" t="s">
        <v>237</v>
      </c>
      <c r="D213" s="332" t="s">
        <v>238</v>
      </c>
      <c r="E213" s="101" t="s">
        <v>2438</v>
      </c>
      <c r="F213" s="101" t="s">
        <v>50</v>
      </c>
      <c r="G213" s="101"/>
      <c r="H213" s="18"/>
      <c r="I213" s="27"/>
      <c r="J213" s="18"/>
      <c r="K213" s="101"/>
      <c r="L213" s="107" t="s">
        <v>2576</v>
      </c>
      <c r="M213" s="18"/>
      <c r="N213" s="18"/>
      <c r="O213" s="472"/>
      <c r="P213" s="543"/>
      <c r="Q213" s="101"/>
    </row>
    <row r="214" spans="1:17" s="102" customFormat="1" ht="15" customHeight="1">
      <c r="A214" s="101" t="s">
        <v>240</v>
      </c>
      <c r="B214" s="101">
        <v>2010</v>
      </c>
      <c r="C214" s="101" t="s">
        <v>237</v>
      </c>
      <c r="D214" s="332" t="s">
        <v>238</v>
      </c>
      <c r="E214" s="101" t="s">
        <v>2438</v>
      </c>
      <c r="F214" s="101" t="s">
        <v>50</v>
      </c>
      <c r="G214" s="101"/>
      <c r="H214" s="18"/>
      <c r="I214" s="27"/>
      <c r="J214" s="18"/>
      <c r="K214" s="101"/>
      <c r="L214" s="107" t="s">
        <v>2577</v>
      </c>
      <c r="M214" s="18"/>
      <c r="N214" s="18"/>
      <c r="O214" s="472"/>
      <c r="P214" s="543"/>
      <c r="Q214" s="101"/>
    </row>
    <row r="215" spans="1:17" s="102" customFormat="1" ht="15" customHeight="1">
      <c r="A215" s="101" t="s">
        <v>240</v>
      </c>
      <c r="B215" s="101">
        <v>2010</v>
      </c>
      <c r="C215" s="101" t="s">
        <v>237</v>
      </c>
      <c r="D215" s="332" t="s">
        <v>238</v>
      </c>
      <c r="E215" s="101" t="s">
        <v>2578</v>
      </c>
      <c r="F215" s="101" t="s">
        <v>50</v>
      </c>
      <c r="G215" s="101" t="s">
        <v>98</v>
      </c>
      <c r="H215" s="18">
        <v>146425</v>
      </c>
      <c r="I215" s="27" t="s">
        <v>2456</v>
      </c>
      <c r="J215" s="18" t="s">
        <v>871</v>
      </c>
      <c r="K215" s="101"/>
      <c r="L215" s="101" t="s">
        <v>2442</v>
      </c>
      <c r="M215" s="18">
        <v>1415000</v>
      </c>
      <c r="N215" s="18">
        <v>1415000</v>
      </c>
      <c r="O215" s="472" t="s">
        <v>2457</v>
      </c>
      <c r="P215" s="543"/>
      <c r="Q215" s="101"/>
    </row>
    <row r="216" spans="1:17" s="102" customFormat="1" ht="15" customHeight="1">
      <c r="A216" s="101" t="s">
        <v>240</v>
      </c>
      <c r="B216" s="101">
        <v>2010</v>
      </c>
      <c r="C216" s="101" t="s">
        <v>237</v>
      </c>
      <c r="D216" s="332" t="s">
        <v>238</v>
      </c>
      <c r="E216" s="101" t="s">
        <v>2444</v>
      </c>
      <c r="F216" s="101" t="s">
        <v>50</v>
      </c>
      <c r="G216" s="101" t="s">
        <v>98</v>
      </c>
      <c r="H216" s="18">
        <v>328874</v>
      </c>
      <c r="I216" s="27" t="s">
        <v>2456</v>
      </c>
      <c r="J216" s="18" t="s">
        <v>871</v>
      </c>
      <c r="K216" s="101"/>
      <c r="L216" s="101" t="s">
        <v>2579</v>
      </c>
      <c r="M216" s="18">
        <v>3301000</v>
      </c>
      <c r="N216" s="18">
        <v>3301000</v>
      </c>
      <c r="O216" s="472" t="s">
        <v>2457</v>
      </c>
      <c r="P216" s="543"/>
      <c r="Q216" s="101"/>
    </row>
    <row r="217" spans="1:17" s="102" customFormat="1" ht="15" customHeight="1">
      <c r="A217" s="101" t="s">
        <v>240</v>
      </c>
      <c r="B217" s="101">
        <v>2010</v>
      </c>
      <c r="C217" s="101" t="s">
        <v>237</v>
      </c>
      <c r="D217" s="332" t="s">
        <v>238</v>
      </c>
      <c r="E217" s="101" t="s">
        <v>2444</v>
      </c>
      <c r="F217" s="101" t="s">
        <v>50</v>
      </c>
      <c r="G217" s="101"/>
      <c r="H217" s="18"/>
      <c r="I217" s="27"/>
      <c r="J217" s="18"/>
      <c r="K217" s="101"/>
      <c r="L217" s="107" t="s">
        <v>2580</v>
      </c>
      <c r="M217" s="18"/>
      <c r="N217" s="18"/>
      <c r="O217" s="472"/>
      <c r="P217" s="543"/>
      <c r="Q217" s="101"/>
    </row>
    <row r="218" spans="1:17" s="102" customFormat="1" ht="15" customHeight="1">
      <c r="A218" s="101" t="s">
        <v>240</v>
      </c>
      <c r="B218" s="101">
        <v>2010</v>
      </c>
      <c r="C218" s="101" t="s">
        <v>237</v>
      </c>
      <c r="D218" s="332" t="s">
        <v>238</v>
      </c>
      <c r="E218" s="101" t="s">
        <v>2447</v>
      </c>
      <c r="F218" s="101" t="s">
        <v>50</v>
      </c>
      <c r="G218" s="101" t="s">
        <v>98</v>
      </c>
      <c r="H218" s="18">
        <v>105122</v>
      </c>
      <c r="I218" s="27" t="s">
        <v>2456</v>
      </c>
      <c r="J218" s="18" t="s">
        <v>871</v>
      </c>
      <c r="K218" s="101"/>
      <c r="L218" s="101" t="s">
        <v>2448</v>
      </c>
      <c r="M218" s="18">
        <v>1212000</v>
      </c>
      <c r="N218" s="18">
        <v>1212000</v>
      </c>
      <c r="O218" s="472" t="s">
        <v>2457</v>
      </c>
      <c r="P218" s="543"/>
      <c r="Q218" s="101"/>
    </row>
    <row r="219" spans="1:17" s="102" customFormat="1" ht="15" customHeight="1">
      <c r="A219" s="101" t="s">
        <v>240</v>
      </c>
      <c r="B219" s="101">
        <v>2010</v>
      </c>
      <c r="C219" s="101" t="s">
        <v>237</v>
      </c>
      <c r="D219" s="332" t="s">
        <v>238</v>
      </c>
      <c r="E219" s="101" t="s">
        <v>2447</v>
      </c>
      <c r="F219" s="101" t="s">
        <v>50</v>
      </c>
      <c r="G219" s="101"/>
      <c r="H219" s="18"/>
      <c r="I219" s="27"/>
      <c r="J219" s="18"/>
      <c r="K219" s="101"/>
      <c r="L219" s="107" t="s">
        <v>2581</v>
      </c>
      <c r="M219" s="18"/>
      <c r="N219" s="18"/>
      <c r="O219" s="472"/>
      <c r="P219" s="543"/>
      <c r="Q219" s="101"/>
    </row>
    <row r="220" spans="1:17" s="102" customFormat="1" ht="15" customHeight="1">
      <c r="A220" s="101" t="s">
        <v>240</v>
      </c>
      <c r="B220" s="101">
        <v>2010</v>
      </c>
      <c r="C220" s="101" t="s">
        <v>237</v>
      </c>
      <c r="D220" s="332" t="s">
        <v>238</v>
      </c>
      <c r="E220" s="101" t="s">
        <v>2447</v>
      </c>
      <c r="F220" s="101" t="s">
        <v>50</v>
      </c>
      <c r="G220" s="101"/>
      <c r="H220" s="18"/>
      <c r="I220" s="27"/>
      <c r="J220" s="18"/>
      <c r="K220" s="101"/>
      <c r="L220" s="107" t="s">
        <v>2582</v>
      </c>
      <c r="M220" s="18"/>
      <c r="N220" s="18"/>
      <c r="O220" s="472"/>
      <c r="P220" s="543"/>
      <c r="Q220" s="101"/>
    </row>
    <row r="221" spans="1:17" s="102" customFormat="1" ht="15" customHeight="1">
      <c r="A221" s="101" t="s">
        <v>240</v>
      </c>
      <c r="B221" s="101">
        <v>2010</v>
      </c>
      <c r="C221" s="101" t="s">
        <v>237</v>
      </c>
      <c r="D221" s="332" t="s">
        <v>238</v>
      </c>
      <c r="E221" s="101" t="s">
        <v>2450</v>
      </c>
      <c r="F221" s="101" t="s">
        <v>50</v>
      </c>
      <c r="G221" s="101" t="s">
        <v>552</v>
      </c>
      <c r="H221" s="18">
        <v>420268</v>
      </c>
      <c r="I221" s="27" t="s">
        <v>2458</v>
      </c>
      <c r="J221" s="18" t="s">
        <v>871</v>
      </c>
      <c r="K221" s="101"/>
      <c r="L221" s="101" t="s">
        <v>2583</v>
      </c>
      <c r="M221" s="18">
        <v>644000</v>
      </c>
      <c r="N221" s="18">
        <v>644000</v>
      </c>
      <c r="O221" s="472" t="s">
        <v>2457</v>
      </c>
      <c r="P221" s="543"/>
      <c r="Q221" s="101"/>
    </row>
    <row r="222" spans="1:17" s="102" customFormat="1" ht="15" customHeight="1">
      <c r="A222" s="101" t="s">
        <v>240</v>
      </c>
      <c r="B222" s="101">
        <v>2010</v>
      </c>
      <c r="C222" s="101" t="s">
        <v>237</v>
      </c>
      <c r="D222" s="332" t="s">
        <v>238</v>
      </c>
      <c r="E222" s="101" t="s">
        <v>2453</v>
      </c>
      <c r="F222" s="101" t="s">
        <v>50</v>
      </c>
      <c r="G222" s="101" t="s">
        <v>98</v>
      </c>
      <c r="H222" s="18">
        <v>7896</v>
      </c>
      <c r="I222" s="27" t="s">
        <v>2456</v>
      </c>
      <c r="J222" s="18" t="s">
        <v>871</v>
      </c>
      <c r="K222" s="101"/>
      <c r="L222" s="101" t="s">
        <v>2584</v>
      </c>
      <c r="M222" s="18">
        <v>60000</v>
      </c>
      <c r="N222" s="18">
        <v>60000</v>
      </c>
      <c r="O222" s="472" t="s">
        <v>2457</v>
      </c>
      <c r="P222" s="543"/>
      <c r="Q222" s="101"/>
    </row>
    <row r="223" spans="1:17" s="102" customFormat="1" ht="15" customHeight="1">
      <c r="A223" s="101" t="s">
        <v>240</v>
      </c>
      <c r="B223" s="101">
        <v>2010</v>
      </c>
      <c r="C223" s="101" t="s">
        <v>237</v>
      </c>
      <c r="D223" s="332" t="s">
        <v>238</v>
      </c>
      <c r="E223" s="101" t="s">
        <v>2453</v>
      </c>
      <c r="F223" s="101" t="s">
        <v>50</v>
      </c>
      <c r="G223" s="101" t="s">
        <v>552</v>
      </c>
      <c r="H223" s="18">
        <v>174760</v>
      </c>
      <c r="I223" s="27" t="s">
        <v>2458</v>
      </c>
      <c r="J223" s="18" t="s">
        <v>871</v>
      </c>
      <c r="K223" s="101"/>
      <c r="L223" s="101" t="s">
        <v>2585</v>
      </c>
      <c r="M223" s="18"/>
      <c r="N223" s="18"/>
      <c r="O223" s="472" t="s">
        <v>2472</v>
      </c>
      <c r="P223" s="543"/>
      <c r="Q223" s="101"/>
    </row>
    <row r="224" spans="1:17" s="102" customFormat="1" ht="15" customHeight="1">
      <c r="A224" s="101" t="s">
        <v>240</v>
      </c>
      <c r="B224" s="101">
        <v>2010</v>
      </c>
      <c r="C224" s="101" t="s">
        <v>237</v>
      </c>
      <c r="D224" s="332" t="s">
        <v>238</v>
      </c>
      <c r="E224" s="101" t="s">
        <v>2453</v>
      </c>
      <c r="F224" s="101" t="s">
        <v>50</v>
      </c>
      <c r="G224" s="101"/>
      <c r="H224" s="18"/>
      <c r="I224" s="27"/>
      <c r="J224" s="18"/>
      <c r="K224" s="101"/>
      <c r="L224" s="101" t="s">
        <v>2586</v>
      </c>
      <c r="M224" s="18"/>
      <c r="N224" s="18"/>
      <c r="O224" s="472"/>
      <c r="P224" s="543"/>
      <c r="Q224" s="101"/>
    </row>
    <row r="225" spans="1:17" s="102" customFormat="1" ht="15" customHeight="1">
      <c r="A225" s="101" t="s">
        <v>240</v>
      </c>
      <c r="B225" s="101">
        <v>2010</v>
      </c>
      <c r="C225" s="101" t="s">
        <v>237</v>
      </c>
      <c r="D225" s="332" t="s">
        <v>238</v>
      </c>
      <c r="E225" s="101" t="s">
        <v>2587</v>
      </c>
      <c r="F225" s="101" t="s">
        <v>50</v>
      </c>
      <c r="G225" s="101" t="s">
        <v>98</v>
      </c>
      <c r="H225" s="18">
        <v>122775</v>
      </c>
      <c r="I225" s="27" t="s">
        <v>2456</v>
      </c>
      <c r="J225" s="18" t="s">
        <v>871</v>
      </c>
      <c r="K225" s="101"/>
      <c r="L225" s="101" t="s">
        <v>2588</v>
      </c>
      <c r="M225" s="18">
        <v>3320000</v>
      </c>
      <c r="N225" s="18">
        <v>3816000</v>
      </c>
      <c r="O225" s="472" t="s">
        <v>2457</v>
      </c>
      <c r="P225" s="543"/>
      <c r="Q225" s="101"/>
    </row>
    <row r="226" spans="1:17" s="102" customFormat="1" ht="15" customHeight="1">
      <c r="A226" s="101" t="s">
        <v>240</v>
      </c>
      <c r="B226" s="101">
        <v>2010</v>
      </c>
      <c r="C226" s="101" t="s">
        <v>237</v>
      </c>
      <c r="D226" s="332" t="s">
        <v>238</v>
      </c>
      <c r="E226" s="101" t="s">
        <v>2587</v>
      </c>
      <c r="F226" s="101" t="s">
        <v>50</v>
      </c>
      <c r="G226" s="101"/>
      <c r="H226" s="18"/>
      <c r="I226" s="27"/>
      <c r="J226" s="18"/>
      <c r="K226" s="101"/>
      <c r="L226" s="101" t="s">
        <v>2589</v>
      </c>
      <c r="M226" s="18">
        <v>39000</v>
      </c>
      <c r="N226" s="18">
        <v>39000</v>
      </c>
      <c r="O226" s="472" t="s">
        <v>2462</v>
      </c>
      <c r="P226" s="543"/>
      <c r="Q226" s="101"/>
    </row>
    <row r="227" spans="1:17" s="102" customFormat="1" ht="15" customHeight="1">
      <c r="A227" s="101" t="s">
        <v>240</v>
      </c>
      <c r="B227" s="101">
        <v>2010</v>
      </c>
      <c r="C227" s="101" t="s">
        <v>237</v>
      </c>
      <c r="D227" s="332" t="s">
        <v>238</v>
      </c>
      <c r="E227" s="101" t="s">
        <v>2590</v>
      </c>
      <c r="F227" s="101" t="s">
        <v>50</v>
      </c>
      <c r="G227" s="101" t="s">
        <v>98</v>
      </c>
      <c r="H227" s="18">
        <v>78623</v>
      </c>
      <c r="I227" s="27" t="s">
        <v>2456</v>
      </c>
      <c r="J227" s="18" t="s">
        <v>871</v>
      </c>
      <c r="K227" s="101"/>
      <c r="L227" s="101" t="s">
        <v>2591</v>
      </c>
      <c r="M227" s="18">
        <v>660000</v>
      </c>
      <c r="N227" s="18">
        <v>660000</v>
      </c>
      <c r="O227" s="472" t="s">
        <v>2457</v>
      </c>
      <c r="P227" s="543"/>
      <c r="Q227" s="101"/>
    </row>
    <row r="228" spans="1:17" s="102" customFormat="1" ht="15" customHeight="1">
      <c r="A228" s="101" t="s">
        <v>240</v>
      </c>
      <c r="B228" s="101">
        <v>2010</v>
      </c>
      <c r="C228" s="101" t="s">
        <v>237</v>
      </c>
      <c r="D228" s="332" t="s">
        <v>238</v>
      </c>
      <c r="E228" s="101" t="s">
        <v>2590</v>
      </c>
      <c r="F228" s="101" t="s">
        <v>50</v>
      </c>
      <c r="G228" s="101"/>
      <c r="H228" s="18"/>
      <c r="I228" s="27"/>
      <c r="J228" s="18"/>
      <c r="K228" s="101"/>
      <c r="L228" s="101" t="s">
        <v>2592</v>
      </c>
      <c r="M228" s="18"/>
      <c r="N228" s="18"/>
      <c r="O228" s="472"/>
      <c r="P228" s="543"/>
      <c r="Q228" s="101"/>
    </row>
    <row r="229" spans="1:17" s="102" customFormat="1" ht="15" customHeight="1">
      <c r="A229" s="101" t="s">
        <v>240</v>
      </c>
      <c r="B229" s="101">
        <v>2010</v>
      </c>
      <c r="C229" s="101" t="s">
        <v>237</v>
      </c>
      <c r="D229" s="332" t="s">
        <v>238</v>
      </c>
      <c r="E229" s="101" t="s">
        <v>2590</v>
      </c>
      <c r="F229" s="101" t="s">
        <v>50</v>
      </c>
      <c r="G229" s="101"/>
      <c r="H229" s="18"/>
      <c r="I229" s="27"/>
      <c r="J229" s="18"/>
      <c r="K229" s="101"/>
      <c r="L229" s="101" t="s">
        <v>2593</v>
      </c>
      <c r="M229" s="18"/>
      <c r="N229" s="18"/>
      <c r="O229" s="472"/>
      <c r="P229" s="543"/>
      <c r="Q229" s="101"/>
    </row>
    <row r="230" spans="1:17" s="102" customFormat="1" ht="15" customHeight="1">
      <c r="A230" s="101" t="s">
        <v>240</v>
      </c>
      <c r="B230" s="101">
        <v>2010</v>
      </c>
      <c r="C230" s="101" t="s">
        <v>237</v>
      </c>
      <c r="D230" s="332" t="s">
        <v>238</v>
      </c>
      <c r="E230" s="101" t="s">
        <v>2594</v>
      </c>
      <c r="F230" s="101" t="s">
        <v>50</v>
      </c>
      <c r="G230" s="101" t="s">
        <v>98</v>
      </c>
      <c r="H230" s="18">
        <v>358936</v>
      </c>
      <c r="I230" s="27" t="s">
        <v>2456</v>
      </c>
      <c r="J230" s="18" t="s">
        <v>871</v>
      </c>
      <c r="K230" s="101"/>
      <c r="L230" s="101" t="s">
        <v>2595</v>
      </c>
      <c r="M230" s="18">
        <v>4208000</v>
      </c>
      <c r="N230" s="18">
        <v>4208000</v>
      </c>
      <c r="O230" s="472" t="s">
        <v>2457</v>
      </c>
      <c r="P230" s="543"/>
      <c r="Q230" s="101"/>
    </row>
    <row r="231" spans="1:17" s="102" customFormat="1" ht="15" customHeight="1">
      <c r="A231" s="101" t="s">
        <v>240</v>
      </c>
      <c r="B231" s="101">
        <v>2010</v>
      </c>
      <c r="C231" s="101" t="s">
        <v>237</v>
      </c>
      <c r="D231" s="332" t="s">
        <v>238</v>
      </c>
      <c r="E231" s="101" t="s">
        <v>2594</v>
      </c>
      <c r="F231" s="101" t="s">
        <v>50</v>
      </c>
      <c r="G231" s="101"/>
      <c r="H231" s="18"/>
      <c r="I231" s="27"/>
      <c r="J231" s="18"/>
      <c r="K231" s="101"/>
      <c r="L231" s="101" t="s">
        <v>2596</v>
      </c>
      <c r="M231" s="18"/>
      <c r="N231" s="18"/>
      <c r="O231" s="472"/>
      <c r="P231" s="543"/>
      <c r="Q231" s="101"/>
    </row>
    <row r="232" spans="1:17" s="102" customFormat="1" ht="15" customHeight="1">
      <c r="A232" s="101" t="s">
        <v>240</v>
      </c>
      <c r="B232" s="101">
        <v>2010</v>
      </c>
      <c r="C232" s="101" t="s">
        <v>237</v>
      </c>
      <c r="D232" s="332" t="s">
        <v>238</v>
      </c>
      <c r="E232" s="101" t="s">
        <v>2336</v>
      </c>
      <c r="F232" s="101" t="s">
        <v>50</v>
      </c>
      <c r="G232" s="101" t="s">
        <v>552</v>
      </c>
      <c r="H232" s="18">
        <v>1679339</v>
      </c>
      <c r="I232" s="27" t="s">
        <v>2458</v>
      </c>
      <c r="J232" s="18" t="s">
        <v>871</v>
      </c>
      <c r="K232" s="101"/>
      <c r="L232" s="101" t="s">
        <v>2597</v>
      </c>
      <c r="M232" s="18">
        <v>6474000</v>
      </c>
      <c r="N232" s="18">
        <v>6474000</v>
      </c>
      <c r="O232" s="472" t="s">
        <v>2457</v>
      </c>
      <c r="P232" s="543"/>
      <c r="Q232" s="101"/>
    </row>
    <row r="233" spans="1:17" s="102" customFormat="1" ht="15" customHeight="1">
      <c r="A233" s="101" t="s">
        <v>240</v>
      </c>
      <c r="B233" s="101">
        <v>2010</v>
      </c>
      <c r="C233" s="101" t="s">
        <v>237</v>
      </c>
      <c r="D233" s="332" t="s">
        <v>238</v>
      </c>
      <c r="E233" s="107" t="s">
        <v>2598</v>
      </c>
      <c r="F233" s="101" t="s">
        <v>50</v>
      </c>
      <c r="G233" s="101" t="s">
        <v>98</v>
      </c>
      <c r="H233" s="18">
        <v>24418</v>
      </c>
      <c r="I233" s="27" t="s">
        <v>2456</v>
      </c>
      <c r="J233" s="18" t="s">
        <v>871</v>
      </c>
      <c r="K233" s="101"/>
      <c r="L233" s="101" t="s">
        <v>2599</v>
      </c>
      <c r="M233" s="18"/>
      <c r="N233" s="18"/>
      <c r="O233" s="472" t="s">
        <v>2472</v>
      </c>
      <c r="P233" s="543"/>
      <c r="Q233" s="101"/>
    </row>
    <row r="234" spans="1:17" s="102" customFormat="1" ht="15" customHeight="1">
      <c r="A234" s="101" t="s">
        <v>240</v>
      </c>
      <c r="B234" s="101">
        <v>2010</v>
      </c>
      <c r="C234" s="101" t="s">
        <v>237</v>
      </c>
      <c r="D234" s="332" t="s">
        <v>238</v>
      </c>
      <c r="E234" s="107" t="s">
        <v>2598</v>
      </c>
      <c r="F234" s="101" t="s">
        <v>50</v>
      </c>
      <c r="G234" s="101" t="s">
        <v>552</v>
      </c>
      <c r="H234" s="18">
        <v>1678044</v>
      </c>
      <c r="I234" s="27" t="s">
        <v>2458</v>
      </c>
      <c r="J234" s="18" t="s">
        <v>871</v>
      </c>
      <c r="K234" s="101"/>
      <c r="L234" s="101" t="s">
        <v>2600</v>
      </c>
      <c r="M234" s="18"/>
      <c r="N234" s="18"/>
      <c r="O234" s="472" t="s">
        <v>2472</v>
      </c>
      <c r="P234" s="543"/>
      <c r="Q234" s="101"/>
    </row>
    <row r="235" spans="1:17" s="102" customFormat="1" ht="15" customHeight="1">
      <c r="A235" s="101" t="s">
        <v>240</v>
      </c>
      <c r="B235" s="101">
        <v>2010</v>
      </c>
      <c r="C235" s="101" t="s">
        <v>237</v>
      </c>
      <c r="D235" s="332" t="s">
        <v>238</v>
      </c>
      <c r="E235" s="107" t="s">
        <v>2598</v>
      </c>
      <c r="F235" s="101" t="s">
        <v>50</v>
      </c>
      <c r="G235" s="101"/>
      <c r="H235" s="18"/>
      <c r="I235" s="27"/>
      <c r="J235" s="18"/>
      <c r="K235" s="101"/>
      <c r="L235" s="101" t="s">
        <v>2601</v>
      </c>
      <c r="M235" s="18"/>
      <c r="N235" s="18"/>
      <c r="O235" s="472"/>
      <c r="P235" s="543"/>
      <c r="Q235" s="101"/>
    </row>
    <row r="236" spans="1:17" s="102" customFormat="1" ht="15" customHeight="1">
      <c r="A236" s="101" t="s">
        <v>240</v>
      </c>
      <c r="B236" s="101">
        <v>2010</v>
      </c>
      <c r="C236" s="101" t="s">
        <v>237</v>
      </c>
      <c r="D236" s="332" t="s">
        <v>238</v>
      </c>
      <c r="E236" s="107" t="s">
        <v>2598</v>
      </c>
      <c r="F236" s="101" t="s">
        <v>50</v>
      </c>
      <c r="G236" s="101"/>
      <c r="H236" s="18"/>
      <c r="I236" s="27"/>
      <c r="J236" s="18"/>
      <c r="K236" s="101"/>
      <c r="L236" s="101" t="s">
        <v>2602</v>
      </c>
      <c r="M236" s="18"/>
      <c r="N236" s="18"/>
      <c r="O236" s="472"/>
      <c r="P236" s="543"/>
      <c r="Q236" s="101"/>
    </row>
    <row r="237" spans="1:17" s="102" customFormat="1" ht="15" customHeight="1">
      <c r="A237" s="101" t="s">
        <v>240</v>
      </c>
      <c r="B237" s="101">
        <v>2010</v>
      </c>
      <c r="C237" s="101" t="s">
        <v>237</v>
      </c>
      <c r="D237" s="332" t="s">
        <v>238</v>
      </c>
      <c r="E237" s="101" t="s">
        <v>2603</v>
      </c>
      <c r="F237" s="101" t="s">
        <v>50</v>
      </c>
      <c r="G237" s="101" t="s">
        <v>98</v>
      </c>
      <c r="H237" s="18">
        <v>3707980</v>
      </c>
      <c r="I237" s="27" t="s">
        <v>2456</v>
      </c>
      <c r="J237" s="18" t="s">
        <v>871</v>
      </c>
      <c r="K237" s="101"/>
      <c r="L237" s="101" t="s">
        <v>2604</v>
      </c>
      <c r="M237" s="18">
        <v>228964000</v>
      </c>
      <c r="N237" s="18">
        <v>228964000</v>
      </c>
      <c r="O237" s="472" t="s">
        <v>2457</v>
      </c>
      <c r="P237" s="543"/>
      <c r="Q237" s="101"/>
    </row>
    <row r="238" spans="1:17" s="102" customFormat="1" ht="15" customHeight="1">
      <c r="A238" s="101" t="s">
        <v>240</v>
      </c>
      <c r="B238" s="101">
        <v>2010</v>
      </c>
      <c r="C238" s="101" t="s">
        <v>237</v>
      </c>
      <c r="D238" s="332" t="s">
        <v>238</v>
      </c>
      <c r="E238" s="101" t="s">
        <v>2603</v>
      </c>
      <c r="F238" s="101" t="s">
        <v>50</v>
      </c>
      <c r="G238" s="101" t="s">
        <v>552</v>
      </c>
      <c r="H238" s="18">
        <v>30182148</v>
      </c>
      <c r="I238" s="27" t="s">
        <v>2458</v>
      </c>
      <c r="J238" s="18" t="s">
        <v>871</v>
      </c>
      <c r="K238" s="101"/>
      <c r="L238" s="101" t="s">
        <v>2605</v>
      </c>
      <c r="M238" s="18">
        <v>234191000</v>
      </c>
      <c r="N238" s="18">
        <v>234191000</v>
      </c>
      <c r="O238" s="472" t="s">
        <v>2457</v>
      </c>
      <c r="P238" s="543"/>
      <c r="Q238" s="101"/>
    </row>
    <row r="239" spans="1:17" s="102" customFormat="1" ht="15" customHeight="1">
      <c r="A239" s="101" t="s">
        <v>240</v>
      </c>
      <c r="B239" s="101">
        <v>2010</v>
      </c>
      <c r="C239" s="101" t="s">
        <v>237</v>
      </c>
      <c r="D239" s="332" t="s">
        <v>238</v>
      </c>
      <c r="E239" s="101" t="s">
        <v>2603</v>
      </c>
      <c r="F239" s="101" t="s">
        <v>50</v>
      </c>
      <c r="G239" s="101"/>
      <c r="H239" s="18"/>
      <c r="I239" s="27"/>
      <c r="J239" s="18"/>
      <c r="K239" s="101"/>
      <c r="L239" s="101" t="s">
        <v>2606</v>
      </c>
      <c r="M239" s="18">
        <v>28684000</v>
      </c>
      <c r="N239" s="18">
        <v>28684000</v>
      </c>
      <c r="O239" s="472" t="s">
        <v>2457</v>
      </c>
      <c r="P239" s="543"/>
      <c r="Q239" s="101"/>
    </row>
    <row r="240" spans="1:17" s="102" customFormat="1" ht="15" customHeight="1">
      <c r="A240" s="101" t="s">
        <v>240</v>
      </c>
      <c r="B240" s="101">
        <v>2010</v>
      </c>
      <c r="C240" s="101" t="s">
        <v>237</v>
      </c>
      <c r="D240" s="332" t="s">
        <v>238</v>
      </c>
      <c r="E240" s="107" t="s">
        <v>2607</v>
      </c>
      <c r="F240" s="101" t="s">
        <v>50</v>
      </c>
      <c r="G240" s="101" t="s">
        <v>98</v>
      </c>
      <c r="H240" s="18">
        <v>861849</v>
      </c>
      <c r="I240" s="27" t="s">
        <v>2456</v>
      </c>
      <c r="J240" s="18" t="s">
        <v>871</v>
      </c>
      <c r="K240" s="101"/>
      <c r="L240" s="101" t="s">
        <v>2608</v>
      </c>
      <c r="M240" s="18">
        <v>18835000</v>
      </c>
      <c r="N240" s="18">
        <v>18835000</v>
      </c>
      <c r="O240" s="472" t="s">
        <v>2457</v>
      </c>
      <c r="P240" s="543"/>
      <c r="Q240" s="101"/>
    </row>
    <row r="241" spans="1:17" s="102" customFormat="1" ht="15" customHeight="1">
      <c r="A241" s="101" t="s">
        <v>240</v>
      </c>
      <c r="B241" s="101">
        <v>2010</v>
      </c>
      <c r="C241" s="101" t="s">
        <v>237</v>
      </c>
      <c r="D241" s="332" t="s">
        <v>238</v>
      </c>
      <c r="E241" s="107" t="s">
        <v>2607</v>
      </c>
      <c r="F241" s="101" t="s">
        <v>50</v>
      </c>
      <c r="G241" s="101"/>
      <c r="H241" s="18"/>
      <c r="I241" s="27"/>
      <c r="J241" s="101"/>
      <c r="K241" s="101"/>
      <c r="L241" s="101" t="s">
        <v>2609</v>
      </c>
      <c r="M241" s="18">
        <v>9453000</v>
      </c>
      <c r="N241" s="18">
        <v>14874000</v>
      </c>
      <c r="O241" s="472" t="s">
        <v>2462</v>
      </c>
      <c r="P241" s="543"/>
      <c r="Q241" s="101"/>
    </row>
    <row r="242" spans="1:17" s="102" customFormat="1" ht="15" customHeight="1">
      <c r="A242" s="101" t="s">
        <v>240</v>
      </c>
      <c r="B242" s="101">
        <v>2010</v>
      </c>
      <c r="C242" s="101" t="s">
        <v>237</v>
      </c>
      <c r="D242" s="332" t="s">
        <v>238</v>
      </c>
      <c r="E242" s="107" t="s">
        <v>2607</v>
      </c>
      <c r="F242" s="101" t="s">
        <v>50</v>
      </c>
      <c r="G242" s="101"/>
      <c r="H242" s="18"/>
      <c r="I242" s="27"/>
      <c r="J242" s="101"/>
      <c r="K242" s="101"/>
      <c r="L242" s="101" t="s">
        <v>2610</v>
      </c>
      <c r="M242" s="18">
        <v>1986000</v>
      </c>
      <c r="N242" s="18">
        <v>1986000</v>
      </c>
      <c r="O242" s="472" t="s">
        <v>2462</v>
      </c>
      <c r="P242" s="543"/>
      <c r="Q242" s="101"/>
    </row>
    <row r="243" spans="1:17" s="102" customFormat="1" ht="15" customHeight="1">
      <c r="A243" s="101" t="s">
        <v>240</v>
      </c>
      <c r="B243" s="101">
        <v>2010</v>
      </c>
      <c r="C243" s="101" t="s">
        <v>237</v>
      </c>
      <c r="D243" s="332" t="s">
        <v>238</v>
      </c>
      <c r="E243" s="107" t="s">
        <v>2607</v>
      </c>
      <c r="F243" s="101" t="s">
        <v>50</v>
      </c>
      <c r="G243" s="101"/>
      <c r="H243" s="18"/>
      <c r="I243" s="27"/>
      <c r="J243" s="101"/>
      <c r="K243" s="101"/>
      <c r="L243" s="101" t="s">
        <v>2611</v>
      </c>
      <c r="M243" s="18"/>
      <c r="N243" s="18"/>
      <c r="O243" s="472"/>
      <c r="P243" s="543"/>
      <c r="Q243" s="101"/>
    </row>
    <row r="244" spans="1:17" s="102" customFormat="1" ht="15" customHeight="1">
      <c r="A244" s="101" t="s">
        <v>240</v>
      </c>
      <c r="B244" s="101">
        <v>2010</v>
      </c>
      <c r="C244" s="101" t="s">
        <v>237</v>
      </c>
      <c r="D244" s="332" t="s">
        <v>238</v>
      </c>
      <c r="E244" s="107" t="s">
        <v>2607</v>
      </c>
      <c r="F244" s="101" t="s">
        <v>50</v>
      </c>
      <c r="G244" s="101"/>
      <c r="H244" s="18"/>
      <c r="I244" s="27"/>
      <c r="J244" s="101"/>
      <c r="K244" s="101"/>
      <c r="L244" s="101" t="s">
        <v>2612</v>
      </c>
      <c r="M244" s="18"/>
      <c r="N244" s="18"/>
      <c r="O244" s="472"/>
      <c r="P244" s="543"/>
      <c r="Q244" s="101"/>
    </row>
    <row r="245" spans="1:17" s="109" customFormat="1" ht="15" customHeight="1">
      <c r="A245" s="108" t="s">
        <v>240</v>
      </c>
      <c r="B245" s="108">
        <v>2010</v>
      </c>
      <c r="C245" s="534" t="s">
        <v>237</v>
      </c>
      <c r="D245" s="550" t="s">
        <v>238</v>
      </c>
      <c r="E245" s="534" t="s">
        <v>2613</v>
      </c>
      <c r="F245" s="534" t="s">
        <v>50</v>
      </c>
      <c r="G245" s="534"/>
      <c r="H245" s="305"/>
      <c r="I245" s="284"/>
      <c r="J245" s="534"/>
      <c r="K245" s="534"/>
      <c r="L245" s="534" t="s">
        <v>2614</v>
      </c>
      <c r="M245" s="305"/>
      <c r="N245" s="305"/>
      <c r="O245" s="551"/>
      <c r="P245" s="552"/>
      <c r="Q245" s="108"/>
    </row>
    <row r="246" spans="1:17" ht="15" customHeight="1">
      <c r="A246" s="97" t="s">
        <v>243</v>
      </c>
      <c r="B246" s="97">
        <v>2011</v>
      </c>
      <c r="C246" s="97" t="s">
        <v>237</v>
      </c>
      <c r="D246" s="332" t="s">
        <v>238</v>
      </c>
      <c r="E246" s="101" t="s">
        <v>2291</v>
      </c>
      <c r="F246" s="101" t="s">
        <v>50</v>
      </c>
      <c r="G246" s="101" t="s">
        <v>98</v>
      </c>
      <c r="H246" s="18">
        <v>129168587</v>
      </c>
      <c r="I246" s="27" t="s">
        <v>2456</v>
      </c>
      <c r="J246" s="18" t="s">
        <v>871</v>
      </c>
      <c r="K246" s="101"/>
      <c r="L246" s="101" t="s">
        <v>2293</v>
      </c>
      <c r="M246" s="18">
        <v>10123339000</v>
      </c>
      <c r="N246" s="18">
        <v>10111111000</v>
      </c>
      <c r="O246" s="472" t="s">
        <v>2615</v>
      </c>
      <c r="P246" s="543"/>
      <c r="Q246" s="97"/>
    </row>
    <row r="247" spans="1:17" ht="15" customHeight="1">
      <c r="A247" s="97" t="s">
        <v>243</v>
      </c>
      <c r="B247" s="97">
        <v>2011</v>
      </c>
      <c r="C247" s="97" t="s">
        <v>237</v>
      </c>
      <c r="D247" s="332" t="s">
        <v>238</v>
      </c>
      <c r="E247" s="101" t="s">
        <v>2295</v>
      </c>
      <c r="F247" s="101" t="s">
        <v>50</v>
      </c>
      <c r="G247" s="101" t="s">
        <v>98</v>
      </c>
      <c r="H247" s="18">
        <v>9107187</v>
      </c>
      <c r="I247" s="27" t="s">
        <v>2456</v>
      </c>
      <c r="J247" s="18" t="s">
        <v>871</v>
      </c>
      <c r="K247" s="101"/>
      <c r="L247" s="101" t="s">
        <v>2296</v>
      </c>
      <c r="M247" s="18">
        <v>742277000</v>
      </c>
      <c r="N247" s="18">
        <v>742277000</v>
      </c>
      <c r="O247" s="472" t="s">
        <v>2615</v>
      </c>
      <c r="P247" s="543"/>
      <c r="Q247" s="97"/>
    </row>
    <row r="248" spans="1:17" ht="15" customHeight="1">
      <c r="A248" s="97" t="s">
        <v>243</v>
      </c>
      <c r="B248" s="97">
        <v>2011</v>
      </c>
      <c r="C248" s="97" t="s">
        <v>237</v>
      </c>
      <c r="D248" s="332" t="s">
        <v>238</v>
      </c>
      <c r="E248" s="101" t="s">
        <v>2295</v>
      </c>
      <c r="F248" s="101" t="s">
        <v>50</v>
      </c>
      <c r="G248" s="101" t="s">
        <v>552</v>
      </c>
      <c r="H248" s="18">
        <v>41511452</v>
      </c>
      <c r="I248" s="27" t="s">
        <v>2458</v>
      </c>
      <c r="J248" s="18" t="s">
        <v>871</v>
      </c>
      <c r="K248" s="101"/>
      <c r="L248" s="101" t="s">
        <v>2459</v>
      </c>
      <c r="M248" s="18">
        <v>9509000</v>
      </c>
      <c r="N248" s="18">
        <v>9509000</v>
      </c>
      <c r="O248" s="472" t="s">
        <v>2615</v>
      </c>
      <c r="P248" s="543"/>
      <c r="Q248" s="97"/>
    </row>
    <row r="249" spans="1:17" ht="15" customHeight="1">
      <c r="A249" s="97" t="s">
        <v>243</v>
      </c>
      <c r="B249" s="97">
        <v>2011</v>
      </c>
      <c r="C249" s="97" t="s">
        <v>237</v>
      </c>
      <c r="D249" s="332" t="s">
        <v>238</v>
      </c>
      <c r="E249" s="101" t="s">
        <v>2298</v>
      </c>
      <c r="F249" s="101" t="s">
        <v>50</v>
      </c>
      <c r="G249" s="101" t="s">
        <v>98</v>
      </c>
      <c r="H249" s="18">
        <v>1349528</v>
      </c>
      <c r="I249" s="27" t="s">
        <v>2456</v>
      </c>
      <c r="J249" s="18" t="s">
        <v>871</v>
      </c>
      <c r="K249" s="101"/>
      <c r="L249" s="101" t="s">
        <v>2299</v>
      </c>
      <c r="M249" s="18">
        <v>116220000</v>
      </c>
      <c r="N249" s="18">
        <v>116220000</v>
      </c>
      <c r="O249" s="472" t="s">
        <v>2615</v>
      </c>
      <c r="P249" s="543"/>
      <c r="Q249" s="97"/>
    </row>
    <row r="250" spans="1:17" ht="15" customHeight="1">
      <c r="A250" s="97" t="s">
        <v>243</v>
      </c>
      <c r="B250" s="97">
        <v>2011</v>
      </c>
      <c r="C250" s="97" t="s">
        <v>237</v>
      </c>
      <c r="D250" s="332" t="s">
        <v>238</v>
      </c>
      <c r="E250" s="101" t="s">
        <v>2298</v>
      </c>
      <c r="F250" s="101" t="s">
        <v>50</v>
      </c>
      <c r="G250" s="101" t="s">
        <v>552</v>
      </c>
      <c r="H250" s="18">
        <v>5727741</v>
      </c>
      <c r="I250" s="27" t="s">
        <v>2458</v>
      </c>
      <c r="J250" s="18" t="s">
        <v>871</v>
      </c>
      <c r="K250" s="101"/>
      <c r="L250" s="101" t="s">
        <v>2460</v>
      </c>
      <c r="M250" s="18">
        <v>4279000</v>
      </c>
      <c r="N250" s="18">
        <v>4279000</v>
      </c>
      <c r="O250" s="472" t="s">
        <v>2615</v>
      </c>
      <c r="P250" s="543"/>
      <c r="Q250" s="97"/>
    </row>
    <row r="251" spans="1:17" ht="15" customHeight="1">
      <c r="A251" s="97" t="s">
        <v>243</v>
      </c>
      <c r="B251" s="97">
        <v>2011</v>
      </c>
      <c r="C251" s="97" t="s">
        <v>237</v>
      </c>
      <c r="D251" s="332" t="s">
        <v>238</v>
      </c>
      <c r="E251" s="101" t="s">
        <v>2298</v>
      </c>
      <c r="F251" s="101" t="s">
        <v>50</v>
      </c>
      <c r="G251" s="101"/>
      <c r="H251" s="18"/>
      <c r="I251" s="27"/>
      <c r="J251" s="18"/>
      <c r="K251" s="101"/>
      <c r="L251" s="101" t="s">
        <v>2616</v>
      </c>
      <c r="M251" s="18">
        <v>1605000</v>
      </c>
      <c r="N251" s="18">
        <v>1605000</v>
      </c>
      <c r="O251" s="472" t="s">
        <v>2617</v>
      </c>
      <c r="P251" s="543"/>
      <c r="Q251" s="97"/>
    </row>
    <row r="252" spans="1:17" ht="15" customHeight="1">
      <c r="A252" s="97" t="s">
        <v>243</v>
      </c>
      <c r="B252" s="97">
        <v>2011</v>
      </c>
      <c r="C252" s="97" t="s">
        <v>237</v>
      </c>
      <c r="D252" s="332" t="s">
        <v>238</v>
      </c>
      <c r="E252" s="101" t="s">
        <v>2301</v>
      </c>
      <c r="F252" s="101" t="s">
        <v>50</v>
      </c>
      <c r="G252" s="101" t="s">
        <v>98</v>
      </c>
      <c r="H252" s="18">
        <v>841000</v>
      </c>
      <c r="I252" s="27" t="s">
        <v>2456</v>
      </c>
      <c r="J252" s="18" t="s">
        <v>871</v>
      </c>
      <c r="K252" s="101"/>
      <c r="L252" s="101" t="s">
        <v>2302</v>
      </c>
      <c r="M252" s="18">
        <v>62920000</v>
      </c>
      <c r="N252" s="18">
        <v>62920000</v>
      </c>
      <c r="O252" s="472" t="s">
        <v>2615</v>
      </c>
      <c r="P252" s="543"/>
      <c r="Q252" s="97"/>
    </row>
    <row r="253" spans="1:17" ht="15" customHeight="1">
      <c r="A253" s="97" t="s">
        <v>243</v>
      </c>
      <c r="B253" s="97">
        <v>2011</v>
      </c>
      <c r="C253" s="97" t="s">
        <v>237</v>
      </c>
      <c r="D253" s="332" t="s">
        <v>238</v>
      </c>
      <c r="E253" s="101" t="s">
        <v>2304</v>
      </c>
      <c r="F253" s="101" t="s">
        <v>50</v>
      </c>
      <c r="G253" s="101"/>
      <c r="H253" s="18"/>
      <c r="I253" s="27"/>
      <c r="J253" s="18"/>
      <c r="K253" s="101"/>
      <c r="L253" s="101" t="s">
        <v>2305</v>
      </c>
      <c r="M253" s="18"/>
      <c r="N253" s="18"/>
      <c r="O253" s="472"/>
      <c r="P253" s="543"/>
      <c r="Q253" s="97"/>
    </row>
    <row r="254" spans="1:17" ht="15" customHeight="1">
      <c r="A254" s="97" t="s">
        <v>243</v>
      </c>
      <c r="B254" s="97">
        <v>2011</v>
      </c>
      <c r="C254" s="97" t="s">
        <v>237</v>
      </c>
      <c r="D254" s="332" t="s">
        <v>238</v>
      </c>
      <c r="E254" s="101" t="s">
        <v>2304</v>
      </c>
      <c r="F254" s="101" t="s">
        <v>50</v>
      </c>
      <c r="G254" s="101"/>
      <c r="H254" s="18"/>
      <c r="I254" s="27"/>
      <c r="J254" s="18"/>
      <c r="K254" s="101"/>
      <c r="L254" s="101" t="s">
        <v>2461</v>
      </c>
      <c r="M254" s="18">
        <v>26000</v>
      </c>
      <c r="N254" s="18">
        <v>26000</v>
      </c>
      <c r="O254" s="472" t="s">
        <v>2617</v>
      </c>
      <c r="P254" s="543"/>
      <c r="Q254" s="97"/>
    </row>
    <row r="255" spans="1:17" ht="15" customHeight="1">
      <c r="A255" s="97" t="s">
        <v>243</v>
      </c>
      <c r="B255" s="97">
        <v>2011</v>
      </c>
      <c r="C255" s="97" t="s">
        <v>237</v>
      </c>
      <c r="D255" s="332" t="s">
        <v>238</v>
      </c>
      <c r="E255" s="101" t="s">
        <v>2307</v>
      </c>
      <c r="F255" s="101" t="s">
        <v>50</v>
      </c>
      <c r="G255" s="101" t="s">
        <v>98</v>
      </c>
      <c r="H255" s="18">
        <f>14840923+16032951</f>
        <v>30873874</v>
      </c>
      <c r="I255" s="27" t="s">
        <v>2456</v>
      </c>
      <c r="J255" s="18" t="s">
        <v>871</v>
      </c>
      <c r="K255" s="101"/>
      <c r="L255" s="101" t="s">
        <v>2308</v>
      </c>
      <c r="M255" s="18">
        <v>6275987000</v>
      </c>
      <c r="N255" s="18">
        <v>6275987000</v>
      </c>
      <c r="O255" s="472" t="s">
        <v>2615</v>
      </c>
      <c r="P255" s="543"/>
      <c r="Q255" s="97"/>
    </row>
    <row r="256" spans="1:17" ht="15" customHeight="1">
      <c r="A256" s="97" t="s">
        <v>243</v>
      </c>
      <c r="B256" s="97">
        <v>2011</v>
      </c>
      <c r="C256" s="97" t="s">
        <v>237</v>
      </c>
      <c r="D256" s="332" t="s">
        <v>238</v>
      </c>
      <c r="E256" s="101" t="s">
        <v>2307</v>
      </c>
      <c r="F256" s="101" t="s">
        <v>50</v>
      </c>
      <c r="G256" s="101" t="s">
        <v>552</v>
      </c>
      <c r="H256" s="18">
        <f>364886353+378700385</f>
        <v>743586738</v>
      </c>
      <c r="I256" s="27" t="s">
        <v>2458</v>
      </c>
      <c r="J256" s="18" t="s">
        <v>871</v>
      </c>
      <c r="K256" s="101"/>
      <c r="L256" s="101" t="s">
        <v>2310</v>
      </c>
      <c r="M256" s="18">
        <v>2458388000</v>
      </c>
      <c r="N256" s="18">
        <v>2458388000</v>
      </c>
      <c r="O256" s="472" t="s">
        <v>2615</v>
      </c>
      <c r="P256" s="543"/>
      <c r="Q256" s="97"/>
    </row>
    <row r="257" spans="1:17" ht="15" customHeight="1">
      <c r="A257" s="97" t="s">
        <v>243</v>
      </c>
      <c r="B257" s="97">
        <v>2011</v>
      </c>
      <c r="C257" s="97" t="s">
        <v>237</v>
      </c>
      <c r="D257" s="332" t="s">
        <v>238</v>
      </c>
      <c r="E257" s="101" t="s">
        <v>2312</v>
      </c>
      <c r="F257" s="101" t="s">
        <v>50</v>
      </c>
      <c r="G257" s="101" t="s">
        <v>98</v>
      </c>
      <c r="H257" s="18">
        <v>18692290</v>
      </c>
      <c r="I257" s="27" t="s">
        <v>2456</v>
      </c>
      <c r="J257" s="18" t="s">
        <v>871</v>
      </c>
      <c r="K257" s="101"/>
      <c r="L257" s="101" t="s">
        <v>2313</v>
      </c>
      <c r="M257" s="18">
        <v>1788847000</v>
      </c>
      <c r="N257" s="18">
        <v>1757193000</v>
      </c>
      <c r="O257" s="472" t="s">
        <v>2615</v>
      </c>
      <c r="P257" s="543"/>
      <c r="Q257" s="97"/>
    </row>
    <row r="258" spans="1:17" ht="15" customHeight="1">
      <c r="A258" s="97" t="s">
        <v>243</v>
      </c>
      <c r="B258" s="97">
        <v>2011</v>
      </c>
      <c r="C258" s="97" t="s">
        <v>237</v>
      </c>
      <c r="D258" s="332" t="s">
        <v>238</v>
      </c>
      <c r="E258" s="101" t="s">
        <v>2312</v>
      </c>
      <c r="F258" s="101" t="s">
        <v>50</v>
      </c>
      <c r="G258" s="101" t="s">
        <v>552</v>
      </c>
      <c r="H258" s="18">
        <v>134863523</v>
      </c>
      <c r="I258" s="27" t="s">
        <v>2458</v>
      </c>
      <c r="J258" s="18" t="s">
        <v>871</v>
      </c>
      <c r="K258" s="101"/>
      <c r="L258" s="101" t="s">
        <v>2464</v>
      </c>
      <c r="M258" s="18">
        <v>119885000</v>
      </c>
      <c r="N258" s="18">
        <v>119885000</v>
      </c>
      <c r="O258" s="472" t="s">
        <v>2615</v>
      </c>
      <c r="P258" s="543"/>
      <c r="Q258" s="97"/>
    </row>
    <row r="259" spans="1:17" ht="15" customHeight="1">
      <c r="A259" s="97" t="s">
        <v>243</v>
      </c>
      <c r="B259" s="97">
        <v>2011</v>
      </c>
      <c r="C259" s="97" t="s">
        <v>237</v>
      </c>
      <c r="D259" s="332" t="s">
        <v>238</v>
      </c>
      <c r="E259" s="101" t="s">
        <v>2312</v>
      </c>
      <c r="F259" s="101" t="s">
        <v>50</v>
      </c>
      <c r="G259" s="101"/>
      <c r="H259" s="18"/>
      <c r="I259" s="27"/>
      <c r="J259" s="18"/>
      <c r="K259" s="101"/>
      <c r="L259" s="101" t="s">
        <v>2465</v>
      </c>
      <c r="M259" s="18">
        <v>152738000</v>
      </c>
      <c r="N259" s="18">
        <v>152738000</v>
      </c>
      <c r="O259" s="472" t="s">
        <v>2617</v>
      </c>
      <c r="P259" s="543"/>
      <c r="Q259" s="97"/>
    </row>
    <row r="260" spans="1:17" ht="15" customHeight="1">
      <c r="A260" s="97" t="s">
        <v>243</v>
      </c>
      <c r="B260" s="97">
        <v>2011</v>
      </c>
      <c r="C260" s="97" t="s">
        <v>237</v>
      </c>
      <c r="D260" s="332" t="s">
        <v>238</v>
      </c>
      <c r="E260" s="101" t="s">
        <v>2312</v>
      </c>
      <c r="F260" s="101" t="s">
        <v>50</v>
      </c>
      <c r="G260" s="101"/>
      <c r="H260" s="18"/>
      <c r="I260" s="27"/>
      <c r="J260" s="18"/>
      <c r="K260" s="101"/>
      <c r="L260" s="101" t="s">
        <v>2618</v>
      </c>
      <c r="M260" s="18"/>
      <c r="N260" s="18"/>
      <c r="O260" s="472"/>
      <c r="P260" s="543"/>
      <c r="Q260" s="97"/>
    </row>
    <row r="261" spans="1:17" ht="15" customHeight="1">
      <c r="A261" s="97" t="s">
        <v>243</v>
      </c>
      <c r="B261" s="97">
        <v>2011</v>
      </c>
      <c r="C261" s="97" t="s">
        <v>237</v>
      </c>
      <c r="D261" s="332" t="s">
        <v>238</v>
      </c>
      <c r="E261" s="101" t="s">
        <v>2315</v>
      </c>
      <c r="F261" s="101" t="s">
        <v>50</v>
      </c>
      <c r="G261" s="101" t="s">
        <v>98</v>
      </c>
      <c r="H261" s="18">
        <v>3685901</v>
      </c>
      <c r="I261" s="27" t="s">
        <v>2456</v>
      </c>
      <c r="J261" s="18" t="s">
        <v>871</v>
      </c>
      <c r="K261" s="101"/>
      <c r="L261" s="101" t="s">
        <v>2316</v>
      </c>
      <c r="M261" s="18">
        <v>1892648000</v>
      </c>
      <c r="N261" s="18">
        <v>1889485000</v>
      </c>
      <c r="O261" s="472" t="s">
        <v>2615</v>
      </c>
      <c r="P261" s="543"/>
      <c r="Q261" s="97"/>
    </row>
    <row r="262" spans="1:17" ht="15" customHeight="1">
      <c r="A262" s="97" t="s">
        <v>243</v>
      </c>
      <c r="B262" s="97">
        <v>2011</v>
      </c>
      <c r="C262" s="97" t="s">
        <v>237</v>
      </c>
      <c r="D262" s="332" t="s">
        <v>238</v>
      </c>
      <c r="E262" s="101" t="s">
        <v>2315</v>
      </c>
      <c r="F262" s="101" t="s">
        <v>50</v>
      </c>
      <c r="G262" s="101" t="s">
        <v>552</v>
      </c>
      <c r="H262" s="18">
        <v>330382664</v>
      </c>
      <c r="I262" s="27" t="s">
        <v>2458</v>
      </c>
      <c r="J262" s="18" t="s">
        <v>871</v>
      </c>
      <c r="K262" s="101"/>
      <c r="L262" s="101" t="s">
        <v>2466</v>
      </c>
      <c r="M262" s="18">
        <v>324945000</v>
      </c>
      <c r="N262" s="18">
        <v>324945000</v>
      </c>
      <c r="O262" s="472" t="s">
        <v>2615</v>
      </c>
      <c r="P262" s="543"/>
      <c r="Q262" s="97"/>
    </row>
    <row r="263" spans="1:17" ht="15" customHeight="1">
      <c r="A263" s="97" t="s">
        <v>243</v>
      </c>
      <c r="B263" s="97">
        <v>2011</v>
      </c>
      <c r="C263" s="97" t="s">
        <v>237</v>
      </c>
      <c r="D263" s="332" t="s">
        <v>238</v>
      </c>
      <c r="E263" s="101" t="s">
        <v>2315</v>
      </c>
      <c r="F263" s="101" t="s">
        <v>50</v>
      </c>
      <c r="G263" s="101"/>
      <c r="H263" s="18"/>
      <c r="I263" s="27"/>
      <c r="J263" s="18"/>
      <c r="K263" s="101"/>
      <c r="L263" s="101" t="s">
        <v>2467</v>
      </c>
      <c r="M263" s="18">
        <v>83989000</v>
      </c>
      <c r="N263" s="18">
        <v>83989000</v>
      </c>
      <c r="O263" s="472" t="s">
        <v>2617</v>
      </c>
      <c r="P263" s="543"/>
      <c r="Q263" s="97"/>
    </row>
    <row r="264" spans="1:17" ht="15" customHeight="1">
      <c r="A264" s="97" t="s">
        <v>243</v>
      </c>
      <c r="B264" s="97">
        <v>2011</v>
      </c>
      <c r="C264" s="97" t="s">
        <v>237</v>
      </c>
      <c r="D264" s="332" t="s">
        <v>238</v>
      </c>
      <c r="E264" s="101" t="s">
        <v>2318</v>
      </c>
      <c r="F264" s="101" t="s">
        <v>50</v>
      </c>
      <c r="G264" s="101" t="s">
        <v>98</v>
      </c>
      <c r="H264" s="18">
        <f>4641+1554</f>
        <v>6195</v>
      </c>
      <c r="I264" s="27" t="s">
        <v>2456</v>
      </c>
      <c r="J264" s="18" t="s">
        <v>871</v>
      </c>
      <c r="K264" s="101"/>
      <c r="L264" s="101" t="s">
        <v>2319</v>
      </c>
      <c r="M264" s="18">
        <v>237000</v>
      </c>
      <c r="N264" s="18">
        <v>237000</v>
      </c>
      <c r="O264" s="472" t="s">
        <v>2615</v>
      </c>
      <c r="P264" s="543"/>
      <c r="Q264" s="97"/>
    </row>
    <row r="265" spans="1:17" ht="15" customHeight="1">
      <c r="A265" s="97" t="s">
        <v>243</v>
      </c>
      <c r="B265" s="97">
        <v>2011</v>
      </c>
      <c r="C265" s="97" t="s">
        <v>237</v>
      </c>
      <c r="D265" s="332" t="s">
        <v>238</v>
      </c>
      <c r="E265" s="101" t="s">
        <v>2318</v>
      </c>
      <c r="F265" s="101" t="s">
        <v>50</v>
      </c>
      <c r="G265" s="101" t="s">
        <v>552</v>
      </c>
      <c r="H265" s="18">
        <f>143930+35983</f>
        <v>179913</v>
      </c>
      <c r="I265" s="27" t="s">
        <v>2456</v>
      </c>
      <c r="J265" s="18" t="s">
        <v>871</v>
      </c>
      <c r="K265" s="101"/>
      <c r="L265" s="101" t="s">
        <v>2468</v>
      </c>
      <c r="M265" s="18">
        <v>16000</v>
      </c>
      <c r="N265" s="18">
        <v>16000</v>
      </c>
      <c r="O265" s="472" t="s">
        <v>2615</v>
      </c>
      <c r="P265" s="543"/>
      <c r="Q265" s="97"/>
    </row>
    <row r="266" spans="1:17" ht="15" customHeight="1">
      <c r="A266" s="97" t="s">
        <v>243</v>
      </c>
      <c r="B266" s="97">
        <v>2011</v>
      </c>
      <c r="C266" s="97" t="s">
        <v>237</v>
      </c>
      <c r="D266" s="332" t="s">
        <v>238</v>
      </c>
      <c r="E266" s="101" t="s">
        <v>2318</v>
      </c>
      <c r="F266" s="101" t="s">
        <v>50</v>
      </c>
      <c r="G266" s="101"/>
      <c r="H266" s="18"/>
      <c r="I266" s="27"/>
      <c r="J266" s="18"/>
      <c r="K266" s="101"/>
      <c r="L266" s="101" t="s">
        <v>2469</v>
      </c>
      <c r="M266" s="18"/>
      <c r="N266" s="18"/>
      <c r="O266" s="472"/>
      <c r="P266" s="543"/>
      <c r="Q266" s="97"/>
    </row>
    <row r="267" spans="1:17" ht="15" customHeight="1">
      <c r="A267" s="97" t="s">
        <v>243</v>
      </c>
      <c r="B267" s="97">
        <v>2011</v>
      </c>
      <c r="C267" s="97" t="s">
        <v>237</v>
      </c>
      <c r="D267" s="332" t="s">
        <v>238</v>
      </c>
      <c r="E267" s="101" t="s">
        <v>2318</v>
      </c>
      <c r="F267" s="101" t="s">
        <v>50</v>
      </c>
      <c r="G267" s="101"/>
      <c r="H267" s="18"/>
      <c r="I267" s="27"/>
      <c r="J267" s="18"/>
      <c r="K267" s="101"/>
      <c r="L267" s="101" t="s">
        <v>2470</v>
      </c>
      <c r="M267" s="18"/>
      <c r="N267" s="18"/>
      <c r="O267" s="472"/>
      <c r="P267" s="543"/>
      <c r="Q267" s="97"/>
    </row>
    <row r="268" spans="1:17" ht="15" customHeight="1">
      <c r="A268" s="97" t="s">
        <v>243</v>
      </c>
      <c r="B268" s="97">
        <v>2011</v>
      </c>
      <c r="C268" s="97" t="s">
        <v>237</v>
      </c>
      <c r="D268" s="332" t="s">
        <v>238</v>
      </c>
      <c r="E268" s="101" t="s">
        <v>2321</v>
      </c>
      <c r="F268" s="101" t="s">
        <v>50</v>
      </c>
      <c r="G268" s="101" t="s">
        <v>98</v>
      </c>
      <c r="H268" s="18">
        <v>45022856</v>
      </c>
      <c r="I268" s="27" t="s">
        <v>2456</v>
      </c>
      <c r="J268" s="18" t="s">
        <v>871</v>
      </c>
      <c r="K268" s="101"/>
      <c r="L268" s="101" t="s">
        <v>2322</v>
      </c>
      <c r="M268" s="18">
        <v>2650065000</v>
      </c>
      <c r="N268" s="18">
        <v>2651927000</v>
      </c>
      <c r="O268" s="472" t="s">
        <v>2615</v>
      </c>
      <c r="P268" s="543"/>
      <c r="Q268" s="97"/>
    </row>
    <row r="269" spans="1:17" ht="15" customHeight="1">
      <c r="A269" s="97" t="s">
        <v>243</v>
      </c>
      <c r="B269" s="97">
        <v>2011</v>
      </c>
      <c r="C269" s="97" t="s">
        <v>237</v>
      </c>
      <c r="D269" s="332" t="s">
        <v>238</v>
      </c>
      <c r="E269" s="101" t="s">
        <v>2321</v>
      </c>
      <c r="F269" s="101" t="s">
        <v>50</v>
      </c>
      <c r="G269" s="101" t="s">
        <v>552</v>
      </c>
      <c r="H269" s="18">
        <v>298852086</v>
      </c>
      <c r="I269" s="27" t="s">
        <v>2458</v>
      </c>
      <c r="J269" s="18" t="s">
        <v>871</v>
      </c>
      <c r="K269" s="101"/>
      <c r="L269" s="101" t="s">
        <v>2471</v>
      </c>
      <c r="M269" s="18"/>
      <c r="N269" s="18"/>
      <c r="O269" s="472" t="s">
        <v>2619</v>
      </c>
      <c r="P269" s="543"/>
      <c r="Q269" s="97"/>
    </row>
    <row r="270" spans="1:17" ht="15" customHeight="1">
      <c r="A270" s="97" t="s">
        <v>243</v>
      </c>
      <c r="B270" s="97">
        <v>2011</v>
      </c>
      <c r="C270" s="97" t="s">
        <v>237</v>
      </c>
      <c r="D270" s="332" t="s">
        <v>238</v>
      </c>
      <c r="E270" s="101" t="s">
        <v>2324</v>
      </c>
      <c r="F270" s="101" t="s">
        <v>50</v>
      </c>
      <c r="G270" s="101" t="s">
        <v>98</v>
      </c>
      <c r="H270" s="18">
        <v>5733223</v>
      </c>
      <c r="I270" s="27" t="s">
        <v>2456</v>
      </c>
      <c r="J270" s="18" t="s">
        <v>871</v>
      </c>
      <c r="K270" s="101"/>
      <c r="L270" s="101" t="s">
        <v>2325</v>
      </c>
      <c r="M270" s="18">
        <v>851779000</v>
      </c>
      <c r="N270" s="18">
        <v>851779000</v>
      </c>
      <c r="O270" s="472" t="s">
        <v>2615</v>
      </c>
      <c r="P270" s="543"/>
      <c r="Q270" s="97"/>
    </row>
    <row r="271" spans="1:17" ht="15" customHeight="1">
      <c r="A271" s="97" t="s">
        <v>243</v>
      </c>
      <c r="B271" s="97">
        <v>2011</v>
      </c>
      <c r="C271" s="97" t="s">
        <v>237</v>
      </c>
      <c r="D271" s="332" t="s">
        <v>238</v>
      </c>
      <c r="E271" s="101" t="s">
        <v>2324</v>
      </c>
      <c r="F271" s="101" t="s">
        <v>50</v>
      </c>
      <c r="G271" s="101" t="s">
        <v>552</v>
      </c>
      <c r="H271" s="18">
        <v>94095041</v>
      </c>
      <c r="I271" s="27" t="s">
        <v>2458</v>
      </c>
      <c r="J271" s="18" t="s">
        <v>871</v>
      </c>
      <c r="K271" s="101"/>
      <c r="L271" s="101" t="s">
        <v>2473</v>
      </c>
      <c r="M271" s="18">
        <v>71458000</v>
      </c>
      <c r="N271" s="18">
        <v>70810000</v>
      </c>
      <c r="O271" s="472" t="s">
        <v>2615</v>
      </c>
      <c r="P271" s="543"/>
      <c r="Q271" s="97"/>
    </row>
    <row r="272" spans="1:17" ht="15" customHeight="1">
      <c r="A272" s="97" t="s">
        <v>243</v>
      </c>
      <c r="B272" s="97">
        <v>2011</v>
      </c>
      <c r="C272" s="97" t="s">
        <v>237</v>
      </c>
      <c r="D272" s="332" t="s">
        <v>238</v>
      </c>
      <c r="E272" s="101" t="s">
        <v>2324</v>
      </c>
      <c r="F272" s="101" t="s">
        <v>50</v>
      </c>
      <c r="G272" s="101"/>
      <c r="H272" s="18"/>
      <c r="I272" s="27"/>
      <c r="J272" s="18"/>
      <c r="K272" s="101"/>
      <c r="L272" s="101" t="s">
        <v>2474</v>
      </c>
      <c r="M272" s="18">
        <v>77737000</v>
      </c>
      <c r="N272" s="18">
        <v>78385000</v>
      </c>
      <c r="O272" s="472" t="s">
        <v>2617</v>
      </c>
      <c r="P272" s="543"/>
      <c r="Q272" s="97"/>
    </row>
    <row r="273" spans="1:17" ht="15" customHeight="1">
      <c r="A273" s="97" t="s">
        <v>243</v>
      </c>
      <c r="B273" s="97">
        <v>2011</v>
      </c>
      <c r="C273" s="97" t="s">
        <v>237</v>
      </c>
      <c r="D273" s="332" t="s">
        <v>238</v>
      </c>
      <c r="E273" s="101" t="s">
        <v>2324</v>
      </c>
      <c r="F273" s="101" t="s">
        <v>50</v>
      </c>
      <c r="G273" s="101"/>
      <c r="H273" s="18"/>
      <c r="I273" s="27"/>
      <c r="J273" s="18"/>
      <c r="K273" s="101"/>
      <c r="L273" s="101" t="s">
        <v>2475</v>
      </c>
      <c r="M273" s="18">
        <v>64387000</v>
      </c>
      <c r="N273" s="18">
        <v>64387000</v>
      </c>
      <c r="O273" s="472" t="s">
        <v>2617</v>
      </c>
      <c r="P273" s="543"/>
      <c r="Q273" s="97"/>
    </row>
    <row r="274" spans="1:17" ht="15" customHeight="1">
      <c r="A274" s="97" t="s">
        <v>243</v>
      </c>
      <c r="B274" s="97">
        <v>2011</v>
      </c>
      <c r="C274" s="97" t="s">
        <v>237</v>
      </c>
      <c r="D274" s="332" t="s">
        <v>238</v>
      </c>
      <c r="E274" s="101" t="s">
        <v>2324</v>
      </c>
      <c r="F274" s="101" t="s">
        <v>50</v>
      </c>
      <c r="G274" s="101"/>
      <c r="H274" s="18"/>
      <c r="I274" s="27"/>
      <c r="J274" s="18"/>
      <c r="K274" s="101"/>
      <c r="L274" s="101" t="s">
        <v>2476</v>
      </c>
      <c r="M274" s="18">
        <v>51358000</v>
      </c>
      <c r="N274" s="18">
        <v>51358000</v>
      </c>
      <c r="O274" s="472" t="s">
        <v>2617</v>
      </c>
      <c r="P274" s="543"/>
      <c r="Q274" s="97"/>
    </row>
    <row r="275" spans="1:17" ht="15" customHeight="1">
      <c r="A275" s="97" t="s">
        <v>243</v>
      </c>
      <c r="B275" s="97">
        <v>2011</v>
      </c>
      <c r="C275" s="97" t="s">
        <v>237</v>
      </c>
      <c r="D275" s="332" t="s">
        <v>238</v>
      </c>
      <c r="E275" s="101" t="s">
        <v>2324</v>
      </c>
      <c r="F275" s="101" t="s">
        <v>50</v>
      </c>
      <c r="G275" s="101"/>
      <c r="H275" s="18"/>
      <c r="I275" s="27"/>
      <c r="J275" s="18"/>
      <c r="K275" s="101"/>
      <c r="L275" s="101" t="s">
        <v>2477</v>
      </c>
      <c r="M275" s="18">
        <v>14434000</v>
      </c>
      <c r="N275" s="18">
        <v>14434000</v>
      </c>
      <c r="O275" s="472" t="s">
        <v>2617</v>
      </c>
      <c r="P275" s="543"/>
      <c r="Q275" s="97"/>
    </row>
    <row r="276" spans="1:17" ht="15" customHeight="1">
      <c r="A276" s="97" t="s">
        <v>243</v>
      </c>
      <c r="B276" s="97">
        <v>2011</v>
      </c>
      <c r="C276" s="97" t="s">
        <v>237</v>
      </c>
      <c r="D276" s="332" t="s">
        <v>238</v>
      </c>
      <c r="E276" s="101" t="s">
        <v>2327</v>
      </c>
      <c r="F276" s="101" t="s">
        <v>50</v>
      </c>
      <c r="G276" s="101" t="s">
        <v>98</v>
      </c>
      <c r="H276" s="18">
        <v>259052</v>
      </c>
      <c r="I276" s="27" t="s">
        <v>2456</v>
      </c>
      <c r="J276" s="18" t="s">
        <v>871</v>
      </c>
      <c r="K276" s="101"/>
      <c r="L276" s="101" t="s">
        <v>2328</v>
      </c>
      <c r="M276" s="18">
        <v>487410000</v>
      </c>
      <c r="N276" s="18">
        <v>487410000</v>
      </c>
      <c r="O276" s="472" t="s">
        <v>2615</v>
      </c>
      <c r="P276" s="543"/>
      <c r="Q276" s="97"/>
    </row>
    <row r="277" spans="1:17" ht="15" customHeight="1">
      <c r="A277" s="97" t="s">
        <v>243</v>
      </c>
      <c r="B277" s="97">
        <v>2011</v>
      </c>
      <c r="C277" s="97" t="s">
        <v>237</v>
      </c>
      <c r="D277" s="332" t="s">
        <v>238</v>
      </c>
      <c r="E277" s="101" t="s">
        <v>2327</v>
      </c>
      <c r="F277" s="101" t="s">
        <v>50</v>
      </c>
      <c r="G277" s="101" t="s">
        <v>552</v>
      </c>
      <c r="H277" s="18">
        <v>46629065</v>
      </c>
      <c r="I277" s="27" t="s">
        <v>2458</v>
      </c>
      <c r="J277" s="18" t="s">
        <v>871</v>
      </c>
      <c r="K277" s="101"/>
      <c r="L277" s="101"/>
      <c r="M277" s="18"/>
      <c r="N277" s="18"/>
      <c r="O277" s="472" t="s">
        <v>2619</v>
      </c>
      <c r="P277" s="543"/>
      <c r="Q277" s="97"/>
    </row>
    <row r="278" spans="1:17" ht="15" customHeight="1">
      <c r="A278" s="97" t="s">
        <v>243</v>
      </c>
      <c r="B278" s="97">
        <v>2011</v>
      </c>
      <c r="C278" s="97" t="s">
        <v>237</v>
      </c>
      <c r="D278" s="332" t="s">
        <v>238</v>
      </c>
      <c r="E278" s="101" t="s">
        <v>2330</v>
      </c>
      <c r="F278" s="101" t="s">
        <v>50</v>
      </c>
      <c r="G278" s="101" t="s">
        <v>98</v>
      </c>
      <c r="H278" s="18">
        <v>1254416</v>
      </c>
      <c r="I278" s="27" t="s">
        <v>2456</v>
      </c>
      <c r="J278" s="18" t="s">
        <v>871</v>
      </c>
      <c r="K278" s="101"/>
      <c r="L278" s="101" t="s">
        <v>2331</v>
      </c>
      <c r="M278" s="18">
        <v>415887000</v>
      </c>
      <c r="N278" s="18">
        <v>415887000</v>
      </c>
      <c r="O278" s="472" t="s">
        <v>2615</v>
      </c>
      <c r="P278" s="543"/>
      <c r="Q278" s="97"/>
    </row>
    <row r="279" spans="1:17" ht="15" customHeight="1">
      <c r="A279" s="97" t="s">
        <v>243</v>
      </c>
      <c r="B279" s="97">
        <v>2011</v>
      </c>
      <c r="C279" s="97" t="s">
        <v>237</v>
      </c>
      <c r="D279" s="332" t="s">
        <v>238</v>
      </c>
      <c r="E279" s="101" t="s">
        <v>2330</v>
      </c>
      <c r="F279" s="101" t="s">
        <v>50</v>
      </c>
      <c r="G279" s="101" t="s">
        <v>552</v>
      </c>
      <c r="H279" s="18">
        <v>26904622</v>
      </c>
      <c r="I279" s="27" t="s">
        <v>2458</v>
      </c>
      <c r="J279" s="18" t="s">
        <v>871</v>
      </c>
      <c r="K279" s="101"/>
      <c r="L279" s="101"/>
      <c r="M279" s="18"/>
      <c r="N279" s="18"/>
      <c r="O279" s="472" t="s">
        <v>2619</v>
      </c>
      <c r="P279" s="543"/>
      <c r="Q279" s="97"/>
    </row>
    <row r="280" spans="1:17" ht="15" customHeight="1">
      <c r="A280" s="97" t="s">
        <v>243</v>
      </c>
      <c r="B280" s="97">
        <v>2011</v>
      </c>
      <c r="C280" s="97" t="s">
        <v>237</v>
      </c>
      <c r="D280" s="332" t="s">
        <v>238</v>
      </c>
      <c r="E280" s="101" t="s">
        <v>2333</v>
      </c>
      <c r="F280" s="101" t="s">
        <v>50</v>
      </c>
      <c r="G280" s="101" t="s">
        <v>98</v>
      </c>
      <c r="H280" s="18">
        <v>7806732</v>
      </c>
      <c r="I280" s="27" t="s">
        <v>2456</v>
      </c>
      <c r="J280" s="18" t="s">
        <v>871</v>
      </c>
      <c r="K280" s="101"/>
      <c r="L280" s="101" t="s">
        <v>2334</v>
      </c>
      <c r="M280" s="18">
        <v>142754000</v>
      </c>
      <c r="N280" s="18">
        <v>142754000</v>
      </c>
      <c r="O280" s="472" t="s">
        <v>2615</v>
      </c>
      <c r="P280" s="543"/>
      <c r="Q280" s="97"/>
    </row>
    <row r="281" spans="1:17" ht="15" customHeight="1">
      <c r="A281" s="97" t="s">
        <v>243</v>
      </c>
      <c r="B281" s="97">
        <v>2011</v>
      </c>
      <c r="C281" s="97" t="s">
        <v>237</v>
      </c>
      <c r="D281" s="332" t="s">
        <v>238</v>
      </c>
      <c r="E281" s="101" t="s">
        <v>2333</v>
      </c>
      <c r="F281" s="101" t="s">
        <v>50</v>
      </c>
      <c r="G281" s="101"/>
      <c r="H281" s="18"/>
      <c r="I281" s="27"/>
      <c r="J281" s="18"/>
      <c r="K281" s="101"/>
      <c r="L281" s="101" t="s">
        <v>2478</v>
      </c>
      <c r="M281" s="18"/>
      <c r="N281" s="18"/>
      <c r="O281" s="472"/>
      <c r="P281" s="543"/>
      <c r="Q281" s="97"/>
    </row>
    <row r="282" spans="1:17" ht="15" customHeight="1">
      <c r="A282" s="97" t="s">
        <v>243</v>
      </c>
      <c r="B282" s="97">
        <v>2011</v>
      </c>
      <c r="C282" s="97" t="s">
        <v>237</v>
      </c>
      <c r="D282" s="332" t="s">
        <v>238</v>
      </c>
      <c r="E282" s="101" t="s">
        <v>2333</v>
      </c>
      <c r="F282" s="101" t="s">
        <v>50</v>
      </c>
      <c r="G282" s="101"/>
      <c r="H282" s="18"/>
      <c r="I282" s="27"/>
      <c r="J282" s="18"/>
      <c r="K282" s="101"/>
      <c r="L282" s="101" t="s">
        <v>2479</v>
      </c>
      <c r="M282" s="18"/>
      <c r="N282" s="18"/>
      <c r="O282" s="472"/>
      <c r="P282" s="543"/>
      <c r="Q282" s="97"/>
    </row>
    <row r="283" spans="1:17" ht="15" customHeight="1">
      <c r="A283" s="97" t="s">
        <v>243</v>
      </c>
      <c r="B283" s="97">
        <v>2011</v>
      </c>
      <c r="C283" s="97" t="s">
        <v>237</v>
      </c>
      <c r="D283" s="332" t="s">
        <v>238</v>
      </c>
      <c r="E283" s="101" t="s">
        <v>2333</v>
      </c>
      <c r="F283" s="101" t="s">
        <v>50</v>
      </c>
      <c r="G283" s="101"/>
      <c r="H283" s="18"/>
      <c r="I283" s="27"/>
      <c r="J283" s="18"/>
      <c r="K283" s="101"/>
      <c r="L283" s="101" t="s">
        <v>2480</v>
      </c>
      <c r="M283" s="18"/>
      <c r="N283" s="18"/>
      <c r="O283" s="472"/>
      <c r="P283" s="543"/>
      <c r="Q283" s="97"/>
    </row>
    <row r="284" spans="1:17" ht="15" customHeight="1">
      <c r="A284" s="97" t="s">
        <v>243</v>
      </c>
      <c r="B284" s="97">
        <v>2011</v>
      </c>
      <c r="C284" s="97" t="s">
        <v>237</v>
      </c>
      <c r="D284" s="332" t="s">
        <v>238</v>
      </c>
      <c r="E284" s="101" t="s">
        <v>2333</v>
      </c>
      <c r="F284" s="101" t="s">
        <v>50</v>
      </c>
      <c r="G284" s="101"/>
      <c r="H284" s="18"/>
      <c r="I284" s="27"/>
      <c r="J284" s="18"/>
      <c r="K284" s="101"/>
      <c r="L284" s="101" t="s">
        <v>2481</v>
      </c>
      <c r="M284" s="18"/>
      <c r="N284" s="18"/>
      <c r="O284" s="472"/>
      <c r="P284" s="543"/>
      <c r="Q284" s="97"/>
    </row>
    <row r="285" spans="1:17" ht="15" customHeight="1">
      <c r="A285" s="97" t="s">
        <v>243</v>
      </c>
      <c r="B285" s="97">
        <v>2011</v>
      </c>
      <c r="C285" s="97" t="s">
        <v>237</v>
      </c>
      <c r="D285" s="332" t="s">
        <v>238</v>
      </c>
      <c r="E285" s="101" t="s">
        <v>2333</v>
      </c>
      <c r="F285" s="101" t="s">
        <v>50</v>
      </c>
      <c r="G285" s="101"/>
      <c r="H285" s="18"/>
      <c r="I285" s="27"/>
      <c r="J285" s="18"/>
      <c r="K285" s="101"/>
      <c r="L285" s="101" t="s">
        <v>2482</v>
      </c>
      <c r="M285" s="18"/>
      <c r="N285" s="18"/>
      <c r="O285" s="472"/>
      <c r="P285" s="543"/>
      <c r="Q285" s="97"/>
    </row>
    <row r="286" spans="1:17" ht="15" customHeight="1">
      <c r="A286" s="97" t="s">
        <v>243</v>
      </c>
      <c r="B286" s="97">
        <v>2011</v>
      </c>
      <c r="C286" s="97" t="s">
        <v>237</v>
      </c>
      <c r="D286" s="332" t="s">
        <v>238</v>
      </c>
      <c r="E286" s="101" t="s">
        <v>2333</v>
      </c>
      <c r="F286" s="101" t="s">
        <v>50</v>
      </c>
      <c r="G286" s="101"/>
      <c r="H286" s="18"/>
      <c r="I286" s="27"/>
      <c r="J286" s="18"/>
      <c r="K286" s="101"/>
      <c r="L286" s="101" t="s">
        <v>2483</v>
      </c>
      <c r="M286" s="18"/>
      <c r="N286" s="18"/>
      <c r="O286" s="472"/>
      <c r="P286" s="543"/>
      <c r="Q286" s="97"/>
    </row>
    <row r="287" spans="1:17" ht="15" customHeight="1">
      <c r="A287" s="97" t="s">
        <v>243</v>
      </c>
      <c r="B287" s="97">
        <v>2011</v>
      </c>
      <c r="C287" s="97" t="s">
        <v>237</v>
      </c>
      <c r="D287" s="332" t="s">
        <v>238</v>
      </c>
      <c r="E287" s="101" t="s">
        <v>2339</v>
      </c>
      <c r="F287" s="101" t="s">
        <v>50</v>
      </c>
      <c r="G287" s="101" t="s">
        <v>98</v>
      </c>
      <c r="H287" s="18">
        <v>12366325</v>
      </c>
      <c r="I287" s="27" t="s">
        <v>2456</v>
      </c>
      <c r="J287" s="18" t="s">
        <v>871</v>
      </c>
      <c r="K287" s="101"/>
      <c r="L287" s="101" t="s">
        <v>2340</v>
      </c>
      <c r="M287" s="18">
        <v>865706000</v>
      </c>
      <c r="N287" s="18">
        <v>865706000</v>
      </c>
      <c r="O287" s="472" t="s">
        <v>2615</v>
      </c>
      <c r="P287" s="543"/>
      <c r="Q287" s="97"/>
    </row>
    <row r="288" spans="1:17" ht="15" customHeight="1">
      <c r="A288" s="97" t="s">
        <v>243</v>
      </c>
      <c r="B288" s="97">
        <v>2011</v>
      </c>
      <c r="C288" s="97" t="s">
        <v>237</v>
      </c>
      <c r="D288" s="332" t="s">
        <v>238</v>
      </c>
      <c r="E288" s="101" t="s">
        <v>2339</v>
      </c>
      <c r="F288" s="101" t="s">
        <v>50</v>
      </c>
      <c r="G288" s="101" t="s">
        <v>552</v>
      </c>
      <c r="H288" s="18">
        <v>23588268</v>
      </c>
      <c r="I288" s="107" t="s">
        <v>2458</v>
      </c>
      <c r="J288" s="18" t="s">
        <v>871</v>
      </c>
      <c r="K288" s="101"/>
      <c r="L288" s="101" t="s">
        <v>2620</v>
      </c>
      <c r="M288" s="18">
        <v>15163000</v>
      </c>
      <c r="N288" s="18">
        <v>15163000</v>
      </c>
      <c r="O288" s="472" t="s">
        <v>2615</v>
      </c>
      <c r="P288" s="543"/>
      <c r="Q288" s="97"/>
    </row>
    <row r="289" spans="1:17" ht="15" customHeight="1">
      <c r="A289" s="97" t="s">
        <v>243</v>
      </c>
      <c r="B289" s="97">
        <v>2011</v>
      </c>
      <c r="C289" s="97" t="s">
        <v>237</v>
      </c>
      <c r="D289" s="332" t="s">
        <v>238</v>
      </c>
      <c r="E289" s="101" t="s">
        <v>2339</v>
      </c>
      <c r="F289" s="101" t="s">
        <v>50</v>
      </c>
      <c r="G289" s="101"/>
      <c r="H289" s="18"/>
      <c r="I289" s="27"/>
      <c r="J289" s="18"/>
      <c r="K289" s="101"/>
      <c r="L289" s="101" t="s">
        <v>2485</v>
      </c>
      <c r="M289" s="18">
        <v>9002000</v>
      </c>
      <c r="N289" s="18"/>
      <c r="O289" s="472"/>
      <c r="P289" s="543"/>
      <c r="Q289" s="97"/>
    </row>
    <row r="290" spans="1:17" ht="15" customHeight="1">
      <c r="A290" s="97" t="s">
        <v>243</v>
      </c>
      <c r="B290" s="97">
        <v>2011</v>
      </c>
      <c r="C290" s="97" t="s">
        <v>237</v>
      </c>
      <c r="D290" s="332" t="s">
        <v>238</v>
      </c>
      <c r="E290" s="101" t="s">
        <v>2339</v>
      </c>
      <c r="F290" s="101" t="s">
        <v>50</v>
      </c>
      <c r="G290" s="101"/>
      <c r="H290" s="18"/>
      <c r="I290" s="27"/>
      <c r="J290" s="18"/>
      <c r="K290" s="101"/>
      <c r="L290" s="101" t="s">
        <v>2486</v>
      </c>
      <c r="M290" s="18">
        <v>4473000</v>
      </c>
      <c r="N290" s="18">
        <v>4473000</v>
      </c>
      <c r="O290" s="472" t="s">
        <v>2617</v>
      </c>
      <c r="P290" s="543"/>
      <c r="Q290" s="97"/>
    </row>
    <row r="291" spans="1:17" ht="15" customHeight="1">
      <c r="A291" s="97" t="s">
        <v>243</v>
      </c>
      <c r="B291" s="97">
        <v>2011</v>
      </c>
      <c r="C291" s="97" t="s">
        <v>237</v>
      </c>
      <c r="D291" s="332" t="s">
        <v>238</v>
      </c>
      <c r="E291" s="101" t="s">
        <v>2339</v>
      </c>
      <c r="F291" s="101" t="s">
        <v>50</v>
      </c>
      <c r="G291" s="101"/>
      <c r="H291" s="18"/>
      <c r="I291" s="27"/>
      <c r="J291" s="18"/>
      <c r="K291" s="101"/>
      <c r="L291" s="101" t="s">
        <v>2487</v>
      </c>
      <c r="M291" s="18"/>
      <c r="N291" s="18"/>
      <c r="O291" s="472"/>
      <c r="P291" s="543"/>
      <c r="Q291" s="97"/>
    </row>
    <row r="292" spans="1:17" ht="15" customHeight="1">
      <c r="A292" s="97" t="s">
        <v>243</v>
      </c>
      <c r="B292" s="97">
        <v>2011</v>
      </c>
      <c r="C292" s="97" t="s">
        <v>237</v>
      </c>
      <c r="D292" s="332" t="s">
        <v>238</v>
      </c>
      <c r="E292" s="101" t="s">
        <v>2339</v>
      </c>
      <c r="F292" s="101" t="s">
        <v>50</v>
      </c>
      <c r="G292" s="101"/>
      <c r="H292" s="18"/>
      <c r="I292" s="27"/>
      <c r="J292" s="18"/>
      <c r="K292" s="101"/>
      <c r="L292" s="101" t="s">
        <v>2488</v>
      </c>
      <c r="M292" s="18">
        <v>6940000</v>
      </c>
      <c r="N292" s="18">
        <v>3531000</v>
      </c>
      <c r="O292" s="472" t="s">
        <v>2617</v>
      </c>
      <c r="P292" s="543"/>
      <c r="Q292" s="97"/>
    </row>
    <row r="293" spans="1:17" ht="15" customHeight="1">
      <c r="A293" s="97" t="s">
        <v>243</v>
      </c>
      <c r="B293" s="97">
        <v>2011</v>
      </c>
      <c r="C293" s="97" t="s">
        <v>237</v>
      </c>
      <c r="D293" s="332" t="s">
        <v>238</v>
      </c>
      <c r="E293" s="101" t="s">
        <v>2339</v>
      </c>
      <c r="F293" s="101" t="s">
        <v>50</v>
      </c>
      <c r="G293" s="101"/>
      <c r="H293" s="18"/>
      <c r="I293" s="27"/>
      <c r="J293" s="18"/>
      <c r="K293" s="101"/>
      <c r="L293" s="101" t="s">
        <v>2489</v>
      </c>
      <c r="M293" s="18"/>
      <c r="N293" s="18">
        <v>2093000</v>
      </c>
      <c r="O293" s="472" t="s">
        <v>2617</v>
      </c>
      <c r="P293" s="543"/>
      <c r="Q293" s="97"/>
    </row>
    <row r="294" spans="1:17" ht="15" customHeight="1">
      <c r="A294" s="97" t="s">
        <v>243</v>
      </c>
      <c r="B294" s="97">
        <v>2011</v>
      </c>
      <c r="C294" s="97" t="s">
        <v>237</v>
      </c>
      <c r="D294" s="332" t="s">
        <v>238</v>
      </c>
      <c r="E294" s="101" t="s">
        <v>2339</v>
      </c>
      <c r="F294" s="101" t="s">
        <v>50</v>
      </c>
      <c r="G294" s="101"/>
      <c r="H294" s="18"/>
      <c r="I294" s="27"/>
      <c r="J294" s="18"/>
      <c r="K294" s="101"/>
      <c r="L294" s="101" t="s">
        <v>2490</v>
      </c>
      <c r="M294" s="18"/>
      <c r="N294" s="18">
        <v>1635000</v>
      </c>
      <c r="O294" s="472" t="s">
        <v>2617</v>
      </c>
      <c r="P294" s="543"/>
      <c r="Q294" s="97"/>
    </row>
    <row r="295" spans="1:17" ht="15" customHeight="1">
      <c r="A295" s="97" t="s">
        <v>243</v>
      </c>
      <c r="B295" s="97">
        <v>2011</v>
      </c>
      <c r="C295" s="97" t="s">
        <v>237</v>
      </c>
      <c r="D295" s="332" t="s">
        <v>238</v>
      </c>
      <c r="E295" s="101" t="s">
        <v>2390</v>
      </c>
      <c r="F295" s="101" t="s">
        <v>50</v>
      </c>
      <c r="G295" s="101" t="s">
        <v>98</v>
      </c>
      <c r="H295" s="18">
        <v>411244</v>
      </c>
      <c r="I295" s="27" t="s">
        <v>2456</v>
      </c>
      <c r="J295" s="18" t="s">
        <v>871</v>
      </c>
      <c r="K295" s="101"/>
      <c r="L295" s="101" t="s">
        <v>2491</v>
      </c>
      <c r="M295" s="18">
        <v>17231000</v>
      </c>
      <c r="N295" s="18">
        <v>17234000</v>
      </c>
      <c r="O295" s="472" t="s">
        <v>2615</v>
      </c>
      <c r="P295" s="543"/>
      <c r="Q295" s="97"/>
    </row>
    <row r="296" spans="1:17" ht="15" customHeight="1">
      <c r="A296" s="97" t="s">
        <v>243</v>
      </c>
      <c r="B296" s="97">
        <v>2011</v>
      </c>
      <c r="C296" s="97" t="s">
        <v>237</v>
      </c>
      <c r="D296" s="332" t="s">
        <v>238</v>
      </c>
      <c r="E296" s="101" t="s">
        <v>2390</v>
      </c>
      <c r="F296" s="101" t="s">
        <v>50</v>
      </c>
      <c r="G296" s="101" t="s">
        <v>552</v>
      </c>
      <c r="H296" s="18">
        <v>63975217</v>
      </c>
      <c r="I296" s="27" t="s">
        <v>2458</v>
      </c>
      <c r="J296" s="18" t="s">
        <v>871</v>
      </c>
      <c r="K296" s="101"/>
      <c r="L296" s="101" t="s">
        <v>2492</v>
      </c>
      <c r="M296" s="18">
        <v>20304000</v>
      </c>
      <c r="N296" s="18">
        <v>20304000</v>
      </c>
      <c r="O296" s="472" t="s">
        <v>2615</v>
      </c>
      <c r="P296" s="543"/>
      <c r="Q296" s="97"/>
    </row>
    <row r="297" spans="1:17" ht="15" customHeight="1">
      <c r="A297" s="97" t="s">
        <v>243</v>
      </c>
      <c r="B297" s="97">
        <v>2011</v>
      </c>
      <c r="C297" s="97" t="s">
        <v>237</v>
      </c>
      <c r="D297" s="332" t="s">
        <v>238</v>
      </c>
      <c r="E297" s="101" t="s">
        <v>2390</v>
      </c>
      <c r="F297" s="101" t="s">
        <v>50</v>
      </c>
      <c r="G297" s="101"/>
      <c r="H297" s="18"/>
      <c r="I297" s="27"/>
      <c r="J297" s="18"/>
      <c r="K297" s="101"/>
      <c r="L297" s="101" t="s">
        <v>2493</v>
      </c>
      <c r="M297" s="18">
        <v>6944000</v>
      </c>
      <c r="N297" s="18">
        <v>7077000</v>
      </c>
      <c r="O297" s="472" t="s">
        <v>2617</v>
      </c>
      <c r="P297" s="543"/>
      <c r="Q297" s="97"/>
    </row>
    <row r="298" spans="1:17" ht="15" customHeight="1">
      <c r="A298" s="97" t="s">
        <v>243</v>
      </c>
      <c r="B298" s="97">
        <v>2011</v>
      </c>
      <c r="C298" s="97" t="s">
        <v>237</v>
      </c>
      <c r="D298" s="332" t="s">
        <v>238</v>
      </c>
      <c r="E298" s="101" t="s">
        <v>2342</v>
      </c>
      <c r="F298" s="101" t="s">
        <v>50</v>
      </c>
      <c r="G298" s="101" t="s">
        <v>98</v>
      </c>
      <c r="H298" s="18">
        <v>5903492</v>
      </c>
      <c r="I298" s="27" t="s">
        <v>2456</v>
      </c>
      <c r="J298" s="18" t="s">
        <v>871</v>
      </c>
      <c r="K298" s="101"/>
      <c r="L298" s="101" t="s">
        <v>2494</v>
      </c>
      <c r="M298" s="18">
        <v>464693000</v>
      </c>
      <c r="N298" s="18">
        <v>464693000</v>
      </c>
      <c r="O298" s="472" t="s">
        <v>2615</v>
      </c>
      <c r="P298" s="543"/>
      <c r="Q298" s="97"/>
    </row>
    <row r="299" spans="1:17" ht="15" customHeight="1">
      <c r="A299" s="97" t="s">
        <v>243</v>
      </c>
      <c r="B299" s="97">
        <v>2011</v>
      </c>
      <c r="C299" s="97" t="s">
        <v>237</v>
      </c>
      <c r="D299" s="332" t="s">
        <v>238</v>
      </c>
      <c r="E299" s="101" t="s">
        <v>2342</v>
      </c>
      <c r="F299" s="101" t="s">
        <v>50</v>
      </c>
      <c r="G299" s="101"/>
      <c r="H299" s="18"/>
      <c r="I299" s="27"/>
      <c r="J299" s="18"/>
      <c r="K299" s="101"/>
      <c r="L299" s="101" t="s">
        <v>2495</v>
      </c>
      <c r="M299" s="18">
        <v>14883000</v>
      </c>
      <c r="N299" s="18">
        <v>14883000</v>
      </c>
      <c r="O299" s="472" t="s">
        <v>2617</v>
      </c>
      <c r="P299" s="543"/>
      <c r="Q299" s="97"/>
    </row>
    <row r="300" spans="1:17" ht="15" customHeight="1">
      <c r="A300" s="97" t="s">
        <v>243</v>
      </c>
      <c r="B300" s="97">
        <v>2011</v>
      </c>
      <c r="C300" s="97" t="s">
        <v>237</v>
      </c>
      <c r="D300" s="332" t="s">
        <v>238</v>
      </c>
      <c r="E300" s="101" t="s">
        <v>2384</v>
      </c>
      <c r="F300" s="101" t="s">
        <v>50</v>
      </c>
      <c r="G300" s="101" t="s">
        <v>98</v>
      </c>
      <c r="H300" s="18">
        <v>11689244</v>
      </c>
      <c r="I300" s="27" t="s">
        <v>2456</v>
      </c>
      <c r="J300" s="18" t="s">
        <v>871</v>
      </c>
      <c r="K300" s="101"/>
      <c r="L300" s="101" t="s">
        <v>2385</v>
      </c>
      <c r="M300" s="18">
        <v>863199000</v>
      </c>
      <c r="N300" s="18">
        <v>863199000</v>
      </c>
      <c r="O300" s="472" t="s">
        <v>2615</v>
      </c>
      <c r="P300" s="543"/>
      <c r="Q300" s="97"/>
    </row>
    <row r="301" spans="1:17" ht="15" customHeight="1">
      <c r="A301" s="97" t="s">
        <v>243</v>
      </c>
      <c r="B301" s="97">
        <v>2011</v>
      </c>
      <c r="C301" s="97" t="s">
        <v>237</v>
      </c>
      <c r="D301" s="332" t="s">
        <v>238</v>
      </c>
      <c r="E301" s="101" t="s">
        <v>2384</v>
      </c>
      <c r="F301" s="101" t="s">
        <v>50</v>
      </c>
      <c r="G301" s="101" t="s">
        <v>552</v>
      </c>
      <c r="H301" s="18">
        <v>63045066</v>
      </c>
      <c r="I301" s="27" t="s">
        <v>2458</v>
      </c>
      <c r="J301" s="18" t="s">
        <v>871</v>
      </c>
      <c r="K301" s="101"/>
      <c r="L301" s="101" t="s">
        <v>2496</v>
      </c>
      <c r="M301" s="18">
        <v>55222000</v>
      </c>
      <c r="N301" s="18">
        <v>55222000</v>
      </c>
      <c r="O301" s="472" t="s">
        <v>2615</v>
      </c>
      <c r="P301" s="543"/>
      <c r="Q301" s="97"/>
    </row>
    <row r="302" spans="1:17" ht="15" customHeight="1">
      <c r="A302" s="97" t="s">
        <v>243</v>
      </c>
      <c r="B302" s="97">
        <v>2011</v>
      </c>
      <c r="C302" s="97" t="s">
        <v>237</v>
      </c>
      <c r="D302" s="332" t="s">
        <v>238</v>
      </c>
      <c r="E302" s="101" t="s">
        <v>2384</v>
      </c>
      <c r="F302" s="101" t="s">
        <v>50</v>
      </c>
      <c r="G302" s="101"/>
      <c r="H302" s="18"/>
      <c r="I302" s="27"/>
      <c r="J302" s="18"/>
      <c r="K302" s="101"/>
      <c r="L302" s="101" t="s">
        <v>2498</v>
      </c>
      <c r="M302" s="18">
        <v>797000</v>
      </c>
      <c r="N302" s="18">
        <v>797000</v>
      </c>
      <c r="O302" s="472" t="s">
        <v>2617</v>
      </c>
      <c r="P302" s="543"/>
      <c r="Q302" s="97"/>
    </row>
    <row r="303" spans="1:17" ht="15" customHeight="1">
      <c r="A303" s="97" t="s">
        <v>243</v>
      </c>
      <c r="B303" s="97">
        <v>2011</v>
      </c>
      <c r="C303" s="97" t="s">
        <v>237</v>
      </c>
      <c r="D303" s="332" t="s">
        <v>238</v>
      </c>
      <c r="E303" s="101" t="s">
        <v>2384</v>
      </c>
      <c r="F303" s="101" t="s">
        <v>50</v>
      </c>
      <c r="G303" s="101"/>
      <c r="H303" s="18"/>
      <c r="I303" s="27"/>
      <c r="J303" s="18"/>
      <c r="K303" s="101"/>
      <c r="L303" s="101" t="s">
        <v>2499</v>
      </c>
      <c r="M303" s="18">
        <v>5207000</v>
      </c>
      <c r="N303" s="18">
        <v>5207000</v>
      </c>
      <c r="O303" s="472" t="s">
        <v>2617</v>
      </c>
      <c r="P303" s="543"/>
      <c r="Q303" s="97"/>
    </row>
    <row r="304" spans="1:17" ht="15" customHeight="1">
      <c r="A304" s="97" t="s">
        <v>243</v>
      </c>
      <c r="B304" s="97">
        <v>2011</v>
      </c>
      <c r="C304" s="97" t="s">
        <v>237</v>
      </c>
      <c r="D304" s="332" t="s">
        <v>238</v>
      </c>
      <c r="E304" s="101" t="s">
        <v>2384</v>
      </c>
      <c r="F304" s="101" t="s">
        <v>50</v>
      </c>
      <c r="G304" s="101"/>
      <c r="H304" s="18"/>
      <c r="I304" s="27"/>
      <c r="J304" s="18"/>
      <c r="K304" s="101"/>
      <c r="L304" s="101" t="s">
        <v>2500</v>
      </c>
      <c r="M304" s="18">
        <v>5369000</v>
      </c>
      <c r="N304" s="18">
        <v>5369000</v>
      </c>
      <c r="O304" s="472" t="s">
        <v>2617</v>
      </c>
      <c r="P304" s="543"/>
      <c r="Q304" s="97"/>
    </row>
    <row r="305" spans="1:17" ht="15" customHeight="1">
      <c r="A305" s="97" t="s">
        <v>243</v>
      </c>
      <c r="B305" s="97">
        <v>2011</v>
      </c>
      <c r="C305" s="97" t="s">
        <v>237</v>
      </c>
      <c r="D305" s="332" t="s">
        <v>238</v>
      </c>
      <c r="E305" s="101" t="s">
        <v>2384</v>
      </c>
      <c r="F305" s="101" t="s">
        <v>50</v>
      </c>
      <c r="G305" s="101"/>
      <c r="H305" s="18"/>
      <c r="I305" s="27"/>
      <c r="J305" s="18"/>
      <c r="K305" s="101"/>
      <c r="L305" s="101" t="s">
        <v>2621</v>
      </c>
      <c r="M305" s="18"/>
      <c r="N305" s="18"/>
      <c r="O305" s="472"/>
      <c r="P305" s="543"/>
      <c r="Q305" s="97"/>
    </row>
    <row r="306" spans="1:17" ht="15" customHeight="1">
      <c r="A306" s="97" t="s">
        <v>243</v>
      </c>
      <c r="B306" s="97">
        <v>2011</v>
      </c>
      <c r="C306" s="97" t="s">
        <v>237</v>
      </c>
      <c r="D306" s="332" t="s">
        <v>238</v>
      </c>
      <c r="E306" s="101" t="s">
        <v>2384</v>
      </c>
      <c r="F306" s="101" t="s">
        <v>50</v>
      </c>
      <c r="G306" s="101"/>
      <c r="H306" s="18"/>
      <c r="I306" s="27"/>
      <c r="J306" s="18"/>
      <c r="K306" s="101"/>
      <c r="L306" s="101" t="s">
        <v>2622</v>
      </c>
      <c r="M306" s="18"/>
      <c r="N306" s="18"/>
      <c r="O306" s="472"/>
      <c r="P306" s="543"/>
      <c r="Q306" s="97"/>
    </row>
    <row r="307" spans="1:17" ht="15" customHeight="1">
      <c r="A307" s="97" t="s">
        <v>243</v>
      </c>
      <c r="B307" s="97">
        <v>2011</v>
      </c>
      <c r="C307" s="97" t="s">
        <v>237</v>
      </c>
      <c r="D307" s="332" t="s">
        <v>238</v>
      </c>
      <c r="E307" s="101" t="s">
        <v>2345</v>
      </c>
      <c r="F307" s="101" t="s">
        <v>50</v>
      </c>
      <c r="G307" s="101" t="s">
        <v>98</v>
      </c>
      <c r="H307" s="18">
        <v>1050814</v>
      </c>
      <c r="I307" s="27" t="s">
        <v>2456</v>
      </c>
      <c r="J307" s="18" t="s">
        <v>871</v>
      </c>
      <c r="K307" s="101"/>
      <c r="L307" s="101" t="s">
        <v>2501</v>
      </c>
      <c r="M307" s="18">
        <v>-11378000</v>
      </c>
      <c r="N307" s="18">
        <v>-11378000</v>
      </c>
      <c r="O307" s="472" t="s">
        <v>2615</v>
      </c>
      <c r="P307" s="543"/>
      <c r="Q307" s="97"/>
    </row>
    <row r="308" spans="1:17" ht="15" customHeight="1">
      <c r="A308" s="97" t="s">
        <v>243</v>
      </c>
      <c r="B308" s="97">
        <v>2011</v>
      </c>
      <c r="C308" s="97" t="s">
        <v>237</v>
      </c>
      <c r="D308" s="332" t="s">
        <v>238</v>
      </c>
      <c r="E308" s="101" t="s">
        <v>2345</v>
      </c>
      <c r="F308" s="101" t="s">
        <v>50</v>
      </c>
      <c r="G308" s="101" t="s">
        <v>552</v>
      </c>
      <c r="H308" s="18">
        <v>10166433</v>
      </c>
      <c r="I308" s="107" t="s">
        <v>2458</v>
      </c>
      <c r="J308" s="18" t="s">
        <v>871</v>
      </c>
      <c r="K308" s="101"/>
      <c r="L308" s="101"/>
      <c r="M308" s="18"/>
      <c r="N308" s="18"/>
      <c r="O308" s="472" t="s">
        <v>2619</v>
      </c>
      <c r="P308" s="543"/>
      <c r="Q308" s="97"/>
    </row>
    <row r="309" spans="1:17" ht="15" customHeight="1">
      <c r="A309" s="97" t="s">
        <v>243</v>
      </c>
      <c r="B309" s="97">
        <v>2011</v>
      </c>
      <c r="C309" s="97" t="s">
        <v>237</v>
      </c>
      <c r="D309" s="332" t="s">
        <v>238</v>
      </c>
      <c r="E309" s="101" t="s">
        <v>2350</v>
      </c>
      <c r="F309" s="101" t="s">
        <v>50</v>
      </c>
      <c r="G309" s="101" t="s">
        <v>98</v>
      </c>
      <c r="H309" s="18">
        <f>1830105+1830105</f>
        <v>3660210</v>
      </c>
      <c r="I309" s="27" t="s">
        <v>2456</v>
      </c>
      <c r="J309" s="18" t="s">
        <v>871</v>
      </c>
      <c r="K309" s="101"/>
      <c r="L309" s="101" t="s">
        <v>2502</v>
      </c>
      <c r="M309" s="18">
        <v>164155000</v>
      </c>
      <c r="N309" s="18">
        <v>167283000</v>
      </c>
      <c r="O309" s="472" t="s">
        <v>2615</v>
      </c>
      <c r="P309" s="543"/>
      <c r="Q309" s="97"/>
    </row>
    <row r="310" spans="1:17" ht="15" customHeight="1">
      <c r="A310" s="97" t="s">
        <v>243</v>
      </c>
      <c r="B310" s="97">
        <v>2011</v>
      </c>
      <c r="C310" s="97" t="s">
        <v>237</v>
      </c>
      <c r="D310" s="332" t="s">
        <v>238</v>
      </c>
      <c r="E310" s="101" t="s">
        <v>2350</v>
      </c>
      <c r="F310" s="101" t="s">
        <v>50</v>
      </c>
      <c r="G310" s="101" t="s">
        <v>552</v>
      </c>
      <c r="H310" s="18">
        <f>927717*2</f>
        <v>1855434</v>
      </c>
      <c r="I310" s="27" t="s">
        <v>2458</v>
      </c>
      <c r="J310" s="18" t="s">
        <v>871</v>
      </c>
      <c r="K310" s="101"/>
      <c r="L310" s="101" t="s">
        <v>2503</v>
      </c>
      <c r="M310" s="18">
        <v>121672000</v>
      </c>
      <c r="N310" s="18">
        <v>121672000</v>
      </c>
      <c r="O310" s="472" t="s">
        <v>2615</v>
      </c>
      <c r="P310" s="543"/>
      <c r="Q310" s="97"/>
    </row>
    <row r="311" spans="1:17" ht="15" customHeight="1">
      <c r="A311" s="97" t="s">
        <v>243</v>
      </c>
      <c r="B311" s="97">
        <v>2011</v>
      </c>
      <c r="C311" s="97" t="s">
        <v>237</v>
      </c>
      <c r="D311" s="332" t="s">
        <v>238</v>
      </c>
      <c r="E311" s="101" t="s">
        <v>2350</v>
      </c>
      <c r="F311" s="101" t="s">
        <v>50</v>
      </c>
      <c r="G311" s="101"/>
      <c r="H311" s="18"/>
      <c r="I311" s="27"/>
      <c r="J311" s="18"/>
      <c r="K311" s="101"/>
      <c r="L311" s="101" t="s">
        <v>2504</v>
      </c>
      <c r="M311" s="18">
        <v>9648000</v>
      </c>
      <c r="N311" s="18">
        <v>9648000</v>
      </c>
      <c r="O311" s="472" t="s">
        <v>2617</v>
      </c>
      <c r="P311" s="543"/>
      <c r="Q311" s="97"/>
    </row>
    <row r="312" spans="1:17" ht="15" customHeight="1">
      <c r="A312" s="97" t="s">
        <v>243</v>
      </c>
      <c r="B312" s="97">
        <v>2011</v>
      </c>
      <c r="C312" s="97" t="s">
        <v>237</v>
      </c>
      <c r="D312" s="332" t="s">
        <v>238</v>
      </c>
      <c r="E312" s="101" t="s">
        <v>2505</v>
      </c>
      <c r="F312" s="101" t="s">
        <v>50</v>
      </c>
      <c r="G312" s="101" t="s">
        <v>98</v>
      </c>
      <c r="H312" s="18">
        <f>379495*2</f>
        <v>758990</v>
      </c>
      <c r="I312" s="27" t="s">
        <v>2456</v>
      </c>
      <c r="J312" s="18" t="s">
        <v>871</v>
      </c>
      <c r="K312" s="101"/>
      <c r="L312" s="101" t="s">
        <v>2506</v>
      </c>
      <c r="M312" s="18">
        <v>17759000</v>
      </c>
      <c r="N312" s="18">
        <v>17759000</v>
      </c>
      <c r="O312" s="472" t="s">
        <v>2615</v>
      </c>
      <c r="P312" s="543"/>
      <c r="Q312" s="97"/>
    </row>
    <row r="313" spans="1:17" ht="15" customHeight="1">
      <c r="A313" s="97" t="s">
        <v>243</v>
      </c>
      <c r="B313" s="97">
        <v>2011</v>
      </c>
      <c r="C313" s="97" t="s">
        <v>237</v>
      </c>
      <c r="D313" s="332" t="s">
        <v>238</v>
      </c>
      <c r="E313" s="101" t="s">
        <v>2505</v>
      </c>
      <c r="F313" s="101" t="s">
        <v>50</v>
      </c>
      <c r="G313" s="101"/>
      <c r="H313" s="18"/>
      <c r="I313" s="27"/>
      <c r="J313" s="18"/>
      <c r="K313" s="101"/>
      <c r="L313" s="101" t="s">
        <v>2507</v>
      </c>
      <c r="M313" s="18">
        <v>10091000</v>
      </c>
      <c r="N313" s="18">
        <v>10091000</v>
      </c>
      <c r="O313" s="472" t="s">
        <v>2617</v>
      </c>
      <c r="P313" s="543"/>
      <c r="Q313" s="97"/>
    </row>
    <row r="314" spans="1:17" ht="15" customHeight="1">
      <c r="A314" s="97" t="s">
        <v>243</v>
      </c>
      <c r="B314" s="97">
        <v>2011</v>
      </c>
      <c r="C314" s="97" t="s">
        <v>237</v>
      </c>
      <c r="D314" s="332" t="s">
        <v>238</v>
      </c>
      <c r="E314" s="101" t="s">
        <v>2505</v>
      </c>
      <c r="F314" s="101" t="s">
        <v>50</v>
      </c>
      <c r="G314" s="101"/>
      <c r="H314" s="18"/>
      <c r="I314" s="27"/>
      <c r="J314" s="18"/>
      <c r="K314" s="101"/>
      <c r="L314" s="101" t="s">
        <v>2623</v>
      </c>
      <c r="M314" s="18">
        <v>386000</v>
      </c>
      <c r="N314" s="18">
        <v>386000</v>
      </c>
      <c r="O314" s="472" t="s">
        <v>2617</v>
      </c>
      <c r="P314" s="543"/>
      <c r="Q314" s="97"/>
    </row>
    <row r="315" spans="1:17" ht="15" customHeight="1">
      <c r="A315" s="97" t="s">
        <v>243</v>
      </c>
      <c r="B315" s="97">
        <v>2011</v>
      </c>
      <c r="C315" s="97" t="s">
        <v>237</v>
      </c>
      <c r="D315" s="332" t="s">
        <v>238</v>
      </c>
      <c r="E315" s="101" t="s">
        <v>2505</v>
      </c>
      <c r="F315" s="101" t="s">
        <v>50</v>
      </c>
      <c r="G315" s="101"/>
      <c r="H315" s="18"/>
      <c r="I315" s="27"/>
      <c r="J315" s="18"/>
      <c r="K315" s="101"/>
      <c r="L315" s="101" t="s">
        <v>2509</v>
      </c>
      <c r="M315" s="18">
        <v>497000</v>
      </c>
      <c r="N315" s="18">
        <v>497000</v>
      </c>
      <c r="O315" s="472" t="s">
        <v>2617</v>
      </c>
      <c r="P315" s="543"/>
      <c r="Q315" s="97"/>
    </row>
    <row r="316" spans="1:17" ht="15" customHeight="1">
      <c r="A316" s="97" t="s">
        <v>243</v>
      </c>
      <c r="B316" s="97">
        <v>2011</v>
      </c>
      <c r="C316" s="97" t="s">
        <v>237</v>
      </c>
      <c r="D316" s="332" t="s">
        <v>238</v>
      </c>
      <c r="E316" s="101" t="s">
        <v>2505</v>
      </c>
      <c r="F316" s="101" t="s">
        <v>50</v>
      </c>
      <c r="G316" s="101"/>
      <c r="H316" s="18"/>
      <c r="I316" s="27"/>
      <c r="J316" s="18"/>
      <c r="K316" s="101"/>
      <c r="L316" s="101" t="s">
        <v>2624</v>
      </c>
      <c r="M316" s="18"/>
      <c r="N316" s="18"/>
      <c r="O316" s="472"/>
      <c r="P316" s="543"/>
      <c r="Q316" s="97"/>
    </row>
    <row r="317" spans="1:17" ht="15" customHeight="1">
      <c r="A317" s="97" t="s">
        <v>243</v>
      </c>
      <c r="B317" s="97">
        <v>2011</v>
      </c>
      <c r="C317" s="97" t="s">
        <v>237</v>
      </c>
      <c r="D317" s="332" t="s">
        <v>238</v>
      </c>
      <c r="E317" s="101" t="s">
        <v>2365</v>
      </c>
      <c r="F317" s="101" t="s">
        <v>50</v>
      </c>
      <c r="G317" s="101" t="s">
        <v>98</v>
      </c>
      <c r="H317" s="18">
        <f>272348*2</f>
        <v>544696</v>
      </c>
      <c r="I317" s="27" t="s">
        <v>2456</v>
      </c>
      <c r="J317" s="18" t="s">
        <v>871</v>
      </c>
      <c r="K317" s="101"/>
      <c r="L317" s="101" t="s">
        <v>2510</v>
      </c>
      <c r="M317" s="18">
        <v>9794000</v>
      </c>
      <c r="N317" s="18">
        <v>9794000</v>
      </c>
      <c r="O317" s="472" t="s">
        <v>2615</v>
      </c>
      <c r="P317" s="543"/>
      <c r="Q317" s="97"/>
    </row>
    <row r="318" spans="1:17" ht="15" customHeight="1">
      <c r="A318" s="97" t="s">
        <v>243</v>
      </c>
      <c r="B318" s="97">
        <v>2011</v>
      </c>
      <c r="C318" s="97" t="s">
        <v>237</v>
      </c>
      <c r="D318" s="332" t="s">
        <v>238</v>
      </c>
      <c r="E318" s="101" t="s">
        <v>2365</v>
      </c>
      <c r="F318" s="101" t="s">
        <v>50</v>
      </c>
      <c r="G318" s="101"/>
      <c r="H318" s="18"/>
      <c r="I318" s="27"/>
      <c r="J318" s="18"/>
      <c r="K318" s="101"/>
      <c r="L318" s="101" t="s">
        <v>2511</v>
      </c>
      <c r="M318" s="105">
        <v>10463000</v>
      </c>
      <c r="N318" s="105">
        <v>10463000</v>
      </c>
      <c r="O318" s="472" t="s">
        <v>2617</v>
      </c>
      <c r="P318" s="543"/>
      <c r="Q318" s="97"/>
    </row>
    <row r="319" spans="1:17" ht="15" customHeight="1">
      <c r="A319" s="97" t="s">
        <v>243</v>
      </c>
      <c r="B319" s="97">
        <v>2011</v>
      </c>
      <c r="C319" s="97" t="s">
        <v>237</v>
      </c>
      <c r="D319" s="332" t="s">
        <v>238</v>
      </c>
      <c r="E319" s="101" t="s">
        <v>2365</v>
      </c>
      <c r="F319" s="101" t="s">
        <v>50</v>
      </c>
      <c r="G319" s="101"/>
      <c r="H319" s="18"/>
      <c r="I319" s="27"/>
      <c r="J319" s="18"/>
      <c r="K319" s="101"/>
      <c r="L319" s="101" t="s">
        <v>2625</v>
      </c>
      <c r="M319" s="105">
        <v>503000</v>
      </c>
      <c r="N319" s="105">
        <v>503000</v>
      </c>
      <c r="O319" s="472" t="s">
        <v>2617</v>
      </c>
      <c r="P319" s="543"/>
      <c r="Q319" s="97"/>
    </row>
    <row r="320" spans="1:17" ht="15" customHeight="1">
      <c r="A320" s="97" t="s">
        <v>243</v>
      </c>
      <c r="B320" s="97">
        <v>2011</v>
      </c>
      <c r="C320" s="97" t="s">
        <v>237</v>
      </c>
      <c r="D320" s="332" t="s">
        <v>238</v>
      </c>
      <c r="E320" s="101" t="s">
        <v>2512</v>
      </c>
      <c r="F320" s="101" t="s">
        <v>50</v>
      </c>
      <c r="G320" s="101" t="s">
        <v>98</v>
      </c>
      <c r="H320" s="18">
        <f>119607+119608</f>
        <v>239215</v>
      </c>
      <c r="I320" s="27" t="s">
        <v>2456</v>
      </c>
      <c r="J320" s="18" t="s">
        <v>871</v>
      </c>
      <c r="K320" s="101"/>
      <c r="L320" s="101" t="s">
        <v>2513</v>
      </c>
      <c r="M320" s="18">
        <v>5228000</v>
      </c>
      <c r="N320" s="18">
        <v>6122000</v>
      </c>
      <c r="O320" s="472" t="s">
        <v>2615</v>
      </c>
      <c r="P320" s="543"/>
      <c r="Q320" s="97"/>
    </row>
    <row r="321" spans="1:17" ht="15" customHeight="1">
      <c r="A321" s="97" t="s">
        <v>243</v>
      </c>
      <c r="B321" s="97">
        <v>2011</v>
      </c>
      <c r="C321" s="97" t="s">
        <v>237</v>
      </c>
      <c r="D321" s="332" t="s">
        <v>238</v>
      </c>
      <c r="E321" s="101" t="s">
        <v>2512</v>
      </c>
      <c r="F321" s="101" t="s">
        <v>50</v>
      </c>
      <c r="G321" s="101" t="s">
        <v>552</v>
      </c>
      <c r="H321" s="18">
        <f>233314+191954</f>
        <v>425268</v>
      </c>
      <c r="I321" s="27" t="s">
        <v>2458</v>
      </c>
      <c r="J321" s="18" t="s">
        <v>871</v>
      </c>
      <c r="K321" s="101"/>
      <c r="L321" s="101" t="s">
        <v>2514</v>
      </c>
      <c r="M321" s="18">
        <v>5004000</v>
      </c>
      <c r="N321" s="18">
        <v>5004000</v>
      </c>
      <c r="O321" s="472" t="s">
        <v>2615</v>
      </c>
      <c r="P321" s="543"/>
      <c r="Q321" s="97"/>
    </row>
    <row r="322" spans="1:17" ht="15" customHeight="1">
      <c r="A322" s="97" t="s">
        <v>243</v>
      </c>
      <c r="B322" s="97">
        <v>2011</v>
      </c>
      <c r="C322" s="97" t="s">
        <v>237</v>
      </c>
      <c r="D322" s="332" t="s">
        <v>238</v>
      </c>
      <c r="E322" s="101" t="s">
        <v>2375</v>
      </c>
      <c r="F322" s="101" t="s">
        <v>50</v>
      </c>
      <c r="G322" s="101" t="s">
        <v>98</v>
      </c>
      <c r="H322" s="18">
        <v>6524747</v>
      </c>
      <c r="I322" s="27" t="s">
        <v>2456</v>
      </c>
      <c r="J322" s="18" t="s">
        <v>871</v>
      </c>
      <c r="K322" s="101"/>
      <c r="L322" s="101" t="s">
        <v>2376</v>
      </c>
      <c r="M322" s="18">
        <v>922327000</v>
      </c>
      <c r="N322" s="18">
        <v>922327000</v>
      </c>
      <c r="O322" s="472" t="s">
        <v>2615</v>
      </c>
      <c r="P322" s="543"/>
      <c r="Q322" s="97"/>
    </row>
    <row r="323" spans="1:17" ht="15" customHeight="1">
      <c r="A323" s="97" t="s">
        <v>243</v>
      </c>
      <c r="B323" s="97">
        <v>2011</v>
      </c>
      <c r="C323" s="97" t="s">
        <v>237</v>
      </c>
      <c r="D323" s="332" t="s">
        <v>238</v>
      </c>
      <c r="E323" s="101" t="s">
        <v>2375</v>
      </c>
      <c r="F323" s="101" t="s">
        <v>50</v>
      </c>
      <c r="G323" s="101" t="s">
        <v>552</v>
      </c>
      <c r="H323" s="18">
        <v>55192318</v>
      </c>
      <c r="I323" s="107" t="s">
        <v>2458</v>
      </c>
      <c r="J323" s="18" t="s">
        <v>871</v>
      </c>
      <c r="K323" s="101"/>
      <c r="L323" s="101" t="s">
        <v>2515</v>
      </c>
      <c r="M323" s="18">
        <v>101801000</v>
      </c>
      <c r="N323" s="18">
        <v>101801000</v>
      </c>
      <c r="O323" s="472" t="s">
        <v>2615</v>
      </c>
      <c r="P323" s="543"/>
      <c r="Q323" s="97"/>
    </row>
    <row r="324" spans="1:17" ht="15" customHeight="1">
      <c r="A324" s="97" t="s">
        <v>243</v>
      </c>
      <c r="B324" s="97">
        <v>2011</v>
      </c>
      <c r="C324" s="97" t="s">
        <v>237</v>
      </c>
      <c r="D324" s="332" t="s">
        <v>238</v>
      </c>
      <c r="E324" s="101" t="s">
        <v>2375</v>
      </c>
      <c r="F324" s="101" t="s">
        <v>50</v>
      </c>
      <c r="G324" s="101"/>
      <c r="H324" s="18"/>
      <c r="I324" s="27"/>
      <c r="J324" s="18"/>
      <c r="K324" s="101"/>
      <c r="L324" s="101" t="s">
        <v>2516</v>
      </c>
      <c r="M324" s="18">
        <v>109335000</v>
      </c>
      <c r="N324" s="18">
        <v>109335000</v>
      </c>
      <c r="O324" s="472" t="s">
        <v>2617</v>
      </c>
      <c r="P324" s="543"/>
      <c r="Q324" s="97"/>
    </row>
    <row r="325" spans="1:17" ht="15" customHeight="1">
      <c r="A325" s="97" t="s">
        <v>243</v>
      </c>
      <c r="B325" s="97">
        <v>2011</v>
      </c>
      <c r="C325" s="97" t="s">
        <v>237</v>
      </c>
      <c r="D325" s="332" t="s">
        <v>238</v>
      </c>
      <c r="E325" s="101" t="s">
        <v>2375</v>
      </c>
      <c r="F325" s="101" t="s">
        <v>50</v>
      </c>
      <c r="G325" s="101"/>
      <c r="H325" s="18"/>
      <c r="I325" s="27"/>
      <c r="J325" s="18"/>
      <c r="K325" s="101"/>
      <c r="L325" s="101" t="s">
        <v>2517</v>
      </c>
      <c r="M325" s="18">
        <v>52422000</v>
      </c>
      <c r="N325" s="18">
        <v>52422000</v>
      </c>
      <c r="O325" s="472" t="s">
        <v>2617</v>
      </c>
      <c r="P325" s="543"/>
      <c r="Q325" s="97"/>
    </row>
    <row r="326" spans="1:17" ht="15" customHeight="1">
      <c r="A326" s="97" t="s">
        <v>243</v>
      </c>
      <c r="B326" s="97">
        <v>2011</v>
      </c>
      <c r="C326" s="97" t="s">
        <v>237</v>
      </c>
      <c r="D326" s="332" t="s">
        <v>238</v>
      </c>
      <c r="E326" s="101" t="s">
        <v>2378</v>
      </c>
      <c r="F326" s="101" t="s">
        <v>50</v>
      </c>
      <c r="G326" s="101" t="s">
        <v>98</v>
      </c>
      <c r="H326" s="18">
        <v>2255436</v>
      </c>
      <c r="I326" s="27" t="s">
        <v>2456</v>
      </c>
      <c r="J326" s="18" t="s">
        <v>871</v>
      </c>
      <c r="K326" s="101"/>
      <c r="L326" s="101" t="s">
        <v>2518</v>
      </c>
      <c r="M326" s="18">
        <v>144682000</v>
      </c>
      <c r="N326" s="18">
        <v>144682000</v>
      </c>
      <c r="O326" s="472" t="s">
        <v>2615</v>
      </c>
      <c r="P326" s="543"/>
      <c r="Q326" s="97"/>
    </row>
    <row r="327" spans="1:17" ht="15" customHeight="1">
      <c r="A327" s="97" t="s">
        <v>243</v>
      </c>
      <c r="B327" s="97">
        <v>2011</v>
      </c>
      <c r="C327" s="97" t="s">
        <v>237</v>
      </c>
      <c r="D327" s="332" t="s">
        <v>238</v>
      </c>
      <c r="E327" s="101" t="s">
        <v>2378</v>
      </c>
      <c r="F327" s="101" t="s">
        <v>50</v>
      </c>
      <c r="G327" s="101" t="s">
        <v>552</v>
      </c>
      <c r="H327" s="18">
        <v>503621</v>
      </c>
      <c r="I327" s="107" t="s">
        <v>2458</v>
      </c>
      <c r="J327" s="18" t="s">
        <v>871</v>
      </c>
      <c r="K327" s="101"/>
      <c r="L327" s="101" t="s">
        <v>2520</v>
      </c>
      <c r="M327" s="18">
        <v>4186000</v>
      </c>
      <c r="N327" s="18">
        <v>4186000</v>
      </c>
      <c r="O327" s="472" t="s">
        <v>2615</v>
      </c>
      <c r="P327" s="543"/>
      <c r="Q327" s="97"/>
    </row>
    <row r="328" spans="1:17" ht="15" customHeight="1">
      <c r="A328" s="97" t="s">
        <v>243</v>
      </c>
      <c r="B328" s="97">
        <v>2011</v>
      </c>
      <c r="C328" s="97" t="s">
        <v>237</v>
      </c>
      <c r="D328" s="332" t="s">
        <v>238</v>
      </c>
      <c r="E328" s="101" t="s">
        <v>2378</v>
      </c>
      <c r="F328" s="101" t="s">
        <v>50</v>
      </c>
      <c r="G328" s="101"/>
      <c r="H328" s="18"/>
      <c r="I328" s="27"/>
      <c r="J328" s="18"/>
      <c r="K328" s="101"/>
      <c r="L328" s="101" t="s">
        <v>2519</v>
      </c>
      <c r="M328" s="18">
        <v>5553000</v>
      </c>
      <c r="N328" s="18">
        <v>5553000</v>
      </c>
      <c r="O328" s="472" t="s">
        <v>2617</v>
      </c>
      <c r="P328" s="543"/>
      <c r="Q328" s="97"/>
    </row>
    <row r="329" spans="1:17" ht="15" customHeight="1">
      <c r="A329" s="97" t="s">
        <v>243</v>
      </c>
      <c r="B329" s="97">
        <v>2011</v>
      </c>
      <c r="C329" s="97" t="s">
        <v>237</v>
      </c>
      <c r="D329" s="332" t="s">
        <v>238</v>
      </c>
      <c r="E329" s="101" t="s">
        <v>2378</v>
      </c>
      <c r="F329" s="101" t="s">
        <v>50</v>
      </c>
      <c r="G329" s="101"/>
      <c r="H329" s="18"/>
      <c r="I329" s="27"/>
      <c r="J329" s="18"/>
      <c r="K329" s="101"/>
      <c r="L329" s="101" t="s">
        <v>2522</v>
      </c>
      <c r="M329" s="18"/>
      <c r="N329" s="18"/>
      <c r="O329" s="472"/>
      <c r="P329" s="543"/>
      <c r="Q329" s="97"/>
    </row>
    <row r="330" spans="1:17" ht="15" customHeight="1">
      <c r="A330" s="97" t="s">
        <v>243</v>
      </c>
      <c r="B330" s="97">
        <v>2011</v>
      </c>
      <c r="C330" s="97" t="s">
        <v>237</v>
      </c>
      <c r="D330" s="332" t="s">
        <v>238</v>
      </c>
      <c r="E330" s="101" t="s">
        <v>2378</v>
      </c>
      <c r="F330" s="101" t="s">
        <v>50</v>
      </c>
      <c r="G330" s="101"/>
      <c r="H330" s="18"/>
      <c r="I330" s="27"/>
      <c r="J330" s="18"/>
      <c r="K330" s="101"/>
      <c r="L330" s="101" t="s">
        <v>2523</v>
      </c>
      <c r="M330" s="18">
        <v>1327000</v>
      </c>
      <c r="N330" s="18">
        <v>1327000</v>
      </c>
      <c r="O330" s="472" t="s">
        <v>2617</v>
      </c>
      <c r="P330" s="543"/>
      <c r="Q330" s="97"/>
    </row>
    <row r="331" spans="1:17" ht="15" customHeight="1">
      <c r="A331" s="97" t="s">
        <v>243</v>
      </c>
      <c r="B331" s="97">
        <v>2011</v>
      </c>
      <c r="C331" s="97" t="s">
        <v>237</v>
      </c>
      <c r="D331" s="332" t="s">
        <v>238</v>
      </c>
      <c r="E331" s="101" t="s">
        <v>2381</v>
      </c>
      <c r="F331" s="101" t="s">
        <v>50</v>
      </c>
      <c r="G331" s="101" t="s">
        <v>98</v>
      </c>
      <c r="H331" s="18">
        <v>23000</v>
      </c>
      <c r="I331" s="27" t="s">
        <v>2456</v>
      </c>
      <c r="J331" s="18" t="s">
        <v>871</v>
      </c>
      <c r="K331" s="101"/>
      <c r="L331" s="101" t="s">
        <v>2382</v>
      </c>
      <c r="M331" s="18">
        <v>329000</v>
      </c>
      <c r="N331" s="18">
        <v>329000</v>
      </c>
      <c r="O331" s="472" t="s">
        <v>2615</v>
      </c>
      <c r="P331" s="543"/>
      <c r="Q331" s="97"/>
    </row>
    <row r="332" spans="1:17" ht="15" customHeight="1">
      <c r="A332" s="97" t="s">
        <v>243</v>
      </c>
      <c r="B332" s="97">
        <v>2011</v>
      </c>
      <c r="C332" s="97" t="s">
        <v>237</v>
      </c>
      <c r="D332" s="332" t="s">
        <v>238</v>
      </c>
      <c r="E332" s="101" t="s">
        <v>2381</v>
      </c>
      <c r="F332" s="101" t="s">
        <v>50</v>
      </c>
      <c r="G332" s="101"/>
      <c r="H332" s="18"/>
      <c r="I332" s="27"/>
      <c r="J332" s="18"/>
      <c r="K332" s="101"/>
      <c r="L332" s="101" t="s">
        <v>2626</v>
      </c>
      <c r="M332" s="18"/>
      <c r="N332" s="18"/>
      <c r="O332" s="472"/>
      <c r="P332" s="543"/>
      <c r="Q332" s="97"/>
    </row>
    <row r="333" spans="1:17" ht="15" customHeight="1">
      <c r="A333" s="97" t="s">
        <v>243</v>
      </c>
      <c r="B333" s="97">
        <v>2011</v>
      </c>
      <c r="C333" s="97" t="s">
        <v>237</v>
      </c>
      <c r="D333" s="332" t="s">
        <v>238</v>
      </c>
      <c r="E333" s="101" t="s">
        <v>2387</v>
      </c>
      <c r="F333" s="101" t="s">
        <v>50</v>
      </c>
      <c r="G333" s="101" t="s">
        <v>98</v>
      </c>
      <c r="H333" s="18">
        <v>1366796</v>
      </c>
      <c r="I333" s="27" t="s">
        <v>2456</v>
      </c>
      <c r="J333" s="18" t="s">
        <v>871</v>
      </c>
      <c r="K333" s="101"/>
      <c r="L333" s="101" t="s">
        <v>2388</v>
      </c>
      <c r="M333" s="18">
        <v>84528000</v>
      </c>
      <c r="N333" s="18">
        <v>85283000</v>
      </c>
      <c r="O333" s="472" t="s">
        <v>2615</v>
      </c>
      <c r="P333" s="543"/>
      <c r="Q333" s="97"/>
    </row>
    <row r="334" spans="1:17" ht="15" customHeight="1">
      <c r="A334" s="97" t="s">
        <v>243</v>
      </c>
      <c r="B334" s="97">
        <v>2011</v>
      </c>
      <c r="C334" s="97" t="s">
        <v>237</v>
      </c>
      <c r="D334" s="332" t="s">
        <v>238</v>
      </c>
      <c r="E334" s="101" t="s">
        <v>2387</v>
      </c>
      <c r="F334" s="101" t="s">
        <v>50</v>
      </c>
      <c r="G334" s="101" t="s">
        <v>552</v>
      </c>
      <c r="H334" s="18">
        <v>212625923</v>
      </c>
      <c r="I334" s="27" t="s">
        <v>2458</v>
      </c>
      <c r="J334" s="18" t="s">
        <v>871</v>
      </c>
      <c r="K334" s="101"/>
      <c r="L334" s="101" t="s">
        <v>2524</v>
      </c>
      <c r="M334" s="18">
        <v>13313000</v>
      </c>
      <c r="N334" s="18">
        <v>13313000</v>
      </c>
      <c r="O334" s="472" t="s">
        <v>2615</v>
      </c>
      <c r="P334" s="543"/>
      <c r="Q334" s="97"/>
    </row>
    <row r="335" spans="1:17" ht="15" customHeight="1">
      <c r="A335" s="97" t="s">
        <v>243</v>
      </c>
      <c r="B335" s="97">
        <v>2011</v>
      </c>
      <c r="C335" s="97" t="s">
        <v>237</v>
      </c>
      <c r="D335" s="332" t="s">
        <v>238</v>
      </c>
      <c r="E335" s="101" t="s">
        <v>2387</v>
      </c>
      <c r="F335" s="101" t="s">
        <v>50</v>
      </c>
      <c r="G335" s="101"/>
      <c r="H335" s="18"/>
      <c r="I335" s="27"/>
      <c r="J335" s="18"/>
      <c r="K335" s="101"/>
      <c r="L335" s="101" t="s">
        <v>2525</v>
      </c>
      <c r="M335" s="18">
        <v>11550000</v>
      </c>
      <c r="N335" s="18">
        <v>11550000</v>
      </c>
      <c r="O335" s="472" t="s">
        <v>2617</v>
      </c>
      <c r="P335" s="543"/>
      <c r="Q335" s="97"/>
    </row>
    <row r="336" spans="1:17" ht="15" customHeight="1">
      <c r="A336" s="97" t="s">
        <v>243</v>
      </c>
      <c r="B336" s="97">
        <v>2011</v>
      </c>
      <c r="C336" s="97" t="s">
        <v>237</v>
      </c>
      <c r="D336" s="332" t="s">
        <v>238</v>
      </c>
      <c r="E336" s="101" t="s">
        <v>2387</v>
      </c>
      <c r="F336" s="101" t="s">
        <v>50</v>
      </c>
      <c r="G336" s="101"/>
      <c r="H336" s="18"/>
      <c r="I336" s="27"/>
      <c r="J336" s="18"/>
      <c r="K336" s="101"/>
      <c r="L336" s="101" t="s">
        <v>2526</v>
      </c>
      <c r="M336" s="18">
        <v>8084000</v>
      </c>
      <c r="N336" s="18">
        <v>8084000</v>
      </c>
      <c r="O336" s="472" t="s">
        <v>2617</v>
      </c>
      <c r="P336" s="543"/>
      <c r="Q336" s="97"/>
    </row>
    <row r="337" spans="1:17" ht="15" customHeight="1">
      <c r="A337" s="97" t="s">
        <v>243</v>
      </c>
      <c r="B337" s="97">
        <v>2011</v>
      </c>
      <c r="C337" s="97" t="s">
        <v>237</v>
      </c>
      <c r="D337" s="332" t="s">
        <v>238</v>
      </c>
      <c r="E337" s="101" t="s">
        <v>2393</v>
      </c>
      <c r="F337" s="101" t="s">
        <v>50</v>
      </c>
      <c r="G337" s="101" t="s">
        <v>98</v>
      </c>
      <c r="H337" s="18">
        <v>138146</v>
      </c>
      <c r="I337" s="27" t="s">
        <v>2456</v>
      </c>
      <c r="J337" s="18" t="s">
        <v>871</v>
      </c>
      <c r="K337" s="101"/>
      <c r="L337" s="101" t="s">
        <v>2394</v>
      </c>
      <c r="M337" s="18">
        <v>9249000</v>
      </c>
      <c r="N337" s="18">
        <v>9342000</v>
      </c>
      <c r="O337" s="472" t="s">
        <v>2615</v>
      </c>
      <c r="P337" s="543"/>
      <c r="Q337" s="97"/>
    </row>
    <row r="338" spans="1:17" ht="15" customHeight="1">
      <c r="A338" s="97" t="s">
        <v>243</v>
      </c>
      <c r="B338" s="97">
        <v>2011</v>
      </c>
      <c r="C338" s="97" t="s">
        <v>237</v>
      </c>
      <c r="D338" s="332" t="s">
        <v>238</v>
      </c>
      <c r="E338" s="101" t="s">
        <v>2393</v>
      </c>
      <c r="F338" s="101" t="s">
        <v>50</v>
      </c>
      <c r="G338" s="101" t="s">
        <v>552</v>
      </c>
      <c r="H338" s="18">
        <v>21490692</v>
      </c>
      <c r="I338" s="27" t="s">
        <v>2458</v>
      </c>
      <c r="J338" s="18" t="s">
        <v>871</v>
      </c>
      <c r="K338" s="101"/>
      <c r="L338" s="101" t="s">
        <v>2527</v>
      </c>
      <c r="M338" s="18">
        <v>3279000</v>
      </c>
      <c r="N338" s="18">
        <v>3205000</v>
      </c>
      <c r="O338" s="472" t="s">
        <v>2615</v>
      </c>
      <c r="P338" s="543"/>
      <c r="Q338" s="97"/>
    </row>
    <row r="339" spans="1:17" ht="15" customHeight="1">
      <c r="A339" s="97" t="s">
        <v>243</v>
      </c>
      <c r="B339" s="97">
        <v>2011</v>
      </c>
      <c r="C339" s="97" t="s">
        <v>237</v>
      </c>
      <c r="D339" s="332" t="s">
        <v>238</v>
      </c>
      <c r="E339" s="101" t="s">
        <v>2393</v>
      </c>
      <c r="F339" s="101" t="s">
        <v>50</v>
      </c>
      <c r="G339" s="101"/>
      <c r="H339" s="18"/>
      <c r="I339" s="27"/>
      <c r="J339" s="18"/>
      <c r="K339" s="101"/>
      <c r="L339" s="101" t="s">
        <v>2528</v>
      </c>
      <c r="M339" s="18">
        <v>1746000</v>
      </c>
      <c r="N339" s="18">
        <v>1746000</v>
      </c>
      <c r="O339" s="472" t="s">
        <v>2617</v>
      </c>
      <c r="P339" s="543"/>
      <c r="Q339" s="97"/>
    </row>
    <row r="340" spans="1:17" ht="15" customHeight="1">
      <c r="A340" s="97" t="s">
        <v>243</v>
      </c>
      <c r="B340" s="97">
        <v>2011</v>
      </c>
      <c r="C340" s="97" t="s">
        <v>237</v>
      </c>
      <c r="D340" s="332" t="s">
        <v>238</v>
      </c>
      <c r="E340" s="101" t="s">
        <v>2529</v>
      </c>
      <c r="F340" s="101" t="s">
        <v>50</v>
      </c>
      <c r="G340" s="101" t="s">
        <v>98</v>
      </c>
      <c r="H340" s="18">
        <v>6034190</v>
      </c>
      <c r="I340" s="27" t="s">
        <v>2456</v>
      </c>
      <c r="J340" s="18" t="s">
        <v>871</v>
      </c>
      <c r="K340" s="101"/>
      <c r="L340" s="101" t="s">
        <v>2397</v>
      </c>
      <c r="M340" s="18">
        <v>384957000</v>
      </c>
      <c r="N340" s="18">
        <v>384957000</v>
      </c>
      <c r="O340" s="472" t="s">
        <v>2615</v>
      </c>
      <c r="P340" s="543"/>
      <c r="Q340" s="97"/>
    </row>
    <row r="341" spans="1:17" ht="15" customHeight="1">
      <c r="A341" s="97" t="s">
        <v>243</v>
      </c>
      <c r="B341" s="97">
        <v>2011</v>
      </c>
      <c r="C341" s="97" t="s">
        <v>237</v>
      </c>
      <c r="D341" s="332" t="s">
        <v>238</v>
      </c>
      <c r="E341" s="101" t="s">
        <v>2529</v>
      </c>
      <c r="F341" s="101" t="s">
        <v>50</v>
      </c>
      <c r="G341" s="101" t="s">
        <v>552</v>
      </c>
      <c r="H341" s="18">
        <v>2339380</v>
      </c>
      <c r="I341" s="27" t="s">
        <v>2458</v>
      </c>
      <c r="J341" s="18" t="s">
        <v>871</v>
      </c>
      <c r="K341" s="101"/>
      <c r="L341" s="101" t="s">
        <v>2530</v>
      </c>
      <c r="M341" s="18">
        <v>2754000</v>
      </c>
      <c r="N341" s="18">
        <v>2754000</v>
      </c>
      <c r="O341" s="472" t="s">
        <v>2615</v>
      </c>
      <c r="P341" s="543"/>
      <c r="Q341" s="97"/>
    </row>
    <row r="342" spans="1:17" ht="15" customHeight="1">
      <c r="A342" s="97" t="s">
        <v>243</v>
      </c>
      <c r="B342" s="97">
        <v>2011</v>
      </c>
      <c r="C342" s="97" t="s">
        <v>237</v>
      </c>
      <c r="D342" s="332" t="s">
        <v>238</v>
      </c>
      <c r="E342" s="101" t="s">
        <v>2399</v>
      </c>
      <c r="F342" s="101" t="s">
        <v>50</v>
      </c>
      <c r="G342" s="101" t="s">
        <v>98</v>
      </c>
      <c r="H342" s="18">
        <v>2715261</v>
      </c>
      <c r="I342" s="27" t="s">
        <v>2456</v>
      </c>
      <c r="J342" s="18" t="s">
        <v>871</v>
      </c>
      <c r="K342" s="101"/>
      <c r="L342" s="101" t="s">
        <v>2400</v>
      </c>
      <c r="M342" s="18">
        <v>419430000</v>
      </c>
      <c r="N342" s="18">
        <v>419430000</v>
      </c>
      <c r="O342" s="472" t="s">
        <v>2615</v>
      </c>
      <c r="P342" s="543"/>
      <c r="Q342" s="97"/>
    </row>
    <row r="343" spans="1:17" ht="15" customHeight="1">
      <c r="A343" s="97" t="s">
        <v>243</v>
      </c>
      <c r="B343" s="97">
        <v>2011</v>
      </c>
      <c r="C343" s="97" t="s">
        <v>237</v>
      </c>
      <c r="D343" s="332" t="s">
        <v>238</v>
      </c>
      <c r="E343" s="101" t="s">
        <v>2399</v>
      </c>
      <c r="F343" s="101" t="s">
        <v>50</v>
      </c>
      <c r="G343" s="101" t="s">
        <v>552</v>
      </c>
      <c r="H343" s="18">
        <v>43785025</v>
      </c>
      <c r="I343" s="27" t="s">
        <v>2458</v>
      </c>
      <c r="J343" s="18" t="s">
        <v>871</v>
      </c>
      <c r="K343" s="101"/>
      <c r="L343" s="101"/>
      <c r="M343" s="18"/>
      <c r="N343" s="18"/>
      <c r="O343" s="472" t="s">
        <v>2619</v>
      </c>
      <c r="P343" s="543"/>
      <c r="Q343" s="97"/>
    </row>
    <row r="344" spans="1:17" ht="15" customHeight="1">
      <c r="A344" s="97" t="s">
        <v>243</v>
      </c>
      <c r="B344" s="97">
        <v>2011</v>
      </c>
      <c r="C344" s="97" t="s">
        <v>237</v>
      </c>
      <c r="D344" s="332" t="s">
        <v>238</v>
      </c>
      <c r="E344" s="101" t="s">
        <v>2402</v>
      </c>
      <c r="F344" s="101" t="s">
        <v>50</v>
      </c>
      <c r="G344" s="101" t="s">
        <v>98</v>
      </c>
      <c r="H344" s="18">
        <v>864596</v>
      </c>
      <c r="I344" s="27" t="s">
        <v>2456</v>
      </c>
      <c r="J344" s="18" t="s">
        <v>871</v>
      </c>
      <c r="K344" s="101"/>
      <c r="L344" s="101" t="s">
        <v>2403</v>
      </c>
      <c r="M344" s="18">
        <v>76111000</v>
      </c>
      <c r="N344" s="18">
        <v>76111000</v>
      </c>
      <c r="O344" s="472" t="s">
        <v>2615</v>
      </c>
      <c r="P344" s="543"/>
      <c r="Q344" s="97"/>
    </row>
    <row r="345" spans="1:17" ht="15" customHeight="1">
      <c r="A345" s="97" t="s">
        <v>243</v>
      </c>
      <c r="B345" s="97">
        <v>2011</v>
      </c>
      <c r="C345" s="97" t="s">
        <v>237</v>
      </c>
      <c r="D345" s="332" t="s">
        <v>238</v>
      </c>
      <c r="E345" s="101" t="s">
        <v>2402</v>
      </c>
      <c r="F345" s="101" t="s">
        <v>50</v>
      </c>
      <c r="G345" s="101" t="s">
        <v>552</v>
      </c>
      <c r="H345" s="18">
        <v>1677906</v>
      </c>
      <c r="I345" s="27" t="s">
        <v>2458</v>
      </c>
      <c r="J345" s="18" t="s">
        <v>871</v>
      </c>
      <c r="K345" s="101"/>
      <c r="L345" s="101"/>
      <c r="M345" s="18"/>
      <c r="N345" s="18"/>
      <c r="O345" s="472" t="s">
        <v>2619</v>
      </c>
      <c r="P345" s="543"/>
      <c r="Q345" s="97"/>
    </row>
    <row r="346" spans="1:17" ht="15" customHeight="1">
      <c r="A346" s="97" t="s">
        <v>243</v>
      </c>
      <c r="B346" s="97">
        <v>2011</v>
      </c>
      <c r="C346" s="97" t="s">
        <v>237</v>
      </c>
      <c r="D346" s="332" t="s">
        <v>238</v>
      </c>
      <c r="E346" s="101" t="s">
        <v>2405</v>
      </c>
      <c r="F346" s="101" t="s">
        <v>50</v>
      </c>
      <c r="G346" s="101" t="s">
        <v>98</v>
      </c>
      <c r="H346" s="18">
        <v>134</v>
      </c>
      <c r="I346" s="27" t="s">
        <v>2456</v>
      </c>
      <c r="J346" s="18" t="s">
        <v>871</v>
      </c>
      <c r="K346" s="101"/>
      <c r="L346" s="101" t="s">
        <v>2406</v>
      </c>
      <c r="M346" s="18">
        <v>4492000</v>
      </c>
      <c r="N346" s="18">
        <v>4492000</v>
      </c>
      <c r="O346" s="472" t="s">
        <v>2615</v>
      </c>
      <c r="P346" s="543"/>
      <c r="Q346" s="97"/>
    </row>
    <row r="347" spans="1:17" ht="15" customHeight="1">
      <c r="A347" s="97" t="s">
        <v>243</v>
      </c>
      <c r="B347" s="97">
        <v>2011</v>
      </c>
      <c r="C347" s="97" t="s">
        <v>237</v>
      </c>
      <c r="D347" s="332" t="s">
        <v>238</v>
      </c>
      <c r="E347" s="101" t="s">
        <v>2405</v>
      </c>
      <c r="F347" s="101" t="s">
        <v>50</v>
      </c>
      <c r="G347" s="101" t="s">
        <v>552</v>
      </c>
      <c r="H347" s="18">
        <v>9819032</v>
      </c>
      <c r="I347" s="27" t="s">
        <v>2458</v>
      </c>
      <c r="J347" s="18" t="s">
        <v>871</v>
      </c>
      <c r="K347" s="101"/>
      <c r="L347" s="101" t="s">
        <v>2531</v>
      </c>
      <c r="M347" s="18"/>
      <c r="N347" s="18"/>
      <c r="O347" s="472" t="s">
        <v>2619</v>
      </c>
      <c r="P347" s="543"/>
      <c r="Q347" s="97"/>
    </row>
    <row r="348" spans="1:17" ht="15" customHeight="1">
      <c r="A348" s="97" t="s">
        <v>243</v>
      </c>
      <c r="B348" s="97">
        <v>2011</v>
      </c>
      <c r="C348" s="97" t="s">
        <v>237</v>
      </c>
      <c r="D348" s="332" t="s">
        <v>238</v>
      </c>
      <c r="E348" s="101" t="s">
        <v>2405</v>
      </c>
      <c r="F348" s="101" t="s">
        <v>50</v>
      </c>
      <c r="G348" s="101"/>
      <c r="H348" s="18"/>
      <c r="I348" s="27"/>
      <c r="J348" s="18"/>
      <c r="K348" s="101"/>
      <c r="L348" s="101" t="s">
        <v>2532</v>
      </c>
      <c r="M348" s="18"/>
      <c r="N348" s="18"/>
      <c r="O348" s="472"/>
      <c r="P348" s="543"/>
      <c r="Q348" s="97"/>
    </row>
    <row r="349" spans="1:17" ht="15" customHeight="1">
      <c r="A349" s="97" t="s">
        <v>243</v>
      </c>
      <c r="B349" s="97">
        <v>2011</v>
      </c>
      <c r="C349" s="97" t="s">
        <v>237</v>
      </c>
      <c r="D349" s="332" t="s">
        <v>238</v>
      </c>
      <c r="E349" s="101" t="s">
        <v>2533</v>
      </c>
      <c r="F349" s="101" t="s">
        <v>50</v>
      </c>
      <c r="G349" s="101"/>
      <c r="H349" s="18"/>
      <c r="I349" s="27"/>
      <c r="J349" s="18"/>
      <c r="K349" s="101"/>
      <c r="L349" s="101" t="s">
        <v>2534</v>
      </c>
      <c r="M349" s="18"/>
      <c r="N349" s="18"/>
      <c r="O349" s="472"/>
      <c r="P349" s="543"/>
      <c r="Q349" s="97"/>
    </row>
    <row r="350" spans="1:17" ht="15" customHeight="1">
      <c r="A350" s="97" t="s">
        <v>243</v>
      </c>
      <c r="B350" s="97">
        <v>2011</v>
      </c>
      <c r="C350" s="97" t="s">
        <v>237</v>
      </c>
      <c r="D350" s="332" t="s">
        <v>238</v>
      </c>
      <c r="E350" s="101" t="s">
        <v>2533</v>
      </c>
      <c r="F350" s="101" t="s">
        <v>50</v>
      </c>
      <c r="G350" s="101"/>
      <c r="H350" s="18"/>
      <c r="I350" s="27"/>
      <c r="J350" s="18"/>
      <c r="K350" s="101"/>
      <c r="L350" s="101" t="s">
        <v>2535</v>
      </c>
      <c r="M350" s="18"/>
      <c r="N350" s="18"/>
      <c r="O350" s="472"/>
      <c r="P350" s="543"/>
      <c r="Q350" s="97"/>
    </row>
    <row r="351" spans="1:17" ht="15" customHeight="1">
      <c r="A351" s="97" t="s">
        <v>243</v>
      </c>
      <c r="B351" s="97">
        <v>2011</v>
      </c>
      <c r="C351" s="97" t="s">
        <v>237</v>
      </c>
      <c r="D351" s="332" t="s">
        <v>238</v>
      </c>
      <c r="E351" s="101" t="s">
        <v>2533</v>
      </c>
      <c r="F351" s="101" t="s">
        <v>50</v>
      </c>
      <c r="G351" s="101"/>
      <c r="H351" s="18"/>
      <c r="I351" s="27"/>
      <c r="J351" s="18"/>
      <c r="K351" s="101"/>
      <c r="L351" s="101" t="s">
        <v>2536</v>
      </c>
      <c r="M351" s="18"/>
      <c r="N351" s="18"/>
      <c r="O351" s="472"/>
      <c r="P351" s="543"/>
      <c r="Q351" s="97"/>
    </row>
    <row r="352" spans="1:17" ht="15" customHeight="1">
      <c r="A352" s="97" t="s">
        <v>243</v>
      </c>
      <c r="B352" s="97">
        <v>2011</v>
      </c>
      <c r="C352" s="97" t="s">
        <v>237</v>
      </c>
      <c r="D352" s="332" t="s">
        <v>238</v>
      </c>
      <c r="E352" s="101" t="s">
        <v>2537</v>
      </c>
      <c r="F352" s="101" t="s">
        <v>50</v>
      </c>
      <c r="G352" s="101" t="s">
        <v>98</v>
      </c>
      <c r="H352" s="18">
        <v>874135</v>
      </c>
      <c r="I352" s="27" t="s">
        <v>2456</v>
      </c>
      <c r="J352" s="18" t="s">
        <v>871</v>
      </c>
      <c r="K352" s="101"/>
      <c r="L352" s="101" t="s">
        <v>2409</v>
      </c>
      <c r="M352" s="18">
        <v>245866000</v>
      </c>
      <c r="N352" s="18">
        <v>231457000</v>
      </c>
      <c r="O352" s="472" t="s">
        <v>2615</v>
      </c>
      <c r="P352" s="543"/>
      <c r="Q352" s="97"/>
    </row>
    <row r="353" spans="1:17" ht="15" customHeight="1">
      <c r="A353" s="97" t="s">
        <v>243</v>
      </c>
      <c r="B353" s="97">
        <v>2011</v>
      </c>
      <c r="C353" s="97" t="s">
        <v>237</v>
      </c>
      <c r="D353" s="332" t="s">
        <v>238</v>
      </c>
      <c r="E353" s="101" t="s">
        <v>2537</v>
      </c>
      <c r="F353" s="101" t="s">
        <v>50</v>
      </c>
      <c r="G353" s="101" t="s">
        <v>552</v>
      </c>
      <c r="H353" s="18">
        <v>54512</v>
      </c>
      <c r="I353" s="27" t="s">
        <v>2458</v>
      </c>
      <c r="J353" s="18" t="s">
        <v>871</v>
      </c>
      <c r="K353" s="101"/>
      <c r="L353" s="101" t="s">
        <v>2538</v>
      </c>
      <c r="M353" s="18">
        <v>30305000</v>
      </c>
      <c r="N353" s="18">
        <v>30305000</v>
      </c>
      <c r="O353" s="472" t="s">
        <v>2615</v>
      </c>
      <c r="P353" s="543"/>
      <c r="Q353" s="97"/>
    </row>
    <row r="354" spans="1:17" ht="15" customHeight="1">
      <c r="A354" s="97" t="s">
        <v>243</v>
      </c>
      <c r="B354" s="97">
        <v>2011</v>
      </c>
      <c r="C354" s="97" t="s">
        <v>237</v>
      </c>
      <c r="D354" s="332" t="s">
        <v>238</v>
      </c>
      <c r="E354" s="101" t="s">
        <v>2537</v>
      </c>
      <c r="F354" s="101" t="s">
        <v>50</v>
      </c>
      <c r="G354" s="101"/>
      <c r="H354" s="18"/>
      <c r="I354" s="27"/>
      <c r="J354" s="18"/>
      <c r="K354" s="101"/>
      <c r="L354" s="101" t="s">
        <v>2539</v>
      </c>
      <c r="M354" s="18">
        <v>20911000</v>
      </c>
      <c r="N354" s="18">
        <v>20911000</v>
      </c>
      <c r="O354" s="472" t="s">
        <v>2617</v>
      </c>
      <c r="P354" s="543"/>
      <c r="Q354" s="97"/>
    </row>
    <row r="355" spans="1:17" ht="15" customHeight="1">
      <c r="A355" s="97" t="s">
        <v>243</v>
      </c>
      <c r="B355" s="97">
        <v>2011</v>
      </c>
      <c r="C355" s="97" t="s">
        <v>237</v>
      </c>
      <c r="D355" s="332" t="s">
        <v>238</v>
      </c>
      <c r="E355" s="101" t="s">
        <v>2537</v>
      </c>
      <c r="F355" s="101" t="s">
        <v>50</v>
      </c>
      <c r="G355" s="101"/>
      <c r="H355" s="18"/>
      <c r="I355" s="27"/>
      <c r="J355" s="18"/>
      <c r="K355" s="101"/>
      <c r="L355" s="101" t="s">
        <v>2540</v>
      </c>
      <c r="M355" s="18">
        <v>13637000</v>
      </c>
      <c r="N355" s="18">
        <v>13637000</v>
      </c>
      <c r="O355" s="472" t="s">
        <v>2617</v>
      </c>
      <c r="P355" s="543"/>
      <c r="Q355" s="97"/>
    </row>
    <row r="356" spans="1:17" ht="15" customHeight="1">
      <c r="A356" s="97" t="s">
        <v>243</v>
      </c>
      <c r="B356" s="97">
        <v>2011</v>
      </c>
      <c r="C356" s="97" t="s">
        <v>237</v>
      </c>
      <c r="D356" s="332" t="s">
        <v>238</v>
      </c>
      <c r="E356" s="101" t="s">
        <v>2411</v>
      </c>
      <c r="F356" s="101" t="s">
        <v>50</v>
      </c>
      <c r="G356" s="101" t="s">
        <v>98</v>
      </c>
      <c r="H356" s="18">
        <v>2607065</v>
      </c>
      <c r="I356" s="27" t="s">
        <v>2456</v>
      </c>
      <c r="J356" s="18" t="s">
        <v>871</v>
      </c>
      <c r="K356" s="101"/>
      <c r="L356" s="101" t="s">
        <v>2541</v>
      </c>
      <c r="M356" s="18">
        <v>158154000</v>
      </c>
      <c r="N356" s="18">
        <v>155534000</v>
      </c>
      <c r="O356" s="472" t="s">
        <v>2615</v>
      </c>
      <c r="P356" s="543"/>
      <c r="Q356" s="97"/>
    </row>
    <row r="357" spans="1:17" ht="15" customHeight="1">
      <c r="A357" s="97" t="s">
        <v>243</v>
      </c>
      <c r="B357" s="97">
        <v>2011</v>
      </c>
      <c r="C357" s="97" t="s">
        <v>237</v>
      </c>
      <c r="D357" s="332" t="s">
        <v>238</v>
      </c>
      <c r="E357" s="101" t="s">
        <v>2411</v>
      </c>
      <c r="F357" s="101" t="s">
        <v>50</v>
      </c>
      <c r="G357" s="101"/>
      <c r="H357" s="18"/>
      <c r="I357" s="27"/>
      <c r="J357" s="18"/>
      <c r="K357" s="101"/>
      <c r="L357" s="101" t="s">
        <v>2542</v>
      </c>
      <c r="M357" s="18">
        <v>6959000</v>
      </c>
      <c r="N357" s="18">
        <v>6959000</v>
      </c>
      <c r="O357" s="472" t="s">
        <v>2617</v>
      </c>
      <c r="P357" s="543"/>
      <c r="Q357" s="97"/>
    </row>
    <row r="358" spans="1:17" ht="15" customHeight="1">
      <c r="A358" s="97" t="s">
        <v>243</v>
      </c>
      <c r="B358" s="97">
        <v>2011</v>
      </c>
      <c r="C358" s="97" t="s">
        <v>237</v>
      </c>
      <c r="D358" s="332" t="s">
        <v>238</v>
      </c>
      <c r="E358" s="101" t="s">
        <v>2411</v>
      </c>
      <c r="F358" s="101" t="s">
        <v>50</v>
      </c>
      <c r="G358" s="101"/>
      <c r="H358" s="18"/>
      <c r="I358" s="27"/>
      <c r="J358" s="18"/>
      <c r="K358" s="101"/>
      <c r="L358" s="101" t="s">
        <v>2543</v>
      </c>
      <c r="M358" s="18">
        <v>312000</v>
      </c>
      <c r="N358" s="18">
        <v>233000</v>
      </c>
      <c r="O358" s="472" t="s">
        <v>2617</v>
      </c>
      <c r="P358" s="543"/>
      <c r="Q358" s="97"/>
    </row>
    <row r="359" spans="1:17" ht="15" customHeight="1">
      <c r="A359" s="97" t="s">
        <v>243</v>
      </c>
      <c r="B359" s="97">
        <v>2011</v>
      </c>
      <c r="C359" s="97" t="s">
        <v>237</v>
      </c>
      <c r="D359" s="332" t="s">
        <v>238</v>
      </c>
      <c r="E359" s="101" t="s">
        <v>2411</v>
      </c>
      <c r="F359" s="101" t="s">
        <v>50</v>
      </c>
      <c r="G359" s="101"/>
      <c r="H359" s="18"/>
      <c r="I359" s="27"/>
      <c r="J359" s="18"/>
      <c r="K359" s="101"/>
      <c r="L359" s="101" t="s">
        <v>2544</v>
      </c>
      <c r="M359" s="18"/>
      <c r="N359" s="18"/>
      <c r="O359" s="472"/>
      <c r="P359" s="543"/>
      <c r="Q359" s="97"/>
    </row>
    <row r="360" spans="1:17" ht="15" customHeight="1">
      <c r="A360" s="97" t="s">
        <v>243</v>
      </c>
      <c r="B360" s="97">
        <v>2011</v>
      </c>
      <c r="C360" s="97" t="s">
        <v>237</v>
      </c>
      <c r="D360" s="332" t="s">
        <v>238</v>
      </c>
      <c r="E360" s="101" t="s">
        <v>2414</v>
      </c>
      <c r="F360" s="101" t="s">
        <v>50</v>
      </c>
      <c r="G360" s="101" t="s">
        <v>98</v>
      </c>
      <c r="H360" s="18">
        <v>923906</v>
      </c>
      <c r="I360" s="27" t="s">
        <v>2456</v>
      </c>
      <c r="J360" s="18" t="s">
        <v>871</v>
      </c>
      <c r="K360" s="101"/>
      <c r="L360" s="101" t="s">
        <v>2415</v>
      </c>
      <c r="M360" s="18">
        <v>18533000</v>
      </c>
      <c r="N360" s="18">
        <v>18481000</v>
      </c>
      <c r="O360" s="472" t="s">
        <v>2615</v>
      </c>
      <c r="P360" s="543"/>
      <c r="Q360" s="97"/>
    </row>
    <row r="361" spans="1:17" ht="15" customHeight="1">
      <c r="A361" s="97" t="s">
        <v>243</v>
      </c>
      <c r="B361" s="97">
        <v>2011</v>
      </c>
      <c r="C361" s="97" t="s">
        <v>237</v>
      </c>
      <c r="D361" s="332" t="s">
        <v>238</v>
      </c>
      <c r="E361" s="101" t="s">
        <v>2414</v>
      </c>
      <c r="F361" s="101" t="s">
        <v>50</v>
      </c>
      <c r="G361" s="101" t="s">
        <v>552</v>
      </c>
      <c r="H361" s="18">
        <v>8885555</v>
      </c>
      <c r="I361" s="27" t="s">
        <v>2458</v>
      </c>
      <c r="J361" s="18" t="s">
        <v>871</v>
      </c>
      <c r="K361" s="101"/>
      <c r="L361" s="101" t="s">
        <v>2545</v>
      </c>
      <c r="M361" s="18"/>
      <c r="N361" s="18"/>
      <c r="O361" s="472" t="s">
        <v>2619</v>
      </c>
      <c r="P361" s="543"/>
      <c r="Q361" s="97"/>
    </row>
    <row r="362" spans="1:17" ht="15" customHeight="1">
      <c r="A362" s="97" t="s">
        <v>243</v>
      </c>
      <c r="B362" s="97">
        <v>2011</v>
      </c>
      <c r="C362" s="97" t="s">
        <v>237</v>
      </c>
      <c r="D362" s="332" t="s">
        <v>238</v>
      </c>
      <c r="E362" s="101" t="s">
        <v>2417</v>
      </c>
      <c r="F362" s="101" t="s">
        <v>50</v>
      </c>
      <c r="G362" s="101" t="s">
        <v>552</v>
      </c>
      <c r="H362" s="18">
        <v>1348585</v>
      </c>
      <c r="I362" s="27" t="s">
        <v>2458</v>
      </c>
      <c r="J362" s="18" t="s">
        <v>871</v>
      </c>
      <c r="K362" s="101"/>
      <c r="L362" s="101" t="s">
        <v>2627</v>
      </c>
      <c r="M362" s="18">
        <v>246000</v>
      </c>
      <c r="N362" s="18">
        <v>246000</v>
      </c>
      <c r="O362" s="472" t="s">
        <v>2615</v>
      </c>
      <c r="P362" s="543"/>
      <c r="Q362" s="97"/>
    </row>
    <row r="363" spans="1:17" ht="15" customHeight="1">
      <c r="A363" s="97" t="s">
        <v>243</v>
      </c>
      <c r="B363" s="97">
        <v>2011</v>
      </c>
      <c r="C363" s="97" t="s">
        <v>237</v>
      </c>
      <c r="D363" s="332" t="s">
        <v>238</v>
      </c>
      <c r="E363" s="101" t="s">
        <v>2420</v>
      </c>
      <c r="F363" s="101" t="s">
        <v>50</v>
      </c>
      <c r="G363" s="101" t="s">
        <v>552</v>
      </c>
      <c r="H363" s="18">
        <v>1581449</v>
      </c>
      <c r="I363" s="27" t="s">
        <v>2458</v>
      </c>
      <c r="J363" s="18" t="s">
        <v>871</v>
      </c>
      <c r="K363" s="101"/>
      <c r="L363" s="101" t="s">
        <v>2421</v>
      </c>
      <c r="M363" s="18">
        <v>1098000</v>
      </c>
      <c r="N363" s="18">
        <v>1098000</v>
      </c>
      <c r="O363" s="472" t="s">
        <v>2615</v>
      </c>
      <c r="P363" s="543"/>
      <c r="Q363" s="97"/>
    </row>
    <row r="364" spans="1:17" ht="15" customHeight="1">
      <c r="A364" s="97" t="s">
        <v>243</v>
      </c>
      <c r="B364" s="97">
        <v>2011</v>
      </c>
      <c r="C364" s="97" t="s">
        <v>237</v>
      </c>
      <c r="D364" s="332" t="s">
        <v>238</v>
      </c>
      <c r="E364" s="101" t="s">
        <v>2420</v>
      </c>
      <c r="F364" s="101" t="s">
        <v>50</v>
      </c>
      <c r="G364" s="101"/>
      <c r="H364" s="18"/>
      <c r="I364" s="27"/>
      <c r="J364" s="18"/>
      <c r="K364" s="101"/>
      <c r="L364" s="101" t="s">
        <v>2546</v>
      </c>
      <c r="M364" s="18"/>
      <c r="N364" s="18"/>
      <c r="O364" s="472"/>
      <c r="P364" s="543"/>
      <c r="Q364" s="97"/>
    </row>
    <row r="365" spans="1:17" ht="15" customHeight="1">
      <c r="A365" s="97" t="s">
        <v>243</v>
      </c>
      <c r="B365" s="97">
        <v>2011</v>
      </c>
      <c r="C365" s="97" t="s">
        <v>237</v>
      </c>
      <c r="D365" s="332" t="s">
        <v>238</v>
      </c>
      <c r="E365" s="101" t="s">
        <v>2420</v>
      </c>
      <c r="F365" s="101" t="s">
        <v>50</v>
      </c>
      <c r="G365" s="101"/>
      <c r="H365" s="18"/>
      <c r="I365" s="27"/>
      <c r="J365" s="18"/>
      <c r="K365" s="101"/>
      <c r="L365" s="101" t="s">
        <v>2547</v>
      </c>
      <c r="M365" s="18"/>
      <c r="N365" s="18"/>
      <c r="O365" s="472"/>
      <c r="P365" s="543"/>
      <c r="Q365" s="97"/>
    </row>
    <row r="366" spans="1:17" ht="15" customHeight="1">
      <c r="A366" s="97" t="s">
        <v>243</v>
      </c>
      <c r="B366" s="97">
        <v>2011</v>
      </c>
      <c r="C366" s="97" t="s">
        <v>237</v>
      </c>
      <c r="D366" s="332" t="s">
        <v>238</v>
      </c>
      <c r="E366" s="101" t="s">
        <v>2548</v>
      </c>
      <c r="F366" s="101" t="s">
        <v>50</v>
      </c>
      <c r="G366" s="101" t="s">
        <v>552</v>
      </c>
      <c r="H366" s="18">
        <v>5032462</v>
      </c>
      <c r="I366" s="27" t="s">
        <v>2458</v>
      </c>
      <c r="J366" s="18" t="s">
        <v>871</v>
      </c>
      <c r="K366" s="101"/>
      <c r="L366" s="101" t="s">
        <v>2549</v>
      </c>
      <c r="M366" s="18">
        <v>1751000</v>
      </c>
      <c r="N366" s="18">
        <v>1749000</v>
      </c>
      <c r="O366" s="472" t="s">
        <v>2615</v>
      </c>
      <c r="P366" s="543"/>
      <c r="Q366" s="97"/>
    </row>
    <row r="367" spans="1:17" ht="15" customHeight="1">
      <c r="A367" s="97" t="s">
        <v>243</v>
      </c>
      <c r="B367" s="97">
        <v>2011</v>
      </c>
      <c r="C367" s="97" t="s">
        <v>237</v>
      </c>
      <c r="D367" s="332" t="s">
        <v>238</v>
      </c>
      <c r="E367" s="101" t="s">
        <v>2550</v>
      </c>
      <c r="F367" s="101" t="s">
        <v>50</v>
      </c>
      <c r="G367" s="101"/>
      <c r="H367" s="18"/>
      <c r="I367" s="27"/>
      <c r="J367" s="18"/>
      <c r="K367" s="101"/>
      <c r="L367" s="101" t="s">
        <v>2551</v>
      </c>
      <c r="M367" s="18">
        <v>563000</v>
      </c>
      <c r="N367" s="18">
        <v>563000</v>
      </c>
      <c r="O367" s="472" t="s">
        <v>2617</v>
      </c>
      <c r="P367" s="543"/>
      <c r="Q367" s="97"/>
    </row>
    <row r="368" spans="1:17" ht="15" customHeight="1">
      <c r="A368" s="97" t="s">
        <v>243</v>
      </c>
      <c r="B368" s="97">
        <v>2011</v>
      </c>
      <c r="C368" s="97" t="s">
        <v>237</v>
      </c>
      <c r="D368" s="332" t="s">
        <v>238</v>
      </c>
      <c r="E368" s="101" t="s">
        <v>2550</v>
      </c>
      <c r="F368" s="101" t="s">
        <v>50</v>
      </c>
      <c r="G368" s="101"/>
      <c r="H368" s="18"/>
      <c r="I368" s="27"/>
      <c r="J368" s="18"/>
      <c r="K368" s="101"/>
      <c r="L368" s="101" t="s">
        <v>2552</v>
      </c>
      <c r="M368" s="18"/>
      <c r="N368" s="18"/>
      <c r="O368" s="472"/>
      <c r="P368" s="543"/>
      <c r="Q368" s="97"/>
    </row>
    <row r="369" spans="1:17" ht="15" customHeight="1">
      <c r="A369" s="97" t="s">
        <v>243</v>
      </c>
      <c r="B369" s="97">
        <v>2011</v>
      </c>
      <c r="C369" s="97" t="s">
        <v>237</v>
      </c>
      <c r="D369" s="332" t="s">
        <v>238</v>
      </c>
      <c r="E369" s="101" t="s">
        <v>2423</v>
      </c>
      <c r="F369" s="101" t="s">
        <v>50</v>
      </c>
      <c r="G369" s="101" t="s">
        <v>98</v>
      </c>
      <c r="H369" s="18">
        <v>1035053</v>
      </c>
      <c r="I369" s="27" t="s">
        <v>2456</v>
      </c>
      <c r="J369" s="18" t="s">
        <v>871</v>
      </c>
      <c r="K369" s="101"/>
      <c r="L369" s="101" t="s">
        <v>2554</v>
      </c>
      <c r="M369" s="18">
        <v>155971000</v>
      </c>
      <c r="N369" s="18">
        <v>155971000</v>
      </c>
      <c r="O369" s="472" t="s">
        <v>2615</v>
      </c>
      <c r="P369" s="543"/>
      <c r="Q369" s="97"/>
    </row>
    <row r="370" spans="1:17" ht="15" customHeight="1">
      <c r="A370" s="97" t="s">
        <v>243</v>
      </c>
      <c r="B370" s="97">
        <v>2011</v>
      </c>
      <c r="C370" s="97" t="s">
        <v>237</v>
      </c>
      <c r="D370" s="332" t="s">
        <v>238</v>
      </c>
      <c r="E370" s="101" t="s">
        <v>2423</v>
      </c>
      <c r="F370" s="101" t="s">
        <v>50</v>
      </c>
      <c r="G370" s="101" t="s">
        <v>552</v>
      </c>
      <c r="H370" s="18">
        <v>12754987</v>
      </c>
      <c r="I370" s="27" t="s">
        <v>2458</v>
      </c>
      <c r="J370" s="18" t="s">
        <v>871</v>
      </c>
      <c r="K370" s="101"/>
      <c r="L370" s="101" t="s">
        <v>2555</v>
      </c>
      <c r="M370" s="18">
        <v>12254000</v>
      </c>
      <c r="N370" s="18">
        <v>12254000</v>
      </c>
      <c r="O370" s="472" t="s">
        <v>2615</v>
      </c>
      <c r="P370" s="543"/>
      <c r="Q370" s="97"/>
    </row>
    <row r="371" spans="1:17" ht="15" customHeight="1">
      <c r="A371" s="97" t="s">
        <v>243</v>
      </c>
      <c r="B371" s="97">
        <v>2011</v>
      </c>
      <c r="C371" s="97" t="s">
        <v>237</v>
      </c>
      <c r="D371" s="332" t="s">
        <v>238</v>
      </c>
      <c r="E371" s="101" t="s">
        <v>2423</v>
      </c>
      <c r="F371" s="101" t="s">
        <v>50</v>
      </c>
      <c r="G371" s="101"/>
      <c r="H371" s="18"/>
      <c r="I371" s="27"/>
      <c r="J371" s="18"/>
      <c r="K371" s="101"/>
      <c r="L371" s="101" t="s">
        <v>2556</v>
      </c>
      <c r="M371" s="18">
        <v>11128000</v>
      </c>
      <c r="N371" s="18">
        <v>11128000</v>
      </c>
      <c r="O371" s="472" t="s">
        <v>2617</v>
      </c>
      <c r="P371" s="543"/>
      <c r="Q371" s="97"/>
    </row>
    <row r="372" spans="1:17" ht="15" customHeight="1">
      <c r="A372" s="97" t="s">
        <v>243</v>
      </c>
      <c r="B372" s="97">
        <v>2011</v>
      </c>
      <c r="C372" s="97" t="s">
        <v>237</v>
      </c>
      <c r="D372" s="332" t="s">
        <v>238</v>
      </c>
      <c r="E372" s="101" t="s">
        <v>2423</v>
      </c>
      <c r="F372" s="101" t="s">
        <v>50</v>
      </c>
      <c r="G372" s="101"/>
      <c r="H372" s="18"/>
      <c r="I372" s="27"/>
      <c r="J372" s="18"/>
      <c r="K372" s="101"/>
      <c r="L372" s="101" t="s">
        <v>2557</v>
      </c>
      <c r="M372" s="18">
        <v>8046000</v>
      </c>
      <c r="N372" s="18">
        <v>8046000</v>
      </c>
      <c r="O372" s="472" t="s">
        <v>2617</v>
      </c>
      <c r="P372" s="543"/>
      <c r="Q372" s="97"/>
    </row>
    <row r="373" spans="1:17" ht="15" customHeight="1">
      <c r="A373" s="97" t="s">
        <v>243</v>
      </c>
      <c r="B373" s="97">
        <v>2011</v>
      </c>
      <c r="C373" s="97" t="s">
        <v>237</v>
      </c>
      <c r="D373" s="332" t="s">
        <v>238</v>
      </c>
      <c r="E373" s="101" t="s">
        <v>2423</v>
      </c>
      <c r="F373" s="101" t="s">
        <v>50</v>
      </c>
      <c r="G373" s="101"/>
      <c r="H373" s="18"/>
      <c r="I373" s="27"/>
      <c r="J373" s="18"/>
      <c r="K373" s="101"/>
      <c r="L373" s="101" t="s">
        <v>2558</v>
      </c>
      <c r="M373" s="18">
        <v>7426000</v>
      </c>
      <c r="N373" s="18">
        <v>7426000</v>
      </c>
      <c r="O373" s="472" t="s">
        <v>2617</v>
      </c>
      <c r="P373" s="543"/>
      <c r="Q373" s="97"/>
    </row>
    <row r="374" spans="1:17" ht="15" customHeight="1">
      <c r="A374" s="97" t="s">
        <v>243</v>
      </c>
      <c r="B374" s="97">
        <v>2011</v>
      </c>
      <c r="C374" s="97" t="s">
        <v>237</v>
      </c>
      <c r="D374" s="332" t="s">
        <v>238</v>
      </c>
      <c r="E374" s="101" t="s">
        <v>2423</v>
      </c>
      <c r="F374" s="101" t="s">
        <v>50</v>
      </c>
      <c r="G374" s="101"/>
      <c r="H374" s="18"/>
      <c r="I374" s="27"/>
      <c r="J374" s="18"/>
      <c r="K374" s="101"/>
      <c r="L374" s="101" t="s">
        <v>2559</v>
      </c>
      <c r="M374" s="18">
        <v>1772000</v>
      </c>
      <c r="N374" s="18">
        <v>1772000</v>
      </c>
      <c r="O374" s="472" t="s">
        <v>2617</v>
      </c>
      <c r="P374" s="543"/>
      <c r="Q374" s="97"/>
    </row>
    <row r="375" spans="1:17" ht="15" customHeight="1">
      <c r="A375" s="97" t="s">
        <v>243</v>
      </c>
      <c r="B375" s="97">
        <v>2011</v>
      </c>
      <c r="C375" s="97" t="s">
        <v>237</v>
      </c>
      <c r="D375" s="332" t="s">
        <v>238</v>
      </c>
      <c r="E375" s="101" t="s">
        <v>2423</v>
      </c>
      <c r="F375" s="101" t="s">
        <v>50</v>
      </c>
      <c r="G375" s="101"/>
      <c r="H375" s="18"/>
      <c r="I375" s="27"/>
      <c r="J375" s="18"/>
      <c r="K375" s="101"/>
      <c r="L375" s="101" t="s">
        <v>2560</v>
      </c>
      <c r="M375" s="18">
        <v>3725000</v>
      </c>
      <c r="N375" s="18">
        <v>3725000</v>
      </c>
      <c r="O375" s="472" t="s">
        <v>2617</v>
      </c>
      <c r="P375" s="543"/>
      <c r="Q375" s="97"/>
    </row>
    <row r="376" spans="1:17" ht="15" customHeight="1">
      <c r="A376" s="97" t="s">
        <v>243</v>
      </c>
      <c r="B376" s="97">
        <v>2011</v>
      </c>
      <c r="C376" s="97" t="s">
        <v>237</v>
      </c>
      <c r="D376" s="332" t="s">
        <v>238</v>
      </c>
      <c r="E376" s="101" t="s">
        <v>2423</v>
      </c>
      <c r="F376" s="101" t="s">
        <v>50</v>
      </c>
      <c r="G376" s="101"/>
      <c r="H376" s="18"/>
      <c r="I376" s="27"/>
      <c r="J376" s="18"/>
      <c r="K376" s="101"/>
      <c r="L376" s="107" t="s">
        <v>2561</v>
      </c>
      <c r="M376" s="18">
        <v>1949000</v>
      </c>
      <c r="N376" s="18">
        <v>1949000</v>
      </c>
      <c r="O376" s="472" t="s">
        <v>2617</v>
      </c>
      <c r="P376" s="543"/>
      <c r="Q376" s="97"/>
    </row>
    <row r="377" spans="1:17" ht="15" customHeight="1">
      <c r="A377" s="97" t="s">
        <v>243</v>
      </c>
      <c r="B377" s="97">
        <v>2011</v>
      </c>
      <c r="C377" s="97" t="s">
        <v>237</v>
      </c>
      <c r="D377" s="332" t="s">
        <v>238</v>
      </c>
      <c r="E377" s="101" t="s">
        <v>2355</v>
      </c>
      <c r="F377" s="101" t="s">
        <v>50</v>
      </c>
      <c r="G377" s="101" t="s">
        <v>98</v>
      </c>
      <c r="H377" s="18">
        <f>814423*2</f>
        <v>1628846</v>
      </c>
      <c r="I377" s="27" t="s">
        <v>2456</v>
      </c>
      <c r="J377" s="18" t="s">
        <v>871</v>
      </c>
      <c r="K377" s="101"/>
      <c r="L377" s="101" t="s">
        <v>2562</v>
      </c>
      <c r="M377" s="18">
        <v>65574000</v>
      </c>
      <c r="N377" s="18">
        <v>65574000</v>
      </c>
      <c r="O377" s="472" t="s">
        <v>2615</v>
      </c>
      <c r="P377" s="543"/>
      <c r="Q377" s="97"/>
    </row>
    <row r="378" spans="1:17" ht="15" customHeight="1">
      <c r="A378" s="97" t="s">
        <v>243</v>
      </c>
      <c r="B378" s="97">
        <v>2011</v>
      </c>
      <c r="C378" s="97" t="s">
        <v>237</v>
      </c>
      <c r="D378" s="332" t="s">
        <v>238</v>
      </c>
      <c r="E378" s="101" t="s">
        <v>2355</v>
      </c>
      <c r="F378" s="101" t="s">
        <v>50</v>
      </c>
      <c r="G378" s="101" t="s">
        <v>552</v>
      </c>
      <c r="H378" s="18">
        <f>1363786*2</f>
        <v>2727572</v>
      </c>
      <c r="I378" s="27" t="s">
        <v>2458</v>
      </c>
      <c r="J378" s="18" t="s">
        <v>871</v>
      </c>
      <c r="K378" s="101"/>
      <c r="L378" s="101" t="s">
        <v>2563</v>
      </c>
      <c r="M378" s="18">
        <v>46023000</v>
      </c>
      <c r="N378" s="18">
        <v>46023000</v>
      </c>
      <c r="O378" s="472" t="s">
        <v>2615</v>
      </c>
      <c r="P378" s="543"/>
      <c r="Q378" s="97"/>
    </row>
    <row r="379" spans="1:17" ht="15" customHeight="1">
      <c r="A379" s="97" t="s">
        <v>243</v>
      </c>
      <c r="B379" s="97">
        <v>2011</v>
      </c>
      <c r="C379" s="97" t="s">
        <v>237</v>
      </c>
      <c r="D379" s="332" t="s">
        <v>238</v>
      </c>
      <c r="E379" s="101" t="s">
        <v>2355</v>
      </c>
      <c r="F379" s="101" t="s">
        <v>50</v>
      </c>
      <c r="G379" s="101"/>
      <c r="H379" s="18"/>
      <c r="I379" s="27"/>
      <c r="J379" s="18" t="s">
        <v>871</v>
      </c>
      <c r="K379" s="101"/>
      <c r="L379" s="101" t="s">
        <v>2564</v>
      </c>
      <c r="M379" s="18"/>
      <c r="N379" s="18"/>
      <c r="O379" s="472" t="s">
        <v>2619</v>
      </c>
      <c r="P379" s="543"/>
      <c r="Q379" s="97"/>
    </row>
    <row r="380" spans="1:17" ht="15" customHeight="1">
      <c r="A380" s="97" t="s">
        <v>243</v>
      </c>
      <c r="B380" s="97">
        <v>2011</v>
      </c>
      <c r="C380" s="97" t="s">
        <v>237</v>
      </c>
      <c r="D380" s="332" t="s">
        <v>238</v>
      </c>
      <c r="E380" s="101" t="s">
        <v>2565</v>
      </c>
      <c r="F380" s="101" t="s">
        <v>50</v>
      </c>
      <c r="G380" s="101" t="s">
        <v>98</v>
      </c>
      <c r="H380" s="18">
        <v>1633255</v>
      </c>
      <c r="I380" s="27" t="s">
        <v>2456</v>
      </c>
      <c r="J380" s="18" t="s">
        <v>871</v>
      </c>
      <c r="K380" s="101"/>
      <c r="L380" s="101" t="s">
        <v>2427</v>
      </c>
      <c r="M380" s="18">
        <v>34832000</v>
      </c>
      <c r="N380" s="18">
        <v>34832000</v>
      </c>
      <c r="O380" s="472" t="s">
        <v>2615</v>
      </c>
      <c r="P380" s="543"/>
      <c r="Q380" s="97"/>
    </row>
    <row r="381" spans="1:17" ht="15" customHeight="1">
      <c r="A381" s="97" t="s">
        <v>243</v>
      </c>
      <c r="B381" s="97">
        <v>2011</v>
      </c>
      <c r="C381" s="97" t="s">
        <v>237</v>
      </c>
      <c r="D381" s="332" t="s">
        <v>238</v>
      </c>
      <c r="E381" s="101" t="s">
        <v>2565</v>
      </c>
      <c r="F381" s="101" t="s">
        <v>50</v>
      </c>
      <c r="G381" s="101" t="s">
        <v>552</v>
      </c>
      <c r="H381" s="18">
        <v>14758838</v>
      </c>
      <c r="I381" s="27" t="s">
        <v>2458</v>
      </c>
      <c r="J381" s="18" t="s">
        <v>871</v>
      </c>
      <c r="K381" s="101"/>
      <c r="L381" s="107" t="s">
        <v>2566</v>
      </c>
      <c r="M381" s="18"/>
      <c r="N381" s="18"/>
      <c r="O381" s="472" t="s">
        <v>2619</v>
      </c>
      <c r="P381" s="543"/>
      <c r="Q381" s="97"/>
    </row>
    <row r="382" spans="1:17" ht="15" customHeight="1">
      <c r="A382" s="97" t="s">
        <v>243</v>
      </c>
      <c r="B382" s="97">
        <v>2011</v>
      </c>
      <c r="C382" s="97" t="s">
        <v>237</v>
      </c>
      <c r="D382" s="332" t="s">
        <v>238</v>
      </c>
      <c r="E382" s="101" t="s">
        <v>2565</v>
      </c>
      <c r="F382" s="101" t="s">
        <v>50</v>
      </c>
      <c r="G382" s="101"/>
      <c r="H382" s="18"/>
      <c r="I382" s="27"/>
      <c r="J382" s="18"/>
      <c r="K382" s="101"/>
      <c r="L382" s="107" t="s">
        <v>2567</v>
      </c>
      <c r="M382" s="18"/>
      <c r="N382" s="18"/>
      <c r="O382" s="472"/>
      <c r="P382" s="543"/>
      <c r="Q382" s="97"/>
    </row>
    <row r="383" spans="1:17" ht="15" customHeight="1">
      <c r="A383" s="97" t="s">
        <v>243</v>
      </c>
      <c r="B383" s="97">
        <v>2011</v>
      </c>
      <c r="C383" s="97" t="s">
        <v>237</v>
      </c>
      <c r="D383" s="332" t="s">
        <v>238</v>
      </c>
      <c r="E383" s="101" t="s">
        <v>2568</v>
      </c>
      <c r="F383" s="101" t="s">
        <v>50</v>
      </c>
      <c r="G383" s="101" t="s">
        <v>98</v>
      </c>
      <c r="H383" s="18">
        <v>867961</v>
      </c>
      <c r="I383" s="27" t="s">
        <v>2456</v>
      </c>
      <c r="J383" s="18" t="s">
        <v>871</v>
      </c>
      <c r="K383" s="101"/>
      <c r="L383" s="101" t="s">
        <v>2430</v>
      </c>
      <c r="M383" s="18">
        <v>43343000</v>
      </c>
      <c r="N383" s="18">
        <v>43343000</v>
      </c>
      <c r="O383" s="472" t="s">
        <v>2615</v>
      </c>
      <c r="P383" s="543"/>
      <c r="Q383" s="97"/>
    </row>
    <row r="384" spans="1:17" ht="15" customHeight="1">
      <c r="A384" s="97" t="s">
        <v>243</v>
      </c>
      <c r="B384" s="97">
        <v>2011</v>
      </c>
      <c r="C384" s="97" t="s">
        <v>237</v>
      </c>
      <c r="D384" s="332" t="s">
        <v>238</v>
      </c>
      <c r="E384" s="101" t="s">
        <v>2568</v>
      </c>
      <c r="F384" s="101" t="s">
        <v>50</v>
      </c>
      <c r="G384" s="101" t="s">
        <v>552</v>
      </c>
      <c r="H384" s="18">
        <v>19022644</v>
      </c>
      <c r="I384" s="27" t="s">
        <v>2458</v>
      </c>
      <c r="J384" s="18" t="s">
        <v>871</v>
      </c>
      <c r="K384" s="101"/>
      <c r="L384" s="101" t="s">
        <v>2569</v>
      </c>
      <c r="M384" s="18"/>
      <c r="N384" s="18"/>
      <c r="O384" s="472" t="s">
        <v>2619</v>
      </c>
      <c r="P384" s="543"/>
      <c r="Q384" s="97"/>
    </row>
    <row r="385" spans="1:17" ht="15" customHeight="1">
      <c r="A385" s="97" t="s">
        <v>243</v>
      </c>
      <c r="B385" s="97">
        <v>2011</v>
      </c>
      <c r="C385" s="97" t="s">
        <v>237</v>
      </c>
      <c r="D385" s="332" t="s">
        <v>238</v>
      </c>
      <c r="E385" s="101" t="s">
        <v>2568</v>
      </c>
      <c r="F385" s="101" t="s">
        <v>50</v>
      </c>
      <c r="G385" s="101"/>
      <c r="H385" s="18"/>
      <c r="I385" s="27"/>
      <c r="J385" s="18"/>
      <c r="K385" s="101"/>
      <c r="L385" s="101" t="s">
        <v>2570</v>
      </c>
      <c r="M385" s="18"/>
      <c r="N385" s="18"/>
      <c r="O385" s="472"/>
      <c r="P385" s="543"/>
      <c r="Q385" s="97"/>
    </row>
    <row r="386" spans="1:17" ht="15" customHeight="1">
      <c r="A386" s="97" t="s">
        <v>243</v>
      </c>
      <c r="B386" s="97">
        <v>2011</v>
      </c>
      <c r="C386" s="97" t="s">
        <v>237</v>
      </c>
      <c r="D386" s="332" t="s">
        <v>238</v>
      </c>
      <c r="E386" s="101" t="s">
        <v>2571</v>
      </c>
      <c r="F386" s="101" t="s">
        <v>50</v>
      </c>
      <c r="G386" s="101" t="s">
        <v>552</v>
      </c>
      <c r="H386" s="18">
        <v>42452633</v>
      </c>
      <c r="I386" s="27" t="s">
        <v>2458</v>
      </c>
      <c r="J386" s="18" t="s">
        <v>871</v>
      </c>
      <c r="K386" s="101"/>
      <c r="L386" s="101" t="s">
        <v>2433</v>
      </c>
      <c r="M386" s="18">
        <v>66448000</v>
      </c>
      <c r="N386" s="18">
        <v>66448000</v>
      </c>
      <c r="O386" s="472" t="s">
        <v>2615</v>
      </c>
      <c r="P386" s="543"/>
      <c r="Q386" s="97"/>
    </row>
    <row r="387" spans="1:17" ht="15" customHeight="1">
      <c r="A387" s="97" t="s">
        <v>243</v>
      </c>
      <c r="B387" s="97">
        <v>2011</v>
      </c>
      <c r="C387" s="97" t="s">
        <v>237</v>
      </c>
      <c r="D387" s="332" t="s">
        <v>238</v>
      </c>
      <c r="E387" s="101" t="s">
        <v>2571</v>
      </c>
      <c r="F387" s="101" t="s">
        <v>50</v>
      </c>
      <c r="G387" s="101"/>
      <c r="H387" s="18"/>
      <c r="I387" s="27"/>
      <c r="J387" s="18"/>
      <c r="K387" s="101"/>
      <c r="L387" s="101" t="s">
        <v>2572</v>
      </c>
      <c r="M387" s="18">
        <v>5792000</v>
      </c>
      <c r="N387" s="18">
        <v>5792000</v>
      </c>
      <c r="O387" s="472" t="s">
        <v>2617</v>
      </c>
      <c r="P387" s="543"/>
      <c r="Q387" s="97"/>
    </row>
    <row r="388" spans="1:17" ht="15" customHeight="1">
      <c r="A388" s="97" t="s">
        <v>243</v>
      </c>
      <c r="B388" s="97">
        <v>2011</v>
      </c>
      <c r="C388" s="97" t="s">
        <v>237</v>
      </c>
      <c r="D388" s="332" t="s">
        <v>238</v>
      </c>
      <c r="E388" s="101" t="s">
        <v>2571</v>
      </c>
      <c r="F388" s="101" t="s">
        <v>50</v>
      </c>
      <c r="G388" s="101"/>
      <c r="H388" s="18"/>
      <c r="I388" s="27"/>
      <c r="J388" s="18"/>
      <c r="K388" s="101"/>
      <c r="L388" s="101" t="s">
        <v>2573</v>
      </c>
      <c r="M388" s="18">
        <v>4310000</v>
      </c>
      <c r="N388" s="18">
        <v>4310000</v>
      </c>
      <c r="O388" s="472" t="s">
        <v>2617</v>
      </c>
      <c r="P388" s="543"/>
      <c r="Q388" s="97"/>
    </row>
    <row r="389" spans="1:17" ht="15" customHeight="1">
      <c r="A389" s="97" t="s">
        <v>243</v>
      </c>
      <c r="B389" s="97">
        <v>2011</v>
      </c>
      <c r="C389" s="97" t="s">
        <v>237</v>
      </c>
      <c r="D389" s="332" t="s">
        <v>238</v>
      </c>
      <c r="E389" s="101" t="s">
        <v>2574</v>
      </c>
      <c r="F389" s="101" t="s">
        <v>50</v>
      </c>
      <c r="G389" s="101" t="s">
        <v>552</v>
      </c>
      <c r="H389" s="18">
        <v>14049879</v>
      </c>
      <c r="I389" s="27" t="s">
        <v>2458</v>
      </c>
      <c r="J389" s="18" t="s">
        <v>871</v>
      </c>
      <c r="K389" s="101"/>
      <c r="L389" s="101" t="s">
        <v>2436</v>
      </c>
      <c r="M389" s="18">
        <v>13318000</v>
      </c>
      <c r="N389" s="18">
        <v>13318000</v>
      </c>
      <c r="O389" s="472" t="s">
        <v>2615</v>
      </c>
      <c r="P389" s="543"/>
      <c r="Q389" s="97"/>
    </row>
    <row r="390" spans="1:17" ht="15" customHeight="1">
      <c r="A390" s="97" t="s">
        <v>243</v>
      </c>
      <c r="B390" s="97">
        <v>2011</v>
      </c>
      <c r="C390" s="97" t="s">
        <v>237</v>
      </c>
      <c r="D390" s="332" t="s">
        <v>238</v>
      </c>
      <c r="E390" s="101" t="s">
        <v>2438</v>
      </c>
      <c r="F390" s="101" t="s">
        <v>50</v>
      </c>
      <c r="G390" s="101" t="s">
        <v>98</v>
      </c>
      <c r="H390" s="18">
        <v>891842</v>
      </c>
      <c r="I390" s="27" t="s">
        <v>2456</v>
      </c>
      <c r="J390" s="18" t="s">
        <v>871</v>
      </c>
      <c r="K390" s="101"/>
      <c r="L390" s="101" t="s">
        <v>2439</v>
      </c>
      <c r="M390" s="18">
        <v>6957000</v>
      </c>
      <c r="N390" s="18">
        <v>6957000</v>
      </c>
      <c r="O390" s="472" t="s">
        <v>2615</v>
      </c>
      <c r="P390" s="543"/>
      <c r="Q390" s="97"/>
    </row>
    <row r="391" spans="1:17" ht="15" customHeight="1">
      <c r="A391" s="97" t="s">
        <v>243</v>
      </c>
      <c r="B391" s="97">
        <v>2011</v>
      </c>
      <c r="C391" s="97" t="s">
        <v>237</v>
      </c>
      <c r="D391" s="332" t="s">
        <v>238</v>
      </c>
      <c r="E391" s="101" t="s">
        <v>2438</v>
      </c>
      <c r="F391" s="101" t="s">
        <v>50</v>
      </c>
      <c r="G391" s="101"/>
      <c r="H391" s="18"/>
      <c r="I391" s="27"/>
      <c r="J391" s="18"/>
      <c r="K391" s="101"/>
      <c r="L391" s="107" t="s">
        <v>2575</v>
      </c>
      <c r="M391" s="18"/>
      <c r="N391" s="18"/>
      <c r="O391" s="472"/>
      <c r="P391" s="543"/>
      <c r="Q391" s="97"/>
    </row>
    <row r="392" spans="1:17" ht="15" customHeight="1">
      <c r="A392" s="97" t="s">
        <v>243</v>
      </c>
      <c r="B392" s="97">
        <v>2011</v>
      </c>
      <c r="C392" s="97" t="s">
        <v>237</v>
      </c>
      <c r="D392" s="332" t="s">
        <v>238</v>
      </c>
      <c r="E392" s="101" t="s">
        <v>2438</v>
      </c>
      <c r="F392" s="101" t="s">
        <v>50</v>
      </c>
      <c r="G392" s="101"/>
      <c r="H392" s="18"/>
      <c r="I392" s="27"/>
      <c r="J392" s="18"/>
      <c r="K392" s="101"/>
      <c r="L392" s="107" t="s">
        <v>2576</v>
      </c>
      <c r="M392" s="18"/>
      <c r="N392" s="18"/>
      <c r="O392" s="472"/>
      <c r="P392" s="543"/>
      <c r="Q392" s="97"/>
    </row>
    <row r="393" spans="1:17" ht="15" customHeight="1">
      <c r="A393" s="97" t="s">
        <v>243</v>
      </c>
      <c r="B393" s="97">
        <v>2011</v>
      </c>
      <c r="C393" s="97" t="s">
        <v>237</v>
      </c>
      <c r="D393" s="332" t="s">
        <v>238</v>
      </c>
      <c r="E393" s="101" t="s">
        <v>2438</v>
      </c>
      <c r="F393" s="101" t="s">
        <v>50</v>
      </c>
      <c r="G393" s="101"/>
      <c r="H393" s="18"/>
      <c r="I393" s="27"/>
      <c r="J393" s="18"/>
      <c r="K393" s="101"/>
      <c r="L393" s="107" t="s">
        <v>2577</v>
      </c>
      <c r="M393" s="18"/>
      <c r="N393" s="18"/>
      <c r="O393" s="472"/>
      <c r="P393" s="543"/>
      <c r="Q393" s="97"/>
    </row>
    <row r="394" spans="1:17" ht="15" customHeight="1">
      <c r="A394" s="97" t="s">
        <v>243</v>
      </c>
      <c r="B394" s="97">
        <v>2011</v>
      </c>
      <c r="C394" s="97" t="s">
        <v>237</v>
      </c>
      <c r="D394" s="332" t="s">
        <v>238</v>
      </c>
      <c r="E394" s="101" t="s">
        <v>2578</v>
      </c>
      <c r="F394" s="101" t="s">
        <v>50</v>
      </c>
      <c r="G394" s="101" t="s">
        <v>98</v>
      </c>
      <c r="H394" s="18">
        <v>147787</v>
      </c>
      <c r="I394" s="27" t="s">
        <v>2456</v>
      </c>
      <c r="J394" s="18" t="s">
        <v>871</v>
      </c>
      <c r="K394" s="101"/>
      <c r="L394" s="101" t="s">
        <v>2442</v>
      </c>
      <c r="M394" s="18">
        <v>2044000</v>
      </c>
      <c r="N394" s="18">
        <v>2044000</v>
      </c>
      <c r="O394" s="472" t="s">
        <v>2615</v>
      </c>
      <c r="P394" s="543"/>
      <c r="Q394" s="97"/>
    </row>
    <row r="395" spans="1:17" ht="15" customHeight="1">
      <c r="A395" s="97" t="s">
        <v>243</v>
      </c>
      <c r="B395" s="97">
        <v>2011</v>
      </c>
      <c r="C395" s="97" t="s">
        <v>237</v>
      </c>
      <c r="D395" s="332" t="s">
        <v>238</v>
      </c>
      <c r="E395" s="101" t="s">
        <v>2444</v>
      </c>
      <c r="F395" s="101" t="s">
        <v>50</v>
      </c>
      <c r="G395" s="101" t="s">
        <v>98</v>
      </c>
      <c r="H395" s="18">
        <v>224991</v>
      </c>
      <c r="I395" s="27" t="s">
        <v>2456</v>
      </c>
      <c r="J395" s="18" t="s">
        <v>871</v>
      </c>
      <c r="K395" s="101"/>
      <c r="L395" s="101" t="s">
        <v>2579</v>
      </c>
      <c r="M395" s="18">
        <v>3173000</v>
      </c>
      <c r="N395" s="18">
        <v>3173000</v>
      </c>
      <c r="O395" s="472" t="s">
        <v>2615</v>
      </c>
      <c r="P395" s="543"/>
      <c r="Q395" s="97"/>
    </row>
    <row r="396" spans="1:17" ht="15" customHeight="1">
      <c r="A396" s="97" t="s">
        <v>243</v>
      </c>
      <c r="B396" s="97">
        <v>2011</v>
      </c>
      <c r="C396" s="97" t="s">
        <v>237</v>
      </c>
      <c r="D396" s="332" t="s">
        <v>238</v>
      </c>
      <c r="E396" s="101" t="s">
        <v>2444</v>
      </c>
      <c r="F396" s="101" t="s">
        <v>50</v>
      </c>
      <c r="G396" s="101"/>
      <c r="H396" s="18"/>
      <c r="I396" s="27"/>
      <c r="J396" s="18"/>
      <c r="K396" s="101"/>
      <c r="L396" s="107" t="s">
        <v>2580</v>
      </c>
      <c r="M396" s="18"/>
      <c r="N396" s="18"/>
      <c r="O396" s="472"/>
      <c r="P396" s="543"/>
      <c r="Q396" s="97"/>
    </row>
    <row r="397" spans="1:17" ht="15" customHeight="1">
      <c r="A397" s="97" t="s">
        <v>243</v>
      </c>
      <c r="B397" s="97">
        <v>2011</v>
      </c>
      <c r="C397" s="97" t="s">
        <v>237</v>
      </c>
      <c r="D397" s="332" t="s">
        <v>238</v>
      </c>
      <c r="E397" s="101" t="s">
        <v>2447</v>
      </c>
      <c r="F397" s="101" t="s">
        <v>50</v>
      </c>
      <c r="G397" s="101" t="s">
        <v>98</v>
      </c>
      <c r="H397" s="18">
        <v>93601</v>
      </c>
      <c r="I397" s="27" t="s">
        <v>2456</v>
      </c>
      <c r="J397" s="18" t="s">
        <v>871</v>
      </c>
      <c r="K397" s="101"/>
      <c r="L397" s="101" t="s">
        <v>2448</v>
      </c>
      <c r="M397" s="18">
        <v>1505000</v>
      </c>
      <c r="N397" s="18">
        <v>1505000</v>
      </c>
      <c r="O397" s="472" t="s">
        <v>2615</v>
      </c>
      <c r="P397" s="543"/>
      <c r="Q397" s="97"/>
    </row>
    <row r="398" spans="1:17" ht="15" customHeight="1">
      <c r="A398" s="97" t="s">
        <v>243</v>
      </c>
      <c r="B398" s="97">
        <v>2011</v>
      </c>
      <c r="C398" s="97" t="s">
        <v>237</v>
      </c>
      <c r="D398" s="332" t="s">
        <v>238</v>
      </c>
      <c r="E398" s="101" t="s">
        <v>2447</v>
      </c>
      <c r="F398" s="101" t="s">
        <v>50</v>
      </c>
      <c r="G398" s="101"/>
      <c r="H398" s="18"/>
      <c r="I398" s="27"/>
      <c r="J398" s="18"/>
      <c r="K398" s="101"/>
      <c r="L398" s="107" t="s">
        <v>2581</v>
      </c>
      <c r="M398" s="18"/>
      <c r="N398" s="18"/>
      <c r="O398" s="472"/>
      <c r="P398" s="543"/>
      <c r="Q398" s="97"/>
    </row>
    <row r="399" spans="1:17" ht="15" customHeight="1">
      <c r="A399" s="97" t="s">
        <v>243</v>
      </c>
      <c r="B399" s="97">
        <v>2011</v>
      </c>
      <c r="C399" s="97" t="s">
        <v>237</v>
      </c>
      <c r="D399" s="332" t="s">
        <v>238</v>
      </c>
      <c r="E399" s="101" t="s">
        <v>2447</v>
      </c>
      <c r="F399" s="101" t="s">
        <v>50</v>
      </c>
      <c r="G399" s="101"/>
      <c r="H399" s="18"/>
      <c r="I399" s="27"/>
      <c r="J399" s="18"/>
      <c r="K399" s="101"/>
      <c r="L399" s="107" t="s">
        <v>2582</v>
      </c>
      <c r="M399" s="18"/>
      <c r="N399" s="18"/>
      <c r="O399" s="472"/>
      <c r="P399" s="543"/>
      <c r="Q399" s="97"/>
    </row>
    <row r="400" spans="1:17" ht="15" customHeight="1">
      <c r="A400" s="97" t="s">
        <v>243</v>
      </c>
      <c r="B400" s="97">
        <v>2011</v>
      </c>
      <c r="C400" s="97" t="s">
        <v>237</v>
      </c>
      <c r="D400" s="332" t="s">
        <v>238</v>
      </c>
      <c r="E400" s="101" t="s">
        <v>2450</v>
      </c>
      <c r="F400" s="101" t="s">
        <v>50</v>
      </c>
      <c r="G400" s="101" t="s">
        <v>552</v>
      </c>
      <c r="H400" s="18">
        <v>367365</v>
      </c>
      <c r="I400" s="27" t="s">
        <v>2458</v>
      </c>
      <c r="J400" s="18" t="s">
        <v>871</v>
      </c>
      <c r="K400" s="101"/>
      <c r="L400" s="101" t="s">
        <v>2583</v>
      </c>
      <c r="M400" s="18">
        <v>597000</v>
      </c>
      <c r="N400" s="18">
        <v>597000</v>
      </c>
      <c r="O400" s="472" t="s">
        <v>2615</v>
      </c>
      <c r="P400" s="543"/>
      <c r="Q400" s="97"/>
    </row>
    <row r="401" spans="1:17" ht="15" customHeight="1">
      <c r="A401" s="97" t="s">
        <v>243</v>
      </c>
      <c r="B401" s="97">
        <v>2011</v>
      </c>
      <c r="C401" s="97" t="s">
        <v>237</v>
      </c>
      <c r="D401" s="332" t="s">
        <v>238</v>
      </c>
      <c r="E401" s="101" t="s">
        <v>2453</v>
      </c>
      <c r="F401" s="101" t="s">
        <v>50</v>
      </c>
      <c r="G401" s="101" t="s">
        <v>98</v>
      </c>
      <c r="H401" s="18">
        <f>6813*2</f>
        <v>13626</v>
      </c>
      <c r="I401" s="27" t="s">
        <v>2456</v>
      </c>
      <c r="J401" s="18" t="s">
        <v>871</v>
      </c>
      <c r="K401" s="101"/>
      <c r="L401" s="101" t="s">
        <v>2584</v>
      </c>
      <c r="M401" s="18">
        <v>193000</v>
      </c>
      <c r="N401" s="18">
        <v>193000</v>
      </c>
      <c r="O401" s="472" t="s">
        <v>2615</v>
      </c>
      <c r="P401" s="543"/>
      <c r="Q401" s="97"/>
    </row>
    <row r="402" spans="1:17" ht="15" customHeight="1">
      <c r="A402" s="97" t="s">
        <v>243</v>
      </c>
      <c r="B402" s="97">
        <v>2011</v>
      </c>
      <c r="C402" s="97" t="s">
        <v>237</v>
      </c>
      <c r="D402" s="332" t="s">
        <v>238</v>
      </c>
      <c r="E402" s="101" t="s">
        <v>2453</v>
      </c>
      <c r="F402" s="101" t="s">
        <v>50</v>
      </c>
      <c r="G402" s="101" t="s">
        <v>552</v>
      </c>
      <c r="H402" s="18">
        <f>132009*2</f>
        <v>264018</v>
      </c>
      <c r="I402" s="27" t="s">
        <v>2458</v>
      </c>
      <c r="J402" s="18" t="s">
        <v>871</v>
      </c>
      <c r="K402" s="101"/>
      <c r="L402" s="101" t="s">
        <v>2585</v>
      </c>
      <c r="M402" s="18"/>
      <c r="N402" s="18"/>
      <c r="O402" s="472" t="s">
        <v>2619</v>
      </c>
      <c r="P402" s="543"/>
      <c r="Q402" s="97"/>
    </row>
    <row r="403" spans="1:17" ht="15" customHeight="1">
      <c r="A403" s="97" t="s">
        <v>243</v>
      </c>
      <c r="B403" s="97">
        <v>2011</v>
      </c>
      <c r="C403" s="97" t="s">
        <v>237</v>
      </c>
      <c r="D403" s="332" t="s">
        <v>238</v>
      </c>
      <c r="E403" s="101" t="s">
        <v>2453</v>
      </c>
      <c r="F403" s="101" t="s">
        <v>50</v>
      </c>
      <c r="G403" s="101"/>
      <c r="H403" s="18"/>
      <c r="I403" s="27"/>
      <c r="J403" s="18"/>
      <c r="K403" s="101"/>
      <c r="L403" s="101" t="s">
        <v>2586</v>
      </c>
      <c r="M403" s="18"/>
      <c r="N403" s="18"/>
      <c r="O403" s="472"/>
      <c r="P403" s="543"/>
      <c r="Q403" s="97"/>
    </row>
    <row r="404" spans="1:17" ht="15" customHeight="1">
      <c r="A404" s="97" t="s">
        <v>243</v>
      </c>
      <c r="B404" s="97">
        <v>2011</v>
      </c>
      <c r="C404" s="97" t="s">
        <v>237</v>
      </c>
      <c r="D404" s="332" t="s">
        <v>238</v>
      </c>
      <c r="E404" s="101" t="s">
        <v>2587</v>
      </c>
      <c r="F404" s="101" t="s">
        <v>50</v>
      </c>
      <c r="G404" s="101" t="s">
        <v>98</v>
      </c>
      <c r="H404" s="18">
        <v>217056</v>
      </c>
      <c r="I404" s="27" t="s">
        <v>2456</v>
      </c>
      <c r="J404" s="18" t="s">
        <v>871</v>
      </c>
      <c r="K404" s="101"/>
      <c r="L404" s="101" t="s">
        <v>2588</v>
      </c>
      <c r="M404" s="18">
        <v>15488000</v>
      </c>
      <c r="N404" s="18">
        <v>15488000</v>
      </c>
      <c r="O404" s="472" t="s">
        <v>2615</v>
      </c>
      <c r="P404" s="543"/>
      <c r="Q404" s="97"/>
    </row>
    <row r="405" spans="1:17" ht="15" customHeight="1">
      <c r="A405" s="97" t="s">
        <v>243</v>
      </c>
      <c r="B405" s="97">
        <v>2011</v>
      </c>
      <c r="C405" s="97" t="s">
        <v>237</v>
      </c>
      <c r="D405" s="332" t="s">
        <v>238</v>
      </c>
      <c r="E405" s="101" t="s">
        <v>2587</v>
      </c>
      <c r="F405" s="101" t="s">
        <v>50</v>
      </c>
      <c r="G405" s="101"/>
      <c r="H405" s="18"/>
      <c r="I405" s="27"/>
      <c r="J405" s="18"/>
      <c r="K405" s="101"/>
      <c r="L405" s="101" t="s">
        <v>2589</v>
      </c>
      <c r="M405" s="18">
        <v>1062000</v>
      </c>
      <c r="N405" s="18">
        <v>1062000</v>
      </c>
      <c r="O405" s="472" t="s">
        <v>2617</v>
      </c>
      <c r="P405" s="543"/>
      <c r="Q405" s="97"/>
    </row>
    <row r="406" spans="1:17" ht="15" customHeight="1">
      <c r="A406" s="97" t="s">
        <v>243</v>
      </c>
      <c r="B406" s="97">
        <v>2011</v>
      </c>
      <c r="C406" s="97" t="s">
        <v>237</v>
      </c>
      <c r="D406" s="332" t="s">
        <v>238</v>
      </c>
      <c r="E406" s="101" t="s">
        <v>2590</v>
      </c>
      <c r="F406" s="101" t="s">
        <v>50</v>
      </c>
      <c r="G406" s="101" t="s">
        <v>98</v>
      </c>
      <c r="H406" s="18">
        <v>391293</v>
      </c>
      <c r="I406" s="27" t="s">
        <v>2456</v>
      </c>
      <c r="J406" s="18" t="s">
        <v>871</v>
      </c>
      <c r="K406" s="101"/>
      <c r="L406" s="101" t="s">
        <v>2591</v>
      </c>
      <c r="M406" s="18">
        <v>4475000</v>
      </c>
      <c r="N406" s="18">
        <v>4475000</v>
      </c>
      <c r="O406" s="472" t="s">
        <v>2615</v>
      </c>
      <c r="P406" s="543"/>
      <c r="Q406" s="97"/>
    </row>
    <row r="407" spans="1:17" ht="15" customHeight="1">
      <c r="A407" s="97" t="s">
        <v>243</v>
      </c>
      <c r="B407" s="97">
        <v>2011</v>
      </c>
      <c r="C407" s="97" t="s">
        <v>237</v>
      </c>
      <c r="D407" s="332" t="s">
        <v>238</v>
      </c>
      <c r="E407" s="101" t="s">
        <v>2590</v>
      </c>
      <c r="F407" s="101" t="s">
        <v>50</v>
      </c>
      <c r="G407" s="101"/>
      <c r="H407" s="18"/>
      <c r="I407" s="27"/>
      <c r="J407" s="18"/>
      <c r="K407" s="101"/>
      <c r="L407" s="101" t="s">
        <v>2592</v>
      </c>
      <c r="M407" s="18"/>
      <c r="N407" s="18"/>
      <c r="O407" s="472"/>
      <c r="P407" s="543"/>
      <c r="Q407" s="97"/>
    </row>
    <row r="408" spans="1:17" ht="15" customHeight="1">
      <c r="A408" s="97" t="s">
        <v>243</v>
      </c>
      <c r="B408" s="97">
        <v>2011</v>
      </c>
      <c r="C408" s="97" t="s">
        <v>237</v>
      </c>
      <c r="D408" s="332" t="s">
        <v>238</v>
      </c>
      <c r="E408" s="101" t="s">
        <v>2590</v>
      </c>
      <c r="F408" s="101" t="s">
        <v>50</v>
      </c>
      <c r="G408" s="101"/>
      <c r="H408" s="18"/>
      <c r="I408" s="27"/>
      <c r="J408" s="18"/>
      <c r="K408" s="101"/>
      <c r="L408" s="101" t="s">
        <v>2593</v>
      </c>
      <c r="M408" s="18"/>
      <c r="N408" s="18"/>
      <c r="O408" s="472"/>
      <c r="P408" s="543"/>
      <c r="Q408" s="97"/>
    </row>
    <row r="409" spans="1:17" ht="15" customHeight="1">
      <c r="A409" s="97" t="s">
        <v>243</v>
      </c>
      <c r="B409" s="97">
        <v>2011</v>
      </c>
      <c r="C409" s="97" t="s">
        <v>237</v>
      </c>
      <c r="D409" s="332" t="s">
        <v>238</v>
      </c>
      <c r="E409" s="101" t="s">
        <v>2594</v>
      </c>
      <c r="F409" s="101" t="s">
        <v>50</v>
      </c>
      <c r="G409" s="101" t="s">
        <v>98</v>
      </c>
      <c r="H409" s="18">
        <v>340568</v>
      </c>
      <c r="I409" s="27" t="s">
        <v>2456</v>
      </c>
      <c r="J409" s="18" t="s">
        <v>871</v>
      </c>
      <c r="K409" s="101"/>
      <c r="L409" s="101" t="s">
        <v>2595</v>
      </c>
      <c r="M409" s="18">
        <v>3083000</v>
      </c>
      <c r="N409" s="18">
        <v>2985000</v>
      </c>
      <c r="O409" s="472" t="s">
        <v>2615</v>
      </c>
      <c r="P409" s="543"/>
      <c r="Q409" s="97"/>
    </row>
    <row r="410" spans="1:17" ht="15" customHeight="1">
      <c r="A410" s="97" t="s">
        <v>243</v>
      </c>
      <c r="B410" s="97">
        <v>2011</v>
      </c>
      <c r="C410" s="97" t="s">
        <v>237</v>
      </c>
      <c r="D410" s="332" t="s">
        <v>238</v>
      </c>
      <c r="E410" s="101" t="s">
        <v>2594</v>
      </c>
      <c r="F410" s="101" t="s">
        <v>50</v>
      </c>
      <c r="G410" s="101"/>
      <c r="H410" s="18"/>
      <c r="I410" s="27"/>
      <c r="J410" s="18"/>
      <c r="K410" s="101"/>
      <c r="L410" s="101" t="s">
        <v>2596</v>
      </c>
      <c r="M410" s="18"/>
      <c r="N410" s="18"/>
      <c r="O410" s="472"/>
      <c r="P410" s="543"/>
      <c r="Q410" s="97"/>
    </row>
    <row r="411" spans="1:17" ht="15" customHeight="1">
      <c r="A411" s="97" t="s">
        <v>243</v>
      </c>
      <c r="B411" s="97">
        <v>2011</v>
      </c>
      <c r="C411" s="97" t="s">
        <v>237</v>
      </c>
      <c r="D411" s="332" t="s">
        <v>238</v>
      </c>
      <c r="E411" s="101" t="s">
        <v>2336</v>
      </c>
      <c r="F411" s="101" t="s">
        <v>50</v>
      </c>
      <c r="G411" s="101" t="s">
        <v>98</v>
      </c>
      <c r="H411" s="18">
        <v>28401</v>
      </c>
      <c r="I411" s="27" t="s">
        <v>2456</v>
      </c>
      <c r="J411" s="18" t="s">
        <v>871</v>
      </c>
      <c r="K411" s="101"/>
      <c r="L411" s="101" t="s">
        <v>2597</v>
      </c>
      <c r="M411" s="18">
        <v>2881000</v>
      </c>
      <c r="N411" s="18">
        <v>2881000</v>
      </c>
      <c r="O411" s="472" t="s">
        <v>2615</v>
      </c>
      <c r="P411" s="543"/>
      <c r="Q411" s="97"/>
    </row>
    <row r="412" spans="1:17" ht="15" customHeight="1">
      <c r="A412" s="97" t="s">
        <v>243</v>
      </c>
      <c r="B412" s="97">
        <v>2011</v>
      </c>
      <c r="C412" s="97" t="s">
        <v>237</v>
      </c>
      <c r="D412" s="332" t="s">
        <v>238</v>
      </c>
      <c r="E412" s="101" t="s">
        <v>2336</v>
      </c>
      <c r="F412" s="101" t="s">
        <v>50</v>
      </c>
      <c r="G412" s="101" t="s">
        <v>552</v>
      </c>
      <c r="H412" s="18">
        <v>615297</v>
      </c>
      <c r="I412" s="27" t="s">
        <v>2458</v>
      </c>
      <c r="J412" s="18" t="s">
        <v>871</v>
      </c>
      <c r="K412" s="101"/>
      <c r="L412" s="101"/>
      <c r="M412" s="18"/>
      <c r="N412" s="18"/>
      <c r="O412" s="472" t="s">
        <v>2619</v>
      </c>
      <c r="P412" s="543"/>
      <c r="Q412" s="97"/>
    </row>
    <row r="413" spans="1:17" ht="15" customHeight="1">
      <c r="A413" s="97" t="s">
        <v>243</v>
      </c>
      <c r="B413" s="97">
        <v>2011</v>
      </c>
      <c r="C413" s="97" t="s">
        <v>237</v>
      </c>
      <c r="D413" s="332" t="s">
        <v>238</v>
      </c>
      <c r="E413" s="107" t="s">
        <v>2598</v>
      </c>
      <c r="F413" s="101" t="s">
        <v>50</v>
      </c>
      <c r="G413" s="101" t="s">
        <v>98</v>
      </c>
      <c r="H413" s="18">
        <f>458935*2</f>
        <v>917870</v>
      </c>
      <c r="I413" s="27" t="s">
        <v>2456</v>
      </c>
      <c r="J413" s="18" t="s">
        <v>871</v>
      </c>
      <c r="K413" s="101"/>
      <c r="L413" s="101" t="s">
        <v>2599</v>
      </c>
      <c r="M413" s="18">
        <v>54503000</v>
      </c>
      <c r="N413" s="18">
        <v>54503000</v>
      </c>
      <c r="O413" s="472" t="s">
        <v>2615</v>
      </c>
      <c r="P413" s="543"/>
      <c r="Q413" s="97"/>
    </row>
    <row r="414" spans="1:17" ht="15" customHeight="1">
      <c r="A414" s="97" t="s">
        <v>243</v>
      </c>
      <c r="B414" s="97">
        <v>2011</v>
      </c>
      <c r="C414" s="97" t="s">
        <v>237</v>
      </c>
      <c r="D414" s="332" t="s">
        <v>238</v>
      </c>
      <c r="E414" s="107" t="s">
        <v>2598</v>
      </c>
      <c r="F414" s="101" t="s">
        <v>50</v>
      </c>
      <c r="G414" s="101" t="s">
        <v>552</v>
      </c>
      <c r="H414" s="18">
        <f>10542531+9938550</f>
        <v>20481081</v>
      </c>
      <c r="I414" s="27" t="s">
        <v>2458</v>
      </c>
      <c r="J414" s="18" t="s">
        <v>871</v>
      </c>
      <c r="K414" s="101"/>
      <c r="L414" s="101" t="s">
        <v>2600</v>
      </c>
      <c r="M414" s="18">
        <v>37303000</v>
      </c>
      <c r="N414" s="18">
        <v>37303000</v>
      </c>
      <c r="O414" s="472" t="s">
        <v>2615</v>
      </c>
      <c r="P414" s="543"/>
      <c r="Q414" s="97"/>
    </row>
    <row r="415" spans="1:17" ht="15" customHeight="1">
      <c r="A415" s="97" t="s">
        <v>243</v>
      </c>
      <c r="B415" s="97">
        <v>2011</v>
      </c>
      <c r="C415" s="97" t="s">
        <v>237</v>
      </c>
      <c r="D415" s="332" t="s">
        <v>238</v>
      </c>
      <c r="E415" s="107" t="s">
        <v>2598</v>
      </c>
      <c r="F415" s="101" t="s">
        <v>50</v>
      </c>
      <c r="G415" s="101"/>
      <c r="H415" s="18"/>
      <c r="I415" s="27"/>
      <c r="J415" s="18"/>
      <c r="K415" s="101"/>
      <c r="L415" s="101" t="s">
        <v>2601</v>
      </c>
      <c r="M415" s="18">
        <v>8793000</v>
      </c>
      <c r="N415" s="18">
        <v>8793000</v>
      </c>
      <c r="O415" s="472" t="s">
        <v>2617</v>
      </c>
      <c r="P415" s="543"/>
      <c r="Q415" s="97"/>
    </row>
    <row r="416" spans="1:17" ht="15" customHeight="1">
      <c r="A416" s="97" t="s">
        <v>243</v>
      </c>
      <c r="B416" s="97">
        <v>2011</v>
      </c>
      <c r="C416" s="97" t="s">
        <v>237</v>
      </c>
      <c r="D416" s="332" t="s">
        <v>238</v>
      </c>
      <c r="E416" s="107" t="s">
        <v>2598</v>
      </c>
      <c r="F416" s="101" t="s">
        <v>50</v>
      </c>
      <c r="G416" s="101"/>
      <c r="H416" s="18"/>
      <c r="I416" s="27"/>
      <c r="J416" s="18"/>
      <c r="K416" s="101"/>
      <c r="L416" s="101" t="s">
        <v>2602</v>
      </c>
      <c r="M416" s="18">
        <v>6004000</v>
      </c>
      <c r="N416" s="18">
        <v>6004000</v>
      </c>
      <c r="O416" s="472" t="s">
        <v>2617</v>
      </c>
      <c r="P416" s="543"/>
      <c r="Q416" s="97"/>
    </row>
    <row r="417" spans="1:17" ht="15" customHeight="1">
      <c r="A417" s="97" t="s">
        <v>243</v>
      </c>
      <c r="B417" s="97">
        <v>2011</v>
      </c>
      <c r="C417" s="97" t="s">
        <v>237</v>
      </c>
      <c r="D417" s="332" t="s">
        <v>238</v>
      </c>
      <c r="E417" s="101" t="s">
        <v>2603</v>
      </c>
      <c r="F417" s="101" t="s">
        <v>50</v>
      </c>
      <c r="G417" s="101" t="s">
        <v>98</v>
      </c>
      <c r="H417" s="18">
        <f>1622359+2286178</f>
        <v>3908537</v>
      </c>
      <c r="I417" s="27" t="s">
        <v>2456</v>
      </c>
      <c r="J417" s="18" t="s">
        <v>871</v>
      </c>
      <c r="K417" s="101"/>
      <c r="L417" s="101" t="s">
        <v>2604</v>
      </c>
      <c r="M417" s="18">
        <v>215762000</v>
      </c>
      <c r="N417" s="18">
        <v>215805000</v>
      </c>
      <c r="O417" s="472" t="s">
        <v>2615</v>
      </c>
      <c r="P417" s="543"/>
      <c r="Q417" s="97"/>
    </row>
    <row r="418" spans="1:17" ht="15" customHeight="1">
      <c r="A418" s="97" t="s">
        <v>243</v>
      </c>
      <c r="B418" s="97">
        <v>2011</v>
      </c>
      <c r="C418" s="97" t="s">
        <v>237</v>
      </c>
      <c r="D418" s="332" t="s">
        <v>238</v>
      </c>
      <c r="E418" s="101" t="s">
        <v>2603</v>
      </c>
      <c r="F418" s="101" t="s">
        <v>50</v>
      </c>
      <c r="G418" s="101" t="s">
        <v>552</v>
      </c>
      <c r="H418" s="18">
        <f>17372146+28708870</f>
        <v>46081016</v>
      </c>
      <c r="I418" s="27" t="s">
        <v>2458</v>
      </c>
      <c r="J418" s="18" t="s">
        <v>871</v>
      </c>
      <c r="K418" s="101"/>
      <c r="L418" s="101" t="s">
        <v>2605</v>
      </c>
      <c r="M418" s="18">
        <v>134554000</v>
      </c>
      <c r="N418" s="18">
        <v>134554000</v>
      </c>
      <c r="O418" s="472" t="s">
        <v>2615</v>
      </c>
      <c r="P418" s="543"/>
      <c r="Q418" s="97"/>
    </row>
    <row r="419" spans="1:17" ht="15" customHeight="1">
      <c r="A419" s="97" t="s">
        <v>243</v>
      </c>
      <c r="B419" s="97">
        <v>2011</v>
      </c>
      <c r="C419" s="97" t="s">
        <v>237</v>
      </c>
      <c r="D419" s="332" t="s">
        <v>238</v>
      </c>
      <c r="E419" s="101" t="s">
        <v>2603</v>
      </c>
      <c r="F419" s="101" t="s">
        <v>50</v>
      </c>
      <c r="G419" s="101"/>
      <c r="H419" s="18"/>
      <c r="I419" s="27"/>
      <c r="J419" s="18"/>
      <c r="K419" s="101"/>
      <c r="L419" s="101" t="s">
        <v>2606</v>
      </c>
      <c r="M419" s="18">
        <v>13843000</v>
      </c>
      <c r="N419" s="18">
        <v>11600000</v>
      </c>
      <c r="O419" s="472" t="s">
        <v>2617</v>
      </c>
      <c r="P419" s="543"/>
      <c r="Q419" s="97"/>
    </row>
    <row r="420" spans="1:17" ht="15" customHeight="1">
      <c r="A420" s="97" t="s">
        <v>243</v>
      </c>
      <c r="B420" s="97">
        <v>2011</v>
      </c>
      <c r="C420" s="97" t="s">
        <v>237</v>
      </c>
      <c r="D420" s="332" t="s">
        <v>238</v>
      </c>
      <c r="E420" s="107" t="s">
        <v>2607</v>
      </c>
      <c r="F420" s="101" t="s">
        <v>50</v>
      </c>
      <c r="G420" s="101" t="s">
        <v>98</v>
      </c>
      <c r="H420" s="18">
        <v>601162</v>
      </c>
      <c r="I420" s="27" t="s">
        <v>2456</v>
      </c>
      <c r="J420" s="18" t="s">
        <v>871</v>
      </c>
      <c r="K420" s="101"/>
      <c r="L420" s="101" t="s">
        <v>2608</v>
      </c>
      <c r="M420" s="18">
        <v>23470000</v>
      </c>
      <c r="N420" s="18">
        <v>23470000</v>
      </c>
      <c r="O420" s="472" t="s">
        <v>2615</v>
      </c>
      <c r="P420" s="543"/>
      <c r="Q420" s="97"/>
    </row>
    <row r="421" spans="1:17" ht="15" customHeight="1">
      <c r="A421" s="97" t="s">
        <v>243</v>
      </c>
      <c r="B421" s="97">
        <v>2011</v>
      </c>
      <c r="C421" s="97" t="s">
        <v>237</v>
      </c>
      <c r="D421" s="332" t="s">
        <v>238</v>
      </c>
      <c r="E421" s="107" t="s">
        <v>2607</v>
      </c>
      <c r="F421" s="101" t="s">
        <v>50</v>
      </c>
      <c r="G421" s="101" t="s">
        <v>552</v>
      </c>
      <c r="H421" s="18">
        <f>5997652*2</f>
        <v>11995304</v>
      </c>
      <c r="I421" s="27" t="s">
        <v>2458</v>
      </c>
      <c r="J421" s="18" t="s">
        <v>871</v>
      </c>
      <c r="K421" s="101"/>
      <c r="L421" s="101" t="s">
        <v>2609</v>
      </c>
      <c r="M421" s="18">
        <v>18594000</v>
      </c>
      <c r="N421" s="18">
        <v>18594000</v>
      </c>
      <c r="O421" s="472" t="s">
        <v>2615</v>
      </c>
      <c r="P421" s="543"/>
      <c r="Q421" s="97"/>
    </row>
    <row r="422" spans="1:17" ht="15" customHeight="1">
      <c r="A422" s="97" t="s">
        <v>243</v>
      </c>
      <c r="B422" s="97">
        <v>2011</v>
      </c>
      <c r="C422" s="97" t="s">
        <v>237</v>
      </c>
      <c r="D422" s="332" t="s">
        <v>238</v>
      </c>
      <c r="E422" s="107" t="s">
        <v>2607</v>
      </c>
      <c r="F422" s="101" t="s">
        <v>50</v>
      </c>
      <c r="G422" s="101"/>
      <c r="H422" s="18"/>
      <c r="I422" s="27"/>
      <c r="J422" s="18"/>
      <c r="K422" s="101"/>
      <c r="L422" s="101" t="s">
        <v>2610</v>
      </c>
      <c r="M422" s="18">
        <v>2274000</v>
      </c>
      <c r="N422" s="18">
        <v>2274000</v>
      </c>
      <c r="O422" s="472" t="s">
        <v>2617</v>
      </c>
      <c r="P422" s="543"/>
      <c r="Q422" s="97"/>
    </row>
    <row r="423" spans="1:17" ht="15" customHeight="1">
      <c r="A423" s="97" t="s">
        <v>243</v>
      </c>
      <c r="B423" s="97">
        <v>2011</v>
      </c>
      <c r="C423" s="97" t="s">
        <v>237</v>
      </c>
      <c r="D423" s="332" t="s">
        <v>238</v>
      </c>
      <c r="E423" s="107" t="s">
        <v>2607</v>
      </c>
      <c r="F423" s="101" t="s">
        <v>50</v>
      </c>
      <c r="G423" s="101"/>
      <c r="H423" s="18"/>
      <c r="I423" s="27"/>
      <c r="J423" s="18"/>
      <c r="K423" s="101"/>
      <c r="L423" s="101" t="s">
        <v>2611</v>
      </c>
      <c r="M423" s="18"/>
      <c r="N423" s="18"/>
      <c r="O423" s="472"/>
      <c r="P423" s="543"/>
      <c r="Q423" s="97"/>
    </row>
    <row r="424" spans="1:17" ht="15" customHeight="1">
      <c r="A424" s="97" t="s">
        <v>243</v>
      </c>
      <c r="B424" s="97">
        <v>2011</v>
      </c>
      <c r="C424" s="97" t="s">
        <v>237</v>
      </c>
      <c r="D424" s="332" t="s">
        <v>238</v>
      </c>
      <c r="E424" s="107" t="s">
        <v>2607</v>
      </c>
      <c r="F424" s="101" t="s">
        <v>50</v>
      </c>
      <c r="G424" s="101"/>
      <c r="H424" s="18"/>
      <c r="I424" s="27"/>
      <c r="J424" s="18"/>
      <c r="K424" s="101"/>
      <c r="L424" s="101" t="s">
        <v>2612</v>
      </c>
      <c r="M424" s="18"/>
      <c r="N424" s="18"/>
      <c r="O424" s="472"/>
      <c r="P424" s="543"/>
      <c r="Q424" s="97"/>
    </row>
    <row r="425" spans="1:17" ht="15" customHeight="1" thickBot="1">
      <c r="A425" s="97" t="s">
        <v>243</v>
      </c>
      <c r="B425" s="97">
        <v>2011</v>
      </c>
      <c r="C425" s="97" t="s">
        <v>237</v>
      </c>
      <c r="D425" s="332" t="s">
        <v>238</v>
      </c>
      <c r="E425" s="101" t="s">
        <v>2613</v>
      </c>
      <c r="F425" s="101" t="s">
        <v>50</v>
      </c>
      <c r="G425" s="101" t="s">
        <v>98</v>
      </c>
      <c r="H425" s="18">
        <v>50874</v>
      </c>
      <c r="I425" s="27" t="s">
        <v>2456</v>
      </c>
      <c r="J425" s="18" t="s">
        <v>871</v>
      </c>
      <c r="K425" s="101"/>
      <c r="L425" s="101" t="s">
        <v>2614</v>
      </c>
      <c r="M425" s="18">
        <v>566000</v>
      </c>
      <c r="N425" s="18">
        <v>566000</v>
      </c>
      <c r="O425" s="472" t="s">
        <v>2615</v>
      </c>
      <c r="P425" s="543"/>
      <c r="Q425" s="97"/>
    </row>
    <row r="426" spans="1:17" s="111" customFormat="1" ht="15" customHeight="1">
      <c r="A426" s="110" t="s">
        <v>377</v>
      </c>
      <c r="B426" s="110">
        <v>2008</v>
      </c>
      <c r="C426" s="110" t="s">
        <v>378</v>
      </c>
      <c r="D426" s="553" t="s">
        <v>81</v>
      </c>
      <c r="E426" s="110" t="s">
        <v>2628</v>
      </c>
      <c r="F426" s="110" t="s">
        <v>552</v>
      </c>
      <c r="G426" s="110" t="s">
        <v>2629</v>
      </c>
      <c r="H426" s="49">
        <v>695938</v>
      </c>
      <c r="I426" s="40" t="s">
        <v>2630</v>
      </c>
      <c r="J426" s="110"/>
      <c r="K426" s="110"/>
      <c r="L426" s="110" t="s">
        <v>2631</v>
      </c>
      <c r="M426" s="49" t="s">
        <v>2632</v>
      </c>
      <c r="N426" s="49" t="s">
        <v>2633</v>
      </c>
      <c r="O426" s="474" t="s">
        <v>1736</v>
      </c>
      <c r="P426" s="554"/>
    </row>
    <row r="427" spans="1:17" s="102" customFormat="1" ht="15" customHeight="1">
      <c r="A427" s="101" t="s">
        <v>377</v>
      </c>
      <c r="B427" s="101">
        <v>2008</v>
      </c>
      <c r="C427" s="101" t="s">
        <v>378</v>
      </c>
      <c r="D427" s="542" t="s">
        <v>81</v>
      </c>
      <c r="E427" s="101" t="s">
        <v>2628</v>
      </c>
      <c r="F427" s="101" t="s">
        <v>552</v>
      </c>
      <c r="G427" s="106" t="s">
        <v>2634</v>
      </c>
      <c r="H427" s="18">
        <v>104519840</v>
      </c>
      <c r="I427" s="27" t="s">
        <v>2635</v>
      </c>
      <c r="J427" s="101"/>
      <c r="K427" s="101"/>
      <c r="L427" s="101" t="s">
        <v>2636</v>
      </c>
      <c r="M427" s="106">
        <v>0</v>
      </c>
      <c r="N427" s="105">
        <v>2997321.3810316143</v>
      </c>
      <c r="O427" s="472" t="s">
        <v>1736</v>
      </c>
      <c r="P427" s="543"/>
    </row>
    <row r="428" spans="1:17" s="109" customFormat="1">
      <c r="A428" s="108" t="s">
        <v>377</v>
      </c>
      <c r="B428" s="108">
        <v>2008</v>
      </c>
      <c r="C428" s="534" t="s">
        <v>378</v>
      </c>
      <c r="D428" s="555" t="s">
        <v>81</v>
      </c>
      <c r="E428" s="534" t="s">
        <v>2628</v>
      </c>
      <c r="F428" s="534" t="s">
        <v>552</v>
      </c>
      <c r="G428" s="556"/>
      <c r="H428" s="557"/>
      <c r="I428" s="557"/>
      <c r="J428" s="557"/>
      <c r="K428" s="557"/>
      <c r="L428" s="558" t="s">
        <v>2637</v>
      </c>
      <c r="M428" s="558" t="s">
        <v>871</v>
      </c>
      <c r="N428" s="558" t="s">
        <v>871</v>
      </c>
      <c r="O428" s="559"/>
      <c r="P428" s="560"/>
    </row>
    <row r="429" spans="1:17" s="113" customFormat="1" ht="30">
      <c r="A429" s="112" t="s">
        <v>381</v>
      </c>
      <c r="B429" s="112">
        <v>2009</v>
      </c>
      <c r="C429" s="535" t="s">
        <v>378</v>
      </c>
      <c r="D429" s="561" t="s">
        <v>81</v>
      </c>
      <c r="E429" s="534" t="s">
        <v>2628</v>
      </c>
      <c r="F429" s="535" t="s">
        <v>552</v>
      </c>
      <c r="G429" s="535"/>
      <c r="H429" s="562"/>
      <c r="I429" s="563"/>
      <c r="J429" s="563"/>
      <c r="K429" s="563"/>
      <c r="L429" s="564"/>
      <c r="M429" s="564"/>
      <c r="N429" s="564"/>
      <c r="O429" s="565"/>
      <c r="P429" s="566" t="s">
        <v>3706</v>
      </c>
    </row>
    <row r="430" spans="1:17" ht="30">
      <c r="A430" s="97" t="s">
        <v>384</v>
      </c>
      <c r="B430" s="97">
        <v>2010</v>
      </c>
      <c r="C430" s="97" t="s">
        <v>378</v>
      </c>
      <c r="D430" s="542" t="s">
        <v>81</v>
      </c>
      <c r="E430" s="534" t="s">
        <v>2628</v>
      </c>
      <c r="F430" s="101" t="s">
        <v>552</v>
      </c>
      <c r="G430" s="101"/>
      <c r="H430" s="105"/>
      <c r="I430" s="106"/>
      <c r="J430" s="106"/>
      <c r="K430" s="106"/>
      <c r="L430" s="118"/>
      <c r="M430" s="118"/>
      <c r="N430" s="118"/>
      <c r="O430" s="477"/>
      <c r="P430" s="566" t="s">
        <v>3706</v>
      </c>
    </row>
    <row r="431" spans="1:17" s="100" customFormat="1">
      <c r="A431" s="99" t="s">
        <v>1776</v>
      </c>
      <c r="B431" s="99">
        <v>2011</v>
      </c>
      <c r="C431" s="99" t="s">
        <v>378</v>
      </c>
      <c r="D431" s="544" t="s">
        <v>81</v>
      </c>
      <c r="E431" s="99" t="s">
        <v>2628</v>
      </c>
      <c r="F431" s="99" t="s">
        <v>552</v>
      </c>
      <c r="G431" s="99" t="s">
        <v>552</v>
      </c>
      <c r="H431" s="115">
        <v>131555851.48999999</v>
      </c>
      <c r="I431" s="33" t="s">
        <v>2635</v>
      </c>
      <c r="J431" s="116"/>
      <c r="K431" s="116"/>
      <c r="L431" s="99" t="s">
        <v>2631</v>
      </c>
      <c r="M431" s="117" t="s">
        <v>2638</v>
      </c>
      <c r="N431" s="117" t="s">
        <v>2639</v>
      </c>
      <c r="O431" s="476" t="s">
        <v>2640</v>
      </c>
      <c r="P431" s="567"/>
    </row>
    <row r="432" spans="1:17" s="102" customFormat="1">
      <c r="A432" s="101" t="s">
        <v>1776</v>
      </c>
      <c r="B432" s="101">
        <v>2011</v>
      </c>
      <c r="C432" s="101" t="s">
        <v>378</v>
      </c>
      <c r="D432" s="542" t="s">
        <v>81</v>
      </c>
      <c r="E432" s="101" t="s">
        <v>2628</v>
      </c>
      <c r="F432" s="101" t="s">
        <v>552</v>
      </c>
      <c r="G432" s="101"/>
      <c r="H432" s="106"/>
      <c r="I432" s="106"/>
      <c r="J432" s="106"/>
      <c r="K432" s="106"/>
      <c r="L432" s="101" t="s">
        <v>2636</v>
      </c>
      <c r="M432" s="105">
        <f>264740164.1/27.22</f>
        <v>9725942.8398236595</v>
      </c>
      <c r="N432" s="105">
        <f>264224396.54/27.22</f>
        <v>9706994.729610581</v>
      </c>
      <c r="O432" s="477">
        <v>14</v>
      </c>
      <c r="P432" s="568"/>
    </row>
    <row r="433" spans="1:16" s="102" customFormat="1">
      <c r="A433" s="101" t="s">
        <v>1776</v>
      </c>
      <c r="B433" s="101">
        <v>2011</v>
      </c>
      <c r="C433" s="101" t="s">
        <v>378</v>
      </c>
      <c r="D433" s="542" t="s">
        <v>81</v>
      </c>
      <c r="E433" s="101" t="s">
        <v>2628</v>
      </c>
      <c r="F433" s="101" t="s">
        <v>552</v>
      </c>
      <c r="G433" s="101"/>
      <c r="H433" s="106"/>
      <c r="I433" s="106"/>
      <c r="J433" s="106"/>
      <c r="K433" s="106"/>
      <c r="L433" s="118" t="s">
        <v>2637</v>
      </c>
      <c r="M433" s="118" t="s">
        <v>871</v>
      </c>
      <c r="N433" s="118" t="s">
        <v>871</v>
      </c>
      <c r="O433" s="477"/>
      <c r="P433" s="568"/>
    </row>
    <row r="434" spans="1:16" s="102" customFormat="1">
      <c r="A434" s="101" t="s">
        <v>1776</v>
      </c>
      <c r="B434" s="101">
        <v>2011</v>
      </c>
      <c r="C434" s="101" t="s">
        <v>378</v>
      </c>
      <c r="D434" s="542" t="s">
        <v>81</v>
      </c>
      <c r="E434" s="101" t="s">
        <v>2628</v>
      </c>
      <c r="F434" s="101" t="s">
        <v>552</v>
      </c>
      <c r="G434" s="101"/>
      <c r="H434" s="106"/>
      <c r="I434" s="106"/>
      <c r="J434" s="106"/>
      <c r="K434" s="106"/>
      <c r="L434" s="118" t="s">
        <v>2641</v>
      </c>
      <c r="M434" s="118">
        <v>0</v>
      </c>
      <c r="N434" s="118">
        <v>0</v>
      </c>
      <c r="O434" s="477">
        <v>14</v>
      </c>
      <c r="P434" s="568"/>
    </row>
    <row r="435" spans="1:16" s="104" customFormat="1" ht="15.75" thickBot="1">
      <c r="A435" s="101" t="s">
        <v>1776</v>
      </c>
      <c r="B435" s="103">
        <v>2011</v>
      </c>
      <c r="C435" s="103" t="s">
        <v>378</v>
      </c>
      <c r="D435" s="546" t="s">
        <v>81</v>
      </c>
      <c r="E435" s="103" t="s">
        <v>2628</v>
      </c>
      <c r="F435" s="103" t="s">
        <v>552</v>
      </c>
      <c r="G435" s="103"/>
      <c r="H435" s="119"/>
      <c r="I435" s="119"/>
      <c r="J435" s="119"/>
      <c r="K435" s="119"/>
      <c r="L435" s="120" t="s">
        <v>2642</v>
      </c>
      <c r="M435" s="121">
        <f>523783857.5/27.22</f>
        <v>19242610.488611314</v>
      </c>
      <c r="N435" s="121">
        <f>523783857.5/27.22</f>
        <v>19242610.488611314</v>
      </c>
      <c r="O435" s="478">
        <v>14</v>
      </c>
      <c r="P435" s="569"/>
    </row>
    <row r="436" spans="1:16" ht="30">
      <c r="A436" s="122" t="s">
        <v>500</v>
      </c>
      <c r="B436" s="123">
        <v>2008</v>
      </c>
      <c r="C436" s="97" t="s">
        <v>501</v>
      </c>
      <c r="D436" s="542" t="s">
        <v>2643</v>
      </c>
      <c r="E436" s="124"/>
      <c r="F436" s="101" t="s">
        <v>50</v>
      </c>
      <c r="G436" s="122"/>
      <c r="H436" s="106"/>
      <c r="I436" s="106"/>
      <c r="J436" s="106"/>
      <c r="K436" s="106"/>
      <c r="L436" s="102"/>
      <c r="M436" s="118"/>
      <c r="N436" s="118"/>
      <c r="O436" s="477"/>
      <c r="P436" s="568" t="s">
        <v>3706</v>
      </c>
    </row>
    <row r="437" spans="1:16" s="113" customFormat="1" ht="30">
      <c r="A437" s="112" t="s">
        <v>503</v>
      </c>
      <c r="B437" s="125">
        <v>2009</v>
      </c>
      <c r="C437" s="535" t="s">
        <v>501</v>
      </c>
      <c r="D437" s="561" t="s">
        <v>2643</v>
      </c>
      <c r="E437" s="563"/>
      <c r="F437" s="535" t="s">
        <v>50</v>
      </c>
      <c r="G437" s="535"/>
      <c r="H437" s="563"/>
      <c r="I437" s="563"/>
      <c r="J437" s="563"/>
      <c r="K437" s="563"/>
      <c r="L437" s="563"/>
      <c r="M437" s="563"/>
      <c r="N437" s="563"/>
      <c r="O437" s="565"/>
      <c r="P437" s="570" t="s">
        <v>3706</v>
      </c>
    </row>
    <row r="438" spans="1:16" s="126" customFormat="1">
      <c r="A438" s="97" t="s">
        <v>506</v>
      </c>
      <c r="B438" s="123">
        <v>2010</v>
      </c>
      <c r="C438" s="97" t="s">
        <v>501</v>
      </c>
      <c r="D438" s="542" t="s">
        <v>2643</v>
      </c>
      <c r="E438" s="130" t="s">
        <v>2644</v>
      </c>
      <c r="F438" s="101" t="s">
        <v>50</v>
      </c>
      <c r="G438" s="101" t="s">
        <v>2645</v>
      </c>
      <c r="H438" s="18" t="s">
        <v>871</v>
      </c>
      <c r="I438" s="130"/>
      <c r="J438" s="130"/>
      <c r="K438" s="130"/>
      <c r="L438" s="101" t="s">
        <v>2646</v>
      </c>
      <c r="M438" s="132">
        <v>720537387</v>
      </c>
      <c r="N438" s="132">
        <v>720537387</v>
      </c>
      <c r="O438" s="481">
        <v>7</v>
      </c>
      <c r="P438" s="571"/>
    </row>
    <row r="439" spans="1:16" s="126" customFormat="1">
      <c r="A439" s="97" t="s">
        <v>506</v>
      </c>
      <c r="B439" s="123">
        <v>2010</v>
      </c>
      <c r="C439" s="97" t="s">
        <v>501</v>
      </c>
      <c r="D439" s="542" t="s">
        <v>2643</v>
      </c>
      <c r="E439" s="130" t="s">
        <v>2644</v>
      </c>
      <c r="F439" s="101" t="s">
        <v>50</v>
      </c>
      <c r="G439" s="101"/>
      <c r="H439" s="130"/>
      <c r="I439" s="130"/>
      <c r="J439" s="130"/>
      <c r="K439" s="130"/>
      <c r="L439" s="101" t="s">
        <v>2647</v>
      </c>
      <c r="M439" s="101" t="s">
        <v>2648</v>
      </c>
      <c r="N439" s="101" t="s">
        <v>2648</v>
      </c>
      <c r="O439" s="481"/>
      <c r="P439" s="571" t="s">
        <v>3707</v>
      </c>
    </row>
    <row r="440" spans="1:16" s="126" customFormat="1">
      <c r="A440" s="97" t="s">
        <v>506</v>
      </c>
      <c r="B440" s="123">
        <v>2010</v>
      </c>
      <c r="C440" s="97" t="s">
        <v>501</v>
      </c>
      <c r="D440" s="542" t="s">
        <v>2643</v>
      </c>
      <c r="E440" s="130" t="s">
        <v>2644</v>
      </c>
      <c r="F440" s="101" t="s">
        <v>50</v>
      </c>
      <c r="G440" s="101"/>
      <c r="H440" s="130"/>
      <c r="I440" s="130"/>
      <c r="J440" s="130"/>
      <c r="K440" s="130"/>
      <c r="L440" s="101" t="s">
        <v>2649</v>
      </c>
      <c r="M440" s="101" t="s">
        <v>2648</v>
      </c>
      <c r="N440" s="101" t="s">
        <v>2648</v>
      </c>
      <c r="O440" s="481"/>
      <c r="P440" s="571"/>
    </row>
    <row r="441" spans="1:16" s="126" customFormat="1">
      <c r="A441" s="97" t="s">
        <v>506</v>
      </c>
      <c r="B441" s="123">
        <v>2010</v>
      </c>
      <c r="C441" s="97" t="s">
        <v>501</v>
      </c>
      <c r="D441" s="542" t="s">
        <v>2643</v>
      </c>
      <c r="E441" s="130" t="s">
        <v>2644</v>
      </c>
      <c r="F441" s="101" t="s">
        <v>50</v>
      </c>
      <c r="G441" s="101"/>
      <c r="H441" s="130"/>
      <c r="I441" s="130"/>
      <c r="J441" s="130"/>
      <c r="K441" s="130"/>
      <c r="L441" s="101" t="s">
        <v>2650</v>
      </c>
      <c r="M441" s="101" t="s">
        <v>2648</v>
      </c>
      <c r="N441" s="101" t="s">
        <v>2648</v>
      </c>
      <c r="O441" s="481"/>
      <c r="P441" s="571"/>
    </row>
    <row r="442" spans="1:16" s="126" customFormat="1">
      <c r="A442" s="97" t="s">
        <v>506</v>
      </c>
      <c r="B442" s="123">
        <v>2010</v>
      </c>
      <c r="C442" s="97" t="s">
        <v>501</v>
      </c>
      <c r="D442" s="542" t="s">
        <v>2643</v>
      </c>
      <c r="E442" s="130" t="s">
        <v>2644</v>
      </c>
      <c r="F442" s="101" t="s">
        <v>50</v>
      </c>
      <c r="G442" s="101"/>
      <c r="H442" s="130"/>
      <c r="I442" s="130"/>
      <c r="J442" s="130"/>
      <c r="K442" s="130"/>
      <c r="L442" s="101" t="s">
        <v>2651</v>
      </c>
      <c r="M442" s="132">
        <v>167637643</v>
      </c>
      <c r="N442" s="132">
        <v>167637643</v>
      </c>
      <c r="O442" s="481">
        <v>7</v>
      </c>
      <c r="P442" s="571"/>
    </row>
    <row r="443" spans="1:16" s="126" customFormat="1">
      <c r="A443" s="97" t="s">
        <v>506</v>
      </c>
      <c r="B443" s="123">
        <v>2010</v>
      </c>
      <c r="C443" s="97" t="s">
        <v>501</v>
      </c>
      <c r="D443" s="542" t="s">
        <v>2643</v>
      </c>
      <c r="E443" s="130" t="s">
        <v>2652</v>
      </c>
      <c r="F443" s="101" t="s">
        <v>50</v>
      </c>
      <c r="G443" s="101" t="s">
        <v>2645</v>
      </c>
      <c r="H443" s="18" t="s">
        <v>871</v>
      </c>
      <c r="I443" s="130"/>
      <c r="J443" s="130"/>
      <c r="K443" s="130"/>
      <c r="L443" s="101" t="s">
        <v>2653</v>
      </c>
      <c r="M443" s="132">
        <v>106728004</v>
      </c>
      <c r="N443" s="132">
        <v>106728004</v>
      </c>
      <c r="O443" s="481">
        <v>7</v>
      </c>
      <c r="P443" s="571"/>
    </row>
    <row r="444" spans="1:16" s="126" customFormat="1">
      <c r="A444" s="97" t="s">
        <v>506</v>
      </c>
      <c r="B444" s="123">
        <v>2010</v>
      </c>
      <c r="C444" s="97" t="s">
        <v>501</v>
      </c>
      <c r="D444" s="542" t="s">
        <v>2643</v>
      </c>
      <c r="E444" s="130" t="s">
        <v>2652</v>
      </c>
      <c r="F444" s="101" t="s">
        <v>50</v>
      </c>
      <c r="G444" s="101"/>
      <c r="H444" s="130"/>
      <c r="I444" s="130"/>
      <c r="J444" s="130"/>
      <c r="K444" s="130"/>
      <c r="L444" s="101" t="s">
        <v>2647</v>
      </c>
      <c r="M444" s="101" t="s">
        <v>2648</v>
      </c>
      <c r="N444" s="101" t="s">
        <v>2648</v>
      </c>
      <c r="O444" s="481"/>
      <c r="P444" s="571"/>
    </row>
    <row r="445" spans="1:16" s="126" customFormat="1">
      <c r="A445" s="97" t="s">
        <v>506</v>
      </c>
      <c r="B445" s="123">
        <v>2010</v>
      </c>
      <c r="C445" s="97" t="s">
        <v>501</v>
      </c>
      <c r="D445" s="542" t="s">
        <v>2643</v>
      </c>
      <c r="E445" s="130" t="s">
        <v>2652</v>
      </c>
      <c r="F445" s="101" t="s">
        <v>50</v>
      </c>
      <c r="G445" s="101"/>
      <c r="H445" s="130"/>
      <c r="I445" s="130"/>
      <c r="J445" s="130"/>
      <c r="K445" s="130"/>
      <c r="L445" s="101" t="s">
        <v>2649</v>
      </c>
      <c r="M445" s="101" t="s">
        <v>2648</v>
      </c>
      <c r="N445" s="101" t="s">
        <v>2648</v>
      </c>
      <c r="O445" s="481"/>
      <c r="P445" s="571"/>
    </row>
    <row r="446" spans="1:16" s="126" customFormat="1">
      <c r="A446" s="97" t="s">
        <v>506</v>
      </c>
      <c r="B446" s="123">
        <v>2010</v>
      </c>
      <c r="C446" s="97" t="s">
        <v>501</v>
      </c>
      <c r="D446" s="542" t="s">
        <v>2643</v>
      </c>
      <c r="E446" s="130" t="s">
        <v>2654</v>
      </c>
      <c r="F446" s="101" t="s">
        <v>50</v>
      </c>
      <c r="G446" s="130" t="s">
        <v>552</v>
      </c>
      <c r="H446" s="18" t="s">
        <v>871</v>
      </c>
      <c r="I446" s="130"/>
      <c r="J446" s="130"/>
      <c r="K446" s="130"/>
      <c r="L446" s="101" t="s">
        <v>2655</v>
      </c>
      <c r="M446" s="101" t="s">
        <v>2648</v>
      </c>
      <c r="N446" s="101" t="s">
        <v>2648</v>
      </c>
      <c r="O446" s="481"/>
      <c r="P446" s="571"/>
    </row>
    <row r="447" spans="1:16" s="126" customFormat="1">
      <c r="A447" s="97" t="s">
        <v>506</v>
      </c>
      <c r="B447" s="123">
        <v>2010</v>
      </c>
      <c r="C447" s="97" t="s">
        <v>501</v>
      </c>
      <c r="D447" s="542" t="s">
        <v>2643</v>
      </c>
      <c r="E447" s="130" t="s">
        <v>2654</v>
      </c>
      <c r="F447" s="101" t="s">
        <v>50</v>
      </c>
      <c r="G447" s="130"/>
      <c r="H447" s="130"/>
      <c r="I447" s="130"/>
      <c r="J447" s="130"/>
      <c r="K447" s="130"/>
      <c r="L447" s="101" t="s">
        <v>2656</v>
      </c>
      <c r="M447" s="101" t="s">
        <v>871</v>
      </c>
      <c r="N447" s="101" t="s">
        <v>871</v>
      </c>
      <c r="O447" s="481"/>
      <c r="P447" s="571"/>
    </row>
    <row r="448" spans="1:16" s="126" customFormat="1">
      <c r="A448" s="97" t="s">
        <v>506</v>
      </c>
      <c r="B448" s="123">
        <v>2010</v>
      </c>
      <c r="C448" s="97" t="s">
        <v>501</v>
      </c>
      <c r="D448" s="542" t="s">
        <v>2643</v>
      </c>
      <c r="E448" s="130" t="s">
        <v>2654</v>
      </c>
      <c r="F448" s="101" t="s">
        <v>50</v>
      </c>
      <c r="G448" s="130"/>
      <c r="H448" s="130"/>
      <c r="I448" s="130"/>
      <c r="J448" s="130"/>
      <c r="K448" s="130"/>
      <c r="L448" s="101" t="s">
        <v>2657</v>
      </c>
      <c r="M448" s="101" t="s">
        <v>871</v>
      </c>
      <c r="N448" s="101" t="s">
        <v>871</v>
      </c>
      <c r="O448" s="481"/>
      <c r="P448" s="571"/>
    </row>
    <row r="449" spans="1:16" s="126" customFormat="1">
      <c r="A449" s="97" t="s">
        <v>506</v>
      </c>
      <c r="B449" s="123">
        <v>2010</v>
      </c>
      <c r="C449" s="97" t="s">
        <v>501</v>
      </c>
      <c r="D449" s="542" t="s">
        <v>2643</v>
      </c>
      <c r="E449" s="130" t="s">
        <v>2654</v>
      </c>
      <c r="F449" s="101" t="s">
        <v>50</v>
      </c>
      <c r="G449" s="130"/>
      <c r="H449" s="130"/>
      <c r="I449" s="130"/>
      <c r="J449" s="130"/>
      <c r="K449" s="130"/>
      <c r="L449" s="101" t="s">
        <v>2658</v>
      </c>
      <c r="M449" s="101" t="s">
        <v>2648</v>
      </c>
      <c r="N449" s="101" t="s">
        <v>2648</v>
      </c>
      <c r="O449" s="481"/>
      <c r="P449" s="571"/>
    </row>
    <row r="450" spans="1:16" s="126" customFormat="1">
      <c r="A450" s="97" t="s">
        <v>506</v>
      </c>
      <c r="B450" s="123">
        <v>2010</v>
      </c>
      <c r="C450" s="97" t="s">
        <v>501</v>
      </c>
      <c r="D450" s="542" t="s">
        <v>2643</v>
      </c>
      <c r="E450" s="101" t="s">
        <v>2659</v>
      </c>
      <c r="F450" s="101" t="s">
        <v>50</v>
      </c>
      <c r="G450" s="130" t="s">
        <v>552</v>
      </c>
      <c r="H450" s="18" t="s">
        <v>871</v>
      </c>
      <c r="I450" s="130"/>
      <c r="J450" s="130"/>
      <c r="K450" s="130"/>
      <c r="L450" s="101" t="s">
        <v>2655</v>
      </c>
      <c r="M450" s="101" t="s">
        <v>2648</v>
      </c>
      <c r="N450" s="101" t="s">
        <v>2648</v>
      </c>
      <c r="O450" s="481"/>
      <c r="P450" s="571"/>
    </row>
    <row r="451" spans="1:16" s="126" customFormat="1">
      <c r="A451" s="97" t="s">
        <v>506</v>
      </c>
      <c r="B451" s="123">
        <v>2010</v>
      </c>
      <c r="C451" s="97" t="s">
        <v>501</v>
      </c>
      <c r="D451" s="542" t="s">
        <v>2643</v>
      </c>
      <c r="E451" s="101" t="s">
        <v>2659</v>
      </c>
      <c r="F451" s="101" t="s">
        <v>50</v>
      </c>
      <c r="G451" s="130"/>
      <c r="H451" s="130"/>
      <c r="I451" s="130"/>
      <c r="J451" s="130"/>
      <c r="K451" s="130"/>
      <c r="L451" s="101" t="s">
        <v>2656</v>
      </c>
      <c r="M451" s="101" t="s">
        <v>871</v>
      </c>
      <c r="N451" s="101" t="s">
        <v>871</v>
      </c>
      <c r="O451" s="481"/>
      <c r="P451" s="571"/>
    </row>
    <row r="452" spans="1:16" s="126" customFormat="1">
      <c r="A452" s="97" t="s">
        <v>506</v>
      </c>
      <c r="B452" s="123">
        <v>2010</v>
      </c>
      <c r="C452" s="97" t="s">
        <v>501</v>
      </c>
      <c r="D452" s="542" t="s">
        <v>2643</v>
      </c>
      <c r="E452" s="101" t="s">
        <v>2659</v>
      </c>
      <c r="F452" s="101" t="s">
        <v>50</v>
      </c>
      <c r="G452" s="130"/>
      <c r="H452" s="130"/>
      <c r="I452" s="130"/>
      <c r="J452" s="130"/>
      <c r="K452" s="130"/>
      <c r="L452" s="101" t="s">
        <v>2657</v>
      </c>
      <c r="M452" s="101" t="s">
        <v>871</v>
      </c>
      <c r="N452" s="101" t="s">
        <v>871</v>
      </c>
      <c r="O452" s="481"/>
      <c r="P452" s="571"/>
    </row>
    <row r="453" spans="1:16" s="126" customFormat="1">
      <c r="A453" s="97" t="s">
        <v>506</v>
      </c>
      <c r="B453" s="123">
        <v>2010</v>
      </c>
      <c r="C453" s="97" t="s">
        <v>501</v>
      </c>
      <c r="D453" s="542" t="s">
        <v>2643</v>
      </c>
      <c r="E453" s="101" t="s">
        <v>2659</v>
      </c>
      <c r="F453" s="101" t="s">
        <v>50</v>
      </c>
      <c r="G453" s="130"/>
      <c r="H453" s="130"/>
      <c r="I453" s="130"/>
      <c r="J453" s="130"/>
      <c r="K453" s="130"/>
      <c r="L453" s="101" t="s">
        <v>2658</v>
      </c>
      <c r="M453" s="101" t="s">
        <v>2648</v>
      </c>
      <c r="N453" s="101" t="s">
        <v>2648</v>
      </c>
      <c r="O453" s="481"/>
      <c r="P453" s="571"/>
    </row>
    <row r="454" spans="1:16" s="126" customFormat="1">
      <c r="A454" s="97" t="s">
        <v>506</v>
      </c>
      <c r="B454" s="123">
        <v>2010</v>
      </c>
      <c r="C454" s="97" t="s">
        <v>501</v>
      </c>
      <c r="D454" s="542" t="s">
        <v>2643</v>
      </c>
      <c r="E454" s="130" t="s">
        <v>2660</v>
      </c>
      <c r="F454" s="101" t="s">
        <v>50</v>
      </c>
      <c r="G454" s="130"/>
      <c r="H454" s="18" t="s">
        <v>871</v>
      </c>
      <c r="I454" s="130"/>
      <c r="J454" s="130"/>
      <c r="K454" s="130"/>
      <c r="L454" s="101" t="s">
        <v>2661</v>
      </c>
      <c r="M454" s="132">
        <v>90330</v>
      </c>
      <c r="N454" s="132">
        <v>90330</v>
      </c>
      <c r="O454" s="481">
        <v>7</v>
      </c>
      <c r="P454" s="571"/>
    </row>
    <row r="455" spans="1:16" s="126" customFormat="1">
      <c r="A455" s="97" t="s">
        <v>506</v>
      </c>
      <c r="B455" s="123">
        <v>2010</v>
      </c>
      <c r="C455" s="97" t="s">
        <v>501</v>
      </c>
      <c r="D455" s="542" t="s">
        <v>2643</v>
      </c>
      <c r="E455" s="130" t="s">
        <v>2662</v>
      </c>
      <c r="F455" s="101" t="s">
        <v>50</v>
      </c>
      <c r="G455" s="130"/>
      <c r="H455" s="18" t="s">
        <v>871</v>
      </c>
      <c r="I455" s="130"/>
      <c r="J455" s="130"/>
      <c r="K455" s="130"/>
      <c r="L455" s="101" t="s">
        <v>2663</v>
      </c>
      <c r="M455" s="132">
        <v>11564779</v>
      </c>
      <c r="N455" s="132">
        <v>11564779</v>
      </c>
      <c r="O455" s="481">
        <v>7</v>
      </c>
      <c r="P455" s="571"/>
    </row>
    <row r="456" spans="1:16" s="126" customFormat="1">
      <c r="A456" s="97" t="s">
        <v>506</v>
      </c>
      <c r="B456" s="123">
        <v>2010</v>
      </c>
      <c r="C456" s="97" t="s">
        <v>501</v>
      </c>
      <c r="D456" s="542" t="s">
        <v>2643</v>
      </c>
      <c r="E456" s="130" t="s">
        <v>2662</v>
      </c>
      <c r="F456" s="101" t="s">
        <v>50</v>
      </c>
      <c r="G456" s="130"/>
      <c r="H456" s="130"/>
      <c r="I456" s="130"/>
      <c r="J456" s="130"/>
      <c r="K456" s="130"/>
      <c r="L456" s="101" t="s">
        <v>2664</v>
      </c>
      <c r="M456" s="101" t="s">
        <v>871</v>
      </c>
      <c r="N456" s="101" t="s">
        <v>871</v>
      </c>
      <c r="O456" s="481"/>
      <c r="P456" s="571"/>
    </row>
    <row r="457" spans="1:16" s="126" customFormat="1">
      <c r="A457" s="97" t="s">
        <v>506</v>
      </c>
      <c r="B457" s="123">
        <v>2010</v>
      </c>
      <c r="C457" s="97" t="s">
        <v>501</v>
      </c>
      <c r="D457" s="542" t="s">
        <v>2643</v>
      </c>
      <c r="E457" s="130" t="s">
        <v>2662</v>
      </c>
      <c r="F457" s="101" t="s">
        <v>50</v>
      </c>
      <c r="G457" s="130"/>
      <c r="H457" s="130"/>
      <c r="I457" s="130"/>
      <c r="J457" s="130"/>
      <c r="K457" s="130"/>
      <c r="L457" s="101" t="s">
        <v>2665</v>
      </c>
      <c r="M457" s="101" t="s">
        <v>871</v>
      </c>
      <c r="N457" s="101" t="s">
        <v>871</v>
      </c>
      <c r="O457" s="481"/>
      <c r="P457" s="571"/>
    </row>
    <row r="458" spans="1:16" s="126" customFormat="1">
      <c r="A458" s="97" t="s">
        <v>506</v>
      </c>
      <c r="B458" s="123">
        <v>2010</v>
      </c>
      <c r="C458" s="97" t="s">
        <v>501</v>
      </c>
      <c r="D458" s="542" t="s">
        <v>2643</v>
      </c>
      <c r="E458" s="130" t="s">
        <v>2662</v>
      </c>
      <c r="F458" s="101" t="s">
        <v>50</v>
      </c>
      <c r="G458" s="130"/>
      <c r="H458" s="130"/>
      <c r="I458" s="130"/>
      <c r="J458" s="130"/>
      <c r="K458" s="130"/>
      <c r="L458" s="101" t="s">
        <v>2666</v>
      </c>
      <c r="M458" s="101" t="s">
        <v>871</v>
      </c>
      <c r="N458" s="101" t="s">
        <v>871</v>
      </c>
      <c r="O458" s="481"/>
      <c r="P458" s="571"/>
    </row>
    <row r="459" spans="1:16" s="126" customFormat="1">
      <c r="A459" s="97" t="s">
        <v>506</v>
      </c>
      <c r="B459" s="123">
        <v>2010</v>
      </c>
      <c r="C459" s="97" t="s">
        <v>501</v>
      </c>
      <c r="D459" s="542" t="s">
        <v>2643</v>
      </c>
      <c r="E459" s="130" t="s">
        <v>2667</v>
      </c>
      <c r="F459" s="101" t="s">
        <v>50</v>
      </c>
      <c r="G459" s="130"/>
      <c r="H459" s="18" t="s">
        <v>871</v>
      </c>
      <c r="I459" s="130"/>
      <c r="J459" s="130"/>
      <c r="K459" s="130"/>
      <c r="L459" s="101" t="s">
        <v>2668</v>
      </c>
      <c r="M459" s="132">
        <v>4476530</v>
      </c>
      <c r="N459" s="132">
        <v>4476530</v>
      </c>
      <c r="O459" s="481">
        <v>7</v>
      </c>
      <c r="P459" s="571"/>
    </row>
    <row r="460" spans="1:16" s="126" customFormat="1">
      <c r="A460" s="97" t="s">
        <v>506</v>
      </c>
      <c r="B460" s="123">
        <v>2010</v>
      </c>
      <c r="C460" s="97" t="s">
        <v>501</v>
      </c>
      <c r="D460" s="542" t="s">
        <v>2643</v>
      </c>
      <c r="E460" s="130" t="s">
        <v>2667</v>
      </c>
      <c r="F460" s="101" t="s">
        <v>50</v>
      </c>
      <c r="G460" s="130"/>
      <c r="H460" s="130"/>
      <c r="I460" s="130"/>
      <c r="J460" s="130"/>
      <c r="K460" s="130"/>
      <c r="L460" s="101" t="s">
        <v>2669</v>
      </c>
      <c r="M460" s="133">
        <v>11374</v>
      </c>
      <c r="N460" s="133">
        <v>11374</v>
      </c>
      <c r="O460" s="481">
        <v>7</v>
      </c>
      <c r="P460" s="571"/>
    </row>
    <row r="461" spans="1:16" s="126" customFormat="1">
      <c r="A461" s="97" t="s">
        <v>506</v>
      </c>
      <c r="B461" s="123">
        <v>2010</v>
      </c>
      <c r="C461" s="97" t="s">
        <v>501</v>
      </c>
      <c r="D461" s="542" t="s">
        <v>2643</v>
      </c>
      <c r="E461" s="130" t="s">
        <v>2667</v>
      </c>
      <c r="F461" s="101" t="s">
        <v>50</v>
      </c>
      <c r="G461" s="130"/>
      <c r="H461" s="130"/>
      <c r="I461" s="130"/>
      <c r="J461" s="130"/>
      <c r="K461" s="130"/>
      <c r="L461" s="101" t="s">
        <v>2670</v>
      </c>
      <c r="M461" s="101" t="s">
        <v>871</v>
      </c>
      <c r="N461" s="101" t="s">
        <v>871</v>
      </c>
      <c r="O461" s="481"/>
      <c r="P461" s="571"/>
    </row>
    <row r="462" spans="1:16" s="126" customFormat="1">
      <c r="A462" s="97" t="s">
        <v>506</v>
      </c>
      <c r="B462" s="123">
        <v>2010</v>
      </c>
      <c r="C462" s="97" t="s">
        <v>501</v>
      </c>
      <c r="D462" s="542" t="s">
        <v>2643</v>
      </c>
      <c r="E462" s="130" t="s">
        <v>2667</v>
      </c>
      <c r="F462" s="101" t="s">
        <v>50</v>
      </c>
      <c r="G462" s="130"/>
      <c r="H462" s="130"/>
      <c r="I462" s="130"/>
      <c r="J462" s="130"/>
      <c r="K462" s="130"/>
      <c r="L462" s="101" t="s">
        <v>2671</v>
      </c>
      <c r="M462" s="101" t="s">
        <v>871</v>
      </c>
      <c r="N462" s="101" t="s">
        <v>871</v>
      </c>
      <c r="O462" s="481"/>
      <c r="P462" s="571"/>
    </row>
    <row r="463" spans="1:16" s="126" customFormat="1">
      <c r="A463" s="97" t="s">
        <v>506</v>
      </c>
      <c r="B463" s="123">
        <v>2010</v>
      </c>
      <c r="C463" s="97" t="s">
        <v>501</v>
      </c>
      <c r="D463" s="542" t="s">
        <v>2643</v>
      </c>
      <c r="E463" s="130" t="s">
        <v>2667</v>
      </c>
      <c r="F463" s="101" t="s">
        <v>50</v>
      </c>
      <c r="G463" s="130"/>
      <c r="H463" s="130"/>
      <c r="I463" s="130"/>
      <c r="J463" s="130"/>
      <c r="K463" s="130"/>
      <c r="L463" s="101" t="s">
        <v>2672</v>
      </c>
      <c r="M463" s="101" t="s">
        <v>871</v>
      </c>
      <c r="N463" s="101" t="s">
        <v>871</v>
      </c>
      <c r="O463" s="481"/>
      <c r="P463" s="571"/>
    </row>
    <row r="464" spans="1:16" s="126" customFormat="1">
      <c r="A464" s="97" t="s">
        <v>506</v>
      </c>
      <c r="B464" s="123">
        <v>2010</v>
      </c>
      <c r="C464" s="97" t="s">
        <v>501</v>
      </c>
      <c r="D464" s="542" t="s">
        <v>2643</v>
      </c>
      <c r="E464" s="130" t="s">
        <v>2667</v>
      </c>
      <c r="F464" s="101" t="s">
        <v>50</v>
      </c>
      <c r="G464" s="130"/>
      <c r="H464" s="130"/>
      <c r="I464" s="130"/>
      <c r="J464" s="130"/>
      <c r="K464" s="130"/>
      <c r="L464" s="101" t="s">
        <v>2673</v>
      </c>
      <c r="M464" s="101" t="s">
        <v>871</v>
      </c>
      <c r="N464" s="101" t="s">
        <v>871</v>
      </c>
      <c r="O464" s="481"/>
      <c r="P464" s="571"/>
    </row>
    <row r="465" spans="1:16" s="126" customFormat="1">
      <c r="A465" s="97" t="s">
        <v>506</v>
      </c>
      <c r="B465" s="123">
        <v>2010</v>
      </c>
      <c r="C465" s="97" t="s">
        <v>501</v>
      </c>
      <c r="D465" s="542" t="s">
        <v>2643</v>
      </c>
      <c r="E465" s="130" t="s">
        <v>2674</v>
      </c>
      <c r="F465" s="101" t="s">
        <v>50</v>
      </c>
      <c r="G465" s="101" t="s">
        <v>2675</v>
      </c>
      <c r="H465" s="18" t="s">
        <v>871</v>
      </c>
      <c r="I465" s="130"/>
      <c r="J465" s="130"/>
      <c r="K465" s="130"/>
      <c r="L465" s="101" t="s">
        <v>2676</v>
      </c>
      <c r="M465" s="132">
        <v>6989354</v>
      </c>
      <c r="N465" s="132">
        <v>6989354</v>
      </c>
      <c r="O465" s="481">
        <v>7</v>
      </c>
      <c r="P465" s="571"/>
    </row>
    <row r="466" spans="1:16" s="126" customFormat="1">
      <c r="A466" s="97" t="s">
        <v>506</v>
      </c>
      <c r="B466" s="123">
        <v>2010</v>
      </c>
      <c r="C466" s="97" t="s">
        <v>501</v>
      </c>
      <c r="D466" s="542" t="s">
        <v>2643</v>
      </c>
      <c r="E466" s="130" t="s">
        <v>2674</v>
      </c>
      <c r="F466" s="101" t="s">
        <v>50</v>
      </c>
      <c r="G466" s="130"/>
      <c r="H466" s="130"/>
      <c r="I466" s="130"/>
      <c r="J466" s="130"/>
      <c r="K466" s="130"/>
      <c r="L466" s="101" t="s">
        <v>2677</v>
      </c>
      <c r="M466" s="101" t="s">
        <v>2648</v>
      </c>
      <c r="N466" s="101" t="s">
        <v>2648</v>
      </c>
      <c r="O466" s="481"/>
      <c r="P466" s="571"/>
    </row>
    <row r="467" spans="1:16" s="126" customFormat="1">
      <c r="A467" s="97" t="s">
        <v>506</v>
      </c>
      <c r="B467" s="123">
        <v>2010</v>
      </c>
      <c r="C467" s="97" t="s">
        <v>501</v>
      </c>
      <c r="D467" s="542" t="s">
        <v>2643</v>
      </c>
      <c r="E467" s="130" t="s">
        <v>2674</v>
      </c>
      <c r="F467" s="101" t="s">
        <v>50</v>
      </c>
      <c r="G467" s="130"/>
      <c r="H467" s="130"/>
      <c r="I467" s="130"/>
      <c r="J467" s="130"/>
      <c r="K467" s="130"/>
      <c r="L467" s="101" t="s">
        <v>2678</v>
      </c>
      <c r="M467" s="130">
        <v>0</v>
      </c>
      <c r="N467" s="130">
        <v>0</v>
      </c>
      <c r="O467" s="481">
        <v>7</v>
      </c>
      <c r="P467" s="571"/>
    </row>
    <row r="468" spans="1:16" s="126" customFormat="1">
      <c r="A468" s="97" t="s">
        <v>506</v>
      </c>
      <c r="B468" s="123">
        <v>2010</v>
      </c>
      <c r="C468" s="97" t="s">
        <v>501</v>
      </c>
      <c r="D468" s="542" t="s">
        <v>2643</v>
      </c>
      <c r="E468" s="130" t="s">
        <v>2679</v>
      </c>
      <c r="F468" s="101" t="s">
        <v>50</v>
      </c>
      <c r="G468" s="130"/>
      <c r="H468" s="18" t="s">
        <v>871</v>
      </c>
      <c r="I468" s="130"/>
      <c r="J468" s="130"/>
      <c r="K468" s="130"/>
      <c r="L468" s="101" t="s">
        <v>2680</v>
      </c>
      <c r="M468" s="101" t="s">
        <v>2648</v>
      </c>
      <c r="N468" s="101" t="s">
        <v>2648</v>
      </c>
      <c r="O468" s="481"/>
      <c r="P468" s="571"/>
    </row>
    <row r="469" spans="1:16" s="126" customFormat="1">
      <c r="A469" s="97" t="s">
        <v>506</v>
      </c>
      <c r="B469" s="123">
        <v>2010</v>
      </c>
      <c r="C469" s="97" t="s">
        <v>501</v>
      </c>
      <c r="D469" s="542" t="s">
        <v>2643</v>
      </c>
      <c r="E469" s="130" t="s">
        <v>2679</v>
      </c>
      <c r="F469" s="101" t="s">
        <v>50</v>
      </c>
      <c r="G469" s="130"/>
      <c r="H469" s="130"/>
      <c r="I469" s="130"/>
      <c r="J469" s="130"/>
      <c r="K469" s="130"/>
      <c r="L469" s="101" t="s">
        <v>2681</v>
      </c>
      <c r="M469" s="101" t="s">
        <v>871</v>
      </c>
      <c r="N469" s="101" t="s">
        <v>871</v>
      </c>
      <c r="O469" s="481"/>
      <c r="P469" s="571"/>
    </row>
    <row r="470" spans="1:16" s="126" customFormat="1">
      <c r="A470" s="97" t="s">
        <v>506</v>
      </c>
      <c r="B470" s="123">
        <v>2010</v>
      </c>
      <c r="C470" s="97" t="s">
        <v>501</v>
      </c>
      <c r="D470" s="542" t="s">
        <v>2643</v>
      </c>
      <c r="E470" s="130" t="s">
        <v>2679</v>
      </c>
      <c r="F470" s="101" t="s">
        <v>50</v>
      </c>
      <c r="G470" s="130"/>
      <c r="H470" s="130"/>
      <c r="I470" s="130"/>
      <c r="J470" s="130"/>
      <c r="K470" s="130"/>
      <c r="L470" s="101" t="s">
        <v>2682</v>
      </c>
      <c r="M470" s="101" t="s">
        <v>871</v>
      </c>
      <c r="N470" s="101" t="s">
        <v>871</v>
      </c>
      <c r="O470" s="481"/>
      <c r="P470" s="571"/>
    </row>
    <row r="471" spans="1:16" s="126" customFormat="1">
      <c r="A471" s="97" t="s">
        <v>506</v>
      </c>
      <c r="B471" s="123">
        <v>2010</v>
      </c>
      <c r="C471" s="97" t="s">
        <v>501</v>
      </c>
      <c r="D471" s="542" t="s">
        <v>2643</v>
      </c>
      <c r="E471" s="130" t="s">
        <v>2679</v>
      </c>
      <c r="F471" s="101" t="s">
        <v>50</v>
      </c>
      <c r="G471" s="130"/>
      <c r="H471" s="130"/>
      <c r="I471" s="130"/>
      <c r="J471" s="130"/>
      <c r="K471" s="130"/>
      <c r="L471" s="101" t="s">
        <v>2683</v>
      </c>
      <c r="M471" s="101" t="s">
        <v>871</v>
      </c>
      <c r="N471" s="101" t="s">
        <v>871</v>
      </c>
      <c r="O471" s="481"/>
      <c r="P471" s="571"/>
    </row>
    <row r="472" spans="1:16" s="126" customFormat="1">
      <c r="A472" s="97" t="s">
        <v>506</v>
      </c>
      <c r="B472" s="123">
        <v>2010</v>
      </c>
      <c r="C472" s="97" t="s">
        <v>501</v>
      </c>
      <c r="D472" s="542" t="s">
        <v>2643</v>
      </c>
      <c r="E472" s="130" t="s">
        <v>2684</v>
      </c>
      <c r="F472" s="101" t="s">
        <v>50</v>
      </c>
      <c r="G472" s="130"/>
      <c r="H472" s="18" t="s">
        <v>871</v>
      </c>
      <c r="I472" s="130"/>
      <c r="J472" s="130"/>
      <c r="K472" s="130"/>
      <c r="L472" s="101" t="s">
        <v>2680</v>
      </c>
      <c r="M472" s="101" t="s">
        <v>2648</v>
      </c>
      <c r="N472" s="101" t="s">
        <v>2648</v>
      </c>
      <c r="O472" s="481"/>
      <c r="P472" s="571"/>
    </row>
    <row r="473" spans="1:16" s="126" customFormat="1">
      <c r="A473" s="97" t="s">
        <v>506</v>
      </c>
      <c r="B473" s="123">
        <v>2010</v>
      </c>
      <c r="C473" s="97" t="s">
        <v>501</v>
      </c>
      <c r="D473" s="542" t="s">
        <v>2643</v>
      </c>
      <c r="E473" s="130" t="s">
        <v>2684</v>
      </c>
      <c r="F473" s="101" t="s">
        <v>50</v>
      </c>
      <c r="G473" s="130"/>
      <c r="H473" s="130"/>
      <c r="I473" s="130"/>
      <c r="J473" s="130"/>
      <c r="K473" s="130"/>
      <c r="L473" s="101" t="s">
        <v>2681</v>
      </c>
      <c r="M473" s="101" t="s">
        <v>871</v>
      </c>
      <c r="N473" s="101" t="s">
        <v>871</v>
      </c>
      <c r="O473" s="481"/>
      <c r="P473" s="571"/>
    </row>
    <row r="474" spans="1:16" s="126" customFormat="1">
      <c r="A474" s="97" t="s">
        <v>506</v>
      </c>
      <c r="B474" s="123">
        <v>2010</v>
      </c>
      <c r="C474" s="97" t="s">
        <v>501</v>
      </c>
      <c r="D474" s="542" t="s">
        <v>2643</v>
      </c>
      <c r="E474" s="130" t="s">
        <v>2684</v>
      </c>
      <c r="F474" s="101" t="s">
        <v>50</v>
      </c>
      <c r="G474" s="130"/>
      <c r="H474" s="130"/>
      <c r="I474" s="130"/>
      <c r="J474" s="130"/>
      <c r="K474" s="130"/>
      <c r="L474" s="101" t="s">
        <v>2682</v>
      </c>
      <c r="M474" s="101" t="s">
        <v>871</v>
      </c>
      <c r="N474" s="101" t="s">
        <v>871</v>
      </c>
      <c r="O474" s="481"/>
      <c r="P474" s="571"/>
    </row>
    <row r="475" spans="1:16" s="126" customFormat="1">
      <c r="A475" s="97" t="s">
        <v>506</v>
      </c>
      <c r="B475" s="123">
        <v>2010</v>
      </c>
      <c r="C475" s="97" t="s">
        <v>501</v>
      </c>
      <c r="D475" s="542" t="s">
        <v>2643</v>
      </c>
      <c r="E475" s="130" t="s">
        <v>2684</v>
      </c>
      <c r="F475" s="101" t="s">
        <v>50</v>
      </c>
      <c r="G475" s="130"/>
      <c r="H475" s="130"/>
      <c r="I475" s="130"/>
      <c r="J475" s="130"/>
      <c r="K475" s="130"/>
      <c r="L475" s="101" t="s">
        <v>2683</v>
      </c>
      <c r="M475" s="101" t="s">
        <v>871</v>
      </c>
      <c r="N475" s="101" t="s">
        <v>871</v>
      </c>
      <c r="O475" s="481"/>
      <c r="P475" s="571"/>
    </row>
    <row r="476" spans="1:16" s="126" customFormat="1">
      <c r="A476" s="97" t="s">
        <v>506</v>
      </c>
      <c r="B476" s="123">
        <v>2010</v>
      </c>
      <c r="C476" s="97" t="s">
        <v>501</v>
      </c>
      <c r="D476" s="542" t="s">
        <v>2643</v>
      </c>
      <c r="E476" s="130" t="s">
        <v>2685</v>
      </c>
      <c r="F476" s="101" t="s">
        <v>50</v>
      </c>
      <c r="G476" s="130"/>
      <c r="H476" s="18" t="s">
        <v>871</v>
      </c>
      <c r="I476" s="130"/>
      <c r="J476" s="130"/>
      <c r="K476" s="130"/>
      <c r="L476" s="101" t="s">
        <v>2680</v>
      </c>
      <c r="M476" s="101" t="s">
        <v>2648</v>
      </c>
      <c r="N476" s="101" t="s">
        <v>2648</v>
      </c>
      <c r="O476" s="481"/>
      <c r="P476" s="571"/>
    </row>
    <row r="477" spans="1:16" s="126" customFormat="1">
      <c r="A477" s="97" t="s">
        <v>506</v>
      </c>
      <c r="B477" s="123">
        <v>2010</v>
      </c>
      <c r="C477" s="97" t="s">
        <v>501</v>
      </c>
      <c r="D477" s="542" t="s">
        <v>2643</v>
      </c>
      <c r="E477" s="130" t="s">
        <v>2685</v>
      </c>
      <c r="F477" s="101" t="s">
        <v>50</v>
      </c>
      <c r="G477" s="130"/>
      <c r="H477" s="130"/>
      <c r="I477" s="130"/>
      <c r="J477" s="130"/>
      <c r="K477" s="130"/>
      <c r="L477" s="101" t="s">
        <v>2681</v>
      </c>
      <c r="M477" s="101" t="s">
        <v>871</v>
      </c>
      <c r="N477" s="101" t="s">
        <v>871</v>
      </c>
      <c r="O477" s="481"/>
      <c r="P477" s="571"/>
    </row>
    <row r="478" spans="1:16" s="126" customFormat="1">
      <c r="A478" s="97" t="s">
        <v>506</v>
      </c>
      <c r="B478" s="123">
        <v>2010</v>
      </c>
      <c r="C478" s="97" t="s">
        <v>501</v>
      </c>
      <c r="D478" s="542" t="s">
        <v>2643</v>
      </c>
      <c r="E478" s="130" t="s">
        <v>2685</v>
      </c>
      <c r="F478" s="101" t="s">
        <v>50</v>
      </c>
      <c r="G478" s="130"/>
      <c r="H478" s="130"/>
      <c r="I478" s="130"/>
      <c r="J478" s="130"/>
      <c r="K478" s="130"/>
      <c r="L478" s="101" t="s">
        <v>2682</v>
      </c>
      <c r="M478" s="101" t="s">
        <v>871</v>
      </c>
      <c r="N478" s="101" t="s">
        <v>871</v>
      </c>
      <c r="O478" s="481"/>
      <c r="P478" s="571"/>
    </row>
    <row r="479" spans="1:16" s="126" customFormat="1">
      <c r="A479" s="97" t="s">
        <v>506</v>
      </c>
      <c r="B479" s="123">
        <v>2010</v>
      </c>
      <c r="C479" s="97" t="s">
        <v>501</v>
      </c>
      <c r="D479" s="542" t="s">
        <v>2643</v>
      </c>
      <c r="E479" s="130" t="s">
        <v>2685</v>
      </c>
      <c r="F479" s="101" t="s">
        <v>50</v>
      </c>
      <c r="G479" s="130"/>
      <c r="H479" s="130"/>
      <c r="I479" s="130"/>
      <c r="J479" s="130"/>
      <c r="K479" s="130"/>
      <c r="L479" s="101" t="s">
        <v>2683</v>
      </c>
      <c r="M479" s="101" t="s">
        <v>871</v>
      </c>
      <c r="N479" s="101" t="s">
        <v>871</v>
      </c>
      <c r="O479" s="481"/>
      <c r="P479" s="571"/>
    </row>
    <row r="480" spans="1:16" s="126" customFormat="1">
      <c r="A480" s="97" t="s">
        <v>506</v>
      </c>
      <c r="B480" s="123">
        <v>2010</v>
      </c>
      <c r="C480" s="97" t="s">
        <v>501</v>
      </c>
      <c r="D480" s="542" t="s">
        <v>2643</v>
      </c>
      <c r="E480" s="130" t="s">
        <v>2686</v>
      </c>
      <c r="F480" s="101" t="s">
        <v>50</v>
      </c>
      <c r="G480" s="130"/>
      <c r="H480" s="18" t="s">
        <v>871</v>
      </c>
      <c r="I480" s="130"/>
      <c r="J480" s="130"/>
      <c r="K480" s="130"/>
      <c r="L480" s="101" t="s">
        <v>2680</v>
      </c>
      <c r="M480" s="101" t="s">
        <v>2648</v>
      </c>
      <c r="N480" s="101" t="s">
        <v>2648</v>
      </c>
      <c r="O480" s="481"/>
      <c r="P480" s="571"/>
    </row>
    <row r="481" spans="1:16" s="126" customFormat="1">
      <c r="A481" s="97" t="s">
        <v>506</v>
      </c>
      <c r="B481" s="123">
        <v>2010</v>
      </c>
      <c r="C481" s="97" t="s">
        <v>501</v>
      </c>
      <c r="D481" s="542" t="s">
        <v>2643</v>
      </c>
      <c r="E481" s="130" t="s">
        <v>2686</v>
      </c>
      <c r="F481" s="101" t="s">
        <v>50</v>
      </c>
      <c r="G481" s="130"/>
      <c r="H481" s="130"/>
      <c r="I481" s="130"/>
      <c r="J481" s="130"/>
      <c r="K481" s="130"/>
      <c r="L481" s="101" t="s">
        <v>2681</v>
      </c>
      <c r="M481" s="101" t="s">
        <v>871</v>
      </c>
      <c r="N481" s="101" t="s">
        <v>871</v>
      </c>
      <c r="O481" s="481"/>
      <c r="P481" s="571"/>
    </row>
    <row r="482" spans="1:16" s="126" customFormat="1">
      <c r="A482" s="97" t="s">
        <v>506</v>
      </c>
      <c r="B482" s="123">
        <v>2010</v>
      </c>
      <c r="C482" s="97" t="s">
        <v>501</v>
      </c>
      <c r="D482" s="542" t="s">
        <v>2643</v>
      </c>
      <c r="E482" s="130" t="s">
        <v>2686</v>
      </c>
      <c r="F482" s="101" t="s">
        <v>50</v>
      </c>
      <c r="G482" s="130"/>
      <c r="H482" s="130"/>
      <c r="I482" s="130"/>
      <c r="J482" s="130"/>
      <c r="K482" s="130"/>
      <c r="L482" s="101" t="s">
        <v>2682</v>
      </c>
      <c r="M482" s="101" t="s">
        <v>871</v>
      </c>
      <c r="N482" s="101" t="s">
        <v>871</v>
      </c>
      <c r="O482" s="481"/>
      <c r="P482" s="571"/>
    </row>
    <row r="483" spans="1:16" s="126" customFormat="1">
      <c r="A483" s="97" t="s">
        <v>506</v>
      </c>
      <c r="B483" s="123">
        <v>2010</v>
      </c>
      <c r="C483" s="97" t="s">
        <v>501</v>
      </c>
      <c r="D483" s="542" t="s">
        <v>2643</v>
      </c>
      <c r="E483" s="130" t="s">
        <v>2686</v>
      </c>
      <c r="F483" s="101" t="s">
        <v>50</v>
      </c>
      <c r="G483" s="130"/>
      <c r="H483" s="130"/>
      <c r="I483" s="130"/>
      <c r="J483" s="130"/>
      <c r="K483" s="130"/>
      <c r="L483" s="101" t="s">
        <v>2683</v>
      </c>
      <c r="M483" s="101" t="s">
        <v>871</v>
      </c>
      <c r="N483" s="101" t="s">
        <v>871</v>
      </c>
      <c r="O483" s="481"/>
      <c r="P483" s="571"/>
    </row>
    <row r="484" spans="1:16" s="126" customFormat="1">
      <c r="A484" s="97" t="s">
        <v>506</v>
      </c>
      <c r="B484" s="123">
        <v>2010</v>
      </c>
      <c r="C484" s="97" t="s">
        <v>501</v>
      </c>
      <c r="D484" s="542" t="s">
        <v>2643</v>
      </c>
      <c r="E484" s="130" t="s">
        <v>2687</v>
      </c>
      <c r="F484" s="101" t="s">
        <v>50</v>
      </c>
      <c r="G484" s="130"/>
      <c r="H484" s="18" t="s">
        <v>871</v>
      </c>
      <c r="I484" s="130"/>
      <c r="J484" s="130"/>
      <c r="K484" s="130"/>
      <c r="L484" s="101" t="s">
        <v>2680</v>
      </c>
      <c r="M484" s="101" t="s">
        <v>2648</v>
      </c>
      <c r="N484" s="101" t="s">
        <v>2648</v>
      </c>
      <c r="O484" s="481"/>
      <c r="P484" s="571"/>
    </row>
    <row r="485" spans="1:16" s="126" customFormat="1">
      <c r="A485" s="97" t="s">
        <v>506</v>
      </c>
      <c r="B485" s="123">
        <v>2010</v>
      </c>
      <c r="C485" s="97" t="s">
        <v>501</v>
      </c>
      <c r="D485" s="542" t="s">
        <v>2643</v>
      </c>
      <c r="E485" s="130" t="s">
        <v>2687</v>
      </c>
      <c r="F485" s="101" t="s">
        <v>50</v>
      </c>
      <c r="G485" s="130"/>
      <c r="H485" s="130"/>
      <c r="I485" s="130"/>
      <c r="J485" s="130"/>
      <c r="K485" s="130"/>
      <c r="L485" s="101" t="s">
        <v>2681</v>
      </c>
      <c r="M485" s="101" t="s">
        <v>871</v>
      </c>
      <c r="N485" s="101" t="s">
        <v>871</v>
      </c>
      <c r="O485" s="481"/>
      <c r="P485" s="571"/>
    </row>
    <row r="486" spans="1:16" s="126" customFormat="1">
      <c r="A486" s="97" t="s">
        <v>506</v>
      </c>
      <c r="B486" s="123">
        <v>2010</v>
      </c>
      <c r="C486" s="97" t="s">
        <v>501</v>
      </c>
      <c r="D486" s="542" t="s">
        <v>2643</v>
      </c>
      <c r="E486" s="130" t="s">
        <v>2687</v>
      </c>
      <c r="F486" s="101" t="s">
        <v>50</v>
      </c>
      <c r="G486" s="130"/>
      <c r="H486" s="130"/>
      <c r="I486" s="130"/>
      <c r="J486" s="130"/>
      <c r="K486" s="130"/>
      <c r="L486" s="101" t="s">
        <v>2682</v>
      </c>
      <c r="M486" s="101" t="s">
        <v>871</v>
      </c>
      <c r="N486" s="101" t="s">
        <v>871</v>
      </c>
      <c r="O486" s="481"/>
      <c r="P486" s="571"/>
    </row>
    <row r="487" spans="1:16" s="126" customFormat="1">
      <c r="A487" s="97" t="s">
        <v>506</v>
      </c>
      <c r="B487" s="123">
        <v>2010</v>
      </c>
      <c r="C487" s="97" t="s">
        <v>501</v>
      </c>
      <c r="D487" s="542" t="s">
        <v>2643</v>
      </c>
      <c r="E487" s="130" t="s">
        <v>2687</v>
      </c>
      <c r="F487" s="101" t="s">
        <v>50</v>
      </c>
      <c r="G487" s="130"/>
      <c r="H487" s="130"/>
      <c r="I487" s="130"/>
      <c r="J487" s="130"/>
      <c r="K487" s="130"/>
      <c r="L487" s="101" t="s">
        <v>2683</v>
      </c>
      <c r="M487" s="101" t="s">
        <v>871</v>
      </c>
      <c r="N487" s="101" t="s">
        <v>871</v>
      </c>
      <c r="O487" s="481"/>
      <c r="P487" s="571"/>
    </row>
    <row r="488" spans="1:16" s="126" customFormat="1">
      <c r="A488" s="97" t="s">
        <v>506</v>
      </c>
      <c r="B488" s="123">
        <v>2010</v>
      </c>
      <c r="C488" s="97" t="s">
        <v>501</v>
      </c>
      <c r="D488" s="542" t="s">
        <v>2643</v>
      </c>
      <c r="E488" s="130" t="s">
        <v>2688</v>
      </c>
      <c r="F488" s="101" t="s">
        <v>50</v>
      </c>
      <c r="G488" s="130"/>
      <c r="H488" s="18" t="s">
        <v>871</v>
      </c>
      <c r="I488" s="130"/>
      <c r="J488" s="130"/>
      <c r="K488" s="130"/>
      <c r="L488" s="101" t="s">
        <v>2689</v>
      </c>
      <c r="M488" s="132">
        <v>104880</v>
      </c>
      <c r="N488" s="132">
        <v>104880</v>
      </c>
      <c r="O488" s="481">
        <v>7</v>
      </c>
      <c r="P488" s="571"/>
    </row>
    <row r="489" spans="1:16" s="126" customFormat="1">
      <c r="A489" s="97" t="s">
        <v>506</v>
      </c>
      <c r="B489" s="123">
        <v>2010</v>
      </c>
      <c r="C489" s="97" t="s">
        <v>501</v>
      </c>
      <c r="D489" s="542" t="s">
        <v>2643</v>
      </c>
      <c r="E489" s="130" t="s">
        <v>2688</v>
      </c>
      <c r="F489" s="101" t="s">
        <v>50</v>
      </c>
      <c r="G489" s="130"/>
      <c r="H489" s="130"/>
      <c r="I489" s="130"/>
      <c r="J489" s="130"/>
      <c r="K489" s="130"/>
      <c r="L489" s="101" t="s">
        <v>2690</v>
      </c>
      <c r="M489" s="101" t="s">
        <v>871</v>
      </c>
      <c r="N489" s="101" t="s">
        <v>871</v>
      </c>
      <c r="O489" s="481"/>
      <c r="P489" s="571"/>
    </row>
    <row r="490" spans="1:16" s="126" customFormat="1">
      <c r="A490" s="97" t="s">
        <v>506</v>
      </c>
      <c r="B490" s="123">
        <v>2010</v>
      </c>
      <c r="C490" s="97" t="s">
        <v>501</v>
      </c>
      <c r="D490" s="542" t="s">
        <v>2643</v>
      </c>
      <c r="E490" s="130" t="s">
        <v>2688</v>
      </c>
      <c r="F490" s="101" t="s">
        <v>50</v>
      </c>
      <c r="G490" s="130"/>
      <c r="H490" s="130"/>
      <c r="I490" s="130"/>
      <c r="J490" s="130"/>
      <c r="K490" s="130"/>
      <c r="L490" s="101" t="s">
        <v>2691</v>
      </c>
      <c r="M490" s="101" t="s">
        <v>871</v>
      </c>
      <c r="N490" s="101" t="s">
        <v>871</v>
      </c>
      <c r="O490" s="481"/>
      <c r="P490" s="571"/>
    </row>
    <row r="491" spans="1:16" s="129" customFormat="1">
      <c r="A491" s="99" t="s">
        <v>507</v>
      </c>
      <c r="B491" s="127">
        <v>2011</v>
      </c>
      <c r="C491" s="99" t="s">
        <v>501</v>
      </c>
      <c r="D491" s="544" t="s">
        <v>2643</v>
      </c>
      <c r="E491" s="127" t="s">
        <v>2644</v>
      </c>
      <c r="F491" s="99" t="s">
        <v>50</v>
      </c>
      <c r="G491" s="99" t="s">
        <v>2645</v>
      </c>
      <c r="H491" s="34" t="s">
        <v>871</v>
      </c>
      <c r="I491" s="127"/>
      <c r="J491" s="127"/>
      <c r="K491" s="127"/>
      <c r="L491" s="99" t="s">
        <v>2646</v>
      </c>
      <c r="M491" s="128">
        <v>1086543694</v>
      </c>
      <c r="N491" s="128">
        <v>1086543694</v>
      </c>
      <c r="O491" s="480">
        <v>7</v>
      </c>
      <c r="P491" s="572"/>
    </row>
    <row r="492" spans="1:16" s="131" customFormat="1">
      <c r="A492" s="101" t="s">
        <v>507</v>
      </c>
      <c r="B492" s="130">
        <v>2011</v>
      </c>
      <c r="C492" s="101" t="s">
        <v>501</v>
      </c>
      <c r="D492" s="542" t="s">
        <v>2643</v>
      </c>
      <c r="E492" s="130" t="s">
        <v>2644</v>
      </c>
      <c r="F492" s="101" t="s">
        <v>50</v>
      </c>
      <c r="G492" s="101"/>
      <c r="H492" s="130"/>
      <c r="I492" s="130"/>
      <c r="J492" s="130"/>
      <c r="K492" s="130"/>
      <c r="L492" s="101" t="s">
        <v>2647</v>
      </c>
      <c r="M492" s="101" t="s">
        <v>2648</v>
      </c>
      <c r="N492" s="101" t="s">
        <v>2648</v>
      </c>
      <c r="O492" s="481"/>
      <c r="P492" s="571"/>
    </row>
    <row r="493" spans="1:16" s="131" customFormat="1">
      <c r="A493" s="101" t="s">
        <v>507</v>
      </c>
      <c r="B493" s="130">
        <v>2011</v>
      </c>
      <c r="C493" s="101" t="s">
        <v>501</v>
      </c>
      <c r="D493" s="542" t="s">
        <v>2643</v>
      </c>
      <c r="E493" s="130" t="s">
        <v>2644</v>
      </c>
      <c r="F493" s="101" t="s">
        <v>50</v>
      </c>
      <c r="G493" s="101"/>
      <c r="H493" s="130"/>
      <c r="I493" s="130"/>
      <c r="J493" s="130"/>
      <c r="K493" s="130"/>
      <c r="L493" s="101" t="s">
        <v>2649</v>
      </c>
      <c r="M493" s="101" t="s">
        <v>2648</v>
      </c>
      <c r="N493" s="101" t="s">
        <v>2648</v>
      </c>
      <c r="O493" s="481"/>
      <c r="P493" s="571"/>
    </row>
    <row r="494" spans="1:16" s="131" customFormat="1">
      <c r="A494" s="101" t="s">
        <v>507</v>
      </c>
      <c r="B494" s="130">
        <v>2011</v>
      </c>
      <c r="C494" s="101" t="s">
        <v>501</v>
      </c>
      <c r="D494" s="542" t="s">
        <v>2643</v>
      </c>
      <c r="E494" s="130" t="s">
        <v>2644</v>
      </c>
      <c r="F494" s="101" t="s">
        <v>50</v>
      </c>
      <c r="G494" s="101"/>
      <c r="H494" s="130"/>
      <c r="I494" s="130"/>
      <c r="J494" s="130"/>
      <c r="K494" s="130"/>
      <c r="L494" s="101" t="s">
        <v>2650</v>
      </c>
      <c r="M494" s="101" t="s">
        <v>2648</v>
      </c>
      <c r="N494" s="101" t="s">
        <v>2648</v>
      </c>
      <c r="O494" s="481"/>
      <c r="P494" s="571"/>
    </row>
    <row r="495" spans="1:16" s="131" customFormat="1">
      <c r="A495" s="101" t="s">
        <v>507</v>
      </c>
      <c r="B495" s="130">
        <v>2011</v>
      </c>
      <c r="C495" s="101" t="s">
        <v>501</v>
      </c>
      <c r="D495" s="542" t="s">
        <v>2643</v>
      </c>
      <c r="E495" s="130" t="s">
        <v>2644</v>
      </c>
      <c r="F495" s="101" t="s">
        <v>50</v>
      </c>
      <c r="G495" s="101"/>
      <c r="H495" s="130"/>
      <c r="I495" s="130"/>
      <c r="J495" s="130"/>
      <c r="K495" s="130"/>
      <c r="L495" s="101" t="s">
        <v>2651</v>
      </c>
      <c r="M495" s="132">
        <v>290213987</v>
      </c>
      <c r="N495" s="132">
        <v>290213987</v>
      </c>
      <c r="O495" s="481">
        <v>7</v>
      </c>
      <c r="P495" s="571"/>
    </row>
    <row r="496" spans="1:16" s="131" customFormat="1">
      <c r="A496" s="101" t="s">
        <v>507</v>
      </c>
      <c r="B496" s="130">
        <v>2011</v>
      </c>
      <c r="C496" s="101" t="s">
        <v>501</v>
      </c>
      <c r="D496" s="542" t="s">
        <v>2643</v>
      </c>
      <c r="E496" s="130" t="s">
        <v>2652</v>
      </c>
      <c r="F496" s="101" t="s">
        <v>50</v>
      </c>
      <c r="G496" s="101" t="s">
        <v>2645</v>
      </c>
      <c r="H496" s="18" t="s">
        <v>871</v>
      </c>
      <c r="I496" s="130"/>
      <c r="J496" s="130"/>
      <c r="K496" s="130"/>
      <c r="L496" s="101" t="s">
        <v>2653</v>
      </c>
      <c r="M496" s="132">
        <v>164037863</v>
      </c>
      <c r="N496" s="132">
        <v>164037863</v>
      </c>
      <c r="O496" s="481">
        <v>7</v>
      </c>
      <c r="P496" s="571"/>
    </row>
    <row r="497" spans="1:16" s="131" customFormat="1">
      <c r="A497" s="101" t="s">
        <v>507</v>
      </c>
      <c r="B497" s="130">
        <v>2011</v>
      </c>
      <c r="C497" s="101" t="s">
        <v>501</v>
      </c>
      <c r="D497" s="542" t="s">
        <v>2643</v>
      </c>
      <c r="E497" s="130" t="s">
        <v>2652</v>
      </c>
      <c r="F497" s="101" t="s">
        <v>50</v>
      </c>
      <c r="G497" s="101"/>
      <c r="H497" s="130"/>
      <c r="I497" s="130"/>
      <c r="J497" s="130"/>
      <c r="K497" s="130"/>
      <c r="L497" s="101" t="s">
        <v>2647</v>
      </c>
      <c r="M497" s="101" t="s">
        <v>2648</v>
      </c>
      <c r="N497" s="101" t="s">
        <v>2648</v>
      </c>
      <c r="O497" s="481"/>
      <c r="P497" s="571"/>
    </row>
    <row r="498" spans="1:16" s="131" customFormat="1">
      <c r="A498" s="101" t="s">
        <v>507</v>
      </c>
      <c r="B498" s="130">
        <v>2011</v>
      </c>
      <c r="C498" s="101" t="s">
        <v>501</v>
      </c>
      <c r="D498" s="542" t="s">
        <v>2643</v>
      </c>
      <c r="E498" s="130" t="s">
        <v>2652</v>
      </c>
      <c r="F498" s="101" t="s">
        <v>50</v>
      </c>
      <c r="G498" s="101"/>
      <c r="H498" s="130"/>
      <c r="I498" s="130"/>
      <c r="J498" s="130"/>
      <c r="K498" s="130"/>
      <c r="L498" s="101" t="s">
        <v>2649</v>
      </c>
      <c r="M498" s="101" t="s">
        <v>2648</v>
      </c>
      <c r="N498" s="101" t="s">
        <v>2648</v>
      </c>
      <c r="O498" s="481"/>
      <c r="P498" s="571"/>
    </row>
    <row r="499" spans="1:16" s="131" customFormat="1">
      <c r="A499" s="101" t="s">
        <v>507</v>
      </c>
      <c r="B499" s="130">
        <v>2011</v>
      </c>
      <c r="C499" s="101" t="s">
        <v>501</v>
      </c>
      <c r="D499" s="542" t="s">
        <v>2643</v>
      </c>
      <c r="E499" s="130" t="s">
        <v>2654</v>
      </c>
      <c r="F499" s="101" t="s">
        <v>50</v>
      </c>
      <c r="G499" s="130" t="s">
        <v>552</v>
      </c>
      <c r="H499" s="18" t="s">
        <v>871</v>
      </c>
      <c r="I499" s="130"/>
      <c r="J499" s="130"/>
      <c r="K499" s="130"/>
      <c r="L499" s="101" t="s">
        <v>2655</v>
      </c>
      <c r="M499" s="101" t="s">
        <v>2648</v>
      </c>
      <c r="N499" s="101" t="s">
        <v>2648</v>
      </c>
      <c r="O499" s="481"/>
      <c r="P499" s="571"/>
    </row>
    <row r="500" spans="1:16" s="131" customFormat="1">
      <c r="A500" s="101" t="s">
        <v>507</v>
      </c>
      <c r="B500" s="130">
        <v>2011</v>
      </c>
      <c r="C500" s="101" t="s">
        <v>501</v>
      </c>
      <c r="D500" s="542" t="s">
        <v>2643</v>
      </c>
      <c r="E500" s="130" t="s">
        <v>2654</v>
      </c>
      <c r="F500" s="101" t="s">
        <v>50</v>
      </c>
      <c r="G500" s="130"/>
      <c r="H500" s="130"/>
      <c r="I500" s="130"/>
      <c r="J500" s="130"/>
      <c r="K500" s="130"/>
      <c r="L500" s="101" t="s">
        <v>2656</v>
      </c>
      <c r="M500" s="101" t="s">
        <v>871</v>
      </c>
      <c r="N500" s="101" t="s">
        <v>871</v>
      </c>
      <c r="O500" s="481"/>
      <c r="P500" s="571"/>
    </row>
    <row r="501" spans="1:16" s="131" customFormat="1">
      <c r="A501" s="101" t="s">
        <v>507</v>
      </c>
      <c r="B501" s="130">
        <v>2011</v>
      </c>
      <c r="C501" s="101" t="s">
        <v>501</v>
      </c>
      <c r="D501" s="542" t="s">
        <v>2643</v>
      </c>
      <c r="E501" s="130" t="s">
        <v>2654</v>
      </c>
      <c r="F501" s="101" t="s">
        <v>50</v>
      </c>
      <c r="G501" s="130"/>
      <c r="H501" s="130"/>
      <c r="I501" s="130"/>
      <c r="J501" s="130"/>
      <c r="K501" s="130"/>
      <c r="L501" s="101" t="s">
        <v>2657</v>
      </c>
      <c r="M501" s="101" t="s">
        <v>871</v>
      </c>
      <c r="N501" s="101" t="s">
        <v>871</v>
      </c>
      <c r="O501" s="481"/>
      <c r="P501" s="571"/>
    </row>
    <row r="502" spans="1:16" s="131" customFormat="1">
      <c r="A502" s="101" t="s">
        <v>507</v>
      </c>
      <c r="B502" s="130">
        <v>2011</v>
      </c>
      <c r="C502" s="101" t="s">
        <v>501</v>
      </c>
      <c r="D502" s="542" t="s">
        <v>2643</v>
      </c>
      <c r="E502" s="130" t="s">
        <v>2654</v>
      </c>
      <c r="F502" s="101" t="s">
        <v>50</v>
      </c>
      <c r="G502" s="130"/>
      <c r="H502" s="130"/>
      <c r="I502" s="130"/>
      <c r="J502" s="130"/>
      <c r="K502" s="130"/>
      <c r="L502" s="101" t="s">
        <v>2658</v>
      </c>
      <c r="M502" s="101" t="s">
        <v>2648</v>
      </c>
      <c r="N502" s="101" t="s">
        <v>2648</v>
      </c>
      <c r="O502" s="481"/>
      <c r="P502" s="571"/>
    </row>
    <row r="503" spans="1:16" s="131" customFormat="1">
      <c r="A503" s="101" t="s">
        <v>507</v>
      </c>
      <c r="B503" s="130">
        <v>2011</v>
      </c>
      <c r="C503" s="101" t="s">
        <v>501</v>
      </c>
      <c r="D503" s="542" t="s">
        <v>2643</v>
      </c>
      <c r="E503" s="101" t="s">
        <v>2659</v>
      </c>
      <c r="F503" s="101" t="s">
        <v>50</v>
      </c>
      <c r="G503" s="130" t="s">
        <v>552</v>
      </c>
      <c r="H503" s="18" t="s">
        <v>871</v>
      </c>
      <c r="I503" s="130"/>
      <c r="J503" s="130"/>
      <c r="K503" s="130"/>
      <c r="L503" s="101" t="s">
        <v>2655</v>
      </c>
      <c r="M503" s="101" t="s">
        <v>2648</v>
      </c>
      <c r="N503" s="101" t="s">
        <v>2648</v>
      </c>
      <c r="O503" s="481"/>
      <c r="P503" s="571"/>
    </row>
    <row r="504" spans="1:16" s="131" customFormat="1">
      <c r="A504" s="101" t="s">
        <v>507</v>
      </c>
      <c r="B504" s="130">
        <v>2011</v>
      </c>
      <c r="C504" s="101" t="s">
        <v>501</v>
      </c>
      <c r="D504" s="542" t="s">
        <v>2643</v>
      </c>
      <c r="E504" s="101" t="s">
        <v>2659</v>
      </c>
      <c r="F504" s="101" t="s">
        <v>50</v>
      </c>
      <c r="G504" s="130"/>
      <c r="H504" s="130"/>
      <c r="I504" s="130"/>
      <c r="J504" s="130"/>
      <c r="K504" s="130"/>
      <c r="L504" s="101" t="s">
        <v>2656</v>
      </c>
      <c r="M504" s="101" t="s">
        <v>871</v>
      </c>
      <c r="N504" s="101" t="s">
        <v>871</v>
      </c>
      <c r="O504" s="481"/>
      <c r="P504" s="571"/>
    </row>
    <row r="505" spans="1:16" s="131" customFormat="1">
      <c r="A505" s="101" t="s">
        <v>507</v>
      </c>
      <c r="B505" s="130">
        <v>2011</v>
      </c>
      <c r="C505" s="101" t="s">
        <v>501</v>
      </c>
      <c r="D505" s="542" t="s">
        <v>2643</v>
      </c>
      <c r="E505" s="101" t="s">
        <v>2659</v>
      </c>
      <c r="F505" s="101" t="s">
        <v>50</v>
      </c>
      <c r="G505" s="130"/>
      <c r="H505" s="130"/>
      <c r="I505" s="130"/>
      <c r="J505" s="130"/>
      <c r="K505" s="130"/>
      <c r="L505" s="101" t="s">
        <v>2657</v>
      </c>
      <c r="M505" s="101" t="s">
        <v>871</v>
      </c>
      <c r="N505" s="101" t="s">
        <v>871</v>
      </c>
      <c r="O505" s="481"/>
      <c r="P505" s="571"/>
    </row>
    <row r="506" spans="1:16" s="131" customFormat="1">
      <c r="A506" s="101" t="s">
        <v>507</v>
      </c>
      <c r="B506" s="130">
        <v>2011</v>
      </c>
      <c r="C506" s="101" t="s">
        <v>501</v>
      </c>
      <c r="D506" s="542" t="s">
        <v>2643</v>
      </c>
      <c r="E506" s="101" t="s">
        <v>2659</v>
      </c>
      <c r="F506" s="101" t="s">
        <v>50</v>
      </c>
      <c r="G506" s="130"/>
      <c r="H506" s="130"/>
      <c r="I506" s="130"/>
      <c r="J506" s="130"/>
      <c r="K506" s="130"/>
      <c r="L506" s="101" t="s">
        <v>2658</v>
      </c>
      <c r="M506" s="101" t="s">
        <v>2648</v>
      </c>
      <c r="N506" s="101" t="s">
        <v>2648</v>
      </c>
      <c r="O506" s="481"/>
      <c r="P506" s="571"/>
    </row>
    <row r="507" spans="1:16" s="131" customFormat="1">
      <c r="A507" s="101" t="s">
        <v>507</v>
      </c>
      <c r="B507" s="130">
        <v>2011</v>
      </c>
      <c r="C507" s="101" t="s">
        <v>501</v>
      </c>
      <c r="D507" s="542" t="s">
        <v>2643</v>
      </c>
      <c r="E507" s="130" t="s">
        <v>2660</v>
      </c>
      <c r="F507" s="101" t="s">
        <v>50</v>
      </c>
      <c r="G507" s="130"/>
      <c r="H507" s="18" t="s">
        <v>871</v>
      </c>
      <c r="I507" s="130"/>
      <c r="J507" s="130"/>
      <c r="K507" s="130"/>
      <c r="L507" s="101" t="s">
        <v>2661</v>
      </c>
      <c r="M507" s="132">
        <v>91746</v>
      </c>
      <c r="N507" s="132">
        <v>91746</v>
      </c>
      <c r="O507" s="481">
        <v>7</v>
      </c>
      <c r="P507" s="571"/>
    </row>
    <row r="508" spans="1:16" s="131" customFormat="1">
      <c r="A508" s="101" t="s">
        <v>507</v>
      </c>
      <c r="B508" s="130">
        <v>2011</v>
      </c>
      <c r="C508" s="101" t="s">
        <v>501</v>
      </c>
      <c r="D508" s="542" t="s">
        <v>2643</v>
      </c>
      <c r="E508" s="130" t="s">
        <v>2662</v>
      </c>
      <c r="F508" s="101" t="s">
        <v>50</v>
      </c>
      <c r="G508" s="130"/>
      <c r="H508" s="18" t="s">
        <v>871</v>
      </c>
      <c r="I508" s="130"/>
      <c r="J508" s="130"/>
      <c r="K508" s="130"/>
      <c r="L508" s="101" t="s">
        <v>2663</v>
      </c>
      <c r="M508" s="132">
        <v>107</v>
      </c>
      <c r="N508" s="132">
        <v>107</v>
      </c>
      <c r="O508" s="481">
        <v>7</v>
      </c>
      <c r="P508" s="571"/>
    </row>
    <row r="509" spans="1:16" s="131" customFormat="1">
      <c r="A509" s="101" t="s">
        <v>507</v>
      </c>
      <c r="B509" s="130">
        <v>2011</v>
      </c>
      <c r="C509" s="101" t="s">
        <v>501</v>
      </c>
      <c r="D509" s="542" t="s">
        <v>2643</v>
      </c>
      <c r="E509" s="130" t="s">
        <v>2662</v>
      </c>
      <c r="F509" s="101" t="s">
        <v>50</v>
      </c>
      <c r="G509" s="130"/>
      <c r="H509" s="130"/>
      <c r="I509" s="130"/>
      <c r="J509" s="130"/>
      <c r="K509" s="130"/>
      <c r="L509" s="101" t="s">
        <v>2664</v>
      </c>
      <c r="M509" s="101" t="s">
        <v>871</v>
      </c>
      <c r="N509" s="101" t="s">
        <v>871</v>
      </c>
      <c r="O509" s="481"/>
      <c r="P509" s="571"/>
    </row>
    <row r="510" spans="1:16" s="131" customFormat="1">
      <c r="A510" s="101" t="s">
        <v>507</v>
      </c>
      <c r="B510" s="130">
        <v>2011</v>
      </c>
      <c r="C510" s="101" t="s">
        <v>501</v>
      </c>
      <c r="D510" s="542" t="s">
        <v>2643</v>
      </c>
      <c r="E510" s="130" t="s">
        <v>2662</v>
      </c>
      <c r="F510" s="101" t="s">
        <v>50</v>
      </c>
      <c r="G510" s="130"/>
      <c r="H510" s="130"/>
      <c r="I510" s="130"/>
      <c r="J510" s="130"/>
      <c r="K510" s="130"/>
      <c r="L510" s="101" t="s">
        <v>2665</v>
      </c>
      <c r="M510" s="101" t="s">
        <v>871</v>
      </c>
      <c r="N510" s="101" t="s">
        <v>871</v>
      </c>
      <c r="O510" s="481"/>
      <c r="P510" s="571"/>
    </row>
    <row r="511" spans="1:16" s="131" customFormat="1">
      <c r="A511" s="101" t="s">
        <v>507</v>
      </c>
      <c r="B511" s="130">
        <v>2011</v>
      </c>
      <c r="C511" s="101" t="s">
        <v>501</v>
      </c>
      <c r="D511" s="542" t="s">
        <v>2643</v>
      </c>
      <c r="E511" s="130" t="s">
        <v>2662</v>
      </c>
      <c r="F511" s="101" t="s">
        <v>50</v>
      </c>
      <c r="G511" s="130"/>
      <c r="H511" s="130"/>
      <c r="I511" s="130"/>
      <c r="J511" s="130"/>
      <c r="K511" s="130"/>
      <c r="L511" s="101" t="s">
        <v>2666</v>
      </c>
      <c r="M511" s="101" t="s">
        <v>871</v>
      </c>
      <c r="N511" s="101" t="s">
        <v>871</v>
      </c>
      <c r="O511" s="481"/>
      <c r="P511" s="571"/>
    </row>
    <row r="512" spans="1:16" s="131" customFormat="1">
      <c r="A512" s="101" t="s">
        <v>507</v>
      </c>
      <c r="B512" s="130">
        <v>2011</v>
      </c>
      <c r="C512" s="101" t="s">
        <v>501</v>
      </c>
      <c r="D512" s="542" t="s">
        <v>2643</v>
      </c>
      <c r="E512" s="130" t="s">
        <v>2667</v>
      </c>
      <c r="F512" s="101" t="s">
        <v>50</v>
      </c>
      <c r="G512" s="130"/>
      <c r="H512" s="18" t="s">
        <v>871</v>
      </c>
      <c r="I512" s="130"/>
      <c r="J512" s="130"/>
      <c r="K512" s="130"/>
      <c r="L512" s="101" t="s">
        <v>2668</v>
      </c>
      <c r="M512" s="132">
        <v>417407</v>
      </c>
      <c r="N512" s="132">
        <v>417407</v>
      </c>
      <c r="O512" s="481">
        <v>7</v>
      </c>
      <c r="P512" s="571"/>
    </row>
    <row r="513" spans="1:16" s="131" customFormat="1">
      <c r="A513" s="101" t="s">
        <v>507</v>
      </c>
      <c r="B513" s="130">
        <v>2011</v>
      </c>
      <c r="C513" s="101" t="s">
        <v>501</v>
      </c>
      <c r="D513" s="542" t="s">
        <v>2643</v>
      </c>
      <c r="E513" s="130" t="s">
        <v>2667</v>
      </c>
      <c r="F513" s="101" t="s">
        <v>50</v>
      </c>
      <c r="G513" s="130"/>
      <c r="H513" s="130"/>
      <c r="I513" s="130"/>
      <c r="J513" s="130"/>
      <c r="K513" s="130"/>
      <c r="L513" s="101" t="s">
        <v>2669</v>
      </c>
      <c r="M513" s="133">
        <v>29751</v>
      </c>
      <c r="N513" s="133">
        <v>29751</v>
      </c>
      <c r="O513" s="481">
        <v>7</v>
      </c>
      <c r="P513" s="571"/>
    </row>
    <row r="514" spans="1:16" s="131" customFormat="1">
      <c r="A514" s="101" t="s">
        <v>507</v>
      </c>
      <c r="B514" s="130">
        <v>2011</v>
      </c>
      <c r="C514" s="101" t="s">
        <v>501</v>
      </c>
      <c r="D514" s="542" t="s">
        <v>2643</v>
      </c>
      <c r="E514" s="130" t="s">
        <v>2667</v>
      </c>
      <c r="F514" s="101" t="s">
        <v>50</v>
      </c>
      <c r="G514" s="130"/>
      <c r="H514" s="130"/>
      <c r="I514" s="130"/>
      <c r="J514" s="130"/>
      <c r="K514" s="130"/>
      <c r="L514" s="101" t="s">
        <v>2670</v>
      </c>
      <c r="M514" s="101" t="s">
        <v>871</v>
      </c>
      <c r="N514" s="101" t="s">
        <v>871</v>
      </c>
      <c r="O514" s="481"/>
      <c r="P514" s="571"/>
    </row>
    <row r="515" spans="1:16" s="131" customFormat="1">
      <c r="A515" s="101" t="s">
        <v>507</v>
      </c>
      <c r="B515" s="130">
        <v>2011</v>
      </c>
      <c r="C515" s="101" t="s">
        <v>501</v>
      </c>
      <c r="D515" s="542" t="s">
        <v>2643</v>
      </c>
      <c r="E515" s="130" t="s">
        <v>2667</v>
      </c>
      <c r="F515" s="101" t="s">
        <v>50</v>
      </c>
      <c r="G515" s="130"/>
      <c r="H515" s="130"/>
      <c r="I515" s="130"/>
      <c r="J515" s="130"/>
      <c r="K515" s="130"/>
      <c r="L515" s="101" t="s">
        <v>2671</v>
      </c>
      <c r="M515" s="101" t="s">
        <v>871</v>
      </c>
      <c r="N515" s="101" t="s">
        <v>871</v>
      </c>
      <c r="O515" s="481"/>
      <c r="P515" s="571"/>
    </row>
    <row r="516" spans="1:16" s="131" customFormat="1">
      <c r="A516" s="101" t="s">
        <v>507</v>
      </c>
      <c r="B516" s="130">
        <v>2011</v>
      </c>
      <c r="C516" s="101" t="s">
        <v>501</v>
      </c>
      <c r="D516" s="542" t="s">
        <v>2643</v>
      </c>
      <c r="E516" s="130" t="s">
        <v>2667</v>
      </c>
      <c r="F516" s="101" t="s">
        <v>50</v>
      </c>
      <c r="G516" s="130"/>
      <c r="H516" s="130"/>
      <c r="I516" s="130"/>
      <c r="J516" s="130"/>
      <c r="K516" s="130"/>
      <c r="L516" s="101" t="s">
        <v>2672</v>
      </c>
      <c r="M516" s="101" t="s">
        <v>871</v>
      </c>
      <c r="N516" s="101" t="s">
        <v>871</v>
      </c>
      <c r="O516" s="481"/>
      <c r="P516" s="571"/>
    </row>
    <row r="517" spans="1:16" s="131" customFormat="1">
      <c r="A517" s="101" t="s">
        <v>507</v>
      </c>
      <c r="B517" s="130">
        <v>2011</v>
      </c>
      <c r="C517" s="101" t="s">
        <v>501</v>
      </c>
      <c r="D517" s="542" t="s">
        <v>2643</v>
      </c>
      <c r="E517" s="130" t="s">
        <v>2667</v>
      </c>
      <c r="F517" s="101" t="s">
        <v>50</v>
      </c>
      <c r="G517" s="130"/>
      <c r="H517" s="130"/>
      <c r="I517" s="130"/>
      <c r="J517" s="130"/>
      <c r="K517" s="130"/>
      <c r="L517" s="101" t="s">
        <v>2673</v>
      </c>
      <c r="M517" s="101" t="s">
        <v>871</v>
      </c>
      <c r="N517" s="101" t="s">
        <v>871</v>
      </c>
      <c r="O517" s="481"/>
      <c r="P517" s="571"/>
    </row>
    <row r="518" spans="1:16" s="131" customFormat="1">
      <c r="A518" s="101" t="s">
        <v>507</v>
      </c>
      <c r="B518" s="130">
        <v>2011</v>
      </c>
      <c r="C518" s="101" t="s">
        <v>501</v>
      </c>
      <c r="D518" s="542" t="s">
        <v>2643</v>
      </c>
      <c r="E518" s="130" t="s">
        <v>2674</v>
      </c>
      <c r="F518" s="101" t="s">
        <v>50</v>
      </c>
      <c r="G518" s="101" t="s">
        <v>2675</v>
      </c>
      <c r="H518" s="18" t="s">
        <v>871</v>
      </c>
      <c r="I518" s="130"/>
      <c r="J518" s="130"/>
      <c r="K518" s="130"/>
      <c r="L518" s="101" t="s">
        <v>2676</v>
      </c>
      <c r="M518" s="132">
        <v>49587120</v>
      </c>
      <c r="N518" s="132">
        <v>49587120</v>
      </c>
      <c r="O518" s="481">
        <v>7</v>
      </c>
      <c r="P518" s="571"/>
    </row>
    <row r="519" spans="1:16" s="131" customFormat="1">
      <c r="A519" s="101" t="s">
        <v>507</v>
      </c>
      <c r="B519" s="130">
        <v>2011</v>
      </c>
      <c r="C519" s="101" t="s">
        <v>501</v>
      </c>
      <c r="D519" s="542" t="s">
        <v>2643</v>
      </c>
      <c r="E519" s="130" t="s">
        <v>2674</v>
      </c>
      <c r="F519" s="101" t="s">
        <v>50</v>
      </c>
      <c r="G519" s="130"/>
      <c r="H519" s="130"/>
      <c r="I519" s="130"/>
      <c r="J519" s="130"/>
      <c r="K519" s="130"/>
      <c r="L519" s="101" t="s">
        <v>2677</v>
      </c>
      <c r="M519" s="101" t="s">
        <v>2648</v>
      </c>
      <c r="N519" s="101" t="s">
        <v>2648</v>
      </c>
      <c r="O519" s="481"/>
      <c r="P519" s="571"/>
    </row>
    <row r="520" spans="1:16" s="131" customFormat="1">
      <c r="A520" s="101" t="s">
        <v>507</v>
      </c>
      <c r="B520" s="130">
        <v>2011</v>
      </c>
      <c r="C520" s="101" t="s">
        <v>501</v>
      </c>
      <c r="D520" s="542" t="s">
        <v>2643</v>
      </c>
      <c r="E520" s="130" t="s">
        <v>2674</v>
      </c>
      <c r="F520" s="101" t="s">
        <v>50</v>
      </c>
      <c r="G520" s="130"/>
      <c r="H520" s="130"/>
      <c r="I520" s="130"/>
      <c r="J520" s="130"/>
      <c r="K520" s="130"/>
      <c r="L520" s="101" t="s">
        <v>2678</v>
      </c>
      <c r="M520" s="132">
        <v>6419484</v>
      </c>
      <c r="N520" s="132">
        <v>6419484</v>
      </c>
      <c r="O520" s="481">
        <v>7</v>
      </c>
      <c r="P520" s="571"/>
    </row>
    <row r="521" spans="1:16" s="131" customFormat="1">
      <c r="A521" s="101" t="s">
        <v>507</v>
      </c>
      <c r="B521" s="130">
        <v>2011</v>
      </c>
      <c r="C521" s="101" t="s">
        <v>501</v>
      </c>
      <c r="D521" s="542" t="s">
        <v>2643</v>
      </c>
      <c r="E521" s="130" t="s">
        <v>2679</v>
      </c>
      <c r="F521" s="101" t="s">
        <v>50</v>
      </c>
      <c r="G521" s="130"/>
      <c r="H521" s="18" t="s">
        <v>871</v>
      </c>
      <c r="I521" s="130"/>
      <c r="J521" s="130"/>
      <c r="K521" s="130"/>
      <c r="L521" s="101" t="s">
        <v>2680</v>
      </c>
      <c r="M521" s="101" t="s">
        <v>2648</v>
      </c>
      <c r="N521" s="101" t="s">
        <v>2648</v>
      </c>
      <c r="O521" s="481"/>
      <c r="P521" s="571"/>
    </row>
    <row r="522" spans="1:16" s="131" customFormat="1">
      <c r="A522" s="101" t="s">
        <v>507</v>
      </c>
      <c r="B522" s="130">
        <v>2011</v>
      </c>
      <c r="C522" s="101" t="s">
        <v>501</v>
      </c>
      <c r="D522" s="542" t="s">
        <v>2643</v>
      </c>
      <c r="E522" s="130" t="s">
        <v>2679</v>
      </c>
      <c r="F522" s="101" t="s">
        <v>50</v>
      </c>
      <c r="G522" s="130"/>
      <c r="H522" s="130"/>
      <c r="I522" s="130"/>
      <c r="J522" s="130"/>
      <c r="K522" s="130"/>
      <c r="L522" s="101" t="s">
        <v>2681</v>
      </c>
      <c r="M522" s="101" t="s">
        <v>871</v>
      </c>
      <c r="N522" s="101" t="s">
        <v>871</v>
      </c>
      <c r="O522" s="481"/>
      <c r="P522" s="571"/>
    </row>
    <row r="523" spans="1:16" s="131" customFormat="1">
      <c r="A523" s="101" t="s">
        <v>507</v>
      </c>
      <c r="B523" s="130">
        <v>2011</v>
      </c>
      <c r="C523" s="101" t="s">
        <v>501</v>
      </c>
      <c r="D523" s="542" t="s">
        <v>2643</v>
      </c>
      <c r="E523" s="130" t="s">
        <v>2679</v>
      </c>
      <c r="F523" s="101" t="s">
        <v>50</v>
      </c>
      <c r="G523" s="130"/>
      <c r="H523" s="130"/>
      <c r="I523" s="130"/>
      <c r="J523" s="130"/>
      <c r="K523" s="130"/>
      <c r="L523" s="101" t="s">
        <v>2682</v>
      </c>
      <c r="M523" s="101" t="s">
        <v>871</v>
      </c>
      <c r="N523" s="101" t="s">
        <v>871</v>
      </c>
      <c r="O523" s="481"/>
      <c r="P523" s="571"/>
    </row>
    <row r="524" spans="1:16" s="131" customFormat="1">
      <c r="A524" s="101" t="s">
        <v>507</v>
      </c>
      <c r="B524" s="130">
        <v>2011</v>
      </c>
      <c r="C524" s="101" t="s">
        <v>501</v>
      </c>
      <c r="D524" s="542" t="s">
        <v>2643</v>
      </c>
      <c r="E524" s="130" t="s">
        <v>2679</v>
      </c>
      <c r="F524" s="101" t="s">
        <v>50</v>
      </c>
      <c r="G524" s="130"/>
      <c r="H524" s="130"/>
      <c r="I524" s="130"/>
      <c r="J524" s="130"/>
      <c r="K524" s="130"/>
      <c r="L524" s="101" t="s">
        <v>2683</v>
      </c>
      <c r="M524" s="101" t="s">
        <v>871</v>
      </c>
      <c r="N524" s="101" t="s">
        <v>871</v>
      </c>
      <c r="O524" s="481"/>
      <c r="P524" s="571"/>
    </row>
    <row r="525" spans="1:16" s="131" customFormat="1">
      <c r="A525" s="101" t="s">
        <v>507</v>
      </c>
      <c r="B525" s="130">
        <v>2011</v>
      </c>
      <c r="C525" s="101" t="s">
        <v>501</v>
      </c>
      <c r="D525" s="542" t="s">
        <v>2643</v>
      </c>
      <c r="E525" s="130" t="s">
        <v>2684</v>
      </c>
      <c r="F525" s="101" t="s">
        <v>50</v>
      </c>
      <c r="G525" s="130"/>
      <c r="H525" s="18" t="s">
        <v>871</v>
      </c>
      <c r="I525" s="130"/>
      <c r="J525" s="130"/>
      <c r="K525" s="130"/>
      <c r="L525" s="101" t="s">
        <v>2680</v>
      </c>
      <c r="M525" s="101" t="s">
        <v>2648</v>
      </c>
      <c r="N525" s="101" t="s">
        <v>2648</v>
      </c>
      <c r="O525" s="481"/>
      <c r="P525" s="571"/>
    </row>
    <row r="526" spans="1:16" s="131" customFormat="1">
      <c r="A526" s="101" t="s">
        <v>507</v>
      </c>
      <c r="B526" s="130">
        <v>2011</v>
      </c>
      <c r="C526" s="101" t="s">
        <v>501</v>
      </c>
      <c r="D526" s="542" t="s">
        <v>2643</v>
      </c>
      <c r="E526" s="130" t="s">
        <v>2684</v>
      </c>
      <c r="F526" s="101" t="s">
        <v>50</v>
      </c>
      <c r="G526" s="130"/>
      <c r="H526" s="130"/>
      <c r="I526" s="130"/>
      <c r="J526" s="130"/>
      <c r="K526" s="130"/>
      <c r="L526" s="101" t="s">
        <v>2681</v>
      </c>
      <c r="M526" s="101" t="s">
        <v>871</v>
      </c>
      <c r="N526" s="101" t="s">
        <v>871</v>
      </c>
      <c r="O526" s="481"/>
      <c r="P526" s="571"/>
    </row>
    <row r="527" spans="1:16" s="131" customFormat="1">
      <c r="A527" s="101" t="s">
        <v>507</v>
      </c>
      <c r="B527" s="130">
        <v>2011</v>
      </c>
      <c r="C527" s="101" t="s">
        <v>501</v>
      </c>
      <c r="D527" s="542" t="s">
        <v>2643</v>
      </c>
      <c r="E527" s="130" t="s">
        <v>2684</v>
      </c>
      <c r="F527" s="101" t="s">
        <v>50</v>
      </c>
      <c r="G527" s="130"/>
      <c r="H527" s="130"/>
      <c r="I527" s="130"/>
      <c r="J527" s="130"/>
      <c r="K527" s="130"/>
      <c r="L527" s="101" t="s">
        <v>2682</v>
      </c>
      <c r="M527" s="101" t="s">
        <v>871</v>
      </c>
      <c r="N527" s="101" t="s">
        <v>871</v>
      </c>
      <c r="O527" s="481"/>
      <c r="P527" s="571"/>
    </row>
    <row r="528" spans="1:16" s="131" customFormat="1">
      <c r="A528" s="101" t="s">
        <v>507</v>
      </c>
      <c r="B528" s="130">
        <v>2011</v>
      </c>
      <c r="C528" s="101" t="s">
        <v>501</v>
      </c>
      <c r="D528" s="542" t="s">
        <v>2643</v>
      </c>
      <c r="E528" s="130" t="s">
        <v>2684</v>
      </c>
      <c r="F528" s="101" t="s">
        <v>50</v>
      </c>
      <c r="G528" s="130"/>
      <c r="H528" s="130"/>
      <c r="I528" s="130"/>
      <c r="J528" s="130"/>
      <c r="K528" s="130"/>
      <c r="L528" s="101" t="s">
        <v>2683</v>
      </c>
      <c r="M528" s="101" t="s">
        <v>871</v>
      </c>
      <c r="N528" s="101" t="s">
        <v>871</v>
      </c>
      <c r="O528" s="481"/>
      <c r="P528" s="571"/>
    </row>
    <row r="529" spans="1:17" s="131" customFormat="1">
      <c r="A529" s="101" t="s">
        <v>507</v>
      </c>
      <c r="B529" s="130">
        <v>2011</v>
      </c>
      <c r="C529" s="101" t="s">
        <v>501</v>
      </c>
      <c r="D529" s="542" t="s">
        <v>2643</v>
      </c>
      <c r="E529" s="130" t="s">
        <v>2685</v>
      </c>
      <c r="F529" s="101" t="s">
        <v>50</v>
      </c>
      <c r="G529" s="130"/>
      <c r="H529" s="18" t="s">
        <v>871</v>
      </c>
      <c r="I529" s="130"/>
      <c r="J529" s="130"/>
      <c r="K529" s="130"/>
      <c r="L529" s="101" t="s">
        <v>2680</v>
      </c>
      <c r="M529" s="101" t="s">
        <v>2648</v>
      </c>
      <c r="N529" s="101" t="s">
        <v>2648</v>
      </c>
      <c r="O529" s="481"/>
      <c r="P529" s="571"/>
    </row>
    <row r="530" spans="1:17" s="131" customFormat="1">
      <c r="A530" s="101" t="s">
        <v>507</v>
      </c>
      <c r="B530" s="130">
        <v>2011</v>
      </c>
      <c r="C530" s="101" t="s">
        <v>501</v>
      </c>
      <c r="D530" s="542" t="s">
        <v>2643</v>
      </c>
      <c r="E530" s="130" t="s">
        <v>2685</v>
      </c>
      <c r="F530" s="101" t="s">
        <v>50</v>
      </c>
      <c r="G530" s="130"/>
      <c r="H530" s="130"/>
      <c r="I530" s="130"/>
      <c r="J530" s="130"/>
      <c r="K530" s="130"/>
      <c r="L530" s="101" t="s">
        <v>2681</v>
      </c>
      <c r="M530" s="101" t="s">
        <v>871</v>
      </c>
      <c r="N530" s="101" t="s">
        <v>871</v>
      </c>
      <c r="O530" s="481"/>
      <c r="P530" s="571"/>
    </row>
    <row r="531" spans="1:17" s="131" customFormat="1">
      <c r="A531" s="101" t="s">
        <v>507</v>
      </c>
      <c r="B531" s="130">
        <v>2011</v>
      </c>
      <c r="C531" s="101" t="s">
        <v>501</v>
      </c>
      <c r="D531" s="542" t="s">
        <v>2643</v>
      </c>
      <c r="E531" s="130" t="s">
        <v>2685</v>
      </c>
      <c r="F531" s="101" t="s">
        <v>50</v>
      </c>
      <c r="G531" s="130"/>
      <c r="H531" s="130"/>
      <c r="I531" s="130"/>
      <c r="J531" s="130"/>
      <c r="K531" s="130"/>
      <c r="L531" s="101" t="s">
        <v>2682</v>
      </c>
      <c r="M531" s="101" t="s">
        <v>871</v>
      </c>
      <c r="N531" s="101" t="s">
        <v>871</v>
      </c>
      <c r="O531" s="481"/>
      <c r="P531" s="571"/>
    </row>
    <row r="532" spans="1:17" s="131" customFormat="1">
      <c r="A532" s="101" t="s">
        <v>507</v>
      </c>
      <c r="B532" s="130">
        <v>2011</v>
      </c>
      <c r="C532" s="101" t="s">
        <v>501</v>
      </c>
      <c r="D532" s="542" t="s">
        <v>2643</v>
      </c>
      <c r="E532" s="130" t="s">
        <v>2685</v>
      </c>
      <c r="F532" s="101" t="s">
        <v>50</v>
      </c>
      <c r="G532" s="130"/>
      <c r="H532" s="130"/>
      <c r="I532" s="130"/>
      <c r="J532" s="130"/>
      <c r="K532" s="130"/>
      <c r="L532" s="101" t="s">
        <v>2683</v>
      </c>
      <c r="M532" s="101" t="s">
        <v>871</v>
      </c>
      <c r="N532" s="101" t="s">
        <v>871</v>
      </c>
      <c r="O532" s="481"/>
      <c r="P532" s="571"/>
    </row>
    <row r="533" spans="1:17" s="131" customFormat="1">
      <c r="A533" s="101" t="s">
        <v>507</v>
      </c>
      <c r="B533" s="130">
        <v>2011</v>
      </c>
      <c r="C533" s="101" t="s">
        <v>501</v>
      </c>
      <c r="D533" s="542" t="s">
        <v>2643</v>
      </c>
      <c r="E533" s="130" t="s">
        <v>2686</v>
      </c>
      <c r="F533" s="101" t="s">
        <v>50</v>
      </c>
      <c r="G533" s="130"/>
      <c r="H533" s="18" t="s">
        <v>871</v>
      </c>
      <c r="I533" s="130"/>
      <c r="J533" s="130"/>
      <c r="K533" s="130"/>
      <c r="L533" s="101" t="s">
        <v>2680</v>
      </c>
      <c r="M533" s="101" t="s">
        <v>2648</v>
      </c>
      <c r="N533" s="101" t="s">
        <v>2648</v>
      </c>
      <c r="O533" s="481"/>
      <c r="P533" s="571"/>
    </row>
    <row r="534" spans="1:17" s="131" customFormat="1">
      <c r="A534" s="101" t="s">
        <v>507</v>
      </c>
      <c r="B534" s="130">
        <v>2011</v>
      </c>
      <c r="C534" s="101" t="s">
        <v>501</v>
      </c>
      <c r="D534" s="542" t="s">
        <v>2643</v>
      </c>
      <c r="E534" s="130" t="s">
        <v>2686</v>
      </c>
      <c r="F534" s="101" t="s">
        <v>50</v>
      </c>
      <c r="G534" s="130"/>
      <c r="H534" s="130"/>
      <c r="I534" s="130"/>
      <c r="J534" s="130"/>
      <c r="K534" s="130"/>
      <c r="L534" s="101" t="s">
        <v>2681</v>
      </c>
      <c r="M534" s="101" t="s">
        <v>871</v>
      </c>
      <c r="N534" s="101" t="s">
        <v>871</v>
      </c>
      <c r="O534" s="481"/>
      <c r="P534" s="571"/>
    </row>
    <row r="535" spans="1:17" s="131" customFormat="1">
      <c r="A535" s="101" t="s">
        <v>507</v>
      </c>
      <c r="B535" s="130">
        <v>2011</v>
      </c>
      <c r="C535" s="101" t="s">
        <v>501</v>
      </c>
      <c r="D535" s="542" t="s">
        <v>2643</v>
      </c>
      <c r="E535" s="130" t="s">
        <v>2686</v>
      </c>
      <c r="F535" s="101" t="s">
        <v>50</v>
      </c>
      <c r="G535" s="130"/>
      <c r="H535" s="130"/>
      <c r="I535" s="130"/>
      <c r="J535" s="130"/>
      <c r="K535" s="130"/>
      <c r="L535" s="101" t="s">
        <v>2682</v>
      </c>
      <c r="M535" s="101" t="s">
        <v>871</v>
      </c>
      <c r="N535" s="101" t="s">
        <v>871</v>
      </c>
      <c r="O535" s="481"/>
      <c r="P535" s="571"/>
    </row>
    <row r="536" spans="1:17" s="131" customFormat="1">
      <c r="A536" s="101" t="s">
        <v>507</v>
      </c>
      <c r="B536" s="130">
        <v>2011</v>
      </c>
      <c r="C536" s="101" t="s">
        <v>501</v>
      </c>
      <c r="D536" s="542" t="s">
        <v>2643</v>
      </c>
      <c r="E536" s="130" t="s">
        <v>2686</v>
      </c>
      <c r="F536" s="101" t="s">
        <v>50</v>
      </c>
      <c r="G536" s="130"/>
      <c r="H536" s="130"/>
      <c r="I536" s="130"/>
      <c r="J536" s="130"/>
      <c r="K536" s="130"/>
      <c r="L536" s="101" t="s">
        <v>2683</v>
      </c>
      <c r="M536" s="101" t="s">
        <v>871</v>
      </c>
      <c r="N536" s="101" t="s">
        <v>871</v>
      </c>
      <c r="O536" s="481"/>
      <c r="P536" s="571"/>
    </row>
    <row r="537" spans="1:17" s="131" customFormat="1">
      <c r="A537" s="101" t="s">
        <v>507</v>
      </c>
      <c r="B537" s="130">
        <v>2011</v>
      </c>
      <c r="C537" s="101" t="s">
        <v>501</v>
      </c>
      <c r="D537" s="542" t="s">
        <v>2643</v>
      </c>
      <c r="E537" s="130" t="s">
        <v>2687</v>
      </c>
      <c r="F537" s="101" t="s">
        <v>50</v>
      </c>
      <c r="G537" s="130"/>
      <c r="H537" s="18" t="s">
        <v>871</v>
      </c>
      <c r="I537" s="130"/>
      <c r="J537" s="130"/>
      <c r="K537" s="130"/>
      <c r="L537" s="101" t="s">
        <v>2680</v>
      </c>
      <c r="M537" s="101" t="s">
        <v>2648</v>
      </c>
      <c r="N537" s="101" t="s">
        <v>2648</v>
      </c>
      <c r="O537" s="481"/>
      <c r="P537" s="571"/>
    </row>
    <row r="538" spans="1:17" s="131" customFormat="1">
      <c r="A538" s="101" t="s">
        <v>507</v>
      </c>
      <c r="B538" s="130">
        <v>2011</v>
      </c>
      <c r="C538" s="101" t="s">
        <v>501</v>
      </c>
      <c r="D538" s="542" t="s">
        <v>2643</v>
      </c>
      <c r="E538" s="130" t="s">
        <v>2687</v>
      </c>
      <c r="F538" s="101" t="s">
        <v>50</v>
      </c>
      <c r="G538" s="130"/>
      <c r="H538" s="130"/>
      <c r="I538" s="130"/>
      <c r="J538" s="130"/>
      <c r="K538" s="130"/>
      <c r="L538" s="101" t="s">
        <v>2681</v>
      </c>
      <c r="M538" s="101" t="s">
        <v>871</v>
      </c>
      <c r="N538" s="101" t="s">
        <v>871</v>
      </c>
      <c r="O538" s="481"/>
      <c r="P538" s="571"/>
    </row>
    <row r="539" spans="1:17" s="131" customFormat="1">
      <c r="A539" s="101" t="s">
        <v>507</v>
      </c>
      <c r="B539" s="130">
        <v>2011</v>
      </c>
      <c r="C539" s="101" t="s">
        <v>501</v>
      </c>
      <c r="D539" s="542" t="s">
        <v>2643</v>
      </c>
      <c r="E539" s="130" t="s">
        <v>2687</v>
      </c>
      <c r="F539" s="101" t="s">
        <v>50</v>
      </c>
      <c r="G539" s="130"/>
      <c r="H539" s="130"/>
      <c r="I539" s="130"/>
      <c r="J539" s="130"/>
      <c r="K539" s="130"/>
      <c r="L539" s="101" t="s">
        <v>2682</v>
      </c>
      <c r="M539" s="101" t="s">
        <v>871</v>
      </c>
      <c r="N539" s="101" t="s">
        <v>871</v>
      </c>
      <c r="O539" s="481"/>
      <c r="P539" s="571"/>
    </row>
    <row r="540" spans="1:17" s="131" customFormat="1">
      <c r="A540" s="101" t="s">
        <v>507</v>
      </c>
      <c r="B540" s="130">
        <v>2011</v>
      </c>
      <c r="C540" s="101" t="s">
        <v>501</v>
      </c>
      <c r="D540" s="542" t="s">
        <v>2643</v>
      </c>
      <c r="E540" s="130" t="s">
        <v>2687</v>
      </c>
      <c r="F540" s="101" t="s">
        <v>50</v>
      </c>
      <c r="G540" s="130"/>
      <c r="H540" s="130"/>
      <c r="I540" s="130"/>
      <c r="J540" s="130"/>
      <c r="K540" s="130"/>
      <c r="L540" s="101" t="s">
        <v>2683</v>
      </c>
      <c r="M540" s="101" t="s">
        <v>871</v>
      </c>
      <c r="N540" s="101" t="s">
        <v>871</v>
      </c>
      <c r="O540" s="481"/>
      <c r="P540" s="571"/>
    </row>
    <row r="541" spans="1:17" s="131" customFormat="1">
      <c r="A541" s="101" t="s">
        <v>507</v>
      </c>
      <c r="B541" s="130">
        <v>2011</v>
      </c>
      <c r="C541" s="101" t="s">
        <v>501</v>
      </c>
      <c r="D541" s="542" t="s">
        <v>2643</v>
      </c>
      <c r="E541" s="130" t="s">
        <v>2688</v>
      </c>
      <c r="F541" s="101" t="s">
        <v>50</v>
      </c>
      <c r="G541" s="130"/>
      <c r="H541" s="18" t="s">
        <v>871</v>
      </c>
      <c r="I541" s="130"/>
      <c r="J541" s="130"/>
      <c r="K541" s="130"/>
      <c r="L541" s="101" t="s">
        <v>2689</v>
      </c>
      <c r="M541" s="132">
        <v>3563379</v>
      </c>
      <c r="N541" s="132">
        <v>3563379</v>
      </c>
      <c r="O541" s="481">
        <v>7</v>
      </c>
      <c r="P541" s="571"/>
    </row>
    <row r="542" spans="1:17" s="131" customFormat="1">
      <c r="A542" s="101" t="s">
        <v>507</v>
      </c>
      <c r="B542" s="130">
        <v>2011</v>
      </c>
      <c r="C542" s="101" t="s">
        <v>501</v>
      </c>
      <c r="D542" s="542" t="s">
        <v>2643</v>
      </c>
      <c r="E542" s="130" t="s">
        <v>2688</v>
      </c>
      <c r="F542" s="101" t="s">
        <v>50</v>
      </c>
      <c r="G542" s="130"/>
      <c r="H542" s="130"/>
      <c r="I542" s="130"/>
      <c r="J542" s="130"/>
      <c r="K542" s="130"/>
      <c r="L542" s="101" t="s">
        <v>2690</v>
      </c>
      <c r="M542" s="101" t="s">
        <v>871</v>
      </c>
      <c r="N542" s="101" t="s">
        <v>871</v>
      </c>
      <c r="O542" s="481"/>
      <c r="P542" s="571"/>
    </row>
    <row r="543" spans="1:17" s="135" customFormat="1" ht="15.75" thickBot="1">
      <c r="A543" s="101" t="s">
        <v>507</v>
      </c>
      <c r="B543" s="130">
        <v>2011</v>
      </c>
      <c r="C543" s="101" t="s">
        <v>501</v>
      </c>
      <c r="D543" s="542" t="s">
        <v>2643</v>
      </c>
      <c r="E543" s="130" t="s">
        <v>2688</v>
      </c>
      <c r="F543" s="101" t="s">
        <v>50</v>
      </c>
      <c r="G543" s="134"/>
      <c r="H543" s="134"/>
      <c r="I543" s="134"/>
      <c r="J543" s="134"/>
      <c r="K543" s="134"/>
      <c r="L543" s="103" t="s">
        <v>2691</v>
      </c>
      <c r="M543" s="103" t="s">
        <v>871</v>
      </c>
      <c r="N543" s="103" t="s">
        <v>871</v>
      </c>
      <c r="O543" s="482"/>
      <c r="P543" s="573"/>
    </row>
    <row r="544" spans="1:17" s="126" customFormat="1">
      <c r="A544" s="110" t="s">
        <v>518</v>
      </c>
      <c r="B544" s="136">
        <v>2011</v>
      </c>
      <c r="C544" s="110" t="s">
        <v>519</v>
      </c>
      <c r="D544" s="574" t="s">
        <v>214</v>
      </c>
      <c r="E544" s="110" t="s">
        <v>2692</v>
      </c>
      <c r="F544" s="110" t="s">
        <v>50</v>
      </c>
      <c r="G544" s="130"/>
      <c r="H544" s="101" t="s">
        <v>2648</v>
      </c>
      <c r="I544" s="130"/>
      <c r="J544" s="130"/>
      <c r="K544" s="130"/>
      <c r="L544" s="101" t="s">
        <v>2693</v>
      </c>
      <c r="M544" s="101" t="s">
        <v>2648</v>
      </c>
      <c r="N544" s="101" t="s">
        <v>2648</v>
      </c>
      <c r="O544" s="481"/>
      <c r="P544" s="571"/>
      <c r="Q544" s="7"/>
    </row>
    <row r="545" spans="1:16" s="126" customFormat="1">
      <c r="A545" s="101" t="s">
        <v>518</v>
      </c>
      <c r="B545" s="130">
        <v>2011</v>
      </c>
      <c r="C545" s="101" t="s">
        <v>519</v>
      </c>
      <c r="D545" s="575" t="s">
        <v>214</v>
      </c>
      <c r="E545" s="101" t="s">
        <v>2694</v>
      </c>
      <c r="F545" s="101" t="s">
        <v>50</v>
      </c>
      <c r="G545" s="101" t="s">
        <v>98</v>
      </c>
      <c r="H545" s="132">
        <v>459536</v>
      </c>
      <c r="I545" s="101" t="s">
        <v>2456</v>
      </c>
      <c r="J545" s="130"/>
      <c r="K545" s="130"/>
      <c r="L545" s="101" t="s">
        <v>2695</v>
      </c>
      <c r="M545" s="132">
        <v>41207099.069767438</v>
      </c>
      <c r="N545" s="132">
        <v>41217374.26356589</v>
      </c>
      <c r="O545" s="472" t="s">
        <v>2696</v>
      </c>
      <c r="P545" s="571"/>
    </row>
    <row r="546" spans="1:16" s="126" customFormat="1">
      <c r="A546" s="101" t="s">
        <v>518</v>
      </c>
      <c r="B546" s="130">
        <v>2011</v>
      </c>
      <c r="C546" s="101" t="s">
        <v>519</v>
      </c>
      <c r="D546" s="575" t="s">
        <v>214</v>
      </c>
      <c r="E546" s="101" t="s">
        <v>2694</v>
      </c>
      <c r="F546" s="101" t="s">
        <v>50</v>
      </c>
      <c r="G546" s="101" t="s">
        <v>552</v>
      </c>
      <c r="H546" s="132">
        <v>26894843000</v>
      </c>
      <c r="I546" s="101" t="s">
        <v>2697</v>
      </c>
      <c r="J546" s="130"/>
      <c r="K546" s="130"/>
      <c r="L546" s="101" t="s">
        <v>2693</v>
      </c>
      <c r="M546" s="101" t="s">
        <v>2648</v>
      </c>
      <c r="N546" s="101" t="s">
        <v>2648</v>
      </c>
      <c r="O546" s="481">
        <v>48</v>
      </c>
      <c r="P546" s="571"/>
    </row>
    <row r="547" spans="1:16" s="126" customFormat="1">
      <c r="A547" s="101" t="s">
        <v>518</v>
      </c>
      <c r="B547" s="130">
        <v>2011</v>
      </c>
      <c r="C547" s="101" t="s">
        <v>519</v>
      </c>
      <c r="D547" s="575" t="s">
        <v>214</v>
      </c>
      <c r="E547" s="101" t="s">
        <v>2698</v>
      </c>
      <c r="F547" s="101" t="s">
        <v>50</v>
      </c>
      <c r="G547" s="130"/>
      <c r="H547" s="101" t="s">
        <v>2648</v>
      </c>
      <c r="I547" s="130"/>
      <c r="J547" s="130"/>
      <c r="K547" s="130"/>
      <c r="L547" s="101" t="s">
        <v>2699</v>
      </c>
      <c r="M547" s="101" t="s">
        <v>2648</v>
      </c>
      <c r="N547" s="101" t="s">
        <v>2648</v>
      </c>
      <c r="O547" s="481"/>
      <c r="P547" s="571"/>
    </row>
    <row r="548" spans="1:16" s="126" customFormat="1">
      <c r="A548" s="101" t="s">
        <v>518</v>
      </c>
      <c r="B548" s="130">
        <v>2011</v>
      </c>
      <c r="C548" s="101" t="s">
        <v>519</v>
      </c>
      <c r="D548" s="575" t="s">
        <v>214</v>
      </c>
      <c r="E548" s="101" t="s">
        <v>2700</v>
      </c>
      <c r="F548" s="101" t="s">
        <v>50</v>
      </c>
      <c r="G548" s="101" t="s">
        <v>98</v>
      </c>
      <c r="H548" s="132">
        <v>4335713</v>
      </c>
      <c r="I548" s="101" t="s">
        <v>2456</v>
      </c>
      <c r="J548" s="130"/>
      <c r="K548" s="130"/>
      <c r="L548" s="101" t="s">
        <v>2701</v>
      </c>
      <c r="M548" s="132">
        <v>197366669.76744187</v>
      </c>
      <c r="N548" s="132">
        <v>197366669.76744187</v>
      </c>
      <c r="O548" s="472" t="s">
        <v>2702</v>
      </c>
      <c r="P548" s="571"/>
    </row>
    <row r="549" spans="1:16" s="126" customFormat="1">
      <c r="A549" s="101" t="s">
        <v>518</v>
      </c>
      <c r="B549" s="130">
        <v>2011</v>
      </c>
      <c r="C549" s="101" t="s">
        <v>519</v>
      </c>
      <c r="D549" s="575" t="s">
        <v>214</v>
      </c>
      <c r="E549" s="101" t="s">
        <v>2700</v>
      </c>
      <c r="F549" s="101" t="s">
        <v>50</v>
      </c>
      <c r="G549" s="101" t="s">
        <v>552</v>
      </c>
      <c r="H549" s="132">
        <v>11127636000</v>
      </c>
      <c r="I549" s="101" t="s">
        <v>2697</v>
      </c>
      <c r="J549" s="130"/>
      <c r="K549" s="130"/>
      <c r="L549" s="576" t="s">
        <v>2703</v>
      </c>
      <c r="M549" s="101" t="s">
        <v>2648</v>
      </c>
      <c r="N549" s="101" t="s">
        <v>2648</v>
      </c>
      <c r="O549" s="481">
        <v>48</v>
      </c>
      <c r="P549" s="571"/>
    </row>
    <row r="550" spans="1:16" s="126" customFormat="1">
      <c r="A550" s="101" t="s">
        <v>518</v>
      </c>
      <c r="B550" s="130">
        <v>2011</v>
      </c>
      <c r="C550" s="101" t="s">
        <v>519</v>
      </c>
      <c r="D550" s="575" t="s">
        <v>214</v>
      </c>
      <c r="E550" s="101" t="s">
        <v>2700</v>
      </c>
      <c r="F550" s="101" t="s">
        <v>50</v>
      </c>
      <c r="G550" s="130"/>
      <c r="H550" s="130"/>
      <c r="I550" s="130"/>
      <c r="J550" s="130"/>
      <c r="K550" s="130"/>
      <c r="L550" s="101" t="s">
        <v>2704</v>
      </c>
      <c r="M550" s="101" t="s">
        <v>2648</v>
      </c>
      <c r="N550" s="101" t="s">
        <v>2648</v>
      </c>
      <c r="O550" s="481"/>
      <c r="P550" s="571"/>
    </row>
    <row r="551" spans="1:16" s="126" customFormat="1">
      <c r="A551" s="101" t="s">
        <v>518</v>
      </c>
      <c r="B551" s="130">
        <v>2011</v>
      </c>
      <c r="C551" s="101" t="s">
        <v>519</v>
      </c>
      <c r="D551" s="575" t="s">
        <v>214</v>
      </c>
      <c r="E551" s="101" t="s">
        <v>2705</v>
      </c>
      <c r="F551" s="101" t="s">
        <v>50</v>
      </c>
      <c r="G551" s="130"/>
      <c r="H551" s="101" t="s">
        <v>871</v>
      </c>
      <c r="I551" s="130"/>
      <c r="J551" s="130"/>
      <c r="K551" s="130"/>
      <c r="L551" s="101" t="s">
        <v>2706</v>
      </c>
      <c r="M551" s="101" t="s">
        <v>871</v>
      </c>
      <c r="N551" s="101" t="s">
        <v>871</v>
      </c>
      <c r="O551" s="481"/>
      <c r="P551" s="571"/>
    </row>
    <row r="552" spans="1:16" s="126" customFormat="1">
      <c r="A552" s="101" t="s">
        <v>518</v>
      </c>
      <c r="B552" s="130">
        <v>2011</v>
      </c>
      <c r="C552" s="101" t="s">
        <v>519</v>
      </c>
      <c r="D552" s="575" t="s">
        <v>214</v>
      </c>
      <c r="E552" s="101" t="s">
        <v>2705</v>
      </c>
      <c r="F552" s="101" t="s">
        <v>50</v>
      </c>
      <c r="G552" s="130"/>
      <c r="H552" s="130"/>
      <c r="I552" s="130"/>
      <c r="J552" s="130"/>
      <c r="K552" s="130"/>
      <c r="L552" s="101" t="s">
        <v>2707</v>
      </c>
      <c r="M552" s="101" t="s">
        <v>2648</v>
      </c>
      <c r="N552" s="101" t="s">
        <v>2648</v>
      </c>
      <c r="O552" s="481"/>
      <c r="P552" s="571"/>
    </row>
    <row r="553" spans="1:16" s="126" customFormat="1">
      <c r="A553" s="101" t="s">
        <v>518</v>
      </c>
      <c r="B553" s="130">
        <v>2011</v>
      </c>
      <c r="C553" s="101" t="s">
        <v>519</v>
      </c>
      <c r="D553" s="575" t="s">
        <v>214</v>
      </c>
      <c r="E553" s="101" t="s">
        <v>2705</v>
      </c>
      <c r="F553" s="101" t="s">
        <v>50</v>
      </c>
      <c r="G553" s="130"/>
      <c r="H553" s="130"/>
      <c r="I553" s="130"/>
      <c r="J553" s="130"/>
      <c r="K553" s="130"/>
      <c r="L553" s="101" t="s">
        <v>2708</v>
      </c>
      <c r="M553" s="101" t="s">
        <v>871</v>
      </c>
      <c r="N553" s="101" t="s">
        <v>871</v>
      </c>
      <c r="O553" s="481"/>
      <c r="P553" s="571"/>
    </row>
    <row r="554" spans="1:16" s="126" customFormat="1">
      <c r="A554" s="101" t="s">
        <v>518</v>
      </c>
      <c r="B554" s="130">
        <v>2011</v>
      </c>
      <c r="C554" s="101" t="s">
        <v>519</v>
      </c>
      <c r="D554" s="575" t="s">
        <v>214</v>
      </c>
      <c r="E554" s="101" t="s">
        <v>2709</v>
      </c>
      <c r="F554" s="101" t="s">
        <v>50</v>
      </c>
      <c r="G554" s="130"/>
      <c r="H554" s="101" t="s">
        <v>2648</v>
      </c>
      <c r="I554" s="130"/>
      <c r="J554" s="130"/>
      <c r="K554" s="130"/>
      <c r="L554" s="101" t="s">
        <v>2693</v>
      </c>
      <c r="M554" s="101" t="s">
        <v>2648</v>
      </c>
      <c r="N554" s="101" t="s">
        <v>2648</v>
      </c>
      <c r="O554" s="481"/>
      <c r="P554" s="571"/>
    </row>
    <row r="555" spans="1:16" s="126" customFormat="1">
      <c r="A555" s="101" t="s">
        <v>518</v>
      </c>
      <c r="B555" s="130">
        <v>2011</v>
      </c>
      <c r="C555" s="101" t="s">
        <v>519</v>
      </c>
      <c r="D555" s="575" t="s">
        <v>214</v>
      </c>
      <c r="E555" s="101" t="s">
        <v>2710</v>
      </c>
      <c r="F555" s="101" t="s">
        <v>50</v>
      </c>
      <c r="G555" s="130"/>
      <c r="H555" s="101" t="s">
        <v>871</v>
      </c>
      <c r="I555" s="130"/>
      <c r="J555" s="130"/>
      <c r="K555" s="130"/>
      <c r="L555" s="101" t="s">
        <v>2711</v>
      </c>
      <c r="M555" s="101" t="s">
        <v>871</v>
      </c>
      <c r="N555" s="101" t="s">
        <v>871</v>
      </c>
      <c r="O555" s="481"/>
      <c r="P555" s="571"/>
    </row>
    <row r="556" spans="1:16" s="126" customFormat="1">
      <c r="A556" s="101" t="s">
        <v>518</v>
      </c>
      <c r="B556" s="130">
        <v>2011</v>
      </c>
      <c r="C556" s="101" t="s">
        <v>519</v>
      </c>
      <c r="D556" s="575" t="s">
        <v>214</v>
      </c>
      <c r="E556" s="101" t="s">
        <v>2710</v>
      </c>
      <c r="F556" s="101" t="s">
        <v>50</v>
      </c>
      <c r="G556" s="130"/>
      <c r="H556" s="130"/>
      <c r="I556" s="130"/>
      <c r="J556" s="130"/>
      <c r="K556" s="130"/>
      <c r="L556" s="101" t="s">
        <v>2693</v>
      </c>
      <c r="M556" s="101" t="s">
        <v>2648</v>
      </c>
      <c r="N556" s="101" t="s">
        <v>2648</v>
      </c>
      <c r="O556" s="481"/>
      <c r="P556" s="571"/>
    </row>
    <row r="557" spans="1:16" s="126" customFormat="1">
      <c r="A557" s="101" t="s">
        <v>518</v>
      </c>
      <c r="B557" s="130">
        <v>2011</v>
      </c>
      <c r="C557" s="101" t="s">
        <v>519</v>
      </c>
      <c r="D557" s="575" t="s">
        <v>214</v>
      </c>
      <c r="E557" s="101" t="s">
        <v>2710</v>
      </c>
      <c r="F557" s="101" t="s">
        <v>50</v>
      </c>
      <c r="G557" s="130"/>
      <c r="H557" s="130"/>
      <c r="I557" s="130"/>
      <c r="J557" s="130"/>
      <c r="K557" s="130"/>
      <c r="L557" s="101" t="s">
        <v>2712</v>
      </c>
      <c r="M557" s="130">
        <v>0</v>
      </c>
      <c r="N557" s="130">
        <v>0</v>
      </c>
      <c r="O557" s="472">
        <v>46</v>
      </c>
      <c r="P557" s="571"/>
    </row>
    <row r="558" spans="1:16" s="126" customFormat="1">
      <c r="A558" s="101" t="s">
        <v>518</v>
      </c>
      <c r="B558" s="130">
        <v>2011</v>
      </c>
      <c r="C558" s="101" t="s">
        <v>519</v>
      </c>
      <c r="D558" s="575" t="s">
        <v>214</v>
      </c>
      <c r="E558" s="101" t="s">
        <v>2713</v>
      </c>
      <c r="F558" s="101" t="s">
        <v>50</v>
      </c>
      <c r="G558" s="130"/>
      <c r="H558" s="101" t="s">
        <v>2648</v>
      </c>
      <c r="I558" s="130"/>
      <c r="J558" s="130"/>
      <c r="K558" s="130"/>
      <c r="L558" s="101" t="s">
        <v>2714</v>
      </c>
      <c r="M558" s="101" t="s">
        <v>2648</v>
      </c>
      <c r="N558" s="101" t="s">
        <v>2648</v>
      </c>
      <c r="O558" s="481"/>
      <c r="P558" s="571"/>
    </row>
    <row r="559" spans="1:16" s="126" customFormat="1">
      <c r="A559" s="101" t="s">
        <v>518</v>
      </c>
      <c r="B559" s="130">
        <v>2011</v>
      </c>
      <c r="C559" s="101" t="s">
        <v>519</v>
      </c>
      <c r="D559" s="575" t="s">
        <v>214</v>
      </c>
      <c r="E559" s="101" t="s">
        <v>2715</v>
      </c>
      <c r="F559" s="101" t="s">
        <v>50</v>
      </c>
      <c r="G559" s="101" t="s">
        <v>98</v>
      </c>
      <c r="H559" s="132">
        <v>423876</v>
      </c>
      <c r="I559" s="101" t="s">
        <v>2456</v>
      </c>
      <c r="J559" s="130"/>
      <c r="K559" s="130"/>
      <c r="L559" s="101" t="s">
        <v>2716</v>
      </c>
      <c r="M559" s="132">
        <v>7119818.2945736432</v>
      </c>
      <c r="N559" s="132">
        <v>7124245.7364341086</v>
      </c>
      <c r="O559" s="472" t="s">
        <v>2696</v>
      </c>
      <c r="P559" s="571"/>
    </row>
    <row r="560" spans="1:16" s="126" customFormat="1">
      <c r="A560" s="101" t="s">
        <v>518</v>
      </c>
      <c r="B560" s="130">
        <v>2011</v>
      </c>
      <c r="C560" s="101" t="s">
        <v>519</v>
      </c>
      <c r="D560" s="575" t="s">
        <v>214</v>
      </c>
      <c r="E560" s="101" t="s">
        <v>2715</v>
      </c>
      <c r="F560" s="101" t="s">
        <v>50</v>
      </c>
      <c r="G560" s="130"/>
      <c r="H560" s="130"/>
      <c r="I560" s="130"/>
      <c r="J560" s="130"/>
      <c r="K560" s="130"/>
      <c r="L560" s="101" t="s">
        <v>2693</v>
      </c>
      <c r="M560" s="101" t="s">
        <v>2648</v>
      </c>
      <c r="N560" s="101" t="s">
        <v>2648</v>
      </c>
      <c r="O560" s="481"/>
      <c r="P560" s="571"/>
    </row>
    <row r="561" spans="1:16" s="126" customFormat="1">
      <c r="A561" s="101" t="s">
        <v>518</v>
      </c>
      <c r="B561" s="130">
        <v>2011</v>
      </c>
      <c r="C561" s="101" t="s">
        <v>519</v>
      </c>
      <c r="D561" s="575" t="s">
        <v>214</v>
      </c>
      <c r="E561" s="101" t="s">
        <v>2717</v>
      </c>
      <c r="F561" s="101" t="s">
        <v>50</v>
      </c>
      <c r="G561" s="130"/>
      <c r="H561" s="101" t="s">
        <v>871</v>
      </c>
      <c r="I561" s="130"/>
      <c r="J561" s="130"/>
      <c r="K561" s="130"/>
      <c r="L561" s="101" t="s">
        <v>2718</v>
      </c>
      <c r="M561" s="101" t="s">
        <v>871</v>
      </c>
      <c r="N561" s="101" t="s">
        <v>871</v>
      </c>
      <c r="O561" s="481"/>
      <c r="P561" s="571"/>
    </row>
    <row r="562" spans="1:16" s="126" customFormat="1">
      <c r="A562" s="101" t="s">
        <v>518</v>
      </c>
      <c r="B562" s="130">
        <v>2011</v>
      </c>
      <c r="C562" s="101" t="s">
        <v>519</v>
      </c>
      <c r="D562" s="575" t="s">
        <v>214</v>
      </c>
      <c r="E562" s="101" t="s">
        <v>2717</v>
      </c>
      <c r="F562" s="101" t="s">
        <v>50</v>
      </c>
      <c r="G562" s="130"/>
      <c r="H562" s="130"/>
      <c r="I562" s="130"/>
      <c r="J562" s="130"/>
      <c r="K562" s="130"/>
      <c r="L562" s="101" t="s">
        <v>2693</v>
      </c>
      <c r="M562" s="101" t="s">
        <v>2648</v>
      </c>
      <c r="N562" s="101" t="s">
        <v>2648</v>
      </c>
      <c r="O562" s="481"/>
      <c r="P562" s="571"/>
    </row>
    <row r="563" spans="1:16" s="126" customFormat="1">
      <c r="A563" s="101" t="s">
        <v>518</v>
      </c>
      <c r="B563" s="130">
        <v>2011</v>
      </c>
      <c r="C563" s="101" t="s">
        <v>519</v>
      </c>
      <c r="D563" s="575" t="s">
        <v>214</v>
      </c>
      <c r="E563" s="577" t="s">
        <v>2719</v>
      </c>
      <c r="F563" s="101" t="s">
        <v>50</v>
      </c>
      <c r="G563" s="130"/>
      <c r="H563" s="101" t="s">
        <v>2648</v>
      </c>
      <c r="I563" s="130"/>
      <c r="J563" s="130"/>
      <c r="K563" s="130"/>
      <c r="L563" s="101" t="s">
        <v>2693</v>
      </c>
      <c r="M563" s="101" t="s">
        <v>2648</v>
      </c>
      <c r="N563" s="101" t="s">
        <v>2648</v>
      </c>
      <c r="O563" s="481"/>
      <c r="P563" s="571"/>
    </row>
    <row r="564" spans="1:16" s="126" customFormat="1">
      <c r="A564" s="101" t="s">
        <v>518</v>
      </c>
      <c r="B564" s="130">
        <v>2011</v>
      </c>
      <c r="C564" s="101" t="s">
        <v>519</v>
      </c>
      <c r="D564" s="575" t="s">
        <v>214</v>
      </c>
      <c r="E564" s="577" t="s">
        <v>2720</v>
      </c>
      <c r="F564" s="101" t="s">
        <v>50</v>
      </c>
      <c r="G564" s="130"/>
      <c r="H564" s="101" t="s">
        <v>2648</v>
      </c>
      <c r="I564" s="130"/>
      <c r="J564" s="130"/>
      <c r="K564" s="130"/>
      <c r="L564" s="101" t="s">
        <v>2693</v>
      </c>
      <c r="M564" s="101" t="s">
        <v>2648</v>
      </c>
      <c r="N564" s="101" t="s">
        <v>2648</v>
      </c>
      <c r="O564" s="481"/>
      <c r="P564" s="571"/>
    </row>
    <row r="565" spans="1:16" s="126" customFormat="1">
      <c r="A565" s="101" t="s">
        <v>518</v>
      </c>
      <c r="B565" s="130">
        <v>2011</v>
      </c>
      <c r="C565" s="101" t="s">
        <v>519</v>
      </c>
      <c r="D565" s="575" t="s">
        <v>214</v>
      </c>
      <c r="E565" s="470" t="s">
        <v>2721</v>
      </c>
      <c r="F565" s="101" t="s">
        <v>50</v>
      </c>
      <c r="G565" s="130"/>
      <c r="H565" s="101" t="s">
        <v>2648</v>
      </c>
      <c r="I565" s="130"/>
      <c r="J565" s="130"/>
      <c r="K565" s="130"/>
      <c r="L565" s="101" t="s">
        <v>2714</v>
      </c>
      <c r="M565" s="101" t="s">
        <v>2648</v>
      </c>
      <c r="N565" s="101" t="s">
        <v>2648</v>
      </c>
      <c r="O565" s="481"/>
      <c r="P565" s="571"/>
    </row>
    <row r="566" spans="1:16" s="126" customFormat="1">
      <c r="A566" s="101" t="s">
        <v>518</v>
      </c>
      <c r="B566" s="130">
        <v>2011</v>
      </c>
      <c r="C566" s="101" t="s">
        <v>519</v>
      </c>
      <c r="D566" s="575" t="s">
        <v>214</v>
      </c>
      <c r="E566" s="577" t="s">
        <v>2722</v>
      </c>
      <c r="F566" s="101" t="s">
        <v>50</v>
      </c>
      <c r="G566" s="130"/>
      <c r="H566" s="101" t="s">
        <v>871</v>
      </c>
      <c r="I566" s="130"/>
      <c r="J566" s="130"/>
      <c r="K566" s="130"/>
      <c r="L566" s="101" t="s">
        <v>2723</v>
      </c>
      <c r="M566" s="101" t="s">
        <v>871</v>
      </c>
      <c r="N566" s="101" t="s">
        <v>871</v>
      </c>
      <c r="O566" s="481"/>
      <c r="P566" s="571"/>
    </row>
    <row r="567" spans="1:16" s="126" customFormat="1">
      <c r="A567" s="101" t="s">
        <v>518</v>
      </c>
      <c r="B567" s="130">
        <v>2011</v>
      </c>
      <c r="C567" s="101" t="s">
        <v>519</v>
      </c>
      <c r="D567" s="575" t="s">
        <v>214</v>
      </c>
      <c r="E567" s="577" t="s">
        <v>2722</v>
      </c>
      <c r="F567" s="101" t="s">
        <v>50</v>
      </c>
      <c r="G567" s="130"/>
      <c r="H567" s="101"/>
      <c r="I567" s="130"/>
      <c r="J567" s="130"/>
      <c r="K567" s="130"/>
      <c r="L567" s="101" t="s">
        <v>2693</v>
      </c>
      <c r="M567" s="101" t="s">
        <v>2648</v>
      </c>
      <c r="N567" s="101" t="s">
        <v>2648</v>
      </c>
      <c r="O567" s="481"/>
      <c r="P567" s="571"/>
    </row>
    <row r="568" spans="1:16" s="126" customFormat="1">
      <c r="A568" s="101" t="s">
        <v>518</v>
      </c>
      <c r="B568" s="130">
        <v>2011</v>
      </c>
      <c r="C568" s="101" t="s">
        <v>519</v>
      </c>
      <c r="D568" s="575" t="s">
        <v>214</v>
      </c>
      <c r="E568" s="577" t="s">
        <v>2724</v>
      </c>
      <c r="F568" s="101" t="s">
        <v>50</v>
      </c>
      <c r="G568" s="130"/>
      <c r="H568" s="101" t="s">
        <v>2648</v>
      </c>
      <c r="I568" s="130"/>
      <c r="J568" s="130"/>
      <c r="K568" s="130"/>
      <c r="L568" s="101" t="s">
        <v>2693</v>
      </c>
      <c r="M568" s="101" t="s">
        <v>2648</v>
      </c>
      <c r="N568" s="101" t="s">
        <v>2648</v>
      </c>
      <c r="O568" s="481"/>
      <c r="P568" s="571"/>
    </row>
    <row r="569" spans="1:16" s="126" customFormat="1">
      <c r="A569" s="101" t="s">
        <v>518</v>
      </c>
      <c r="B569" s="130">
        <v>2011</v>
      </c>
      <c r="C569" s="101" t="s">
        <v>519</v>
      </c>
      <c r="D569" s="575" t="s">
        <v>214</v>
      </c>
      <c r="E569" s="577" t="s">
        <v>2725</v>
      </c>
      <c r="F569" s="101" t="s">
        <v>50</v>
      </c>
      <c r="G569" s="130"/>
      <c r="H569" s="101" t="s">
        <v>871</v>
      </c>
      <c r="I569" s="130"/>
      <c r="J569" s="130"/>
      <c r="K569" s="130"/>
      <c r="L569" s="101" t="s">
        <v>2726</v>
      </c>
      <c r="M569" s="101" t="s">
        <v>871</v>
      </c>
      <c r="N569" s="101" t="s">
        <v>871</v>
      </c>
      <c r="O569" s="481"/>
      <c r="P569" s="571"/>
    </row>
    <row r="570" spans="1:16" s="126" customFormat="1">
      <c r="A570" s="101" t="s">
        <v>518</v>
      </c>
      <c r="B570" s="130">
        <v>2011</v>
      </c>
      <c r="C570" s="101" t="s">
        <v>519</v>
      </c>
      <c r="D570" s="575" t="s">
        <v>214</v>
      </c>
      <c r="E570" s="470" t="s">
        <v>2727</v>
      </c>
      <c r="F570" s="101" t="s">
        <v>50</v>
      </c>
      <c r="G570" s="130"/>
      <c r="H570" s="101" t="s">
        <v>871</v>
      </c>
      <c r="I570" s="130"/>
      <c r="J570" s="130"/>
      <c r="K570" s="130"/>
      <c r="L570" s="101" t="s">
        <v>2728</v>
      </c>
      <c r="M570" s="101" t="s">
        <v>871</v>
      </c>
      <c r="N570" s="101" t="s">
        <v>871</v>
      </c>
      <c r="O570" s="481"/>
      <c r="P570" s="571"/>
    </row>
    <row r="571" spans="1:16" s="126" customFormat="1">
      <c r="A571" s="101" t="s">
        <v>518</v>
      </c>
      <c r="B571" s="130">
        <v>2011</v>
      </c>
      <c r="C571" s="101" t="s">
        <v>519</v>
      </c>
      <c r="D571" s="575" t="s">
        <v>214</v>
      </c>
      <c r="E571" s="470" t="s">
        <v>2729</v>
      </c>
      <c r="F571" s="101" t="s">
        <v>50</v>
      </c>
      <c r="G571" s="130"/>
      <c r="H571" s="101" t="s">
        <v>871</v>
      </c>
      <c r="I571" s="130"/>
      <c r="J571" s="130"/>
      <c r="K571" s="130"/>
      <c r="L571" s="101" t="s">
        <v>2730</v>
      </c>
      <c r="M571" s="101" t="s">
        <v>871</v>
      </c>
      <c r="N571" s="101" t="s">
        <v>871</v>
      </c>
      <c r="O571" s="481"/>
      <c r="P571" s="571"/>
    </row>
    <row r="572" spans="1:16" s="126" customFormat="1">
      <c r="A572" s="101" t="s">
        <v>518</v>
      </c>
      <c r="B572" s="130">
        <v>2011</v>
      </c>
      <c r="C572" s="101" t="s">
        <v>519</v>
      </c>
      <c r="D572" s="575" t="s">
        <v>214</v>
      </c>
      <c r="E572" s="470" t="s">
        <v>2729</v>
      </c>
      <c r="F572" s="101" t="s">
        <v>50</v>
      </c>
      <c r="G572" s="130"/>
      <c r="H572" s="130"/>
      <c r="I572" s="130"/>
      <c r="J572" s="130"/>
      <c r="K572" s="130"/>
      <c r="L572" s="101" t="s">
        <v>2731</v>
      </c>
      <c r="M572" s="101" t="s">
        <v>2648</v>
      </c>
      <c r="N572" s="101" t="s">
        <v>2648</v>
      </c>
      <c r="O572" s="481"/>
      <c r="P572" s="571"/>
    </row>
    <row r="573" spans="1:16" s="126" customFormat="1">
      <c r="A573" s="101" t="s">
        <v>518</v>
      </c>
      <c r="B573" s="130">
        <v>2011</v>
      </c>
      <c r="C573" s="101" t="s">
        <v>519</v>
      </c>
      <c r="D573" s="575" t="s">
        <v>214</v>
      </c>
      <c r="E573" s="470" t="s">
        <v>2732</v>
      </c>
      <c r="F573" s="101" t="s">
        <v>50</v>
      </c>
      <c r="G573" s="130"/>
      <c r="H573" s="101" t="s">
        <v>2648</v>
      </c>
      <c r="I573" s="130"/>
      <c r="J573" s="130"/>
      <c r="K573" s="130"/>
      <c r="L573" s="101" t="s">
        <v>2714</v>
      </c>
      <c r="M573" s="101" t="s">
        <v>2648</v>
      </c>
      <c r="N573" s="101" t="s">
        <v>2648</v>
      </c>
      <c r="O573" s="481"/>
      <c r="P573" s="571"/>
    </row>
    <row r="574" spans="1:16" s="126" customFormat="1">
      <c r="A574" s="101" t="s">
        <v>518</v>
      </c>
      <c r="B574" s="130">
        <v>2011</v>
      </c>
      <c r="C574" s="101" t="s">
        <v>519</v>
      </c>
      <c r="D574" s="575" t="s">
        <v>214</v>
      </c>
      <c r="E574" s="101" t="s">
        <v>2733</v>
      </c>
      <c r="F574" s="101" t="s">
        <v>50</v>
      </c>
      <c r="G574" s="130"/>
      <c r="H574" s="101" t="s">
        <v>871</v>
      </c>
      <c r="I574" s="130"/>
      <c r="J574" s="130"/>
      <c r="K574" s="130"/>
      <c r="L574" s="101" t="s">
        <v>2734</v>
      </c>
      <c r="M574" s="101" t="s">
        <v>871</v>
      </c>
      <c r="N574" s="101" t="s">
        <v>871</v>
      </c>
      <c r="O574" s="481"/>
      <c r="P574" s="571"/>
    </row>
    <row r="575" spans="1:16" s="126" customFormat="1">
      <c r="A575" s="101" t="s">
        <v>518</v>
      </c>
      <c r="B575" s="130">
        <v>2011</v>
      </c>
      <c r="C575" s="101" t="s">
        <v>519</v>
      </c>
      <c r="D575" s="575" t="s">
        <v>214</v>
      </c>
      <c r="E575" s="101" t="s">
        <v>2733</v>
      </c>
      <c r="F575" s="101" t="s">
        <v>50</v>
      </c>
      <c r="G575" s="130"/>
      <c r="H575" s="130"/>
      <c r="I575" s="130"/>
      <c r="J575" s="130"/>
      <c r="K575" s="130"/>
      <c r="L575" s="101" t="s">
        <v>2693</v>
      </c>
      <c r="M575" s="101" t="s">
        <v>2648</v>
      </c>
      <c r="N575" s="101" t="s">
        <v>2648</v>
      </c>
      <c r="O575" s="481"/>
      <c r="P575" s="571"/>
    </row>
    <row r="576" spans="1:16" s="126" customFormat="1">
      <c r="A576" s="101" t="s">
        <v>518</v>
      </c>
      <c r="B576" s="130">
        <v>2011</v>
      </c>
      <c r="C576" s="101" t="s">
        <v>519</v>
      </c>
      <c r="D576" s="575" t="s">
        <v>214</v>
      </c>
      <c r="E576" s="131" t="s">
        <v>2735</v>
      </c>
      <c r="F576" s="101" t="s">
        <v>50</v>
      </c>
      <c r="G576" s="130"/>
      <c r="H576" s="101" t="s">
        <v>2648</v>
      </c>
      <c r="I576" s="130"/>
      <c r="J576" s="130"/>
      <c r="K576" s="130"/>
      <c r="L576" s="101" t="s">
        <v>2736</v>
      </c>
      <c r="M576" s="101" t="s">
        <v>2648</v>
      </c>
      <c r="N576" s="101" t="s">
        <v>2648</v>
      </c>
      <c r="O576" s="481"/>
      <c r="P576" s="571"/>
    </row>
    <row r="577" spans="1:16" s="126" customFormat="1">
      <c r="A577" s="101" t="s">
        <v>518</v>
      </c>
      <c r="B577" s="130">
        <v>2011</v>
      </c>
      <c r="C577" s="101" t="s">
        <v>519</v>
      </c>
      <c r="D577" s="575" t="s">
        <v>214</v>
      </c>
      <c r="E577" s="131" t="s">
        <v>2735</v>
      </c>
      <c r="F577" s="101" t="s">
        <v>50</v>
      </c>
      <c r="G577" s="130"/>
      <c r="H577" s="130"/>
      <c r="I577" s="130"/>
      <c r="J577" s="130"/>
      <c r="K577" s="130"/>
      <c r="L577" s="101" t="s">
        <v>2737</v>
      </c>
      <c r="M577" s="101" t="s">
        <v>871</v>
      </c>
      <c r="N577" s="101" t="s">
        <v>871</v>
      </c>
      <c r="O577" s="481"/>
      <c r="P577" s="571"/>
    </row>
    <row r="578" spans="1:16" s="126" customFormat="1">
      <c r="A578" s="101" t="s">
        <v>518</v>
      </c>
      <c r="B578" s="130">
        <v>2011</v>
      </c>
      <c r="C578" s="101" t="s">
        <v>519</v>
      </c>
      <c r="D578" s="575" t="s">
        <v>214</v>
      </c>
      <c r="E578" s="576" t="s">
        <v>2738</v>
      </c>
      <c r="F578" s="101" t="s">
        <v>50</v>
      </c>
      <c r="G578" s="130"/>
      <c r="H578" s="101" t="s">
        <v>2648</v>
      </c>
      <c r="I578" s="130"/>
      <c r="J578" s="130"/>
      <c r="K578" s="130"/>
      <c r="L578" s="101" t="s">
        <v>2739</v>
      </c>
      <c r="M578" s="101" t="s">
        <v>2648</v>
      </c>
      <c r="N578" s="101" t="s">
        <v>2648</v>
      </c>
      <c r="O578" s="481"/>
      <c r="P578" s="571"/>
    </row>
    <row r="579" spans="1:16" s="126" customFormat="1">
      <c r="A579" s="101" t="s">
        <v>518</v>
      </c>
      <c r="B579" s="130">
        <v>2011</v>
      </c>
      <c r="C579" s="101" t="s">
        <v>519</v>
      </c>
      <c r="D579" s="575" t="s">
        <v>214</v>
      </c>
      <c r="E579" s="576" t="s">
        <v>2738</v>
      </c>
      <c r="F579" s="101" t="s">
        <v>50</v>
      </c>
      <c r="G579" s="130"/>
      <c r="H579" s="130"/>
      <c r="I579" s="130"/>
      <c r="J579" s="130"/>
      <c r="K579" s="130"/>
      <c r="L579" s="101" t="s">
        <v>2740</v>
      </c>
      <c r="M579" s="101" t="s">
        <v>2648</v>
      </c>
      <c r="N579" s="101" t="s">
        <v>2648</v>
      </c>
      <c r="O579" s="481"/>
      <c r="P579" s="571"/>
    </row>
    <row r="580" spans="1:16" s="126" customFormat="1">
      <c r="A580" s="101" t="s">
        <v>518</v>
      </c>
      <c r="B580" s="130">
        <v>2011</v>
      </c>
      <c r="C580" s="101" t="s">
        <v>519</v>
      </c>
      <c r="D580" s="575" t="s">
        <v>214</v>
      </c>
      <c r="E580" s="576" t="s">
        <v>2738</v>
      </c>
      <c r="F580" s="101" t="s">
        <v>50</v>
      </c>
      <c r="G580" s="130"/>
      <c r="H580" s="130"/>
      <c r="I580" s="130"/>
      <c r="J580" s="130"/>
      <c r="K580" s="130"/>
      <c r="L580" s="576" t="s">
        <v>2741</v>
      </c>
      <c r="M580" s="101" t="s">
        <v>2648</v>
      </c>
      <c r="N580" s="101" t="s">
        <v>2648</v>
      </c>
      <c r="O580" s="481"/>
      <c r="P580" s="571"/>
    </row>
    <row r="581" spans="1:16" s="126" customFormat="1">
      <c r="A581" s="101" t="s">
        <v>518</v>
      </c>
      <c r="B581" s="130">
        <v>2011</v>
      </c>
      <c r="C581" s="101" t="s">
        <v>519</v>
      </c>
      <c r="D581" s="575" t="s">
        <v>214</v>
      </c>
      <c r="E581" s="576" t="s">
        <v>2742</v>
      </c>
      <c r="F581" s="101" t="s">
        <v>50</v>
      </c>
      <c r="G581" s="130"/>
      <c r="H581" s="101" t="s">
        <v>2648</v>
      </c>
      <c r="I581" s="130"/>
      <c r="J581" s="130"/>
      <c r="K581" s="130"/>
      <c r="L581" s="101" t="s">
        <v>2739</v>
      </c>
      <c r="M581" s="101" t="s">
        <v>2648</v>
      </c>
      <c r="N581" s="101" t="s">
        <v>2648</v>
      </c>
      <c r="O581" s="481"/>
      <c r="P581" s="571"/>
    </row>
    <row r="582" spans="1:16" s="126" customFormat="1">
      <c r="A582" s="101" t="s">
        <v>518</v>
      </c>
      <c r="B582" s="130">
        <v>2011</v>
      </c>
      <c r="C582" s="101" t="s">
        <v>519</v>
      </c>
      <c r="D582" s="575" t="s">
        <v>214</v>
      </c>
      <c r="E582" s="576" t="s">
        <v>2742</v>
      </c>
      <c r="F582" s="101" t="s">
        <v>50</v>
      </c>
      <c r="G582" s="130"/>
      <c r="H582" s="130"/>
      <c r="I582" s="130"/>
      <c r="J582" s="130"/>
      <c r="K582" s="130"/>
      <c r="L582" s="101" t="s">
        <v>2743</v>
      </c>
      <c r="M582" s="101" t="s">
        <v>871</v>
      </c>
      <c r="N582" s="101" t="s">
        <v>871</v>
      </c>
      <c r="O582" s="481"/>
      <c r="P582" s="571"/>
    </row>
    <row r="583" spans="1:16" s="126" customFormat="1">
      <c r="A583" s="101" t="s">
        <v>518</v>
      </c>
      <c r="B583" s="130">
        <v>2011</v>
      </c>
      <c r="C583" s="101" t="s">
        <v>519</v>
      </c>
      <c r="D583" s="575" t="s">
        <v>214</v>
      </c>
      <c r="E583" s="576" t="s">
        <v>2744</v>
      </c>
      <c r="F583" s="101" t="s">
        <v>50</v>
      </c>
      <c r="G583" s="130"/>
      <c r="H583" s="101" t="s">
        <v>871</v>
      </c>
      <c r="I583" s="130"/>
      <c r="J583" s="130"/>
      <c r="K583" s="130"/>
      <c r="L583" s="101" t="s">
        <v>2745</v>
      </c>
      <c r="M583" s="101" t="s">
        <v>871</v>
      </c>
      <c r="N583" s="101" t="s">
        <v>871</v>
      </c>
      <c r="O583" s="481"/>
      <c r="P583" s="571"/>
    </row>
    <row r="584" spans="1:16" s="126" customFormat="1">
      <c r="A584" s="101" t="s">
        <v>518</v>
      </c>
      <c r="B584" s="130">
        <v>2011</v>
      </c>
      <c r="C584" s="101" t="s">
        <v>519</v>
      </c>
      <c r="D584" s="575" t="s">
        <v>214</v>
      </c>
      <c r="E584" s="576" t="s">
        <v>2744</v>
      </c>
      <c r="F584" s="101" t="s">
        <v>50</v>
      </c>
      <c r="G584" s="130"/>
      <c r="H584" s="130"/>
      <c r="I584" s="130"/>
      <c r="J584" s="130"/>
      <c r="K584" s="130"/>
      <c r="L584" s="101" t="s">
        <v>2693</v>
      </c>
      <c r="M584" s="101" t="s">
        <v>2648</v>
      </c>
      <c r="N584" s="101" t="s">
        <v>2648</v>
      </c>
      <c r="O584" s="481"/>
      <c r="P584" s="571"/>
    </row>
    <row r="585" spans="1:16" s="126" customFormat="1">
      <c r="A585" s="101" t="s">
        <v>518</v>
      </c>
      <c r="B585" s="130">
        <v>2011</v>
      </c>
      <c r="C585" s="101" t="s">
        <v>519</v>
      </c>
      <c r="D585" s="575" t="s">
        <v>214</v>
      </c>
      <c r="E585" s="576" t="s">
        <v>2746</v>
      </c>
      <c r="F585" s="101" t="s">
        <v>50</v>
      </c>
      <c r="G585" s="130"/>
      <c r="H585" s="101" t="s">
        <v>871</v>
      </c>
      <c r="I585" s="130"/>
      <c r="J585" s="130"/>
      <c r="K585" s="130"/>
      <c r="L585" s="101" t="s">
        <v>2745</v>
      </c>
      <c r="M585" s="101" t="s">
        <v>871</v>
      </c>
      <c r="N585" s="101" t="s">
        <v>871</v>
      </c>
      <c r="O585" s="481"/>
      <c r="P585" s="571"/>
    </row>
    <row r="586" spans="1:16" s="126" customFormat="1">
      <c r="A586" s="101" t="s">
        <v>518</v>
      </c>
      <c r="B586" s="130">
        <v>2011</v>
      </c>
      <c r="C586" s="101" t="s">
        <v>519</v>
      </c>
      <c r="D586" s="575" t="s">
        <v>214</v>
      </c>
      <c r="E586" s="576" t="s">
        <v>2746</v>
      </c>
      <c r="F586" s="101" t="s">
        <v>50</v>
      </c>
      <c r="G586" s="130"/>
      <c r="H586" s="130"/>
      <c r="I586" s="130"/>
      <c r="J586" s="130"/>
      <c r="K586" s="130"/>
      <c r="L586" s="101" t="s">
        <v>2693</v>
      </c>
      <c r="M586" s="101" t="s">
        <v>2648</v>
      </c>
      <c r="N586" s="101" t="s">
        <v>2648</v>
      </c>
      <c r="O586" s="481"/>
      <c r="P586" s="571"/>
    </row>
    <row r="587" spans="1:16" s="126" customFormat="1">
      <c r="A587" s="101" t="s">
        <v>518</v>
      </c>
      <c r="B587" s="130">
        <v>2011</v>
      </c>
      <c r="C587" s="101" t="s">
        <v>519</v>
      </c>
      <c r="D587" s="575" t="s">
        <v>214</v>
      </c>
      <c r="E587" s="576" t="s">
        <v>2747</v>
      </c>
      <c r="F587" s="101" t="s">
        <v>50</v>
      </c>
      <c r="G587" s="130"/>
      <c r="H587" s="101" t="s">
        <v>871</v>
      </c>
      <c r="I587" s="130"/>
      <c r="J587" s="130"/>
      <c r="K587" s="130"/>
      <c r="L587" s="101" t="s">
        <v>2745</v>
      </c>
      <c r="M587" s="101" t="s">
        <v>871</v>
      </c>
      <c r="N587" s="101" t="s">
        <v>871</v>
      </c>
      <c r="O587" s="481"/>
      <c r="P587" s="571"/>
    </row>
    <row r="588" spans="1:16" s="126" customFormat="1">
      <c r="A588" s="101" t="s">
        <v>518</v>
      </c>
      <c r="B588" s="130">
        <v>2011</v>
      </c>
      <c r="C588" s="101" t="s">
        <v>519</v>
      </c>
      <c r="D588" s="575" t="s">
        <v>214</v>
      </c>
      <c r="E588" s="576" t="s">
        <v>2747</v>
      </c>
      <c r="F588" s="101" t="s">
        <v>50</v>
      </c>
      <c r="G588" s="130"/>
      <c r="H588" s="130"/>
      <c r="I588" s="130"/>
      <c r="J588" s="130"/>
      <c r="K588" s="130"/>
      <c r="L588" s="101" t="s">
        <v>2693</v>
      </c>
      <c r="M588" s="101" t="s">
        <v>2648</v>
      </c>
      <c r="N588" s="101" t="s">
        <v>2648</v>
      </c>
      <c r="O588" s="481"/>
      <c r="P588" s="571"/>
    </row>
    <row r="589" spans="1:16" s="126" customFormat="1">
      <c r="A589" s="101" t="s">
        <v>518</v>
      </c>
      <c r="B589" s="130">
        <v>2011</v>
      </c>
      <c r="C589" s="101" t="s">
        <v>519</v>
      </c>
      <c r="D589" s="575" t="s">
        <v>214</v>
      </c>
      <c r="E589" s="576" t="s">
        <v>2748</v>
      </c>
      <c r="F589" s="101" t="s">
        <v>50</v>
      </c>
      <c r="G589" s="130"/>
      <c r="H589" s="101" t="s">
        <v>871</v>
      </c>
      <c r="I589" s="130"/>
      <c r="J589" s="130"/>
      <c r="K589" s="130"/>
      <c r="L589" s="101" t="s">
        <v>2737</v>
      </c>
      <c r="M589" s="101" t="s">
        <v>871</v>
      </c>
      <c r="N589" s="101" t="s">
        <v>871</v>
      </c>
      <c r="O589" s="481"/>
      <c r="P589" s="571"/>
    </row>
    <row r="590" spans="1:16" s="126" customFormat="1">
      <c r="A590" s="101" t="s">
        <v>518</v>
      </c>
      <c r="B590" s="130">
        <v>2011</v>
      </c>
      <c r="C590" s="101" t="s">
        <v>519</v>
      </c>
      <c r="D590" s="575" t="s">
        <v>214</v>
      </c>
      <c r="E590" s="576" t="s">
        <v>2749</v>
      </c>
      <c r="F590" s="101" t="s">
        <v>50</v>
      </c>
      <c r="G590" s="130"/>
      <c r="H590" s="101" t="s">
        <v>2648</v>
      </c>
      <c r="I590" s="130"/>
      <c r="J590" s="130"/>
      <c r="K590" s="130"/>
      <c r="L590" s="101" t="s">
        <v>2693</v>
      </c>
      <c r="M590" s="101" t="s">
        <v>2648</v>
      </c>
      <c r="N590" s="101" t="s">
        <v>2648</v>
      </c>
      <c r="O590" s="481"/>
      <c r="P590" s="571"/>
    </row>
    <row r="591" spans="1:16" s="126" customFormat="1">
      <c r="A591" s="101" t="s">
        <v>518</v>
      </c>
      <c r="B591" s="130">
        <v>2011</v>
      </c>
      <c r="C591" s="101" t="s">
        <v>519</v>
      </c>
      <c r="D591" s="575" t="s">
        <v>214</v>
      </c>
      <c r="E591" s="131" t="s">
        <v>2750</v>
      </c>
      <c r="F591" s="101" t="s">
        <v>50</v>
      </c>
      <c r="G591" s="130"/>
      <c r="H591" s="101" t="s">
        <v>871</v>
      </c>
      <c r="I591" s="130"/>
      <c r="J591" s="130"/>
      <c r="K591" s="130"/>
      <c r="L591" s="101" t="s">
        <v>2751</v>
      </c>
      <c r="M591" s="132">
        <v>637010.07751937979</v>
      </c>
      <c r="N591" s="132">
        <v>637130.23255813948</v>
      </c>
      <c r="O591" s="481"/>
      <c r="P591" s="571"/>
    </row>
    <row r="592" spans="1:16" s="126" customFormat="1">
      <c r="A592" s="101" t="s">
        <v>518</v>
      </c>
      <c r="B592" s="130">
        <v>2011</v>
      </c>
      <c r="C592" s="101" t="s">
        <v>519</v>
      </c>
      <c r="D592" s="575" t="s">
        <v>214</v>
      </c>
      <c r="E592" s="131" t="s">
        <v>2750</v>
      </c>
      <c r="F592" s="101" t="s">
        <v>50</v>
      </c>
      <c r="G592" s="130"/>
      <c r="H592" s="130"/>
      <c r="I592" s="130"/>
      <c r="J592" s="130"/>
      <c r="K592" s="130"/>
      <c r="L592" s="101" t="s">
        <v>2752</v>
      </c>
      <c r="M592" s="101" t="s">
        <v>2648</v>
      </c>
      <c r="N592" s="101" t="s">
        <v>2648</v>
      </c>
      <c r="O592" s="481"/>
      <c r="P592" s="571"/>
    </row>
    <row r="593" spans="1:16" s="126" customFormat="1">
      <c r="A593" s="101" t="s">
        <v>518</v>
      </c>
      <c r="B593" s="130">
        <v>2011</v>
      </c>
      <c r="C593" s="101" t="s">
        <v>519</v>
      </c>
      <c r="D593" s="575" t="s">
        <v>214</v>
      </c>
      <c r="E593" s="131" t="s">
        <v>2753</v>
      </c>
      <c r="F593" s="101" t="s">
        <v>50</v>
      </c>
      <c r="G593" s="130"/>
      <c r="H593" s="101" t="s">
        <v>871</v>
      </c>
      <c r="I593" s="130"/>
      <c r="J593" s="130"/>
      <c r="K593" s="130"/>
      <c r="L593" s="101" t="s">
        <v>2754</v>
      </c>
      <c r="M593" s="101" t="s">
        <v>871</v>
      </c>
      <c r="N593" s="101" t="s">
        <v>871</v>
      </c>
      <c r="O593" s="481"/>
      <c r="P593" s="571"/>
    </row>
    <row r="594" spans="1:16" s="126" customFormat="1">
      <c r="A594" s="101" t="s">
        <v>518</v>
      </c>
      <c r="B594" s="130">
        <v>2011</v>
      </c>
      <c r="C594" s="101" t="s">
        <v>519</v>
      </c>
      <c r="D594" s="575" t="s">
        <v>214</v>
      </c>
      <c r="E594" s="131" t="s">
        <v>2753</v>
      </c>
      <c r="F594" s="101" t="s">
        <v>50</v>
      </c>
      <c r="G594" s="130"/>
      <c r="H594" s="130"/>
      <c r="I594" s="130"/>
      <c r="J594" s="130"/>
      <c r="K594" s="130"/>
      <c r="L594" s="101" t="s">
        <v>2752</v>
      </c>
      <c r="M594" s="101" t="s">
        <v>2648</v>
      </c>
      <c r="N594" s="101" t="s">
        <v>2648</v>
      </c>
      <c r="O594" s="481"/>
      <c r="P594" s="571"/>
    </row>
    <row r="595" spans="1:16" s="126" customFormat="1">
      <c r="A595" s="101" t="s">
        <v>518</v>
      </c>
      <c r="B595" s="130">
        <v>2011</v>
      </c>
      <c r="C595" s="101" t="s">
        <v>519</v>
      </c>
      <c r="D595" s="575" t="s">
        <v>214</v>
      </c>
      <c r="E595" s="131" t="s">
        <v>2755</v>
      </c>
      <c r="F595" s="101" t="s">
        <v>50</v>
      </c>
      <c r="G595" s="130"/>
      <c r="H595" s="101" t="s">
        <v>871</v>
      </c>
      <c r="I595" s="130"/>
      <c r="J595" s="130"/>
      <c r="K595" s="130"/>
      <c r="L595" s="101" t="s">
        <v>2756</v>
      </c>
      <c r="M595" s="101" t="s">
        <v>2648</v>
      </c>
      <c r="N595" s="101" t="s">
        <v>2648</v>
      </c>
      <c r="O595" s="481"/>
      <c r="P595" s="571"/>
    </row>
    <row r="596" spans="1:16" s="126" customFormat="1">
      <c r="A596" s="101" t="s">
        <v>518</v>
      </c>
      <c r="B596" s="130">
        <v>2011</v>
      </c>
      <c r="C596" s="101" t="s">
        <v>519</v>
      </c>
      <c r="D596" s="575" t="s">
        <v>214</v>
      </c>
      <c r="E596" s="131" t="s">
        <v>2755</v>
      </c>
      <c r="F596" s="101" t="s">
        <v>50</v>
      </c>
      <c r="G596" s="130"/>
      <c r="H596" s="130"/>
      <c r="I596" s="130"/>
      <c r="J596" s="130"/>
      <c r="K596" s="130"/>
      <c r="L596" s="101" t="s">
        <v>2757</v>
      </c>
      <c r="M596" s="101" t="s">
        <v>2648</v>
      </c>
      <c r="N596" s="101" t="s">
        <v>2648</v>
      </c>
      <c r="O596" s="481"/>
      <c r="P596" s="571"/>
    </row>
    <row r="597" spans="1:16" s="126" customFormat="1">
      <c r="A597" s="101" t="s">
        <v>518</v>
      </c>
      <c r="B597" s="130">
        <v>2011</v>
      </c>
      <c r="C597" s="101" t="s">
        <v>519</v>
      </c>
      <c r="D597" s="575" t="s">
        <v>214</v>
      </c>
      <c r="E597" s="131" t="s">
        <v>2755</v>
      </c>
      <c r="F597" s="101" t="s">
        <v>50</v>
      </c>
      <c r="G597" s="130"/>
      <c r="H597" s="130"/>
      <c r="I597" s="130"/>
      <c r="J597" s="130"/>
      <c r="K597" s="130"/>
      <c r="L597" s="101" t="s">
        <v>2693</v>
      </c>
      <c r="M597" s="101" t="s">
        <v>2648</v>
      </c>
      <c r="N597" s="101" t="s">
        <v>2648</v>
      </c>
      <c r="O597" s="481"/>
      <c r="P597" s="571"/>
    </row>
    <row r="598" spans="1:16" s="126" customFormat="1">
      <c r="A598" s="101" t="s">
        <v>518</v>
      </c>
      <c r="B598" s="130">
        <v>2011</v>
      </c>
      <c r="C598" s="101" t="s">
        <v>519</v>
      </c>
      <c r="D598" s="575" t="s">
        <v>214</v>
      </c>
      <c r="E598" s="131" t="s">
        <v>2755</v>
      </c>
      <c r="F598" s="101" t="s">
        <v>50</v>
      </c>
      <c r="G598" s="130"/>
      <c r="H598" s="130"/>
      <c r="I598" s="130"/>
      <c r="J598" s="130"/>
      <c r="K598" s="130"/>
      <c r="L598" s="101" t="s">
        <v>2758</v>
      </c>
      <c r="M598" s="101" t="s">
        <v>871</v>
      </c>
      <c r="N598" s="101" t="s">
        <v>871</v>
      </c>
      <c r="O598" s="481"/>
      <c r="P598" s="571"/>
    </row>
    <row r="599" spans="1:16" s="126" customFormat="1">
      <c r="A599" s="101" t="s">
        <v>518</v>
      </c>
      <c r="B599" s="130">
        <v>2011</v>
      </c>
      <c r="C599" s="101" t="s">
        <v>519</v>
      </c>
      <c r="D599" s="575" t="s">
        <v>214</v>
      </c>
      <c r="E599" s="576" t="s">
        <v>2759</v>
      </c>
      <c r="F599" s="101" t="s">
        <v>50</v>
      </c>
      <c r="G599" s="101" t="s">
        <v>98</v>
      </c>
      <c r="H599" s="132">
        <v>3555720</v>
      </c>
      <c r="I599" s="101" t="s">
        <v>2456</v>
      </c>
      <c r="J599" s="130"/>
      <c r="K599" s="130"/>
      <c r="L599" s="101" t="s">
        <v>2760</v>
      </c>
      <c r="M599" s="132">
        <v>123039171.1627907</v>
      </c>
      <c r="N599" s="132">
        <v>123039171.1627907</v>
      </c>
      <c r="O599" s="472" t="s">
        <v>2696</v>
      </c>
      <c r="P599" s="571"/>
    </row>
    <row r="600" spans="1:16" s="126" customFormat="1">
      <c r="A600" s="101" t="s">
        <v>518</v>
      </c>
      <c r="B600" s="130">
        <v>2011</v>
      </c>
      <c r="C600" s="101" t="s">
        <v>519</v>
      </c>
      <c r="D600" s="575" t="s">
        <v>214</v>
      </c>
      <c r="E600" s="576" t="s">
        <v>2759</v>
      </c>
      <c r="F600" s="101" t="s">
        <v>50</v>
      </c>
      <c r="G600" s="101" t="s">
        <v>552</v>
      </c>
      <c r="H600" s="132">
        <v>83293545000</v>
      </c>
      <c r="I600" s="101" t="s">
        <v>2697</v>
      </c>
      <c r="J600" s="130"/>
      <c r="K600" s="130"/>
      <c r="L600" s="101" t="s">
        <v>2761</v>
      </c>
      <c r="M600" s="130">
        <v>0</v>
      </c>
      <c r="N600" s="130">
        <v>0</v>
      </c>
      <c r="O600" s="472" t="s">
        <v>2702</v>
      </c>
      <c r="P600" s="571"/>
    </row>
    <row r="601" spans="1:16" s="126" customFormat="1">
      <c r="A601" s="101" t="s">
        <v>518</v>
      </c>
      <c r="B601" s="130">
        <v>2011</v>
      </c>
      <c r="C601" s="101" t="s">
        <v>519</v>
      </c>
      <c r="D601" s="575" t="s">
        <v>214</v>
      </c>
      <c r="E601" s="576" t="s">
        <v>2759</v>
      </c>
      <c r="F601" s="101" t="s">
        <v>50</v>
      </c>
      <c r="G601" s="130"/>
      <c r="H601" s="130"/>
      <c r="I601" s="130"/>
      <c r="J601" s="130"/>
      <c r="K601" s="130"/>
      <c r="L601" s="101" t="s">
        <v>2762</v>
      </c>
      <c r="M601" s="130">
        <v>0</v>
      </c>
      <c r="N601" s="130">
        <v>0</v>
      </c>
      <c r="O601" s="481">
        <v>45</v>
      </c>
      <c r="P601" s="571"/>
    </row>
    <row r="602" spans="1:16" s="126" customFormat="1">
      <c r="A602" s="101" t="s">
        <v>518</v>
      </c>
      <c r="B602" s="130">
        <v>2011</v>
      </c>
      <c r="C602" s="101" t="s">
        <v>519</v>
      </c>
      <c r="D602" s="575" t="s">
        <v>214</v>
      </c>
      <c r="E602" s="131" t="s">
        <v>2763</v>
      </c>
      <c r="F602" s="101" t="s">
        <v>50</v>
      </c>
      <c r="G602" s="130"/>
      <c r="H602" s="101" t="s">
        <v>871</v>
      </c>
      <c r="I602" s="130"/>
      <c r="J602" s="130"/>
      <c r="K602" s="130"/>
      <c r="L602" s="101" t="s">
        <v>2764</v>
      </c>
      <c r="M602" s="132">
        <v>691964.34108527133</v>
      </c>
      <c r="N602" s="132">
        <v>691964.34108527133</v>
      </c>
      <c r="O602" s="481">
        <v>45</v>
      </c>
      <c r="P602" s="571"/>
    </row>
    <row r="603" spans="1:16" s="126" customFormat="1">
      <c r="A603" s="101" t="s">
        <v>518</v>
      </c>
      <c r="B603" s="130">
        <v>2011</v>
      </c>
      <c r="C603" s="101" t="s">
        <v>519</v>
      </c>
      <c r="D603" s="575" t="s">
        <v>214</v>
      </c>
      <c r="E603" s="131" t="s">
        <v>2763</v>
      </c>
      <c r="F603" s="101" t="s">
        <v>50</v>
      </c>
      <c r="G603" s="130"/>
      <c r="H603" s="130"/>
      <c r="I603" s="130"/>
      <c r="J603" s="130"/>
      <c r="K603" s="130"/>
      <c r="L603" s="101" t="s">
        <v>2765</v>
      </c>
      <c r="M603" s="101" t="s">
        <v>871</v>
      </c>
      <c r="N603" s="101" t="s">
        <v>871</v>
      </c>
      <c r="O603" s="481"/>
      <c r="P603" s="571"/>
    </row>
    <row r="604" spans="1:16" s="126" customFormat="1">
      <c r="A604" s="101" t="s">
        <v>518</v>
      </c>
      <c r="B604" s="130">
        <v>2011</v>
      </c>
      <c r="C604" s="101" t="s">
        <v>519</v>
      </c>
      <c r="D604" s="575" t="s">
        <v>214</v>
      </c>
      <c r="E604" s="131" t="s">
        <v>2763</v>
      </c>
      <c r="F604" s="101" t="s">
        <v>50</v>
      </c>
      <c r="G604" s="130"/>
      <c r="H604" s="130"/>
      <c r="I604" s="130"/>
      <c r="J604" s="130"/>
      <c r="K604" s="130"/>
      <c r="L604" s="101" t="s">
        <v>2766</v>
      </c>
      <c r="M604" s="101" t="s">
        <v>871</v>
      </c>
      <c r="N604" s="101" t="s">
        <v>871</v>
      </c>
      <c r="O604" s="481"/>
      <c r="P604" s="571"/>
    </row>
    <row r="605" spans="1:16" s="126" customFormat="1">
      <c r="A605" s="101" t="s">
        <v>518</v>
      </c>
      <c r="B605" s="130">
        <v>2011</v>
      </c>
      <c r="C605" s="101" t="s">
        <v>519</v>
      </c>
      <c r="D605" s="575" t="s">
        <v>214</v>
      </c>
      <c r="E605" s="131" t="s">
        <v>2763</v>
      </c>
      <c r="F605" s="101" t="s">
        <v>50</v>
      </c>
      <c r="G605" s="130"/>
      <c r="H605" s="130"/>
      <c r="I605" s="130"/>
      <c r="J605" s="130"/>
      <c r="K605" s="130"/>
      <c r="L605" s="101" t="s">
        <v>2704</v>
      </c>
      <c r="M605" s="101" t="s">
        <v>2648</v>
      </c>
      <c r="N605" s="101" t="s">
        <v>2648</v>
      </c>
      <c r="O605" s="481"/>
      <c r="P605" s="571"/>
    </row>
    <row r="606" spans="1:16" s="126" customFormat="1">
      <c r="A606" s="101" t="s">
        <v>518</v>
      </c>
      <c r="B606" s="130">
        <v>2011</v>
      </c>
      <c r="C606" s="101" t="s">
        <v>519</v>
      </c>
      <c r="D606" s="575" t="s">
        <v>214</v>
      </c>
      <c r="E606" s="131" t="s">
        <v>2763</v>
      </c>
      <c r="F606" s="101" t="s">
        <v>50</v>
      </c>
      <c r="G606" s="130"/>
      <c r="H606" s="130"/>
      <c r="I606" s="130"/>
      <c r="J606" s="130"/>
      <c r="K606" s="130"/>
      <c r="L606" s="101" t="s">
        <v>2767</v>
      </c>
      <c r="M606" s="130">
        <v>0</v>
      </c>
      <c r="N606" s="130">
        <v>0</v>
      </c>
      <c r="O606" s="481">
        <v>46</v>
      </c>
      <c r="P606" s="571"/>
    </row>
    <row r="607" spans="1:16" s="126" customFormat="1">
      <c r="A607" s="101" t="s">
        <v>518</v>
      </c>
      <c r="B607" s="130">
        <v>2011</v>
      </c>
      <c r="C607" s="101" t="s">
        <v>519</v>
      </c>
      <c r="D607" s="575" t="s">
        <v>214</v>
      </c>
      <c r="E607" s="131" t="s">
        <v>2768</v>
      </c>
      <c r="F607" s="101" t="s">
        <v>50</v>
      </c>
      <c r="G607" s="130"/>
      <c r="H607" s="101" t="s">
        <v>871</v>
      </c>
      <c r="I607" s="130"/>
      <c r="J607" s="130"/>
      <c r="K607" s="130"/>
      <c r="L607" s="101" t="s">
        <v>2769</v>
      </c>
      <c r="M607" s="101" t="s">
        <v>871</v>
      </c>
      <c r="N607" s="101" t="s">
        <v>871</v>
      </c>
      <c r="O607" s="481"/>
      <c r="P607" s="571"/>
    </row>
    <row r="608" spans="1:16" s="126" customFormat="1">
      <c r="A608" s="101" t="s">
        <v>518</v>
      </c>
      <c r="B608" s="130">
        <v>2011</v>
      </c>
      <c r="C608" s="101" t="s">
        <v>519</v>
      </c>
      <c r="D608" s="575" t="s">
        <v>214</v>
      </c>
      <c r="E608" s="131" t="s">
        <v>2768</v>
      </c>
      <c r="F608" s="101" t="s">
        <v>50</v>
      </c>
      <c r="G608" s="130"/>
      <c r="H608" s="130"/>
      <c r="I608" s="130"/>
      <c r="J608" s="130"/>
      <c r="K608" s="130"/>
      <c r="L608" s="101" t="s">
        <v>2770</v>
      </c>
      <c r="M608" s="130">
        <v>0</v>
      </c>
      <c r="N608" s="130">
        <v>0</v>
      </c>
      <c r="O608" s="481">
        <v>46</v>
      </c>
      <c r="P608" s="571"/>
    </row>
    <row r="609" spans="1:16" s="126" customFormat="1">
      <c r="A609" s="101" t="s">
        <v>518</v>
      </c>
      <c r="B609" s="130">
        <v>2011</v>
      </c>
      <c r="C609" s="101" t="s">
        <v>519</v>
      </c>
      <c r="D609" s="575" t="s">
        <v>214</v>
      </c>
      <c r="E609" s="131" t="s">
        <v>2768</v>
      </c>
      <c r="F609" s="101" t="s">
        <v>50</v>
      </c>
      <c r="G609" s="130"/>
      <c r="H609" s="130"/>
      <c r="I609" s="130"/>
      <c r="J609" s="130"/>
      <c r="K609" s="130"/>
      <c r="L609" s="101" t="s">
        <v>2771</v>
      </c>
      <c r="M609" s="101" t="s">
        <v>871</v>
      </c>
      <c r="N609" s="101" t="s">
        <v>871</v>
      </c>
      <c r="O609" s="481"/>
      <c r="P609" s="571"/>
    </row>
    <row r="610" spans="1:16" s="126" customFormat="1">
      <c r="A610" s="101" t="s">
        <v>518</v>
      </c>
      <c r="B610" s="130">
        <v>2011</v>
      </c>
      <c r="C610" s="101" t="s">
        <v>519</v>
      </c>
      <c r="D610" s="575" t="s">
        <v>214</v>
      </c>
      <c r="E610" s="131" t="s">
        <v>2768</v>
      </c>
      <c r="F610" s="101" t="s">
        <v>50</v>
      </c>
      <c r="G610" s="130"/>
      <c r="H610" s="130"/>
      <c r="I610" s="130"/>
      <c r="J610" s="130"/>
      <c r="K610" s="130"/>
      <c r="L610" s="101" t="s">
        <v>2772</v>
      </c>
      <c r="M610" s="101" t="s">
        <v>871</v>
      </c>
      <c r="N610" s="101" t="s">
        <v>871</v>
      </c>
      <c r="O610" s="481"/>
      <c r="P610" s="571"/>
    </row>
    <row r="611" spans="1:16" s="126" customFormat="1">
      <c r="A611" s="101" t="s">
        <v>518</v>
      </c>
      <c r="B611" s="130">
        <v>2011</v>
      </c>
      <c r="C611" s="101" t="s">
        <v>519</v>
      </c>
      <c r="D611" s="575" t="s">
        <v>214</v>
      </c>
      <c r="E611" s="131" t="s">
        <v>2773</v>
      </c>
      <c r="F611" s="101" t="s">
        <v>50</v>
      </c>
      <c r="G611" s="101" t="s">
        <v>552</v>
      </c>
      <c r="H611" s="132">
        <v>31477000</v>
      </c>
      <c r="I611" s="101" t="s">
        <v>2697</v>
      </c>
      <c r="J611" s="130"/>
      <c r="K611" s="130"/>
      <c r="L611" s="101" t="s">
        <v>2774</v>
      </c>
      <c r="M611" s="132">
        <v>672212.71317829459</v>
      </c>
      <c r="N611" s="132">
        <v>670295.50387596898</v>
      </c>
      <c r="O611" s="472" t="s">
        <v>2696</v>
      </c>
      <c r="P611" s="571"/>
    </row>
    <row r="612" spans="1:16" s="126" customFormat="1">
      <c r="A612" s="101" t="s">
        <v>518</v>
      </c>
      <c r="B612" s="130">
        <v>2011</v>
      </c>
      <c r="C612" s="101" t="s">
        <v>519</v>
      </c>
      <c r="D612" s="575" t="s">
        <v>214</v>
      </c>
      <c r="E612" s="131" t="s">
        <v>2775</v>
      </c>
      <c r="F612" s="101" t="s">
        <v>50</v>
      </c>
      <c r="G612" s="130"/>
      <c r="H612" s="101" t="s">
        <v>871</v>
      </c>
      <c r="I612" s="130"/>
      <c r="J612" s="130"/>
      <c r="K612" s="130"/>
      <c r="L612" s="101" t="s">
        <v>2776</v>
      </c>
      <c r="M612" s="132">
        <v>7638122.170542635</v>
      </c>
      <c r="N612" s="132">
        <v>7664353.4883720931</v>
      </c>
      <c r="O612" s="481">
        <v>46</v>
      </c>
      <c r="P612" s="571"/>
    </row>
    <row r="613" spans="1:16" s="126" customFormat="1">
      <c r="A613" s="101" t="s">
        <v>518</v>
      </c>
      <c r="B613" s="130">
        <v>2011</v>
      </c>
      <c r="C613" s="101" t="s">
        <v>519</v>
      </c>
      <c r="D613" s="575" t="s">
        <v>214</v>
      </c>
      <c r="E613" s="131" t="s">
        <v>2777</v>
      </c>
      <c r="F613" s="101" t="s">
        <v>50</v>
      </c>
      <c r="G613" s="101" t="s">
        <v>98</v>
      </c>
      <c r="H613" s="133">
        <v>552304</v>
      </c>
      <c r="I613" s="101" t="s">
        <v>2456</v>
      </c>
      <c r="J613" s="130"/>
      <c r="K613" s="130"/>
      <c r="L613" s="101" t="s">
        <v>2778</v>
      </c>
      <c r="M613" s="101" t="s">
        <v>871</v>
      </c>
      <c r="N613" s="101" t="s">
        <v>871</v>
      </c>
      <c r="O613" s="481">
        <v>48</v>
      </c>
      <c r="P613" s="571"/>
    </row>
    <row r="614" spans="1:16" s="126" customFormat="1">
      <c r="A614" s="101" t="s">
        <v>518</v>
      </c>
      <c r="B614" s="130">
        <v>2011</v>
      </c>
      <c r="C614" s="101" t="s">
        <v>519</v>
      </c>
      <c r="D614" s="575" t="s">
        <v>214</v>
      </c>
      <c r="E614" s="131" t="s">
        <v>2777</v>
      </c>
      <c r="F614" s="101" t="s">
        <v>50</v>
      </c>
      <c r="G614" s="101" t="s">
        <v>552</v>
      </c>
      <c r="H614" s="132">
        <v>66885425000</v>
      </c>
      <c r="I614" s="101" t="s">
        <v>2697</v>
      </c>
      <c r="J614" s="130"/>
      <c r="K614" s="130"/>
      <c r="L614" s="101" t="s">
        <v>2779</v>
      </c>
      <c r="M614" s="101" t="s">
        <v>871</v>
      </c>
      <c r="N614" s="101" t="s">
        <v>871</v>
      </c>
      <c r="O614" s="481">
        <v>48</v>
      </c>
      <c r="P614" s="571"/>
    </row>
    <row r="615" spans="1:16" s="126" customFormat="1">
      <c r="A615" s="101" t="s">
        <v>518</v>
      </c>
      <c r="B615" s="130">
        <v>2011</v>
      </c>
      <c r="C615" s="101" t="s">
        <v>519</v>
      </c>
      <c r="D615" s="575" t="s">
        <v>214</v>
      </c>
      <c r="E615" s="131" t="s">
        <v>2780</v>
      </c>
      <c r="F615" s="101" t="s">
        <v>50</v>
      </c>
      <c r="G615" s="130"/>
      <c r="H615" s="101" t="s">
        <v>2648</v>
      </c>
      <c r="I615" s="130"/>
      <c r="J615" s="130"/>
      <c r="K615" s="130"/>
      <c r="L615" s="101" t="s">
        <v>2781</v>
      </c>
      <c r="M615" s="101" t="s">
        <v>2648</v>
      </c>
      <c r="N615" s="101" t="s">
        <v>2648</v>
      </c>
      <c r="O615" s="481"/>
      <c r="P615" s="571"/>
    </row>
    <row r="616" spans="1:16" s="126" customFormat="1">
      <c r="A616" s="101" t="s">
        <v>518</v>
      </c>
      <c r="B616" s="130">
        <v>2011</v>
      </c>
      <c r="C616" s="101" t="s">
        <v>519</v>
      </c>
      <c r="D616" s="575" t="s">
        <v>214</v>
      </c>
      <c r="E616" s="131" t="s">
        <v>2780</v>
      </c>
      <c r="F616" s="101" t="s">
        <v>50</v>
      </c>
      <c r="G616" s="130"/>
      <c r="H616" s="130"/>
      <c r="I616" s="130"/>
      <c r="J616" s="130"/>
      <c r="K616" s="130"/>
      <c r="L616" s="101" t="s">
        <v>2782</v>
      </c>
      <c r="M616" s="101" t="s">
        <v>871</v>
      </c>
      <c r="N616" s="101" t="s">
        <v>871</v>
      </c>
      <c r="O616" s="481"/>
      <c r="P616" s="571"/>
    </row>
    <row r="617" spans="1:16" s="126" customFormat="1">
      <c r="A617" s="101" t="s">
        <v>518</v>
      </c>
      <c r="B617" s="130">
        <v>2011</v>
      </c>
      <c r="C617" s="101" t="s">
        <v>519</v>
      </c>
      <c r="D617" s="575" t="s">
        <v>214</v>
      </c>
      <c r="E617" s="131" t="s">
        <v>2783</v>
      </c>
      <c r="F617" s="101" t="s">
        <v>50</v>
      </c>
      <c r="G617" s="130"/>
      <c r="H617" s="101" t="s">
        <v>871</v>
      </c>
      <c r="I617" s="130"/>
      <c r="J617" s="130"/>
      <c r="K617" s="130"/>
      <c r="L617" s="101" t="s">
        <v>2784</v>
      </c>
      <c r="M617" s="132">
        <v>68705612.868217051</v>
      </c>
      <c r="N617" s="132">
        <v>68779189.767441854</v>
      </c>
      <c r="O617" s="481">
        <v>45</v>
      </c>
      <c r="P617" s="571"/>
    </row>
    <row r="618" spans="1:16" s="126" customFormat="1">
      <c r="A618" s="101" t="s">
        <v>518</v>
      </c>
      <c r="B618" s="130">
        <v>2011</v>
      </c>
      <c r="C618" s="101" t="s">
        <v>519</v>
      </c>
      <c r="D618" s="575" t="s">
        <v>214</v>
      </c>
      <c r="E618" s="131" t="s">
        <v>2783</v>
      </c>
      <c r="F618" s="101" t="s">
        <v>50</v>
      </c>
      <c r="G618" s="130"/>
      <c r="H618" s="130"/>
      <c r="I618" s="130"/>
      <c r="J618" s="130"/>
      <c r="K618" s="130"/>
      <c r="L618" s="101" t="s">
        <v>2785</v>
      </c>
      <c r="M618" s="101" t="s">
        <v>871</v>
      </c>
      <c r="N618" s="101" t="s">
        <v>871</v>
      </c>
      <c r="O618" s="481"/>
      <c r="P618" s="571"/>
    </row>
    <row r="619" spans="1:16" s="126" customFormat="1">
      <c r="A619" s="101" t="s">
        <v>518</v>
      </c>
      <c r="B619" s="130">
        <v>2011</v>
      </c>
      <c r="C619" s="101" t="s">
        <v>519</v>
      </c>
      <c r="D619" s="575" t="s">
        <v>214</v>
      </c>
      <c r="E619" s="576" t="s">
        <v>2786</v>
      </c>
      <c r="F619" s="101" t="s">
        <v>50</v>
      </c>
      <c r="G619" s="130"/>
      <c r="H619" s="101" t="s">
        <v>871</v>
      </c>
      <c r="I619" s="130"/>
      <c r="J619" s="130"/>
      <c r="K619" s="130"/>
      <c r="L619" s="101" t="s">
        <v>2787</v>
      </c>
      <c r="M619" s="101" t="s">
        <v>871</v>
      </c>
      <c r="N619" s="101" t="s">
        <v>871</v>
      </c>
      <c r="O619" s="481"/>
      <c r="P619" s="571"/>
    </row>
    <row r="620" spans="1:16" s="126" customFormat="1">
      <c r="A620" s="101" t="s">
        <v>518</v>
      </c>
      <c r="B620" s="130">
        <v>2011</v>
      </c>
      <c r="C620" s="101" t="s">
        <v>519</v>
      </c>
      <c r="D620" s="575" t="s">
        <v>214</v>
      </c>
      <c r="E620" s="576" t="s">
        <v>2786</v>
      </c>
      <c r="F620" s="101" t="s">
        <v>50</v>
      </c>
      <c r="G620" s="130"/>
      <c r="H620" s="130"/>
      <c r="I620" s="130"/>
      <c r="J620" s="130"/>
      <c r="K620" s="130"/>
      <c r="L620" s="101" t="s">
        <v>2779</v>
      </c>
      <c r="M620" s="101" t="s">
        <v>871</v>
      </c>
      <c r="N620" s="101" t="s">
        <v>871</v>
      </c>
      <c r="O620" s="481"/>
      <c r="P620" s="571"/>
    </row>
    <row r="621" spans="1:16" s="126" customFormat="1">
      <c r="A621" s="101" t="s">
        <v>518</v>
      </c>
      <c r="B621" s="130">
        <v>2011</v>
      </c>
      <c r="C621" s="101" t="s">
        <v>519</v>
      </c>
      <c r="D621" s="575" t="s">
        <v>214</v>
      </c>
      <c r="E621" s="576" t="s">
        <v>2788</v>
      </c>
      <c r="F621" s="101" t="s">
        <v>50</v>
      </c>
      <c r="G621" s="130"/>
      <c r="H621" s="101" t="s">
        <v>871</v>
      </c>
      <c r="I621" s="130"/>
      <c r="J621" s="130"/>
      <c r="K621" s="130"/>
      <c r="L621" s="101" t="s">
        <v>2789</v>
      </c>
      <c r="M621" s="132">
        <v>1456470.2325581396</v>
      </c>
      <c r="N621" s="132">
        <v>1457637.0542635659</v>
      </c>
      <c r="O621" s="481">
        <v>45</v>
      </c>
      <c r="P621" s="571"/>
    </row>
    <row r="622" spans="1:16" s="126" customFormat="1">
      <c r="A622" s="101" t="s">
        <v>518</v>
      </c>
      <c r="B622" s="130">
        <v>2011</v>
      </c>
      <c r="C622" s="101" t="s">
        <v>519</v>
      </c>
      <c r="D622" s="575" t="s">
        <v>214</v>
      </c>
      <c r="E622" s="576" t="s">
        <v>2788</v>
      </c>
      <c r="F622" s="101" t="s">
        <v>50</v>
      </c>
      <c r="G622" s="130"/>
      <c r="H622" s="130"/>
      <c r="I622" s="130"/>
      <c r="J622" s="130"/>
      <c r="K622" s="130"/>
      <c r="L622" s="101" t="s">
        <v>2790</v>
      </c>
      <c r="M622" s="101" t="s">
        <v>2648</v>
      </c>
      <c r="N622" s="101" t="s">
        <v>2648</v>
      </c>
      <c r="O622" s="481"/>
      <c r="P622" s="571"/>
    </row>
    <row r="623" spans="1:16" s="126" customFormat="1">
      <c r="A623" s="101" t="s">
        <v>518</v>
      </c>
      <c r="B623" s="130">
        <v>2011</v>
      </c>
      <c r="C623" s="101" t="s">
        <v>519</v>
      </c>
      <c r="D623" s="575" t="s">
        <v>214</v>
      </c>
      <c r="E623" s="576" t="s">
        <v>2791</v>
      </c>
      <c r="F623" s="101" t="s">
        <v>50</v>
      </c>
      <c r="G623" s="130"/>
      <c r="H623" s="101" t="s">
        <v>2648</v>
      </c>
      <c r="I623" s="101"/>
      <c r="J623" s="130"/>
      <c r="K623" s="130"/>
      <c r="L623" s="101" t="s">
        <v>2792</v>
      </c>
      <c r="M623" s="101" t="s">
        <v>2648</v>
      </c>
      <c r="N623" s="101" t="s">
        <v>2648</v>
      </c>
      <c r="O623" s="481"/>
      <c r="P623" s="571"/>
    </row>
    <row r="624" spans="1:16" s="126" customFormat="1">
      <c r="A624" s="101" t="s">
        <v>518</v>
      </c>
      <c r="B624" s="130">
        <v>2011</v>
      </c>
      <c r="C624" s="101" t="s">
        <v>519</v>
      </c>
      <c r="D624" s="575" t="s">
        <v>214</v>
      </c>
      <c r="E624" s="576" t="s">
        <v>2791</v>
      </c>
      <c r="F624" s="101" t="s">
        <v>50</v>
      </c>
      <c r="G624" s="130"/>
      <c r="H624" s="130"/>
      <c r="I624" s="130"/>
      <c r="J624" s="130"/>
      <c r="K624" s="130"/>
      <c r="L624" s="101" t="s">
        <v>2779</v>
      </c>
      <c r="M624" s="101" t="s">
        <v>871</v>
      </c>
      <c r="N624" s="101" t="s">
        <v>871</v>
      </c>
      <c r="O624" s="481"/>
      <c r="P624" s="571"/>
    </row>
    <row r="625" spans="1:16" s="126" customFormat="1">
      <c r="A625" s="101" t="s">
        <v>518</v>
      </c>
      <c r="B625" s="130">
        <v>2011</v>
      </c>
      <c r="C625" s="101" t="s">
        <v>519</v>
      </c>
      <c r="D625" s="575" t="s">
        <v>214</v>
      </c>
      <c r="E625" s="576" t="s">
        <v>2793</v>
      </c>
      <c r="F625" s="101" t="s">
        <v>50</v>
      </c>
      <c r="G625" s="101" t="s">
        <v>98</v>
      </c>
      <c r="H625" s="132">
        <v>382532</v>
      </c>
      <c r="I625" s="101" t="s">
        <v>2456</v>
      </c>
      <c r="J625" s="130"/>
      <c r="K625" s="130"/>
      <c r="L625" s="101" t="s">
        <v>2794</v>
      </c>
      <c r="M625" s="132">
        <v>77115702.170542628</v>
      </c>
      <c r="N625" s="132">
        <v>77052486.666666672</v>
      </c>
      <c r="O625" s="472" t="s">
        <v>2696</v>
      </c>
      <c r="P625" s="571"/>
    </row>
    <row r="626" spans="1:16" s="126" customFormat="1">
      <c r="A626" s="101" t="s">
        <v>518</v>
      </c>
      <c r="B626" s="130">
        <v>2011</v>
      </c>
      <c r="C626" s="101" t="s">
        <v>519</v>
      </c>
      <c r="D626" s="575" t="s">
        <v>214</v>
      </c>
      <c r="E626" s="576" t="s">
        <v>2793</v>
      </c>
      <c r="F626" s="101" t="s">
        <v>50</v>
      </c>
      <c r="G626" s="101" t="s">
        <v>552</v>
      </c>
      <c r="H626" s="132">
        <v>36069124000</v>
      </c>
      <c r="I626" s="101" t="s">
        <v>2697</v>
      </c>
      <c r="J626" s="130"/>
      <c r="K626" s="130"/>
      <c r="L626" s="101"/>
      <c r="M626" s="132">
        <v>0</v>
      </c>
      <c r="N626" s="132">
        <v>0</v>
      </c>
      <c r="O626" s="481">
        <v>48</v>
      </c>
      <c r="P626" s="571"/>
    </row>
    <row r="627" spans="1:16" s="126" customFormat="1">
      <c r="A627" s="101" t="s">
        <v>518</v>
      </c>
      <c r="B627" s="130">
        <v>2011</v>
      </c>
      <c r="C627" s="101" t="s">
        <v>519</v>
      </c>
      <c r="D627" s="575" t="s">
        <v>214</v>
      </c>
      <c r="E627" s="576" t="s">
        <v>2795</v>
      </c>
      <c r="F627" s="101" t="s">
        <v>50</v>
      </c>
      <c r="G627" s="101" t="s">
        <v>98</v>
      </c>
      <c r="H627" s="132">
        <v>47224</v>
      </c>
      <c r="I627" s="101" t="s">
        <v>2456</v>
      </c>
      <c r="J627" s="130"/>
      <c r="K627" s="130"/>
      <c r="L627" s="101" t="s">
        <v>2796</v>
      </c>
      <c r="M627" s="132">
        <v>5912632.5581395347</v>
      </c>
      <c r="N627" s="132">
        <v>5907315.503875969</v>
      </c>
      <c r="O627" s="472" t="s">
        <v>2696</v>
      </c>
      <c r="P627" s="571"/>
    </row>
    <row r="628" spans="1:16" s="126" customFormat="1">
      <c r="A628" s="101" t="s">
        <v>518</v>
      </c>
      <c r="B628" s="130">
        <v>2011</v>
      </c>
      <c r="C628" s="101" t="s">
        <v>519</v>
      </c>
      <c r="D628" s="575" t="s">
        <v>214</v>
      </c>
      <c r="E628" s="576" t="s">
        <v>2795</v>
      </c>
      <c r="F628" s="101" t="s">
        <v>50</v>
      </c>
      <c r="G628" s="101" t="s">
        <v>552</v>
      </c>
      <c r="H628" s="132">
        <v>10216460000</v>
      </c>
      <c r="I628" s="101" t="s">
        <v>2697</v>
      </c>
      <c r="J628" s="130"/>
      <c r="K628" s="130"/>
      <c r="L628" s="101"/>
      <c r="M628" s="132">
        <v>0</v>
      </c>
      <c r="N628" s="132">
        <v>0</v>
      </c>
      <c r="O628" s="481">
        <v>48</v>
      </c>
      <c r="P628" s="571"/>
    </row>
    <row r="629" spans="1:16" s="126" customFormat="1">
      <c r="A629" s="101" t="s">
        <v>518</v>
      </c>
      <c r="B629" s="130">
        <v>2011</v>
      </c>
      <c r="C629" s="101" t="s">
        <v>519</v>
      </c>
      <c r="D629" s="575" t="s">
        <v>214</v>
      </c>
      <c r="E629" s="576" t="s">
        <v>2797</v>
      </c>
      <c r="F629" s="101" t="s">
        <v>50</v>
      </c>
      <c r="G629" s="130"/>
      <c r="H629" s="101" t="s">
        <v>871</v>
      </c>
      <c r="I629" s="130"/>
      <c r="J629" s="130"/>
      <c r="K629" s="130"/>
      <c r="L629" s="101" t="s">
        <v>2798</v>
      </c>
      <c r="M629" s="101" t="s">
        <v>871</v>
      </c>
      <c r="N629" s="101" t="s">
        <v>871</v>
      </c>
      <c r="O629" s="481"/>
      <c r="P629" s="571"/>
    </row>
    <row r="630" spans="1:16" s="126" customFormat="1">
      <c r="A630" s="101" t="s">
        <v>518</v>
      </c>
      <c r="B630" s="130">
        <v>2011</v>
      </c>
      <c r="C630" s="101" t="s">
        <v>519</v>
      </c>
      <c r="D630" s="575" t="s">
        <v>214</v>
      </c>
      <c r="E630" s="576" t="s">
        <v>2797</v>
      </c>
      <c r="F630" s="101" t="s">
        <v>50</v>
      </c>
      <c r="G630" s="130"/>
      <c r="H630" s="130"/>
      <c r="I630" s="130"/>
      <c r="J630" s="130"/>
      <c r="K630" s="130"/>
      <c r="L630" s="101" t="s">
        <v>2799</v>
      </c>
      <c r="M630" s="101" t="s">
        <v>871</v>
      </c>
      <c r="N630" s="101" t="s">
        <v>871</v>
      </c>
      <c r="O630" s="481"/>
      <c r="P630" s="571"/>
    </row>
    <row r="631" spans="1:16" s="126" customFormat="1">
      <c r="A631" s="101" t="s">
        <v>518</v>
      </c>
      <c r="B631" s="130">
        <v>2011</v>
      </c>
      <c r="C631" s="101" t="s">
        <v>519</v>
      </c>
      <c r="D631" s="575" t="s">
        <v>214</v>
      </c>
      <c r="E631" s="576" t="s">
        <v>2797</v>
      </c>
      <c r="F631" s="101" t="s">
        <v>50</v>
      </c>
      <c r="G631" s="130"/>
      <c r="H631" s="130"/>
      <c r="I631" s="130"/>
      <c r="J631" s="130"/>
      <c r="K631" s="130"/>
      <c r="L631" s="101" t="s">
        <v>2800</v>
      </c>
      <c r="M631" s="101" t="s">
        <v>2648</v>
      </c>
      <c r="N631" s="101" t="s">
        <v>2648</v>
      </c>
      <c r="O631" s="481"/>
      <c r="P631" s="571"/>
    </row>
    <row r="632" spans="1:16" s="126" customFormat="1">
      <c r="A632" s="101" t="s">
        <v>518</v>
      </c>
      <c r="B632" s="130">
        <v>2011</v>
      </c>
      <c r="C632" s="101" t="s">
        <v>519</v>
      </c>
      <c r="D632" s="575" t="s">
        <v>214</v>
      </c>
      <c r="E632" s="576" t="s">
        <v>2797</v>
      </c>
      <c r="F632" s="101" t="s">
        <v>50</v>
      </c>
      <c r="G632" s="130"/>
      <c r="H632" s="130"/>
      <c r="I632" s="130"/>
      <c r="J632" s="130"/>
      <c r="K632" s="130"/>
      <c r="L632" s="101" t="s">
        <v>2752</v>
      </c>
      <c r="M632" s="101" t="s">
        <v>2648</v>
      </c>
      <c r="N632" s="101" t="s">
        <v>2648</v>
      </c>
      <c r="O632" s="481"/>
      <c r="P632" s="571"/>
    </row>
    <row r="633" spans="1:16" s="126" customFormat="1">
      <c r="A633" s="101" t="s">
        <v>518</v>
      </c>
      <c r="B633" s="130">
        <v>2011</v>
      </c>
      <c r="C633" s="101" t="s">
        <v>519</v>
      </c>
      <c r="D633" s="575" t="s">
        <v>214</v>
      </c>
      <c r="E633" s="576" t="s">
        <v>2801</v>
      </c>
      <c r="F633" s="101" t="s">
        <v>50</v>
      </c>
      <c r="G633" s="130"/>
      <c r="H633" s="101" t="s">
        <v>871</v>
      </c>
      <c r="I633" s="130"/>
      <c r="J633" s="130"/>
      <c r="K633" s="130"/>
      <c r="L633" s="101" t="s">
        <v>2798</v>
      </c>
      <c r="M633" s="101" t="s">
        <v>871</v>
      </c>
      <c r="N633" s="101" t="s">
        <v>871</v>
      </c>
      <c r="O633" s="481"/>
      <c r="P633" s="571"/>
    </row>
    <row r="634" spans="1:16" s="126" customFormat="1">
      <c r="A634" s="101" t="s">
        <v>518</v>
      </c>
      <c r="B634" s="130">
        <v>2011</v>
      </c>
      <c r="C634" s="101" t="s">
        <v>519</v>
      </c>
      <c r="D634" s="575" t="s">
        <v>214</v>
      </c>
      <c r="E634" s="576" t="s">
        <v>2801</v>
      </c>
      <c r="F634" s="101" t="s">
        <v>50</v>
      </c>
      <c r="G634" s="130"/>
      <c r="H634" s="130"/>
      <c r="I634" s="130"/>
      <c r="J634" s="130"/>
      <c r="K634" s="130"/>
      <c r="L634" s="101" t="s">
        <v>2799</v>
      </c>
      <c r="M634" s="101" t="s">
        <v>871</v>
      </c>
      <c r="N634" s="101" t="s">
        <v>871</v>
      </c>
      <c r="O634" s="481"/>
      <c r="P634" s="571"/>
    </row>
    <row r="635" spans="1:16" s="126" customFormat="1">
      <c r="A635" s="101" t="s">
        <v>518</v>
      </c>
      <c r="B635" s="130">
        <v>2011</v>
      </c>
      <c r="C635" s="101" t="s">
        <v>519</v>
      </c>
      <c r="D635" s="575" t="s">
        <v>214</v>
      </c>
      <c r="E635" s="576" t="s">
        <v>2801</v>
      </c>
      <c r="F635" s="101" t="s">
        <v>50</v>
      </c>
      <c r="G635" s="130"/>
      <c r="H635" s="130"/>
      <c r="I635" s="130"/>
      <c r="J635" s="130"/>
      <c r="K635" s="130"/>
      <c r="L635" s="101" t="s">
        <v>2802</v>
      </c>
      <c r="M635" s="101" t="s">
        <v>2648</v>
      </c>
      <c r="N635" s="101" t="s">
        <v>2648</v>
      </c>
      <c r="O635" s="481"/>
      <c r="P635" s="571"/>
    </row>
    <row r="636" spans="1:16" s="126" customFormat="1">
      <c r="A636" s="101" t="s">
        <v>518</v>
      </c>
      <c r="B636" s="130">
        <v>2011</v>
      </c>
      <c r="C636" s="101" t="s">
        <v>519</v>
      </c>
      <c r="D636" s="575" t="s">
        <v>214</v>
      </c>
      <c r="E636" s="576" t="s">
        <v>2801</v>
      </c>
      <c r="F636" s="101" t="s">
        <v>50</v>
      </c>
      <c r="G636" s="130"/>
      <c r="H636" s="130"/>
      <c r="I636" s="130"/>
      <c r="J636" s="130"/>
      <c r="K636" s="130"/>
      <c r="L636" s="101" t="s">
        <v>2803</v>
      </c>
      <c r="M636" s="101" t="s">
        <v>2648</v>
      </c>
      <c r="N636" s="101" t="s">
        <v>2648</v>
      </c>
      <c r="O636" s="481"/>
      <c r="P636" s="571"/>
    </row>
    <row r="637" spans="1:16" s="126" customFormat="1">
      <c r="A637" s="101" t="s">
        <v>518</v>
      </c>
      <c r="B637" s="130">
        <v>2011</v>
      </c>
      <c r="C637" s="101" t="s">
        <v>519</v>
      </c>
      <c r="D637" s="575" t="s">
        <v>214</v>
      </c>
      <c r="E637" s="576" t="s">
        <v>2804</v>
      </c>
      <c r="F637" s="101" t="s">
        <v>50</v>
      </c>
      <c r="G637" s="130"/>
      <c r="H637" s="101" t="s">
        <v>871</v>
      </c>
      <c r="I637" s="130"/>
      <c r="J637" s="130"/>
      <c r="K637" s="130"/>
      <c r="L637" s="101" t="s">
        <v>2756</v>
      </c>
      <c r="M637" s="101" t="s">
        <v>2648</v>
      </c>
      <c r="N637" s="101" t="s">
        <v>2648</v>
      </c>
      <c r="O637" s="481"/>
      <c r="P637" s="571"/>
    </row>
    <row r="638" spans="1:16" s="126" customFormat="1">
      <c r="A638" s="101" t="s">
        <v>518</v>
      </c>
      <c r="B638" s="130">
        <v>2011</v>
      </c>
      <c r="C638" s="101" t="s">
        <v>519</v>
      </c>
      <c r="D638" s="575" t="s">
        <v>214</v>
      </c>
      <c r="E638" s="576" t="s">
        <v>2804</v>
      </c>
      <c r="F638" s="101" t="s">
        <v>50</v>
      </c>
      <c r="G638" s="130"/>
      <c r="H638" s="130"/>
      <c r="I638" s="130"/>
      <c r="J638" s="130"/>
      <c r="K638" s="130"/>
      <c r="L638" s="101" t="s">
        <v>2757</v>
      </c>
      <c r="M638" s="101" t="s">
        <v>2648</v>
      </c>
      <c r="N638" s="101" t="s">
        <v>2648</v>
      </c>
      <c r="O638" s="481"/>
      <c r="P638" s="571"/>
    </row>
    <row r="639" spans="1:16" s="126" customFormat="1">
      <c r="A639" s="101" t="s">
        <v>518</v>
      </c>
      <c r="B639" s="130">
        <v>2011</v>
      </c>
      <c r="C639" s="101" t="s">
        <v>519</v>
      </c>
      <c r="D639" s="575" t="s">
        <v>214</v>
      </c>
      <c r="E639" s="576" t="s">
        <v>2804</v>
      </c>
      <c r="F639" s="101" t="s">
        <v>50</v>
      </c>
      <c r="G639" s="130"/>
      <c r="H639" s="130"/>
      <c r="I639" s="130"/>
      <c r="J639" s="130"/>
      <c r="K639" s="130"/>
      <c r="L639" s="101" t="s">
        <v>2693</v>
      </c>
      <c r="M639" s="101" t="s">
        <v>2648</v>
      </c>
      <c r="N639" s="101" t="s">
        <v>2648</v>
      </c>
      <c r="O639" s="481"/>
      <c r="P639" s="571"/>
    </row>
    <row r="640" spans="1:16" s="126" customFormat="1">
      <c r="A640" s="101" t="s">
        <v>518</v>
      </c>
      <c r="B640" s="130">
        <v>2011</v>
      </c>
      <c r="C640" s="101" t="s">
        <v>519</v>
      </c>
      <c r="D640" s="575" t="s">
        <v>214</v>
      </c>
      <c r="E640" s="576" t="s">
        <v>2805</v>
      </c>
      <c r="F640" s="101" t="s">
        <v>50</v>
      </c>
      <c r="G640" s="130"/>
      <c r="H640" s="101" t="s">
        <v>871</v>
      </c>
      <c r="I640" s="130"/>
      <c r="J640" s="130"/>
      <c r="K640" s="130"/>
      <c r="L640" s="101" t="s">
        <v>2756</v>
      </c>
      <c r="M640" s="101" t="s">
        <v>2648</v>
      </c>
      <c r="N640" s="101" t="s">
        <v>2648</v>
      </c>
      <c r="O640" s="481"/>
      <c r="P640" s="571"/>
    </row>
    <row r="641" spans="1:16" s="126" customFormat="1">
      <c r="A641" s="101" t="s">
        <v>518</v>
      </c>
      <c r="B641" s="130">
        <v>2011</v>
      </c>
      <c r="C641" s="101" t="s">
        <v>519</v>
      </c>
      <c r="D641" s="575" t="s">
        <v>214</v>
      </c>
      <c r="E641" s="576" t="s">
        <v>2805</v>
      </c>
      <c r="F641" s="101" t="s">
        <v>50</v>
      </c>
      <c r="G641" s="130"/>
      <c r="H641" s="101"/>
      <c r="I641" s="130"/>
      <c r="J641" s="130"/>
      <c r="K641" s="130"/>
      <c r="L641" s="101" t="s">
        <v>2757</v>
      </c>
      <c r="M641" s="101" t="s">
        <v>2648</v>
      </c>
      <c r="N641" s="101" t="s">
        <v>2648</v>
      </c>
      <c r="O641" s="481"/>
      <c r="P641" s="571"/>
    </row>
    <row r="642" spans="1:16" s="126" customFormat="1">
      <c r="A642" s="101" t="s">
        <v>518</v>
      </c>
      <c r="B642" s="130">
        <v>2011</v>
      </c>
      <c r="C642" s="101" t="s">
        <v>519</v>
      </c>
      <c r="D642" s="575" t="s">
        <v>214</v>
      </c>
      <c r="E642" s="576" t="s">
        <v>2805</v>
      </c>
      <c r="F642" s="101" t="s">
        <v>50</v>
      </c>
      <c r="G642" s="130"/>
      <c r="H642" s="130"/>
      <c r="I642" s="130"/>
      <c r="J642" s="130"/>
      <c r="K642" s="130"/>
      <c r="L642" s="101" t="s">
        <v>2693</v>
      </c>
      <c r="M642" s="101" t="s">
        <v>2648</v>
      </c>
      <c r="N642" s="101" t="s">
        <v>2648</v>
      </c>
      <c r="O642" s="481"/>
      <c r="P642" s="571"/>
    </row>
    <row r="643" spans="1:16" s="126" customFormat="1">
      <c r="A643" s="101" t="s">
        <v>518</v>
      </c>
      <c r="B643" s="130">
        <v>2011</v>
      </c>
      <c r="C643" s="101" t="s">
        <v>519</v>
      </c>
      <c r="D643" s="575" t="s">
        <v>214</v>
      </c>
      <c r="E643" s="576" t="s">
        <v>2806</v>
      </c>
      <c r="F643" s="101" t="s">
        <v>50</v>
      </c>
      <c r="G643" s="130"/>
      <c r="H643" s="101" t="s">
        <v>2648</v>
      </c>
      <c r="I643" s="101"/>
      <c r="J643" s="130"/>
      <c r="K643" s="130"/>
      <c r="L643" s="101" t="s">
        <v>2807</v>
      </c>
      <c r="M643" s="101" t="s">
        <v>2648</v>
      </c>
      <c r="N643" s="101" t="s">
        <v>2648</v>
      </c>
      <c r="O643" s="481"/>
      <c r="P643" s="571"/>
    </row>
    <row r="644" spans="1:16" s="126" customFormat="1">
      <c r="A644" s="101" t="s">
        <v>518</v>
      </c>
      <c r="B644" s="130">
        <v>2011</v>
      </c>
      <c r="C644" s="101" t="s">
        <v>519</v>
      </c>
      <c r="D644" s="575" t="s">
        <v>214</v>
      </c>
      <c r="E644" s="576" t="s">
        <v>2806</v>
      </c>
      <c r="F644" s="101" t="s">
        <v>50</v>
      </c>
      <c r="G644" s="130"/>
      <c r="H644" s="130"/>
      <c r="I644" s="130"/>
      <c r="J644" s="130"/>
      <c r="K644" s="130"/>
      <c r="L644" s="101" t="s">
        <v>2808</v>
      </c>
      <c r="M644" s="130">
        <v>0</v>
      </c>
      <c r="N644" s="130">
        <v>0</v>
      </c>
      <c r="O644" s="481">
        <v>45</v>
      </c>
      <c r="P644" s="571"/>
    </row>
    <row r="645" spans="1:16" s="126" customFormat="1">
      <c r="A645" s="101" t="s">
        <v>518</v>
      </c>
      <c r="B645" s="130">
        <v>2011</v>
      </c>
      <c r="C645" s="101" t="s">
        <v>519</v>
      </c>
      <c r="D645" s="575" t="s">
        <v>214</v>
      </c>
      <c r="E645" s="576" t="s">
        <v>2806</v>
      </c>
      <c r="F645" s="101" t="s">
        <v>50</v>
      </c>
      <c r="G645" s="130"/>
      <c r="H645" s="130"/>
      <c r="I645" s="130"/>
      <c r="J645" s="130"/>
      <c r="K645" s="130"/>
      <c r="L645" s="101" t="s">
        <v>2809</v>
      </c>
      <c r="M645" s="132">
        <v>12568771.472868217</v>
      </c>
      <c r="N645" s="132">
        <v>12568771.472868217</v>
      </c>
      <c r="O645" s="481">
        <v>45</v>
      </c>
      <c r="P645" s="571"/>
    </row>
    <row r="646" spans="1:16" s="126" customFormat="1">
      <c r="A646" s="101" t="s">
        <v>518</v>
      </c>
      <c r="B646" s="130">
        <v>2011</v>
      </c>
      <c r="C646" s="101" t="s">
        <v>519</v>
      </c>
      <c r="D646" s="575" t="s">
        <v>214</v>
      </c>
      <c r="E646" s="576" t="s">
        <v>2810</v>
      </c>
      <c r="F646" s="101" t="s">
        <v>50</v>
      </c>
      <c r="G646" s="130"/>
      <c r="H646" s="101" t="s">
        <v>871</v>
      </c>
      <c r="I646" s="130"/>
      <c r="J646" s="130"/>
      <c r="K646" s="130"/>
      <c r="L646" s="101" t="s">
        <v>2811</v>
      </c>
      <c r="M646" s="132">
        <v>13933742.170542635</v>
      </c>
      <c r="N646" s="132">
        <v>13983084.96124031</v>
      </c>
      <c r="O646" s="481">
        <v>46</v>
      </c>
      <c r="P646" s="571"/>
    </row>
    <row r="647" spans="1:16" s="126" customFormat="1">
      <c r="A647" s="101" t="s">
        <v>518</v>
      </c>
      <c r="B647" s="130">
        <v>2011</v>
      </c>
      <c r="C647" s="101" t="s">
        <v>519</v>
      </c>
      <c r="D647" s="575" t="s">
        <v>214</v>
      </c>
      <c r="E647" s="576" t="s">
        <v>2810</v>
      </c>
      <c r="F647" s="101" t="s">
        <v>50</v>
      </c>
      <c r="G647" s="130"/>
      <c r="H647" s="130"/>
      <c r="I647" s="130"/>
      <c r="J647" s="130"/>
      <c r="K647" s="130"/>
      <c r="L647" s="101" t="s">
        <v>2812</v>
      </c>
      <c r="M647" s="101" t="s">
        <v>871</v>
      </c>
      <c r="N647" s="101" t="s">
        <v>871</v>
      </c>
      <c r="O647" s="481"/>
      <c r="P647" s="571"/>
    </row>
    <row r="648" spans="1:16" s="126" customFormat="1">
      <c r="A648" s="101" t="s">
        <v>518</v>
      </c>
      <c r="B648" s="130">
        <v>2011</v>
      </c>
      <c r="C648" s="101" t="s">
        <v>519</v>
      </c>
      <c r="D648" s="575" t="s">
        <v>214</v>
      </c>
      <c r="E648" s="576" t="s">
        <v>2810</v>
      </c>
      <c r="F648" s="101" t="s">
        <v>50</v>
      </c>
      <c r="G648" s="130"/>
      <c r="H648" s="130"/>
      <c r="I648" s="130"/>
      <c r="J648" s="130"/>
      <c r="K648" s="130"/>
      <c r="L648" s="101" t="s">
        <v>2693</v>
      </c>
      <c r="M648" s="101" t="s">
        <v>2648</v>
      </c>
      <c r="N648" s="101" t="s">
        <v>2648</v>
      </c>
      <c r="O648" s="481"/>
      <c r="P648" s="571"/>
    </row>
    <row r="649" spans="1:16" s="126" customFormat="1">
      <c r="A649" s="101" t="s">
        <v>518</v>
      </c>
      <c r="B649" s="130">
        <v>2011</v>
      </c>
      <c r="C649" s="101" t="s">
        <v>519</v>
      </c>
      <c r="D649" s="575" t="s">
        <v>214</v>
      </c>
      <c r="E649" s="576" t="s">
        <v>2813</v>
      </c>
      <c r="F649" s="101" t="s">
        <v>50</v>
      </c>
      <c r="G649" s="130"/>
      <c r="H649" s="101" t="s">
        <v>871</v>
      </c>
      <c r="I649" s="130"/>
      <c r="J649" s="130"/>
      <c r="K649" s="130"/>
      <c r="L649" s="101" t="s">
        <v>2814</v>
      </c>
      <c r="M649" s="132">
        <v>3642857.5193798449</v>
      </c>
      <c r="N649" s="132">
        <v>3709641.5503875967</v>
      </c>
      <c r="O649" s="481">
        <v>46</v>
      </c>
      <c r="P649" s="571"/>
    </row>
    <row r="650" spans="1:16" s="126" customFormat="1">
      <c r="A650" s="101" t="s">
        <v>518</v>
      </c>
      <c r="B650" s="130">
        <v>2011</v>
      </c>
      <c r="C650" s="101" t="s">
        <v>519</v>
      </c>
      <c r="D650" s="575" t="s">
        <v>214</v>
      </c>
      <c r="E650" s="576" t="s">
        <v>2813</v>
      </c>
      <c r="F650" s="101" t="s">
        <v>50</v>
      </c>
      <c r="G650" s="130"/>
      <c r="H650" s="130"/>
      <c r="I650" s="130"/>
      <c r="J650" s="130"/>
      <c r="K650" s="130"/>
      <c r="L650" s="101" t="s">
        <v>2693</v>
      </c>
      <c r="M650" s="101" t="s">
        <v>2648</v>
      </c>
      <c r="N650" s="101" t="s">
        <v>2648</v>
      </c>
      <c r="O650" s="481"/>
      <c r="P650" s="571"/>
    </row>
    <row r="651" spans="1:16" s="126" customFormat="1">
      <c r="A651" s="101" t="s">
        <v>518</v>
      </c>
      <c r="B651" s="130">
        <v>2011</v>
      </c>
      <c r="C651" s="101" t="s">
        <v>519</v>
      </c>
      <c r="D651" s="575" t="s">
        <v>214</v>
      </c>
      <c r="E651" s="576" t="s">
        <v>2815</v>
      </c>
      <c r="F651" s="101" t="s">
        <v>50</v>
      </c>
      <c r="G651" s="130"/>
      <c r="H651" s="101" t="s">
        <v>871</v>
      </c>
      <c r="I651" s="130"/>
      <c r="J651" s="130"/>
      <c r="K651" s="130"/>
      <c r="L651" s="101" t="s">
        <v>2816</v>
      </c>
      <c r="M651" s="132">
        <v>6480586.3565891469</v>
      </c>
      <c r="N651" s="132">
        <v>6503803.1007751934</v>
      </c>
      <c r="O651" s="481">
        <v>45</v>
      </c>
      <c r="P651" s="571"/>
    </row>
    <row r="652" spans="1:16" s="126" customFormat="1">
      <c r="A652" s="101" t="s">
        <v>518</v>
      </c>
      <c r="B652" s="130">
        <v>2011</v>
      </c>
      <c r="C652" s="101" t="s">
        <v>519</v>
      </c>
      <c r="D652" s="575" t="s">
        <v>214</v>
      </c>
      <c r="E652" s="576" t="s">
        <v>2815</v>
      </c>
      <c r="F652" s="101" t="s">
        <v>50</v>
      </c>
      <c r="G652" s="130"/>
      <c r="H652" s="130"/>
      <c r="I652" s="130"/>
      <c r="J652" s="130"/>
      <c r="K652" s="130"/>
      <c r="L652" s="101" t="s">
        <v>2817</v>
      </c>
      <c r="M652" s="101" t="s">
        <v>871</v>
      </c>
      <c r="N652" s="101" t="s">
        <v>871</v>
      </c>
      <c r="O652" s="481"/>
      <c r="P652" s="571"/>
    </row>
    <row r="653" spans="1:16" s="126" customFormat="1" ht="15.75" thickBot="1">
      <c r="A653" s="103" t="s">
        <v>518</v>
      </c>
      <c r="B653" s="134">
        <v>2011</v>
      </c>
      <c r="C653" s="103" t="s">
        <v>519</v>
      </c>
      <c r="D653" s="578" t="s">
        <v>214</v>
      </c>
      <c r="E653" s="576" t="s">
        <v>2815</v>
      </c>
      <c r="F653" s="101" t="s">
        <v>50</v>
      </c>
      <c r="G653" s="130"/>
      <c r="H653" s="130"/>
      <c r="I653" s="130"/>
      <c r="J653" s="130"/>
      <c r="K653" s="130"/>
      <c r="L653" s="101" t="s">
        <v>2693</v>
      </c>
      <c r="M653" s="101" t="s">
        <v>2648</v>
      </c>
      <c r="N653" s="101" t="s">
        <v>2648</v>
      </c>
      <c r="O653" s="481"/>
      <c r="P653" s="571"/>
    </row>
    <row r="654" spans="1:16" s="137" customFormat="1" ht="45">
      <c r="A654" s="110" t="s">
        <v>530</v>
      </c>
      <c r="B654" s="136">
        <v>2010</v>
      </c>
      <c r="C654" s="110" t="s">
        <v>522</v>
      </c>
      <c r="D654" s="574" t="s">
        <v>246</v>
      </c>
      <c r="E654" s="110" t="s">
        <v>2201</v>
      </c>
      <c r="F654" s="110" t="s">
        <v>552</v>
      </c>
      <c r="G654" s="110" t="s">
        <v>2818</v>
      </c>
      <c r="H654" s="136">
        <v>186800000000</v>
      </c>
      <c r="I654" s="110" t="s">
        <v>2697</v>
      </c>
      <c r="J654" s="110" t="s">
        <v>871</v>
      </c>
      <c r="K654" s="110"/>
      <c r="L654" s="110" t="s">
        <v>2819</v>
      </c>
      <c r="M654" s="62">
        <v>112270000</v>
      </c>
      <c r="N654" s="62">
        <v>112270000</v>
      </c>
      <c r="O654" s="474" t="s">
        <v>2820</v>
      </c>
      <c r="P654" s="579" t="s">
        <v>3708</v>
      </c>
    </row>
    <row r="655" spans="1:16" s="131" customFormat="1">
      <c r="A655" s="101" t="s">
        <v>530</v>
      </c>
      <c r="B655" s="130">
        <v>2010</v>
      </c>
      <c r="C655" s="101" t="s">
        <v>522</v>
      </c>
      <c r="D655" s="575" t="s">
        <v>246</v>
      </c>
      <c r="E655" s="101" t="s">
        <v>2201</v>
      </c>
      <c r="F655" s="101" t="s">
        <v>552</v>
      </c>
      <c r="G655" s="101"/>
      <c r="H655" s="130"/>
      <c r="I655" s="130"/>
      <c r="J655" s="130"/>
      <c r="K655" s="130"/>
      <c r="L655" s="101" t="s">
        <v>659</v>
      </c>
      <c r="M655" s="101"/>
      <c r="N655" s="101"/>
      <c r="O655" s="481"/>
      <c r="P655" s="571"/>
    </row>
    <row r="656" spans="1:16" s="131" customFormat="1">
      <c r="A656" s="101" t="s">
        <v>530</v>
      </c>
      <c r="B656" s="130">
        <v>2010</v>
      </c>
      <c r="C656" s="101" t="s">
        <v>522</v>
      </c>
      <c r="D656" s="575" t="s">
        <v>246</v>
      </c>
      <c r="E656" s="101" t="s">
        <v>2201</v>
      </c>
      <c r="F656" s="101" t="s">
        <v>552</v>
      </c>
      <c r="G656" s="101"/>
      <c r="H656" s="130"/>
      <c r="I656" s="130"/>
      <c r="J656" s="130"/>
      <c r="K656" s="130"/>
      <c r="L656" s="101" t="s">
        <v>2821</v>
      </c>
      <c r="M656" s="101"/>
      <c r="N656" s="101"/>
      <c r="O656" s="481"/>
      <c r="P656" s="571"/>
    </row>
    <row r="657" spans="1:16" s="131" customFormat="1">
      <c r="A657" s="101" t="s">
        <v>530</v>
      </c>
      <c r="B657" s="130">
        <v>2010</v>
      </c>
      <c r="C657" s="101" t="s">
        <v>522</v>
      </c>
      <c r="D657" s="575" t="s">
        <v>246</v>
      </c>
      <c r="E657" s="101" t="s">
        <v>2201</v>
      </c>
      <c r="F657" s="101" t="s">
        <v>552</v>
      </c>
      <c r="G657" s="101"/>
      <c r="H657" s="130"/>
      <c r="I657" s="130"/>
      <c r="J657" s="130"/>
      <c r="K657" s="130"/>
      <c r="L657" s="101" t="s">
        <v>2822</v>
      </c>
      <c r="M657" s="101"/>
      <c r="N657" s="101"/>
      <c r="O657" s="481"/>
      <c r="P657" s="571"/>
    </row>
    <row r="658" spans="1:16" s="131" customFormat="1">
      <c r="A658" s="101" t="s">
        <v>530</v>
      </c>
      <c r="B658" s="130">
        <v>2010</v>
      </c>
      <c r="C658" s="101" t="s">
        <v>522</v>
      </c>
      <c r="D658" s="575" t="s">
        <v>246</v>
      </c>
      <c r="E658" s="101" t="s">
        <v>2201</v>
      </c>
      <c r="F658" s="101" t="s">
        <v>552</v>
      </c>
      <c r="G658" s="101"/>
      <c r="H658" s="130"/>
      <c r="I658" s="130"/>
      <c r="J658" s="130"/>
      <c r="K658" s="130"/>
      <c r="L658" s="101" t="s">
        <v>2683</v>
      </c>
      <c r="M658" s="101"/>
      <c r="N658" s="101"/>
      <c r="O658" s="481"/>
      <c r="P658" s="571"/>
    </row>
    <row r="659" spans="1:16" s="131" customFormat="1">
      <c r="A659" s="101" t="s">
        <v>530</v>
      </c>
      <c r="B659" s="130">
        <v>2010</v>
      </c>
      <c r="C659" s="101" t="s">
        <v>522</v>
      </c>
      <c r="D659" s="575" t="s">
        <v>246</v>
      </c>
      <c r="E659" s="101" t="s">
        <v>2201</v>
      </c>
      <c r="F659" s="101" t="s">
        <v>552</v>
      </c>
      <c r="G659" s="101"/>
      <c r="H659" s="130"/>
      <c r="I659" s="130"/>
      <c r="J659" s="130"/>
      <c r="K659" s="130"/>
      <c r="L659" s="101" t="s">
        <v>2823</v>
      </c>
      <c r="M659" s="101"/>
      <c r="N659" s="101"/>
      <c r="O659" s="481"/>
      <c r="P659" s="571"/>
    </row>
    <row r="660" spans="1:16" s="139" customFormat="1" ht="15.75" thickBot="1">
      <c r="A660" s="108" t="s">
        <v>530</v>
      </c>
      <c r="B660" s="138">
        <v>2010</v>
      </c>
      <c r="C660" s="534" t="s">
        <v>522</v>
      </c>
      <c r="D660" s="580" t="s">
        <v>246</v>
      </c>
      <c r="E660" s="534" t="s">
        <v>2201</v>
      </c>
      <c r="F660" s="534" t="s">
        <v>552</v>
      </c>
      <c r="G660" s="534"/>
      <c r="H660" s="581"/>
      <c r="I660" s="581"/>
      <c r="J660" s="581"/>
      <c r="K660" s="581"/>
      <c r="L660" s="534" t="s">
        <v>2824</v>
      </c>
      <c r="M660" s="534"/>
      <c r="N660" s="534"/>
      <c r="O660" s="582"/>
      <c r="P660" s="583"/>
    </row>
    <row r="661" spans="1:16" s="126" customFormat="1" ht="90">
      <c r="A661" s="97" t="s">
        <v>531</v>
      </c>
      <c r="B661" s="123">
        <v>2011</v>
      </c>
      <c r="C661" s="97" t="s">
        <v>522</v>
      </c>
      <c r="D661" s="575" t="s">
        <v>246</v>
      </c>
      <c r="E661" s="101" t="s">
        <v>2201</v>
      </c>
      <c r="F661" s="101" t="s">
        <v>552</v>
      </c>
      <c r="G661" s="101" t="s">
        <v>2818</v>
      </c>
      <c r="H661" s="130">
        <v>309400000000</v>
      </c>
      <c r="I661" s="101" t="s">
        <v>2697</v>
      </c>
      <c r="J661" s="101" t="s">
        <v>871</v>
      </c>
      <c r="K661" s="101"/>
      <c r="L661" s="101" t="s">
        <v>2819</v>
      </c>
      <c r="M661" s="42">
        <v>201261000</v>
      </c>
      <c r="N661" s="42">
        <v>201001000</v>
      </c>
      <c r="O661" s="472" t="s">
        <v>2825</v>
      </c>
      <c r="P661" s="579" t="s">
        <v>3709</v>
      </c>
    </row>
    <row r="662" spans="1:16" s="126" customFormat="1">
      <c r="A662" s="97" t="s">
        <v>531</v>
      </c>
      <c r="B662" s="123">
        <v>2011</v>
      </c>
      <c r="C662" s="97" t="s">
        <v>522</v>
      </c>
      <c r="D662" s="575" t="s">
        <v>246</v>
      </c>
      <c r="E662" s="101" t="s">
        <v>2201</v>
      </c>
      <c r="F662" s="101" t="s">
        <v>552</v>
      </c>
      <c r="G662" s="101"/>
      <c r="H662" s="130"/>
      <c r="I662" s="130"/>
      <c r="J662" s="130"/>
      <c r="K662" s="130"/>
      <c r="L662" s="101" t="s">
        <v>659</v>
      </c>
      <c r="M662" s="101"/>
      <c r="N662" s="101"/>
      <c r="O662" s="481"/>
      <c r="P662" s="571"/>
    </row>
    <row r="663" spans="1:16" s="126" customFormat="1">
      <c r="A663" s="97" t="s">
        <v>531</v>
      </c>
      <c r="B663" s="123">
        <v>2011</v>
      </c>
      <c r="C663" s="97" t="s">
        <v>522</v>
      </c>
      <c r="D663" s="575" t="s">
        <v>246</v>
      </c>
      <c r="E663" s="101" t="s">
        <v>2201</v>
      </c>
      <c r="F663" s="101" t="s">
        <v>552</v>
      </c>
      <c r="G663" s="101"/>
      <c r="H663" s="130"/>
      <c r="I663" s="130"/>
      <c r="J663" s="130"/>
      <c r="K663" s="130"/>
      <c r="L663" s="101" t="s">
        <v>2821</v>
      </c>
      <c r="M663" s="101"/>
      <c r="N663" s="101"/>
      <c r="O663" s="481"/>
      <c r="P663" s="571"/>
    </row>
    <row r="664" spans="1:16" s="126" customFormat="1">
      <c r="A664" s="97" t="s">
        <v>531</v>
      </c>
      <c r="B664" s="123">
        <v>2011</v>
      </c>
      <c r="C664" s="97" t="s">
        <v>522</v>
      </c>
      <c r="D664" s="575" t="s">
        <v>246</v>
      </c>
      <c r="E664" s="101" t="s">
        <v>2201</v>
      </c>
      <c r="F664" s="101" t="s">
        <v>552</v>
      </c>
      <c r="G664" s="101"/>
      <c r="H664" s="130"/>
      <c r="I664" s="130"/>
      <c r="J664" s="130"/>
      <c r="K664" s="130"/>
      <c r="L664" s="101" t="s">
        <v>2822</v>
      </c>
      <c r="M664" s="101"/>
      <c r="N664" s="101"/>
      <c r="O664" s="481"/>
      <c r="P664" s="571"/>
    </row>
    <row r="665" spans="1:16" s="126" customFormat="1">
      <c r="A665" s="97" t="s">
        <v>531</v>
      </c>
      <c r="B665" s="123">
        <v>2011</v>
      </c>
      <c r="C665" s="97" t="s">
        <v>522</v>
      </c>
      <c r="D665" s="575" t="s">
        <v>246</v>
      </c>
      <c r="E665" s="101" t="s">
        <v>2201</v>
      </c>
      <c r="F665" s="101" t="s">
        <v>552</v>
      </c>
      <c r="G665" s="101"/>
      <c r="H665" s="130"/>
      <c r="I665" s="130"/>
      <c r="J665" s="130"/>
      <c r="K665" s="130"/>
      <c r="L665" s="101" t="s">
        <v>2683</v>
      </c>
      <c r="M665" s="101"/>
      <c r="N665" s="101"/>
      <c r="O665" s="481"/>
      <c r="P665" s="571"/>
    </row>
    <row r="666" spans="1:16" s="126" customFormat="1">
      <c r="A666" s="97" t="s">
        <v>531</v>
      </c>
      <c r="B666" s="123">
        <v>2011</v>
      </c>
      <c r="C666" s="97" t="s">
        <v>522</v>
      </c>
      <c r="D666" s="575" t="s">
        <v>246</v>
      </c>
      <c r="E666" s="101" t="s">
        <v>2201</v>
      </c>
      <c r="F666" s="101" t="s">
        <v>552</v>
      </c>
      <c r="G666" s="101"/>
      <c r="H666" s="130"/>
      <c r="I666" s="130"/>
      <c r="J666" s="130"/>
      <c r="K666" s="130"/>
      <c r="L666" s="101" t="s">
        <v>2823</v>
      </c>
      <c r="M666" s="101"/>
      <c r="N666" s="101"/>
      <c r="O666" s="481"/>
      <c r="P666" s="571"/>
    </row>
    <row r="667" spans="1:16" s="126" customFormat="1" ht="15.75" thickBot="1">
      <c r="A667" s="97" t="s">
        <v>531</v>
      </c>
      <c r="B667" s="123">
        <v>2011</v>
      </c>
      <c r="C667" s="97" t="s">
        <v>522</v>
      </c>
      <c r="D667" s="575" t="s">
        <v>246</v>
      </c>
      <c r="E667" s="101" t="s">
        <v>2201</v>
      </c>
      <c r="F667" s="101" t="s">
        <v>552</v>
      </c>
      <c r="G667" s="101"/>
      <c r="H667" s="130"/>
      <c r="I667" s="130"/>
      <c r="J667" s="130"/>
      <c r="K667" s="130"/>
      <c r="L667" s="101" t="s">
        <v>2824</v>
      </c>
      <c r="M667" s="101"/>
      <c r="N667" s="101"/>
      <c r="O667" s="481"/>
      <c r="P667" s="571"/>
    </row>
    <row r="668" spans="1:16" s="141" customFormat="1">
      <c r="A668" s="122" t="s">
        <v>538</v>
      </c>
      <c r="B668" s="140">
        <v>2010</v>
      </c>
      <c r="C668" s="122" t="s">
        <v>534</v>
      </c>
      <c r="D668" s="584" t="s">
        <v>81</v>
      </c>
      <c r="E668" s="124"/>
      <c r="F668" s="122" t="s">
        <v>19</v>
      </c>
      <c r="G668" s="124"/>
      <c r="H668" s="124"/>
      <c r="I668" s="124"/>
      <c r="J668" s="124"/>
      <c r="K668" s="124"/>
      <c r="L668" s="122"/>
      <c r="M668" s="124"/>
      <c r="N668" s="124"/>
      <c r="O668" s="483"/>
      <c r="P668" s="585" t="s">
        <v>3710</v>
      </c>
    </row>
    <row r="669" spans="1:16" s="145" customFormat="1" ht="15.75" thickBot="1">
      <c r="A669" s="142" t="s">
        <v>540</v>
      </c>
      <c r="B669" s="143">
        <v>2011</v>
      </c>
      <c r="C669" s="142" t="s">
        <v>534</v>
      </c>
      <c r="D669" s="586" t="s">
        <v>81</v>
      </c>
      <c r="E669" s="144"/>
      <c r="F669" s="142" t="s">
        <v>19</v>
      </c>
      <c r="G669" s="144"/>
      <c r="H669" s="144"/>
      <c r="I669" s="144"/>
      <c r="J669" s="144"/>
      <c r="K669" s="144"/>
      <c r="L669" s="144"/>
      <c r="M669" s="144"/>
      <c r="N669" s="144"/>
      <c r="O669" s="484"/>
      <c r="P669" s="587" t="s">
        <v>3710</v>
      </c>
    </row>
  </sheetData>
  <conditionalFormatting sqref="B1:L1">
    <cfRule type="cellIs" dxfId="1" priority="2" stopIfTrue="1" operator="equal">
      <formula>1</formula>
    </cfRule>
  </conditionalFormatting>
  <conditionalFormatting sqref="A1">
    <cfRule type="cellIs" dxfId="0" priority="1" stopIfTrue="1" operator="equal">
      <formula>1</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opLeftCell="A19" workbookViewId="0">
      <selection activeCell="E27" sqref="E27"/>
    </sheetView>
  </sheetViews>
  <sheetFormatPr defaultRowHeight="15"/>
  <cols>
    <col min="2" max="2" width="37" style="207" customWidth="1"/>
    <col min="3" max="3" width="41.28515625" style="207" bestFit="1" customWidth="1"/>
    <col min="4" max="4" width="37" style="207" customWidth="1"/>
    <col min="5" max="5" width="64.85546875" style="207" customWidth="1"/>
  </cols>
  <sheetData>
    <row r="1" spans="1:5" ht="15.75" thickBot="1">
      <c r="A1" s="217"/>
    </row>
    <row r="2" spans="1:5" ht="16.5" thickBot="1">
      <c r="A2" s="218"/>
      <c r="B2" s="588" t="s">
        <v>3611</v>
      </c>
      <c r="C2" s="589" t="s">
        <v>3612</v>
      </c>
      <c r="D2" s="590" t="s">
        <v>3613</v>
      </c>
      <c r="E2" s="591" t="s">
        <v>3614</v>
      </c>
    </row>
    <row r="3" spans="1:5" ht="27" thickBot="1">
      <c r="A3" s="218"/>
      <c r="B3" s="638" t="s">
        <v>3657</v>
      </c>
      <c r="C3" s="439" t="s">
        <v>3658</v>
      </c>
      <c r="D3" s="440" t="s">
        <v>3660</v>
      </c>
      <c r="E3" s="220" t="s">
        <v>3659</v>
      </c>
    </row>
    <row r="4" spans="1:5" ht="27" thickBot="1">
      <c r="A4" s="218"/>
      <c r="B4" s="640"/>
      <c r="C4" s="439" t="s">
        <v>3618</v>
      </c>
      <c r="D4" s="439" t="s">
        <v>3662</v>
      </c>
      <c r="E4" s="220" t="s">
        <v>3663</v>
      </c>
    </row>
    <row r="5" spans="1:5" ht="39.75" thickBot="1">
      <c r="A5" s="218"/>
      <c r="B5" s="638" t="s">
        <v>3664</v>
      </c>
      <c r="C5" s="439" t="s">
        <v>3685</v>
      </c>
      <c r="D5" s="439" t="s">
        <v>3686</v>
      </c>
      <c r="E5" s="220" t="s">
        <v>3661</v>
      </c>
    </row>
    <row r="6" spans="1:5" ht="15.75" thickBot="1">
      <c r="A6" s="218"/>
      <c r="B6" s="639"/>
      <c r="C6" s="439" t="s">
        <v>3666</v>
      </c>
      <c r="D6" s="439"/>
      <c r="E6" s="220" t="s">
        <v>3665</v>
      </c>
    </row>
    <row r="7" spans="1:5" ht="27" thickBot="1">
      <c r="A7" s="218"/>
      <c r="B7" s="640"/>
      <c r="C7" s="439" t="s">
        <v>3618</v>
      </c>
      <c r="D7" s="439" t="s">
        <v>3662</v>
      </c>
      <c r="E7" s="220" t="s">
        <v>3663</v>
      </c>
    </row>
    <row r="8" spans="1:5" ht="26.25" thickBot="1">
      <c r="A8" s="218"/>
      <c r="B8" s="255" t="s">
        <v>3711</v>
      </c>
      <c r="C8" s="439" t="s">
        <v>3712</v>
      </c>
      <c r="D8" s="439" t="s">
        <v>3714</v>
      </c>
      <c r="E8" s="224" t="s">
        <v>3713</v>
      </c>
    </row>
    <row r="9" spans="1:5" ht="15.75" thickBot="1">
      <c r="A9" s="218"/>
      <c r="B9" s="219" t="s">
        <v>3683</v>
      </c>
      <c r="C9" s="439" t="s">
        <v>3618</v>
      </c>
      <c r="D9" s="439" t="s">
        <v>3687</v>
      </c>
      <c r="E9" s="224" t="s">
        <v>3684</v>
      </c>
    </row>
    <row r="10" spans="1:5" ht="15.75" thickBot="1">
      <c r="A10" s="218"/>
      <c r="B10" s="433" t="s">
        <v>3720</v>
      </c>
      <c r="C10" s="434" t="s">
        <v>3615</v>
      </c>
      <c r="D10" s="435" t="s">
        <v>2842</v>
      </c>
      <c r="E10" s="436" t="s">
        <v>3616</v>
      </c>
    </row>
    <row r="11" spans="1:5" ht="15.75" thickBot="1">
      <c r="A11" s="217"/>
      <c r="B11" s="219" t="s">
        <v>3617</v>
      </c>
      <c r="C11" s="437" t="s">
        <v>3618</v>
      </c>
      <c r="D11" s="438" t="s">
        <v>3619</v>
      </c>
      <c r="E11" s="220" t="s">
        <v>3620</v>
      </c>
    </row>
    <row r="12" spans="1:5" ht="39.75" thickBot="1">
      <c r="A12" s="217"/>
      <c r="B12" s="219" t="s">
        <v>2841</v>
      </c>
      <c r="C12" s="439" t="s">
        <v>3621</v>
      </c>
      <c r="D12" s="440" t="s">
        <v>3622</v>
      </c>
      <c r="E12" s="441" t="s">
        <v>2842</v>
      </c>
    </row>
    <row r="13" spans="1:5" ht="52.5" thickBot="1">
      <c r="A13" s="217"/>
      <c r="B13" s="219" t="s">
        <v>3774</v>
      </c>
      <c r="C13" s="439" t="s">
        <v>3751</v>
      </c>
      <c r="D13" s="442" t="s">
        <v>3623</v>
      </c>
      <c r="E13" s="436" t="s">
        <v>3624</v>
      </c>
    </row>
    <row r="14" spans="1:5" ht="39.75" thickBot="1">
      <c r="B14" s="219" t="s">
        <v>3733</v>
      </c>
      <c r="C14" s="439" t="s">
        <v>3625</v>
      </c>
      <c r="D14" s="440" t="s">
        <v>3626</v>
      </c>
      <c r="E14" s="441"/>
    </row>
    <row r="15" spans="1:5" ht="39.75" thickBot="1">
      <c r="B15" s="219" t="s">
        <v>3722</v>
      </c>
      <c r="C15" s="439" t="s">
        <v>3628</v>
      </c>
      <c r="D15" s="440" t="s">
        <v>3629</v>
      </c>
      <c r="E15" s="441" t="s">
        <v>2842</v>
      </c>
    </row>
    <row r="16" spans="1:5" ht="39.75" thickBot="1">
      <c r="B16" s="219" t="s">
        <v>3630</v>
      </c>
      <c r="C16" s="223" t="s">
        <v>3618</v>
      </c>
      <c r="D16" s="440" t="s">
        <v>2854</v>
      </c>
      <c r="E16" s="436" t="s">
        <v>3631</v>
      </c>
    </row>
    <row r="17" spans="2:5" ht="52.5" thickBot="1">
      <c r="B17" s="219" t="s">
        <v>3723</v>
      </c>
      <c r="C17" s="439" t="s">
        <v>3627</v>
      </c>
      <c r="D17" s="440" t="s">
        <v>3728</v>
      </c>
      <c r="E17" s="441" t="s">
        <v>2842</v>
      </c>
    </row>
    <row r="18" spans="2:5" ht="39.75" thickBot="1">
      <c r="B18" s="219" t="s">
        <v>3734</v>
      </c>
      <c r="C18" s="439" t="s">
        <v>3618</v>
      </c>
      <c r="D18" s="440" t="s">
        <v>3729</v>
      </c>
      <c r="E18" s="441" t="s">
        <v>2842</v>
      </c>
    </row>
    <row r="19" spans="2:5" ht="27" thickBot="1">
      <c r="B19" s="219" t="s">
        <v>3735</v>
      </c>
      <c r="C19" s="439" t="s">
        <v>3627</v>
      </c>
      <c r="D19" s="440" t="s">
        <v>3730</v>
      </c>
      <c r="E19" s="441" t="s">
        <v>2842</v>
      </c>
    </row>
    <row r="20" spans="2:5" ht="52.5" thickBot="1">
      <c r="B20" s="443" t="s">
        <v>3724</v>
      </c>
      <c r="C20" s="439" t="s">
        <v>3618</v>
      </c>
      <c r="D20" s="440" t="s">
        <v>3731</v>
      </c>
      <c r="E20" s="452"/>
    </row>
    <row r="21" spans="2:5" ht="39.75" thickBot="1">
      <c r="B21" s="444" t="s">
        <v>3736</v>
      </c>
      <c r="C21" s="439" t="s">
        <v>3627</v>
      </c>
      <c r="D21" s="440" t="s">
        <v>3732</v>
      </c>
      <c r="E21" s="452"/>
    </row>
    <row r="22" spans="2:5" ht="15.75" thickBot="1">
      <c r="B22" s="219" t="s">
        <v>3726</v>
      </c>
      <c r="C22" s="223" t="s">
        <v>3618</v>
      </c>
      <c r="D22" s="445" t="s">
        <v>2852</v>
      </c>
      <c r="E22" s="224" t="s">
        <v>3632</v>
      </c>
    </row>
    <row r="23" spans="2:5" ht="27" thickBot="1">
      <c r="B23" s="219" t="s">
        <v>3737</v>
      </c>
      <c r="C23" s="223" t="s">
        <v>3618</v>
      </c>
      <c r="D23" s="446" t="s">
        <v>2858</v>
      </c>
      <c r="E23" s="436" t="s">
        <v>3633</v>
      </c>
    </row>
    <row r="24" spans="2:5" ht="27" thickBot="1">
      <c r="B24" s="219" t="s">
        <v>3689</v>
      </c>
      <c r="C24" s="223" t="s">
        <v>3618</v>
      </c>
      <c r="D24" s="440" t="s">
        <v>2859</v>
      </c>
      <c r="E24" s="436" t="s">
        <v>3634</v>
      </c>
    </row>
    <row r="25" spans="2:5" ht="27" thickBot="1">
      <c r="B25" s="219" t="s">
        <v>3690</v>
      </c>
      <c r="C25" s="223" t="s">
        <v>3618</v>
      </c>
      <c r="D25" s="446" t="s">
        <v>2860</v>
      </c>
      <c r="E25" s="436" t="s">
        <v>3635</v>
      </c>
    </row>
    <row r="26" spans="2:5" ht="27" thickBot="1">
      <c r="B26" s="219" t="s">
        <v>3738</v>
      </c>
      <c r="C26" s="223" t="s">
        <v>3618</v>
      </c>
      <c r="D26" s="440" t="s">
        <v>3547</v>
      </c>
      <c r="E26" s="436" t="s">
        <v>3636</v>
      </c>
    </row>
    <row r="27" spans="2:5" ht="26.25" thickBot="1">
      <c r="B27" s="447" t="s">
        <v>3637</v>
      </c>
      <c r="C27" s="439" t="s">
        <v>3638</v>
      </c>
      <c r="D27" s="440" t="s">
        <v>3639</v>
      </c>
      <c r="E27" s="436" t="s">
        <v>3640</v>
      </c>
    </row>
    <row r="28" spans="2:5" ht="39.75" thickBot="1">
      <c r="B28" s="219" t="s">
        <v>3641</v>
      </c>
      <c r="C28" s="439" t="s">
        <v>3642</v>
      </c>
      <c r="D28" s="440" t="s">
        <v>3643</v>
      </c>
      <c r="E28" s="436" t="s">
        <v>3644</v>
      </c>
    </row>
    <row r="29" spans="2:5" ht="26.25" thickBot="1">
      <c r="B29" s="219" t="s">
        <v>3645</v>
      </c>
      <c r="C29" s="439" t="s">
        <v>3646</v>
      </c>
      <c r="D29" s="440" t="s">
        <v>3647</v>
      </c>
      <c r="E29" s="436" t="s">
        <v>3648</v>
      </c>
    </row>
    <row r="30" spans="2:5" ht="15.75" thickBot="1">
      <c r="B30" s="219" t="s">
        <v>3649</v>
      </c>
      <c r="C30" s="439" t="s">
        <v>3646</v>
      </c>
      <c r="D30" s="440" t="s">
        <v>3650</v>
      </c>
      <c r="E30" s="436" t="s">
        <v>3648</v>
      </c>
    </row>
    <row r="31" spans="2:5" ht="26.25" thickBot="1">
      <c r="B31" s="219" t="s">
        <v>3651</v>
      </c>
      <c r="C31" s="439" t="s">
        <v>3646</v>
      </c>
      <c r="D31" s="440" t="s">
        <v>3652</v>
      </c>
      <c r="E31" s="436" t="s">
        <v>3648</v>
      </c>
    </row>
    <row r="32" spans="2:5" ht="15.75" thickBot="1">
      <c r="B32" s="219" t="s">
        <v>3653</v>
      </c>
      <c r="C32" s="439" t="s">
        <v>3646</v>
      </c>
      <c r="D32" s="440" t="s">
        <v>3654</v>
      </c>
      <c r="E32" s="436" t="s">
        <v>3648</v>
      </c>
    </row>
    <row r="33" spans="1:5" ht="26.25" thickBot="1">
      <c r="B33" s="219" t="s">
        <v>3655</v>
      </c>
      <c r="C33" s="448" t="s">
        <v>3646</v>
      </c>
      <c r="D33" s="221" t="s">
        <v>3656</v>
      </c>
      <c r="E33" s="222" t="s">
        <v>3648</v>
      </c>
    </row>
    <row r="34" spans="1:5">
      <c r="A34" s="217"/>
      <c r="B34" s="451"/>
      <c r="C34" s="450"/>
      <c r="D34" s="450"/>
      <c r="E34" s="449"/>
    </row>
    <row r="35" spans="1:5" ht="15.75" thickBot="1">
      <c r="A35" s="217"/>
      <c r="B35" s="451"/>
      <c r="C35" s="450"/>
      <c r="D35" s="450"/>
      <c r="E35" s="449"/>
    </row>
    <row r="36" spans="1:5" ht="19.5" thickBot="1">
      <c r="B36" s="641" t="s">
        <v>2826</v>
      </c>
      <c r="C36" s="642"/>
      <c r="D36" s="643"/>
    </row>
    <row r="37" spans="1:5">
      <c r="B37" s="644" t="s">
        <v>2827</v>
      </c>
      <c r="C37" s="645"/>
      <c r="D37" s="646"/>
    </row>
    <row r="38" spans="1:5">
      <c r="B38" s="632" t="s">
        <v>2828</v>
      </c>
      <c r="C38" s="633"/>
      <c r="D38" s="634"/>
    </row>
    <row r="39" spans="1:5">
      <c r="B39" s="632" t="s">
        <v>2829</v>
      </c>
      <c r="C39" s="633"/>
      <c r="D39" s="634"/>
    </row>
    <row r="40" spans="1:5">
      <c r="B40" s="632" t="s">
        <v>2830</v>
      </c>
      <c r="C40" s="633"/>
      <c r="D40" s="634"/>
    </row>
    <row r="41" spans="1:5">
      <c r="B41" s="632" t="s">
        <v>2831</v>
      </c>
      <c r="C41" s="633"/>
      <c r="D41" s="634"/>
    </row>
    <row r="42" spans="1:5">
      <c r="B42" s="632" t="s">
        <v>2832</v>
      </c>
      <c r="C42" s="633"/>
      <c r="D42" s="634"/>
    </row>
    <row r="43" spans="1:5">
      <c r="B43" s="632" t="s">
        <v>2833</v>
      </c>
      <c r="C43" s="633"/>
      <c r="D43" s="634"/>
    </row>
    <row r="44" spans="1:5">
      <c r="B44" s="632" t="s">
        <v>2834</v>
      </c>
      <c r="C44" s="633"/>
      <c r="D44" s="634"/>
    </row>
    <row r="45" spans="1:5">
      <c r="B45" s="632" t="s">
        <v>2835</v>
      </c>
      <c r="C45" s="633"/>
      <c r="D45" s="634"/>
    </row>
    <row r="46" spans="1:5">
      <c r="B46" s="632" t="s">
        <v>2836</v>
      </c>
      <c r="C46" s="633"/>
      <c r="D46" s="634"/>
    </row>
    <row r="47" spans="1:5">
      <c r="B47" s="632" t="s">
        <v>2837</v>
      </c>
      <c r="C47" s="633"/>
      <c r="D47" s="634"/>
    </row>
    <row r="48" spans="1:5">
      <c r="B48" s="632" t="s">
        <v>2838</v>
      </c>
      <c r="C48" s="633"/>
      <c r="D48" s="634"/>
    </row>
    <row r="49" spans="2:4">
      <c r="B49" s="632" t="s">
        <v>2839</v>
      </c>
      <c r="C49" s="633"/>
      <c r="D49" s="634"/>
    </row>
    <row r="50" spans="2:4" ht="15.75" thickBot="1">
      <c r="B50" s="635" t="s">
        <v>2840</v>
      </c>
      <c r="C50" s="636"/>
      <c r="D50" s="637"/>
    </row>
  </sheetData>
  <mergeCells count="17">
    <mergeCell ref="B3:B4"/>
    <mergeCell ref="B43:D43"/>
    <mergeCell ref="B44:D44"/>
    <mergeCell ref="B45:D45"/>
    <mergeCell ref="B46:D46"/>
    <mergeCell ref="B36:D36"/>
    <mergeCell ref="B37:D37"/>
    <mergeCell ref="B38:D38"/>
    <mergeCell ref="B39:D39"/>
    <mergeCell ref="B40:D40"/>
    <mergeCell ref="B41:D41"/>
    <mergeCell ref="B42:D42"/>
    <mergeCell ref="B49:D49"/>
    <mergeCell ref="B50:D50"/>
    <mergeCell ref="B5:B7"/>
    <mergeCell ref="B47:D47"/>
    <mergeCell ref="B48:D48"/>
  </mergeCells>
  <hyperlinks>
    <hyperlink ref="E5" r:id="rId1"/>
    <hyperlink ref="C7" r:id="rId2" display="http://data.worldbank.org/data-catalog/commodity-price-data"/>
    <hyperlink ref="D7" r:id="rId3" display="http://data.worldbank.org/data-catalog/commodity-price-data"/>
    <hyperlink ref="E11" r:id="rId4"/>
    <hyperlink ref="E16" r:id="rId5"/>
    <hyperlink ref="E27" r:id="rId6"/>
    <hyperlink ref="E23" r:id="rId7"/>
    <hyperlink ref="E24" r:id="rId8"/>
    <hyperlink ref="E25" r:id="rId9"/>
    <hyperlink ref="E26" r:id="rId10"/>
    <hyperlink ref="E29" r:id="rId11" location="home "/>
    <hyperlink ref="E30:E33" r:id="rId12" location="home " display="http://info.worldbank.org/governance/wgi/index.aspx#home "/>
    <hyperlink ref="E28" r:id="rId13"/>
    <hyperlink ref="E22" r:id="rId14"/>
    <hyperlink ref="E13" r:id="rId15"/>
    <hyperlink ref="E10" r:id="rId16"/>
  </hyperlinks>
  <pageMargins left="0.7" right="0.7" top="0.75" bottom="0.75" header="0.3" footer="0.3"/>
  <pageSetup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0"/>
  <sheetViews>
    <sheetView zoomScale="80" zoomScaleNormal="80" zoomScalePageLayoutView="80" workbookViewId="0">
      <pane xSplit="1" ySplit="1" topLeftCell="B14" activePane="bottomRight" state="frozen"/>
      <selection pane="topRight" activeCell="B1" sqref="B1"/>
      <selection pane="bottomLeft" activeCell="A3" sqref="A3"/>
      <selection pane="bottomRight" activeCell="G25" sqref="G25:G36"/>
    </sheetView>
  </sheetViews>
  <sheetFormatPr defaultColWidth="0" defaultRowHeight="15"/>
  <cols>
    <col min="1" max="1" width="35.7109375" style="9" customWidth="1"/>
    <col min="2" max="2" width="26.140625" style="5" customWidth="1"/>
    <col min="3" max="4" width="35.7109375" style="5" customWidth="1"/>
    <col min="5" max="5" width="35.7109375" style="24" customWidth="1"/>
    <col min="6" max="6" width="35.7109375" style="5" customWidth="1"/>
    <col min="7" max="8" width="35.7109375" style="215" customWidth="1"/>
    <col min="9" max="9" width="28.42578125" style="5" customWidth="1"/>
    <col min="10" max="12" width="35.7109375" style="5" customWidth="1"/>
    <col min="13" max="19" width="20.7109375" style="5" customWidth="1"/>
    <col min="20" max="20" width="128" style="210" customWidth="1"/>
    <col min="21" max="21" width="14.85546875" style="4" bestFit="1" customWidth="1"/>
    <col min="22" max="22" width="8.85546875" style="4" customWidth="1"/>
    <col min="23" max="27" width="0" style="9" hidden="1" customWidth="1"/>
    <col min="28" max="16384" width="8.85546875" style="4" hidden="1"/>
  </cols>
  <sheetData>
    <row r="1" spans="1:22" s="3" customFormat="1" ht="30.75" thickBot="1">
      <c r="A1" s="509" t="s">
        <v>0</v>
      </c>
      <c r="B1" s="510" t="s">
        <v>2275</v>
      </c>
      <c r="C1" s="510" t="s">
        <v>2</v>
      </c>
      <c r="D1" s="510" t="s">
        <v>3</v>
      </c>
      <c r="E1" s="511" t="s">
        <v>3609</v>
      </c>
      <c r="F1" s="510" t="s">
        <v>5</v>
      </c>
      <c r="G1" s="280" t="s">
        <v>3703</v>
      </c>
      <c r="H1" s="280" t="s">
        <v>556</v>
      </c>
      <c r="I1" s="510" t="s">
        <v>7</v>
      </c>
      <c r="J1" s="512" t="s">
        <v>8</v>
      </c>
      <c r="K1" s="512" t="s">
        <v>3565</v>
      </c>
      <c r="L1" s="512" t="s">
        <v>3564</v>
      </c>
      <c r="M1" s="510" t="s">
        <v>9</v>
      </c>
      <c r="N1" s="510" t="s">
        <v>10</v>
      </c>
      <c r="O1" s="510" t="s">
        <v>11</v>
      </c>
      <c r="P1" s="510" t="s">
        <v>12</v>
      </c>
      <c r="Q1" s="510" t="s">
        <v>13</v>
      </c>
      <c r="R1" s="510" t="s">
        <v>14</v>
      </c>
      <c r="S1" s="510" t="s">
        <v>3560</v>
      </c>
      <c r="T1" s="513" t="s">
        <v>3571</v>
      </c>
    </row>
    <row r="2" spans="1:22">
      <c r="A2" s="514" t="s">
        <v>15</v>
      </c>
      <c r="B2" s="485">
        <v>2008</v>
      </c>
      <c r="C2" s="485" t="s">
        <v>16</v>
      </c>
      <c r="D2" s="485" t="s">
        <v>17</v>
      </c>
      <c r="E2" s="54" t="s">
        <v>18</v>
      </c>
      <c r="F2" s="485" t="s">
        <v>19</v>
      </c>
      <c r="G2" s="212">
        <v>89690970</v>
      </c>
      <c r="H2" s="212">
        <v>89986645</v>
      </c>
      <c r="I2" s="485">
        <v>4</v>
      </c>
      <c r="J2" s="486" t="s">
        <v>20</v>
      </c>
      <c r="K2" s="217" t="s">
        <v>558</v>
      </c>
      <c r="L2" s="217" t="s">
        <v>564</v>
      </c>
      <c r="M2" s="485" t="s">
        <v>21</v>
      </c>
      <c r="N2" s="485"/>
      <c r="O2" s="485" t="s">
        <v>21</v>
      </c>
      <c r="P2" s="485"/>
      <c r="Q2" s="487" t="s">
        <v>21</v>
      </c>
      <c r="R2" s="485"/>
      <c r="S2" s="487" t="s">
        <v>22</v>
      </c>
      <c r="T2" s="515"/>
      <c r="U2" s="9"/>
      <c r="V2" s="6"/>
    </row>
    <row r="3" spans="1:22">
      <c r="A3" s="516" t="s">
        <v>24</v>
      </c>
      <c r="B3" s="485">
        <v>2009</v>
      </c>
      <c r="C3" s="485" t="s">
        <v>16</v>
      </c>
      <c r="D3" s="485" t="s">
        <v>17</v>
      </c>
      <c r="E3" s="54" t="s">
        <v>18</v>
      </c>
      <c r="F3" s="485" t="s">
        <v>19</v>
      </c>
      <c r="G3" s="212">
        <v>7788994</v>
      </c>
      <c r="H3" s="212">
        <v>13964717</v>
      </c>
      <c r="I3" s="485">
        <v>5</v>
      </c>
      <c r="J3" s="486" t="s">
        <v>20</v>
      </c>
      <c r="K3" s="217" t="s">
        <v>558</v>
      </c>
      <c r="L3" s="217" t="s">
        <v>564</v>
      </c>
      <c r="M3" s="485" t="s">
        <v>21</v>
      </c>
      <c r="N3" s="485"/>
      <c r="O3" s="485" t="s">
        <v>21</v>
      </c>
      <c r="P3" s="485"/>
      <c r="Q3" s="487" t="s">
        <v>21</v>
      </c>
      <c r="R3" s="485"/>
      <c r="S3" s="487" t="s">
        <v>22</v>
      </c>
      <c r="T3" s="515"/>
      <c r="U3" s="9"/>
      <c r="V3" s="6"/>
    </row>
    <row r="4" spans="1:22" ht="30">
      <c r="A4" s="516" t="s">
        <v>25</v>
      </c>
      <c r="B4" s="485">
        <v>2010</v>
      </c>
      <c r="C4" s="485" t="s">
        <v>16</v>
      </c>
      <c r="D4" s="485" t="s">
        <v>17</v>
      </c>
      <c r="E4" s="54" t="s">
        <v>26</v>
      </c>
      <c r="F4" s="485" t="s">
        <v>19</v>
      </c>
      <c r="G4" s="212">
        <v>23383829.469999999</v>
      </c>
      <c r="H4" s="212">
        <v>24969535.890000001</v>
      </c>
      <c r="I4" s="485">
        <v>5</v>
      </c>
      <c r="J4" s="486" t="s">
        <v>27</v>
      </c>
      <c r="K4" s="217" t="s">
        <v>558</v>
      </c>
      <c r="L4" s="217" t="s">
        <v>564</v>
      </c>
      <c r="M4" s="485" t="s">
        <v>21</v>
      </c>
      <c r="N4" s="485"/>
      <c r="O4" s="485" t="s">
        <v>21</v>
      </c>
      <c r="P4" s="485"/>
      <c r="Q4" s="487" t="s">
        <v>21</v>
      </c>
      <c r="R4" s="485"/>
      <c r="S4" s="487" t="s">
        <v>22</v>
      </c>
      <c r="T4" s="517" t="s">
        <v>3570</v>
      </c>
      <c r="U4" s="9"/>
      <c r="V4" s="6"/>
    </row>
    <row r="5" spans="1:22">
      <c r="A5" s="516" t="s">
        <v>28</v>
      </c>
      <c r="B5" s="485">
        <v>2011</v>
      </c>
      <c r="C5" s="485" t="s">
        <v>16</v>
      </c>
      <c r="D5" s="485" t="s">
        <v>17</v>
      </c>
      <c r="E5" s="54" t="s">
        <v>29</v>
      </c>
      <c r="F5" s="27" t="s">
        <v>30</v>
      </c>
      <c r="G5" s="212">
        <v>101776402</v>
      </c>
      <c r="H5" s="212">
        <v>101712176</v>
      </c>
      <c r="I5" s="485">
        <v>14</v>
      </c>
      <c r="J5" s="486" t="s">
        <v>31</v>
      </c>
      <c r="K5" s="217" t="s">
        <v>558</v>
      </c>
      <c r="L5" s="217" t="s">
        <v>564</v>
      </c>
      <c r="M5" s="487" t="s">
        <v>21</v>
      </c>
      <c r="N5" s="485"/>
      <c r="O5" s="487" t="s">
        <v>21</v>
      </c>
      <c r="P5" s="485"/>
      <c r="Q5" s="487" t="s">
        <v>21</v>
      </c>
      <c r="R5" s="485"/>
      <c r="S5" s="487" t="s">
        <v>22</v>
      </c>
      <c r="T5" s="515"/>
      <c r="U5" s="9"/>
      <c r="V5" s="6"/>
    </row>
    <row r="6" spans="1:22" s="9" customFormat="1">
      <c r="A6" s="516" t="s">
        <v>32</v>
      </c>
      <c r="B6" s="485">
        <v>2009</v>
      </c>
      <c r="C6" s="487" t="s">
        <v>33</v>
      </c>
      <c r="D6" s="487" t="s">
        <v>34</v>
      </c>
      <c r="E6" s="54" t="s">
        <v>35</v>
      </c>
      <c r="F6" s="487" t="s">
        <v>36</v>
      </c>
      <c r="G6" s="212">
        <v>33298711.201804318</v>
      </c>
      <c r="H6" s="212">
        <v>33961855.117602833</v>
      </c>
      <c r="I6" s="485">
        <v>41</v>
      </c>
      <c r="J6" s="486" t="s">
        <v>37</v>
      </c>
      <c r="K6" s="217" t="s">
        <v>616</v>
      </c>
      <c r="L6" s="217" t="s">
        <v>623</v>
      </c>
      <c r="M6" s="485"/>
      <c r="N6" s="487"/>
      <c r="O6" s="487" t="s">
        <v>21</v>
      </c>
      <c r="P6" s="485"/>
      <c r="Q6" s="487"/>
      <c r="R6" s="485"/>
      <c r="S6" s="487" t="s">
        <v>22</v>
      </c>
      <c r="T6" s="515"/>
      <c r="V6" s="6"/>
    </row>
    <row r="7" spans="1:22" s="9" customFormat="1">
      <c r="A7" s="516" t="s">
        <v>38</v>
      </c>
      <c r="B7" s="485">
        <v>2010</v>
      </c>
      <c r="C7" s="487" t="s">
        <v>33</v>
      </c>
      <c r="D7" s="487" t="s">
        <v>34</v>
      </c>
      <c r="E7" s="54" t="s">
        <v>39</v>
      </c>
      <c r="F7" s="487" t="s">
        <v>30</v>
      </c>
      <c r="G7" s="212">
        <v>62819643</v>
      </c>
      <c r="H7" s="212">
        <v>61621520</v>
      </c>
      <c r="I7" s="485">
        <v>62</v>
      </c>
      <c r="J7" s="486" t="s">
        <v>40</v>
      </c>
      <c r="K7" s="217" t="s">
        <v>616</v>
      </c>
      <c r="L7" s="217" t="s">
        <v>623</v>
      </c>
      <c r="M7" s="485"/>
      <c r="N7" s="487"/>
      <c r="O7" s="487" t="s">
        <v>21</v>
      </c>
      <c r="P7" s="485"/>
      <c r="Q7" s="487"/>
      <c r="R7" s="485"/>
      <c r="S7" s="487" t="s">
        <v>22</v>
      </c>
      <c r="T7" s="515" t="s">
        <v>3572</v>
      </c>
      <c r="V7" s="6"/>
    </row>
    <row r="8" spans="1:22" s="9" customFormat="1">
      <c r="A8" s="516" t="s">
        <v>41</v>
      </c>
      <c r="B8" s="485">
        <v>2011</v>
      </c>
      <c r="C8" s="487" t="s">
        <v>33</v>
      </c>
      <c r="D8" s="487" t="s">
        <v>34</v>
      </c>
      <c r="E8" s="54" t="s">
        <v>42</v>
      </c>
      <c r="F8" s="487" t="s">
        <v>30</v>
      </c>
      <c r="G8" s="212">
        <v>87672150.568453237</v>
      </c>
      <c r="H8" s="212">
        <v>87847635.425623387</v>
      </c>
      <c r="I8" s="485">
        <v>63</v>
      </c>
      <c r="J8" s="486" t="s">
        <v>43</v>
      </c>
      <c r="K8" s="217" t="s">
        <v>616</v>
      </c>
      <c r="L8" s="217" t="s">
        <v>662</v>
      </c>
      <c r="M8" s="487" t="s">
        <v>21</v>
      </c>
      <c r="N8" s="487"/>
      <c r="O8" s="487" t="s">
        <v>21</v>
      </c>
      <c r="P8" s="485"/>
      <c r="Q8" s="487" t="s">
        <v>21</v>
      </c>
      <c r="R8" s="485"/>
      <c r="S8" s="487" t="s">
        <v>22</v>
      </c>
      <c r="T8" s="515"/>
      <c r="V8" s="6"/>
    </row>
    <row r="9" spans="1:22">
      <c r="A9" s="518" t="s">
        <v>44</v>
      </c>
      <c r="B9" s="200">
        <v>2012</v>
      </c>
      <c r="C9" s="200" t="s">
        <v>33</v>
      </c>
      <c r="D9" s="200" t="s">
        <v>34</v>
      </c>
      <c r="E9" s="54" t="s">
        <v>45</v>
      </c>
      <c r="F9" s="200" t="s">
        <v>36</v>
      </c>
      <c r="G9" s="243">
        <v>92136623.819999993</v>
      </c>
      <c r="H9" s="243">
        <v>92418128.930000007</v>
      </c>
      <c r="I9" s="27">
        <v>74</v>
      </c>
      <c r="J9" s="41" t="s">
        <v>46</v>
      </c>
      <c r="K9" s="217" t="s">
        <v>616</v>
      </c>
      <c r="L9" s="217" t="s">
        <v>662</v>
      </c>
      <c r="M9" s="488" t="s">
        <v>21</v>
      </c>
      <c r="N9" s="488"/>
      <c r="O9" s="488" t="s">
        <v>21</v>
      </c>
      <c r="P9" s="488"/>
      <c r="Q9" s="488"/>
      <c r="R9" s="488"/>
      <c r="S9" s="488"/>
      <c r="T9" s="515"/>
      <c r="U9" s="9"/>
      <c r="V9" s="9"/>
    </row>
    <row r="10" spans="1:22" s="9" customFormat="1" ht="30">
      <c r="A10" s="516" t="s">
        <v>47</v>
      </c>
      <c r="B10" s="485">
        <v>2003</v>
      </c>
      <c r="C10" s="27" t="s">
        <v>48</v>
      </c>
      <c r="D10" s="487" t="s">
        <v>34</v>
      </c>
      <c r="E10" s="54" t="s">
        <v>49</v>
      </c>
      <c r="F10" s="487" t="s">
        <v>50</v>
      </c>
      <c r="G10" s="489">
        <v>622338949.75102043</v>
      </c>
      <c r="H10" s="489">
        <v>263638775.51020396</v>
      </c>
      <c r="I10" s="485">
        <v>21</v>
      </c>
      <c r="J10" s="486" t="s">
        <v>51</v>
      </c>
      <c r="K10" s="217" t="s">
        <v>678</v>
      </c>
      <c r="L10" s="217" t="s">
        <v>662</v>
      </c>
      <c r="M10" s="487"/>
      <c r="N10" s="487"/>
      <c r="O10" s="487" t="s">
        <v>21</v>
      </c>
      <c r="P10" s="485"/>
      <c r="Q10" s="487"/>
      <c r="R10" s="485"/>
      <c r="S10" s="487" t="s">
        <v>22</v>
      </c>
      <c r="T10" s="519" t="s">
        <v>3567</v>
      </c>
      <c r="V10" s="6"/>
    </row>
    <row r="11" spans="1:22" s="9" customFormat="1" ht="30">
      <c r="A11" s="516" t="s">
        <v>52</v>
      </c>
      <c r="B11" s="485">
        <v>2004</v>
      </c>
      <c r="C11" s="27" t="s">
        <v>48</v>
      </c>
      <c r="D11" s="490" t="s">
        <v>34</v>
      </c>
      <c r="E11" s="54" t="s">
        <v>53</v>
      </c>
      <c r="F11" s="487" t="s">
        <v>50</v>
      </c>
      <c r="G11" s="489">
        <v>1099837402.0408163</v>
      </c>
      <c r="H11" s="489">
        <v>645018367.34693873</v>
      </c>
      <c r="I11" s="485">
        <v>21</v>
      </c>
      <c r="J11" s="486" t="s">
        <v>54</v>
      </c>
      <c r="K11" s="217" t="s">
        <v>678</v>
      </c>
      <c r="L11" s="217" t="s">
        <v>662</v>
      </c>
      <c r="M11" s="487"/>
      <c r="N11" s="487"/>
      <c r="O11" s="487" t="s">
        <v>21</v>
      </c>
      <c r="P11" s="485"/>
      <c r="Q11" s="487"/>
      <c r="R11" s="485"/>
      <c r="S11" s="487" t="s">
        <v>22</v>
      </c>
      <c r="T11" s="519" t="s">
        <v>3567</v>
      </c>
      <c r="V11" s="6"/>
    </row>
    <row r="12" spans="1:22" s="9" customFormat="1">
      <c r="A12" s="516" t="s">
        <v>55</v>
      </c>
      <c r="B12" s="485">
        <v>2005</v>
      </c>
      <c r="C12" s="27" t="s">
        <v>48</v>
      </c>
      <c r="D12" s="487" t="s">
        <v>34</v>
      </c>
      <c r="E12" s="54" t="s">
        <v>56</v>
      </c>
      <c r="F12" s="487" t="s">
        <v>50</v>
      </c>
      <c r="G12" s="489">
        <v>1475500561.5275025</v>
      </c>
      <c r="H12" s="489">
        <v>157145502.64550266</v>
      </c>
      <c r="I12" s="485">
        <v>22</v>
      </c>
      <c r="J12" s="486" t="s">
        <v>57</v>
      </c>
      <c r="K12" s="217" t="s">
        <v>678</v>
      </c>
      <c r="L12" s="217" t="s">
        <v>564</v>
      </c>
      <c r="M12" s="487"/>
      <c r="N12" s="487"/>
      <c r="O12" s="487" t="s">
        <v>21</v>
      </c>
      <c r="P12" s="485"/>
      <c r="Q12" s="487"/>
      <c r="R12" s="485"/>
      <c r="S12" s="487" t="s">
        <v>22</v>
      </c>
      <c r="T12" s="517"/>
      <c r="V12" s="6"/>
    </row>
    <row r="13" spans="1:22" s="9" customFormat="1" ht="45">
      <c r="A13" s="516" t="s">
        <v>58</v>
      </c>
      <c r="B13" s="485">
        <v>2006</v>
      </c>
      <c r="C13" s="27" t="s">
        <v>48</v>
      </c>
      <c r="D13" s="487" t="s">
        <v>34</v>
      </c>
      <c r="E13" s="54" t="s">
        <v>59</v>
      </c>
      <c r="F13" s="487" t="s">
        <v>50</v>
      </c>
      <c r="G13" s="489">
        <v>3510790699.9586</v>
      </c>
      <c r="H13" s="489">
        <v>1687436394</v>
      </c>
      <c r="I13" s="485">
        <v>25</v>
      </c>
      <c r="J13" s="486" t="s">
        <v>60</v>
      </c>
      <c r="K13" s="217" t="s">
        <v>678</v>
      </c>
      <c r="L13" s="217" t="s">
        <v>564</v>
      </c>
      <c r="M13" s="487"/>
      <c r="N13" s="487"/>
      <c r="O13" s="487" t="s">
        <v>21</v>
      </c>
      <c r="P13" s="485"/>
      <c r="Q13" s="487"/>
      <c r="R13" s="485"/>
      <c r="S13" s="487" t="s">
        <v>22</v>
      </c>
      <c r="T13" s="517" t="s">
        <v>3568</v>
      </c>
      <c r="V13" s="6"/>
    </row>
    <row r="14" spans="1:22" s="9" customFormat="1" ht="45">
      <c r="A14" s="516" t="s">
        <v>61</v>
      </c>
      <c r="B14" s="485">
        <v>2007</v>
      </c>
      <c r="C14" s="27" t="s">
        <v>48</v>
      </c>
      <c r="D14" s="487" t="s">
        <v>34</v>
      </c>
      <c r="E14" s="54" t="s">
        <v>62</v>
      </c>
      <c r="F14" s="487" t="s">
        <v>50</v>
      </c>
      <c r="G14" s="489">
        <v>5563486877.5584002</v>
      </c>
      <c r="H14" s="489">
        <v>2818365735</v>
      </c>
      <c r="I14" s="485">
        <v>25</v>
      </c>
      <c r="J14" s="486" t="s">
        <v>63</v>
      </c>
      <c r="K14" s="217" t="s">
        <v>678</v>
      </c>
      <c r="L14" s="217" t="s">
        <v>564</v>
      </c>
      <c r="M14" s="487"/>
      <c r="N14" s="487"/>
      <c r="O14" s="487" t="s">
        <v>21</v>
      </c>
      <c r="P14" s="485"/>
      <c r="Q14" s="487"/>
      <c r="R14" s="485"/>
      <c r="S14" s="487" t="s">
        <v>22</v>
      </c>
      <c r="T14" s="517" t="s">
        <v>3568</v>
      </c>
      <c r="V14" s="6"/>
    </row>
    <row r="15" spans="1:22" s="9" customFormat="1" ht="45">
      <c r="A15" s="516" t="s">
        <v>64</v>
      </c>
      <c r="B15" s="485">
        <v>2008</v>
      </c>
      <c r="C15" s="27" t="s">
        <v>48</v>
      </c>
      <c r="D15" s="487" t="s">
        <v>34</v>
      </c>
      <c r="E15" s="54" t="s">
        <v>65</v>
      </c>
      <c r="F15" s="487" t="s">
        <v>50</v>
      </c>
      <c r="G15" s="489">
        <v>19134087707.225998</v>
      </c>
      <c r="H15" s="489">
        <v>3822950670</v>
      </c>
      <c r="I15" s="485">
        <v>26</v>
      </c>
      <c r="J15" s="486" t="s">
        <v>66</v>
      </c>
      <c r="K15" s="217" t="s">
        <v>678</v>
      </c>
      <c r="L15" s="217" t="s">
        <v>564</v>
      </c>
      <c r="M15" s="487"/>
      <c r="N15" s="487"/>
      <c r="O15" s="487" t="s">
        <v>21</v>
      </c>
      <c r="P15" s="485"/>
      <c r="Q15" s="487"/>
      <c r="R15" s="485"/>
      <c r="S15" s="487" t="s">
        <v>22</v>
      </c>
      <c r="T15" s="517" t="s">
        <v>3568</v>
      </c>
      <c r="V15" s="6"/>
    </row>
    <row r="16" spans="1:22" s="9" customFormat="1" ht="45">
      <c r="A16" s="516" t="s">
        <v>67</v>
      </c>
      <c r="B16" s="485">
        <v>2009</v>
      </c>
      <c r="C16" s="27" t="s">
        <v>48</v>
      </c>
      <c r="D16" s="487" t="s">
        <v>34</v>
      </c>
      <c r="E16" s="54" t="s">
        <v>68</v>
      </c>
      <c r="F16" s="27" t="s">
        <v>30</v>
      </c>
      <c r="G16" s="489">
        <v>14160319906.428267</v>
      </c>
      <c r="H16" s="489">
        <v>1706355915.317559</v>
      </c>
      <c r="I16" s="485">
        <v>30</v>
      </c>
      <c r="J16" s="486" t="s">
        <v>69</v>
      </c>
      <c r="K16" s="217" t="s">
        <v>678</v>
      </c>
      <c r="L16" s="217" t="s">
        <v>564</v>
      </c>
      <c r="M16" s="487"/>
      <c r="N16" s="487"/>
      <c r="O16" s="487" t="s">
        <v>21</v>
      </c>
      <c r="P16" s="485"/>
      <c r="Q16" s="487"/>
      <c r="R16" s="485"/>
      <c r="S16" s="487" t="s">
        <v>22</v>
      </c>
      <c r="T16" s="517" t="s">
        <v>3568</v>
      </c>
      <c r="V16" s="6"/>
    </row>
    <row r="17" spans="1:27" s="9" customFormat="1" ht="45">
      <c r="A17" s="516" t="s">
        <v>70</v>
      </c>
      <c r="B17" s="485">
        <v>2010</v>
      </c>
      <c r="C17" s="27" t="s">
        <v>48</v>
      </c>
      <c r="D17" s="487" t="s">
        <v>34</v>
      </c>
      <c r="E17" s="54" t="s">
        <v>71</v>
      </c>
      <c r="F17" s="27" t="s">
        <v>30</v>
      </c>
      <c r="G17" s="489">
        <v>19732689646.414902</v>
      </c>
      <c r="H17" s="489">
        <v>1985246699.8754668</v>
      </c>
      <c r="I17" s="485">
        <v>31</v>
      </c>
      <c r="J17" s="486" t="s">
        <v>72</v>
      </c>
      <c r="K17" s="217" t="s">
        <v>678</v>
      </c>
      <c r="L17" s="217" t="s">
        <v>564</v>
      </c>
      <c r="M17" s="487"/>
      <c r="N17" s="487"/>
      <c r="O17" s="487" t="s">
        <v>21</v>
      </c>
      <c r="P17" s="485"/>
      <c r="Q17" s="487"/>
      <c r="R17" s="485"/>
      <c r="S17" s="487" t="s">
        <v>22</v>
      </c>
      <c r="T17" s="517" t="s">
        <v>3568</v>
      </c>
      <c r="V17" s="6"/>
    </row>
    <row r="18" spans="1:27" s="9" customFormat="1">
      <c r="A18" s="516" t="s">
        <v>73</v>
      </c>
      <c r="B18" s="485">
        <v>2011</v>
      </c>
      <c r="C18" s="27" t="s">
        <v>48</v>
      </c>
      <c r="D18" s="487" t="s">
        <v>34</v>
      </c>
      <c r="E18" s="54" t="s">
        <v>74</v>
      </c>
      <c r="F18" s="27" t="s">
        <v>30</v>
      </c>
      <c r="G18" s="212">
        <v>23901723059.816406</v>
      </c>
      <c r="H18" s="212">
        <v>23789422532</v>
      </c>
      <c r="I18" s="485">
        <v>31</v>
      </c>
      <c r="J18" s="486" t="s">
        <v>75</v>
      </c>
      <c r="K18" s="217" t="s">
        <v>678</v>
      </c>
      <c r="L18" s="217" t="s">
        <v>564</v>
      </c>
      <c r="M18" s="487"/>
      <c r="N18" s="487"/>
      <c r="O18" s="487" t="s">
        <v>21</v>
      </c>
      <c r="P18" s="485"/>
      <c r="Q18" s="487"/>
      <c r="R18" s="485"/>
      <c r="S18" s="487" t="s">
        <v>22</v>
      </c>
      <c r="T18" s="515" t="s">
        <v>3569</v>
      </c>
      <c r="V18" s="6"/>
    </row>
    <row r="19" spans="1:27" s="9" customFormat="1">
      <c r="A19" s="516" t="s">
        <v>76</v>
      </c>
      <c r="B19" s="485">
        <v>2012</v>
      </c>
      <c r="C19" s="27" t="s">
        <v>48</v>
      </c>
      <c r="D19" s="487" t="s">
        <v>34</v>
      </c>
      <c r="E19" s="54" t="s">
        <v>77</v>
      </c>
      <c r="F19" s="27" t="s">
        <v>30</v>
      </c>
      <c r="G19" s="212">
        <v>21826952015.575878</v>
      </c>
      <c r="H19" s="212">
        <v>21810988036.400002</v>
      </c>
      <c r="I19" s="485">
        <v>26</v>
      </c>
      <c r="J19" s="486" t="s">
        <v>78</v>
      </c>
      <c r="K19" s="217" t="s">
        <v>678</v>
      </c>
      <c r="L19" s="217" t="s">
        <v>564</v>
      </c>
      <c r="M19" s="487"/>
      <c r="N19" s="487"/>
      <c r="O19" s="487" t="s">
        <v>21</v>
      </c>
      <c r="P19" s="485"/>
      <c r="Q19" s="487"/>
      <c r="R19" s="485"/>
      <c r="S19" s="487" t="s">
        <v>22</v>
      </c>
      <c r="T19" s="515" t="s">
        <v>3572</v>
      </c>
      <c r="V19" s="6"/>
    </row>
    <row r="20" spans="1:27" s="12" customFormat="1">
      <c r="A20" s="516" t="s">
        <v>79</v>
      </c>
      <c r="B20" s="485">
        <v>2008</v>
      </c>
      <c r="C20" s="27" t="s">
        <v>80</v>
      </c>
      <c r="D20" s="487" t="s">
        <v>81</v>
      </c>
      <c r="E20" s="54" t="s">
        <v>82</v>
      </c>
      <c r="F20" s="27" t="s">
        <v>19</v>
      </c>
      <c r="G20" s="212">
        <v>3746160.96432199</v>
      </c>
      <c r="H20" s="212">
        <v>3466272.59891403</v>
      </c>
      <c r="I20" s="485">
        <v>1</v>
      </c>
      <c r="J20" s="486" t="s">
        <v>83</v>
      </c>
      <c r="K20" s="217" t="s">
        <v>769</v>
      </c>
      <c r="L20" s="217" t="s">
        <v>773</v>
      </c>
      <c r="M20" s="487" t="s">
        <v>21</v>
      </c>
      <c r="N20" s="487"/>
      <c r="O20" s="487" t="s">
        <v>21</v>
      </c>
      <c r="P20" s="485"/>
      <c r="Q20" s="487"/>
      <c r="R20" s="485"/>
      <c r="S20" s="487"/>
      <c r="T20" s="517" t="s">
        <v>3573</v>
      </c>
      <c r="U20" s="9"/>
      <c r="V20" s="6"/>
      <c r="W20" s="9"/>
      <c r="X20" s="9"/>
      <c r="Y20" s="9"/>
      <c r="Z20" s="9"/>
      <c r="AA20" s="9"/>
    </row>
    <row r="21" spans="1:27" s="12" customFormat="1">
      <c r="A21" s="516" t="s">
        <v>84</v>
      </c>
      <c r="B21" s="485">
        <v>2009</v>
      </c>
      <c r="C21" s="27" t="s">
        <v>80</v>
      </c>
      <c r="D21" s="487" t="s">
        <v>81</v>
      </c>
      <c r="E21" s="54" t="s">
        <v>82</v>
      </c>
      <c r="F21" s="27" t="s">
        <v>19</v>
      </c>
      <c r="G21" s="212">
        <v>22698094.711444009</v>
      </c>
      <c r="H21" s="212">
        <v>24962866.897629976</v>
      </c>
      <c r="I21" s="485">
        <v>4</v>
      </c>
      <c r="J21" s="486" t="s">
        <v>85</v>
      </c>
      <c r="K21" s="217" t="s">
        <v>769</v>
      </c>
      <c r="L21" s="217" t="s">
        <v>773</v>
      </c>
      <c r="M21" s="487" t="s">
        <v>21</v>
      </c>
      <c r="N21" s="487"/>
      <c r="O21" s="487" t="s">
        <v>21</v>
      </c>
      <c r="P21" s="485"/>
      <c r="Q21" s="487"/>
      <c r="R21" s="485"/>
      <c r="S21" s="487"/>
      <c r="T21" s="517" t="s">
        <v>3573</v>
      </c>
      <c r="U21" s="9"/>
      <c r="V21" s="6"/>
      <c r="W21" s="9"/>
      <c r="X21" s="9"/>
      <c r="Y21" s="9"/>
      <c r="Z21" s="9"/>
      <c r="AA21" s="9"/>
    </row>
    <row r="22" spans="1:27" s="9" customFormat="1">
      <c r="A22" s="516" t="s">
        <v>86</v>
      </c>
      <c r="B22" s="485">
        <v>2010</v>
      </c>
      <c r="C22" s="27" t="s">
        <v>80</v>
      </c>
      <c r="D22" s="487" t="s">
        <v>81</v>
      </c>
      <c r="E22" s="54" t="s">
        <v>87</v>
      </c>
      <c r="F22" s="27" t="s">
        <v>19</v>
      </c>
      <c r="G22" s="212">
        <v>47170416</v>
      </c>
      <c r="H22" s="212">
        <v>46949862</v>
      </c>
      <c r="I22" s="485">
        <v>9</v>
      </c>
      <c r="J22" s="486" t="s">
        <v>88</v>
      </c>
      <c r="K22" s="217" t="s">
        <v>769</v>
      </c>
      <c r="L22" s="217" t="s">
        <v>780</v>
      </c>
      <c r="M22" s="487" t="s">
        <v>21</v>
      </c>
      <c r="N22" s="487"/>
      <c r="O22" s="487" t="s">
        <v>21</v>
      </c>
      <c r="P22" s="485"/>
      <c r="Q22" s="487"/>
      <c r="R22" s="485"/>
      <c r="S22" s="487"/>
      <c r="T22" s="515"/>
      <c r="V22" s="6"/>
    </row>
    <row r="23" spans="1:27" s="9" customFormat="1" ht="60">
      <c r="A23" s="516" t="s">
        <v>89</v>
      </c>
      <c r="B23" s="485">
        <v>2011</v>
      </c>
      <c r="C23" s="27" t="s">
        <v>80</v>
      </c>
      <c r="D23" s="487" t="s">
        <v>81</v>
      </c>
      <c r="E23" s="54" t="s">
        <v>90</v>
      </c>
      <c r="F23" s="27" t="s">
        <v>19</v>
      </c>
      <c r="G23" s="212">
        <v>236414921.89335009</v>
      </c>
      <c r="H23" s="212">
        <v>238824617.91727158</v>
      </c>
      <c r="I23" s="485">
        <v>18</v>
      </c>
      <c r="J23" s="486" t="s">
        <v>91</v>
      </c>
      <c r="K23" s="217" t="s">
        <v>769</v>
      </c>
      <c r="L23" s="217" t="s">
        <v>794</v>
      </c>
      <c r="M23" s="487" t="s">
        <v>21</v>
      </c>
      <c r="N23" s="487"/>
      <c r="O23" s="487" t="s">
        <v>21</v>
      </c>
      <c r="P23" s="485"/>
      <c r="Q23" s="487"/>
      <c r="R23" s="485"/>
      <c r="S23" s="487"/>
      <c r="T23" s="517" t="s">
        <v>3574</v>
      </c>
      <c r="V23" s="6"/>
    </row>
    <row r="24" spans="1:27">
      <c r="A24" s="520" t="s">
        <v>92</v>
      </c>
      <c r="B24" s="491">
        <v>2012</v>
      </c>
      <c r="C24" s="27" t="s">
        <v>80</v>
      </c>
      <c r="D24" s="492" t="s">
        <v>81</v>
      </c>
      <c r="E24" s="54" t="s">
        <v>45</v>
      </c>
      <c r="F24" s="492" t="s">
        <v>19</v>
      </c>
      <c r="G24" s="243">
        <v>366304044.26999998</v>
      </c>
      <c r="H24" s="243">
        <v>371460985.86000001</v>
      </c>
      <c r="I24" s="27">
        <v>26</v>
      </c>
      <c r="J24" s="41" t="s">
        <v>94</v>
      </c>
      <c r="K24" s="217" t="s">
        <v>769</v>
      </c>
      <c r="L24" s="217" t="s">
        <v>564</v>
      </c>
      <c r="M24" s="488" t="s">
        <v>21</v>
      </c>
      <c r="N24" s="488"/>
      <c r="O24" s="488" t="s">
        <v>21</v>
      </c>
      <c r="P24" s="488"/>
      <c r="Q24" s="488"/>
      <c r="R24" s="488"/>
      <c r="S24" s="488"/>
      <c r="T24" s="515"/>
      <c r="U24" s="9"/>
      <c r="V24" s="9"/>
    </row>
    <row r="25" spans="1:27" s="9" customFormat="1">
      <c r="A25" s="516" t="s">
        <v>95</v>
      </c>
      <c r="B25" s="485">
        <v>2001</v>
      </c>
      <c r="C25" s="27" t="s">
        <v>96</v>
      </c>
      <c r="D25" s="487" t="s">
        <v>81</v>
      </c>
      <c r="E25" s="54" t="s">
        <v>97</v>
      </c>
      <c r="F25" s="27" t="s">
        <v>98</v>
      </c>
      <c r="G25" s="212">
        <v>731900794.85081637</v>
      </c>
      <c r="H25" s="212">
        <v>143175130</v>
      </c>
      <c r="I25" s="485">
        <v>4</v>
      </c>
      <c r="J25" s="486" t="s">
        <v>99</v>
      </c>
      <c r="K25" s="217" t="s">
        <v>801</v>
      </c>
      <c r="L25" s="217" t="s">
        <v>806</v>
      </c>
      <c r="M25" s="487"/>
      <c r="N25" s="487"/>
      <c r="O25" s="487" t="s">
        <v>21</v>
      </c>
      <c r="P25" s="485"/>
      <c r="Q25" s="487"/>
      <c r="R25" s="485"/>
      <c r="S25" s="487" t="s">
        <v>22</v>
      </c>
      <c r="T25" s="515" t="s">
        <v>3575</v>
      </c>
      <c r="V25" s="6"/>
    </row>
    <row r="26" spans="1:27" s="9" customFormat="1">
      <c r="A26" s="516" t="s">
        <v>100</v>
      </c>
      <c r="B26" s="485">
        <v>2002</v>
      </c>
      <c r="C26" s="27" t="s">
        <v>96</v>
      </c>
      <c r="D26" s="487" t="s">
        <v>81</v>
      </c>
      <c r="E26" s="54" t="s">
        <v>97</v>
      </c>
      <c r="F26" s="27" t="s">
        <v>98</v>
      </c>
      <c r="G26" s="212">
        <v>338323283.56164378</v>
      </c>
      <c r="H26" s="212">
        <v>49056250</v>
      </c>
      <c r="I26" s="485">
        <v>4</v>
      </c>
      <c r="J26" s="486" t="s">
        <v>99</v>
      </c>
      <c r="K26" s="217" t="s">
        <v>801</v>
      </c>
      <c r="L26" s="217" t="s">
        <v>806</v>
      </c>
      <c r="M26" s="487"/>
      <c r="N26" s="487"/>
      <c r="O26" s="487" t="s">
        <v>21</v>
      </c>
      <c r="P26" s="485"/>
      <c r="Q26" s="487"/>
      <c r="R26" s="485"/>
      <c r="S26" s="487" t="s">
        <v>22</v>
      </c>
      <c r="T26" s="515" t="s">
        <v>3575</v>
      </c>
      <c r="V26" s="6"/>
    </row>
    <row r="27" spans="1:27" s="9" customFormat="1">
      <c r="A27" s="516" t="s">
        <v>101</v>
      </c>
      <c r="B27" s="485">
        <v>2003</v>
      </c>
      <c r="C27" s="27" t="s">
        <v>96</v>
      </c>
      <c r="D27" s="487" t="s">
        <v>81</v>
      </c>
      <c r="E27" s="54" t="s">
        <v>97</v>
      </c>
      <c r="F27" s="27" t="s">
        <v>98</v>
      </c>
      <c r="G27" s="212">
        <v>753768010</v>
      </c>
      <c r="H27" s="212">
        <v>120983440</v>
      </c>
      <c r="I27" s="485">
        <v>4</v>
      </c>
      <c r="J27" s="486" t="s">
        <v>99</v>
      </c>
      <c r="K27" s="217" t="s">
        <v>801</v>
      </c>
      <c r="L27" s="217" t="s">
        <v>814</v>
      </c>
      <c r="M27" s="487"/>
      <c r="N27" s="487"/>
      <c r="O27" s="487" t="s">
        <v>21</v>
      </c>
      <c r="P27" s="485"/>
      <c r="Q27" s="487"/>
      <c r="R27" s="485"/>
      <c r="S27" s="487" t="s">
        <v>22</v>
      </c>
      <c r="T27" s="515" t="s">
        <v>3575</v>
      </c>
      <c r="V27" s="6"/>
    </row>
    <row r="28" spans="1:27" s="9" customFormat="1">
      <c r="A28" s="516" t="s">
        <v>102</v>
      </c>
      <c r="B28" s="485">
        <v>2004</v>
      </c>
      <c r="C28" s="27" t="s">
        <v>96</v>
      </c>
      <c r="D28" s="487" t="s">
        <v>81</v>
      </c>
      <c r="E28" s="54" t="s">
        <v>97</v>
      </c>
      <c r="F28" s="27" t="s">
        <v>98</v>
      </c>
      <c r="G28" s="212">
        <v>954798250</v>
      </c>
      <c r="H28" s="212">
        <v>172493250</v>
      </c>
      <c r="I28" s="485">
        <v>4</v>
      </c>
      <c r="J28" s="486" t="s">
        <v>99</v>
      </c>
      <c r="K28" s="217" t="s">
        <v>801</v>
      </c>
      <c r="L28" s="217" t="s">
        <v>806</v>
      </c>
      <c r="M28" s="487"/>
      <c r="N28" s="487"/>
      <c r="O28" s="487" t="s">
        <v>21</v>
      </c>
      <c r="P28" s="485"/>
      <c r="Q28" s="487"/>
      <c r="R28" s="485"/>
      <c r="S28" s="487" t="s">
        <v>22</v>
      </c>
      <c r="T28" s="515" t="s">
        <v>3575</v>
      </c>
      <c r="V28" s="6"/>
    </row>
    <row r="29" spans="1:27" s="9" customFormat="1">
      <c r="A29" s="516" t="s">
        <v>103</v>
      </c>
      <c r="B29" s="485">
        <v>2005</v>
      </c>
      <c r="C29" s="27" t="s">
        <v>96</v>
      </c>
      <c r="D29" s="487" t="s">
        <v>81</v>
      </c>
      <c r="E29" s="54" t="s">
        <v>104</v>
      </c>
      <c r="F29" s="27" t="s">
        <v>98</v>
      </c>
      <c r="G29" s="212">
        <v>1188024922.5</v>
      </c>
      <c r="H29" s="212">
        <v>204854380</v>
      </c>
      <c r="I29" s="485">
        <v>10</v>
      </c>
      <c r="J29" s="486" t="s">
        <v>105</v>
      </c>
      <c r="K29" s="217" t="s">
        <v>801</v>
      </c>
      <c r="L29" s="217" t="s">
        <v>806</v>
      </c>
      <c r="M29" s="487"/>
      <c r="N29" s="487"/>
      <c r="O29" s="487" t="s">
        <v>21</v>
      </c>
      <c r="P29" s="485"/>
      <c r="Q29" s="487"/>
      <c r="R29" s="485"/>
      <c r="S29" s="487" t="s">
        <v>22</v>
      </c>
      <c r="T29" s="515" t="s">
        <v>3575</v>
      </c>
      <c r="V29" s="6"/>
    </row>
    <row r="30" spans="1:27" s="9" customFormat="1" ht="30">
      <c r="A30" s="516" t="s">
        <v>106</v>
      </c>
      <c r="B30" s="485">
        <v>2006</v>
      </c>
      <c r="C30" s="27" t="s">
        <v>96</v>
      </c>
      <c r="D30" s="487" t="s">
        <v>81</v>
      </c>
      <c r="E30" s="54" t="s">
        <v>107</v>
      </c>
      <c r="F30" s="27" t="s">
        <v>36</v>
      </c>
      <c r="G30" s="212">
        <v>1599006845.6187501</v>
      </c>
      <c r="H30" s="212">
        <v>238822368</v>
      </c>
      <c r="I30" s="485">
        <v>10</v>
      </c>
      <c r="J30" s="486" t="s">
        <v>108</v>
      </c>
      <c r="K30" s="217" t="s">
        <v>801</v>
      </c>
      <c r="L30" s="217" t="s">
        <v>814</v>
      </c>
      <c r="M30" s="487"/>
      <c r="N30" s="487"/>
      <c r="O30" s="487" t="s">
        <v>21</v>
      </c>
      <c r="P30" s="485"/>
      <c r="Q30" s="487"/>
      <c r="R30" s="485"/>
      <c r="S30" s="487" t="s">
        <v>22</v>
      </c>
      <c r="T30" s="515" t="s">
        <v>3576</v>
      </c>
      <c r="V30" s="6"/>
    </row>
    <row r="31" spans="1:27" s="9" customFormat="1" ht="30">
      <c r="A31" s="516" t="s">
        <v>109</v>
      </c>
      <c r="B31" s="485">
        <v>2007</v>
      </c>
      <c r="C31" s="27" t="s">
        <v>96</v>
      </c>
      <c r="D31" s="487" t="s">
        <v>81</v>
      </c>
      <c r="E31" s="54" t="s">
        <v>107</v>
      </c>
      <c r="F31" s="27" t="s">
        <v>36</v>
      </c>
      <c r="G31" s="212">
        <v>1803241787.7304473</v>
      </c>
      <c r="H31" s="212">
        <v>302485747.04919499</v>
      </c>
      <c r="I31" s="485">
        <v>10</v>
      </c>
      <c r="J31" s="486" t="s">
        <v>108</v>
      </c>
      <c r="K31" s="217" t="s">
        <v>801</v>
      </c>
      <c r="L31" s="217" t="s">
        <v>814</v>
      </c>
      <c r="M31" s="487"/>
      <c r="N31" s="487"/>
      <c r="O31" s="487" t="s">
        <v>21</v>
      </c>
      <c r="P31" s="485"/>
      <c r="Q31" s="487"/>
      <c r="R31" s="485"/>
      <c r="S31" s="487" t="s">
        <v>22</v>
      </c>
      <c r="T31" s="515" t="s">
        <v>3576</v>
      </c>
      <c r="V31" s="6"/>
    </row>
    <row r="32" spans="1:27" s="9" customFormat="1" ht="30">
      <c r="A32" s="516" t="s">
        <v>110</v>
      </c>
      <c r="B32" s="485">
        <v>2008</v>
      </c>
      <c r="C32" s="27" t="s">
        <v>96</v>
      </c>
      <c r="D32" s="487" t="s">
        <v>81</v>
      </c>
      <c r="E32" s="54" t="s">
        <v>107</v>
      </c>
      <c r="F32" s="27" t="s">
        <v>36</v>
      </c>
      <c r="G32" s="212">
        <v>2362223467.224865</v>
      </c>
      <c r="H32" s="212">
        <v>370036064.80442196</v>
      </c>
      <c r="I32" s="485">
        <v>10</v>
      </c>
      <c r="J32" s="486" t="s">
        <v>108</v>
      </c>
      <c r="K32" s="217" t="s">
        <v>801</v>
      </c>
      <c r="L32" s="217" t="s">
        <v>814</v>
      </c>
      <c r="M32" s="487"/>
      <c r="N32" s="487"/>
      <c r="O32" s="487" t="s">
        <v>21</v>
      </c>
      <c r="P32" s="485"/>
      <c r="Q32" s="487"/>
      <c r="R32" s="485"/>
      <c r="S32" s="487" t="s">
        <v>22</v>
      </c>
      <c r="T32" s="517" t="s">
        <v>3576</v>
      </c>
      <c r="V32" s="6"/>
    </row>
    <row r="33" spans="1:27" s="9" customFormat="1">
      <c r="A33" s="516" t="s">
        <v>111</v>
      </c>
      <c r="B33" s="485">
        <v>2009</v>
      </c>
      <c r="C33" s="27" t="s">
        <v>96</v>
      </c>
      <c r="D33" s="487" t="s">
        <v>81</v>
      </c>
      <c r="E33" s="54" t="s">
        <v>112</v>
      </c>
      <c r="F33" s="27" t="s">
        <v>36</v>
      </c>
      <c r="G33" s="213">
        <v>1258506488.2079699</v>
      </c>
      <c r="H33" s="212">
        <v>1237959455.9556208</v>
      </c>
      <c r="I33" s="485">
        <v>20</v>
      </c>
      <c r="J33" s="486" t="s">
        <v>113</v>
      </c>
      <c r="K33" s="217" t="s">
        <v>801</v>
      </c>
      <c r="L33" s="217" t="s">
        <v>780</v>
      </c>
      <c r="M33" s="487"/>
      <c r="N33" s="487"/>
      <c r="O33" s="487"/>
      <c r="P33" s="485"/>
      <c r="Q33" s="487"/>
      <c r="R33" s="485"/>
      <c r="S33" s="487"/>
      <c r="T33" s="517" t="s">
        <v>3578</v>
      </c>
      <c r="V33" s="6"/>
    </row>
    <row r="34" spans="1:27" s="9" customFormat="1">
      <c r="A34" s="516" t="s">
        <v>114</v>
      </c>
      <c r="B34" s="485">
        <v>2010</v>
      </c>
      <c r="C34" s="27" t="s">
        <v>96</v>
      </c>
      <c r="D34" s="487" t="s">
        <v>81</v>
      </c>
      <c r="E34" s="54" t="s">
        <v>112</v>
      </c>
      <c r="F34" s="27" t="s">
        <v>36</v>
      </c>
      <c r="G34" s="213">
        <v>1079345275.0370555</v>
      </c>
      <c r="H34" s="212">
        <v>1056689895.4541755</v>
      </c>
      <c r="I34" s="485">
        <v>20</v>
      </c>
      <c r="J34" s="486" t="s">
        <v>115</v>
      </c>
      <c r="K34" s="217" t="s">
        <v>801</v>
      </c>
      <c r="L34" s="217" t="s">
        <v>780</v>
      </c>
      <c r="M34" s="487"/>
      <c r="N34" s="487"/>
      <c r="O34" s="487"/>
      <c r="P34" s="485"/>
      <c r="Q34" s="487"/>
      <c r="R34" s="485"/>
      <c r="S34" s="487"/>
      <c r="T34" s="517" t="s">
        <v>3578</v>
      </c>
      <c r="V34" s="6"/>
    </row>
    <row r="35" spans="1:27" s="9" customFormat="1">
      <c r="A35" s="516" t="s">
        <v>116</v>
      </c>
      <c r="B35" s="485">
        <v>2011</v>
      </c>
      <c r="C35" s="27" t="s">
        <v>96</v>
      </c>
      <c r="D35" s="487" t="s">
        <v>81</v>
      </c>
      <c r="E35" s="54" t="s">
        <v>117</v>
      </c>
      <c r="F35" s="27" t="s">
        <v>30</v>
      </c>
      <c r="G35" s="212">
        <v>1566015122</v>
      </c>
      <c r="H35" s="212">
        <v>1565907028</v>
      </c>
      <c r="I35" s="485">
        <v>22</v>
      </c>
      <c r="J35" s="486" t="s">
        <v>118</v>
      </c>
      <c r="K35" s="217" t="s">
        <v>801</v>
      </c>
      <c r="L35" s="217" t="s">
        <v>780</v>
      </c>
      <c r="M35" s="487" t="s">
        <v>21</v>
      </c>
      <c r="N35" s="487"/>
      <c r="O35" s="487" t="s">
        <v>21</v>
      </c>
      <c r="P35" s="485"/>
      <c r="Q35" s="487" t="s">
        <v>21</v>
      </c>
      <c r="R35" s="485"/>
      <c r="S35" s="487" t="s">
        <v>22</v>
      </c>
      <c r="T35" s="515" t="s">
        <v>3577</v>
      </c>
      <c r="V35" s="6"/>
    </row>
    <row r="36" spans="1:27">
      <c r="A36" s="521" t="s">
        <v>119</v>
      </c>
      <c r="B36" s="200">
        <v>2012</v>
      </c>
      <c r="C36" s="200" t="s">
        <v>96</v>
      </c>
      <c r="D36" s="200" t="s">
        <v>81</v>
      </c>
      <c r="E36" s="54" t="s">
        <v>45</v>
      </c>
      <c r="F36" s="200" t="s">
        <v>30</v>
      </c>
      <c r="G36" s="214">
        <v>1529320794.4000001</v>
      </c>
      <c r="H36" s="214">
        <v>1527058697.25</v>
      </c>
      <c r="I36" s="27">
        <v>22</v>
      </c>
      <c r="J36" s="41" t="s">
        <v>120</v>
      </c>
      <c r="K36" s="217" t="s">
        <v>801</v>
      </c>
      <c r="L36" s="217" t="s">
        <v>564</v>
      </c>
      <c r="M36" s="488" t="s">
        <v>21</v>
      </c>
      <c r="N36" s="488"/>
      <c r="O36" s="488" t="s">
        <v>21</v>
      </c>
      <c r="P36" s="488"/>
      <c r="Q36" s="488"/>
      <c r="R36" s="488"/>
      <c r="S36" s="488"/>
      <c r="T36" s="515" t="s">
        <v>3572</v>
      </c>
      <c r="U36" s="9"/>
      <c r="V36" s="9"/>
    </row>
    <row r="37" spans="1:27" s="12" customFormat="1">
      <c r="A37" s="516" t="s">
        <v>121</v>
      </c>
      <c r="B37" s="485">
        <v>2006</v>
      </c>
      <c r="C37" s="27" t="s">
        <v>122</v>
      </c>
      <c r="D37" s="487" t="s">
        <v>81</v>
      </c>
      <c r="E37" s="54" t="s">
        <v>123</v>
      </c>
      <c r="F37" s="27" t="s">
        <v>19</v>
      </c>
      <c r="G37" s="212">
        <v>10973706.76241657</v>
      </c>
      <c r="H37" s="212">
        <v>10087128.761307349</v>
      </c>
      <c r="I37" s="485">
        <v>17</v>
      </c>
      <c r="J37" s="486" t="s">
        <v>124</v>
      </c>
      <c r="K37" s="217" t="s">
        <v>901</v>
      </c>
      <c r="L37" s="217" t="s">
        <v>903</v>
      </c>
      <c r="M37" s="487" t="s">
        <v>21</v>
      </c>
      <c r="N37" s="487"/>
      <c r="O37" s="487" t="s">
        <v>21</v>
      </c>
      <c r="P37" s="485"/>
      <c r="Q37" s="487"/>
      <c r="R37" s="485"/>
      <c r="S37" s="487"/>
      <c r="T37" s="515"/>
      <c r="U37" s="9"/>
      <c r="V37" s="6"/>
      <c r="W37" s="9"/>
      <c r="X37" s="9"/>
      <c r="Y37" s="9"/>
      <c r="Z37" s="9"/>
      <c r="AA37" s="9"/>
    </row>
    <row r="38" spans="1:27" s="12" customFormat="1">
      <c r="A38" s="516" t="s">
        <v>125</v>
      </c>
      <c r="B38" s="485">
        <v>2007</v>
      </c>
      <c r="C38" s="27" t="s">
        <v>122</v>
      </c>
      <c r="D38" s="487" t="s">
        <v>81</v>
      </c>
      <c r="E38" s="54" t="s">
        <v>126</v>
      </c>
      <c r="F38" s="27" t="s">
        <v>19</v>
      </c>
      <c r="G38" s="212">
        <v>3520131.5240083509</v>
      </c>
      <c r="H38" s="212">
        <v>3732496.8684759918</v>
      </c>
      <c r="I38" s="485">
        <v>9</v>
      </c>
      <c r="J38" s="486" t="s">
        <v>127</v>
      </c>
      <c r="K38" s="217" t="s">
        <v>901</v>
      </c>
      <c r="L38" s="217" t="s">
        <v>623</v>
      </c>
      <c r="M38" s="487" t="s">
        <v>21</v>
      </c>
      <c r="N38" s="487"/>
      <c r="O38" s="487" t="s">
        <v>21</v>
      </c>
      <c r="P38" s="485"/>
      <c r="Q38" s="487"/>
      <c r="R38" s="485"/>
      <c r="S38" s="487"/>
      <c r="T38" s="517" t="s">
        <v>3573</v>
      </c>
      <c r="U38" s="9"/>
      <c r="V38" s="6"/>
      <c r="W38" s="9"/>
      <c r="X38" s="9"/>
      <c r="Y38" s="9"/>
      <c r="Z38" s="9"/>
      <c r="AA38" s="9"/>
    </row>
    <row r="39" spans="1:27" s="12" customFormat="1">
      <c r="A39" s="516" t="s">
        <v>128</v>
      </c>
      <c r="B39" s="485">
        <v>2008</v>
      </c>
      <c r="C39" s="27" t="s">
        <v>122</v>
      </c>
      <c r="D39" s="487" t="s">
        <v>81</v>
      </c>
      <c r="E39" s="54" t="s">
        <v>126</v>
      </c>
      <c r="F39" s="27" t="s">
        <v>19</v>
      </c>
      <c r="G39" s="212">
        <v>4042178.5714285714</v>
      </c>
      <c r="H39" s="212">
        <v>4091267.8571428573</v>
      </c>
      <c r="I39" s="485">
        <v>9</v>
      </c>
      <c r="J39" s="486" t="s">
        <v>127</v>
      </c>
      <c r="K39" s="217" t="s">
        <v>901</v>
      </c>
      <c r="L39" s="217" t="s">
        <v>623</v>
      </c>
      <c r="M39" s="487" t="s">
        <v>21</v>
      </c>
      <c r="N39" s="487"/>
      <c r="O39" s="487" t="s">
        <v>21</v>
      </c>
      <c r="P39" s="485"/>
      <c r="Q39" s="487"/>
      <c r="R39" s="485"/>
      <c r="S39" s="487"/>
      <c r="T39" s="517" t="s">
        <v>3573</v>
      </c>
      <c r="U39" s="9"/>
      <c r="V39" s="6"/>
      <c r="W39" s="9"/>
      <c r="X39" s="9"/>
      <c r="Y39" s="9"/>
      <c r="Z39" s="9"/>
      <c r="AA39" s="9"/>
    </row>
    <row r="40" spans="1:27" s="12" customFormat="1">
      <c r="A40" s="516" t="s">
        <v>129</v>
      </c>
      <c r="B40" s="485">
        <v>2009</v>
      </c>
      <c r="C40" s="27" t="s">
        <v>122</v>
      </c>
      <c r="D40" s="487" t="s">
        <v>81</v>
      </c>
      <c r="E40" s="54" t="s">
        <v>126</v>
      </c>
      <c r="F40" s="27" t="s">
        <v>19</v>
      </c>
      <c r="G40" s="212">
        <v>6056423.7288135597</v>
      </c>
      <c r="H40" s="212">
        <v>6254457.6271186443</v>
      </c>
      <c r="I40" s="485">
        <v>9</v>
      </c>
      <c r="J40" s="486" t="s">
        <v>127</v>
      </c>
      <c r="K40" s="217" t="s">
        <v>901</v>
      </c>
      <c r="L40" s="217" t="s">
        <v>623</v>
      </c>
      <c r="M40" s="487" t="s">
        <v>21</v>
      </c>
      <c r="N40" s="487"/>
      <c r="O40" s="487" t="s">
        <v>21</v>
      </c>
      <c r="P40" s="485"/>
      <c r="Q40" s="487"/>
      <c r="R40" s="485"/>
      <c r="S40" s="487"/>
      <c r="T40" s="517" t="s">
        <v>3573</v>
      </c>
      <c r="U40" s="9"/>
      <c r="V40" s="6"/>
      <c r="W40" s="9"/>
      <c r="X40" s="9"/>
      <c r="Y40" s="9"/>
      <c r="Z40" s="9"/>
      <c r="AA40" s="9"/>
    </row>
    <row r="41" spans="1:27" s="9" customFormat="1" ht="30">
      <c r="A41" s="516" t="s">
        <v>130</v>
      </c>
      <c r="B41" s="485">
        <v>2010</v>
      </c>
      <c r="C41" s="27" t="s">
        <v>122</v>
      </c>
      <c r="D41" s="487" t="s">
        <v>81</v>
      </c>
      <c r="E41" s="54" t="s">
        <v>39</v>
      </c>
      <c r="F41" s="27" t="s">
        <v>19</v>
      </c>
      <c r="G41" s="212">
        <v>20633575</v>
      </c>
      <c r="H41" s="212">
        <v>20380882</v>
      </c>
      <c r="I41" s="485">
        <v>8</v>
      </c>
      <c r="J41" s="486" t="s">
        <v>131</v>
      </c>
      <c r="K41" s="217" t="s">
        <v>901</v>
      </c>
      <c r="L41" s="217" t="s">
        <v>623</v>
      </c>
      <c r="M41" s="487" t="s">
        <v>21</v>
      </c>
      <c r="N41" s="487"/>
      <c r="O41" s="487" t="s">
        <v>21</v>
      </c>
      <c r="P41" s="485"/>
      <c r="Q41" s="487"/>
      <c r="R41" s="485"/>
      <c r="S41" s="487"/>
      <c r="T41" s="517" t="s">
        <v>3579</v>
      </c>
      <c r="V41" s="6"/>
    </row>
    <row r="42" spans="1:27" s="9" customFormat="1">
      <c r="A42" s="516" t="s">
        <v>132</v>
      </c>
      <c r="B42" s="485">
        <v>2007</v>
      </c>
      <c r="C42" s="27" t="s">
        <v>133</v>
      </c>
      <c r="D42" s="487" t="s">
        <v>81</v>
      </c>
      <c r="E42" s="54" t="s">
        <v>26</v>
      </c>
      <c r="F42" s="27" t="s">
        <v>30</v>
      </c>
      <c r="G42" s="212">
        <v>1183293262</v>
      </c>
      <c r="H42" s="212">
        <v>1213159503</v>
      </c>
      <c r="I42" s="485">
        <v>9</v>
      </c>
      <c r="J42" s="41" t="s">
        <v>134</v>
      </c>
      <c r="K42" s="217" t="s">
        <v>916</v>
      </c>
      <c r="L42" s="217" t="s">
        <v>623</v>
      </c>
      <c r="M42" s="487"/>
      <c r="N42" s="487"/>
      <c r="O42" s="487" t="s">
        <v>21</v>
      </c>
      <c r="P42" s="485"/>
      <c r="Q42" s="487"/>
      <c r="R42" s="485"/>
      <c r="S42" s="487"/>
      <c r="T42" s="515"/>
      <c r="V42" s="6"/>
    </row>
    <row r="43" spans="1:27" s="9" customFormat="1">
      <c r="A43" s="516" t="s">
        <v>135</v>
      </c>
      <c r="B43" s="485">
        <v>2008</v>
      </c>
      <c r="C43" s="27" t="s">
        <v>133</v>
      </c>
      <c r="D43" s="487" t="s">
        <v>81</v>
      </c>
      <c r="E43" s="54" t="s">
        <v>26</v>
      </c>
      <c r="F43" s="27" t="s">
        <v>30</v>
      </c>
      <c r="G43" s="489">
        <v>1908801646</v>
      </c>
      <c r="H43" s="212">
        <v>1870701903</v>
      </c>
      <c r="I43" s="485">
        <v>9</v>
      </c>
      <c r="J43" s="41" t="s">
        <v>136</v>
      </c>
      <c r="K43" s="217" t="s">
        <v>916</v>
      </c>
      <c r="L43" s="217" t="s">
        <v>623</v>
      </c>
      <c r="M43" s="487"/>
      <c r="N43" s="487"/>
      <c r="O43" s="487" t="s">
        <v>21</v>
      </c>
      <c r="P43" s="485"/>
      <c r="Q43" s="487"/>
      <c r="R43" s="485"/>
      <c r="S43" s="487"/>
      <c r="T43" s="515"/>
      <c r="V43" s="6"/>
    </row>
    <row r="44" spans="1:27" s="9" customFormat="1">
      <c r="A44" s="516" t="s">
        <v>137</v>
      </c>
      <c r="B44" s="485">
        <v>2009</v>
      </c>
      <c r="C44" s="27" t="s">
        <v>133</v>
      </c>
      <c r="D44" s="487" t="s">
        <v>81</v>
      </c>
      <c r="E44" s="54" t="s">
        <v>26</v>
      </c>
      <c r="F44" s="27" t="s">
        <v>30</v>
      </c>
      <c r="G44" s="212">
        <v>614882373</v>
      </c>
      <c r="H44" s="212">
        <v>638651484</v>
      </c>
      <c r="I44" s="485">
        <v>9</v>
      </c>
      <c r="J44" s="41" t="s">
        <v>138</v>
      </c>
      <c r="K44" s="217" t="s">
        <v>916</v>
      </c>
      <c r="L44" s="217" t="s">
        <v>623</v>
      </c>
      <c r="M44" s="487"/>
      <c r="N44" s="487"/>
      <c r="O44" s="487" t="s">
        <v>21</v>
      </c>
      <c r="P44" s="485"/>
      <c r="Q44" s="487"/>
      <c r="R44" s="485"/>
      <c r="S44" s="487"/>
      <c r="T44" s="515"/>
      <c r="V44" s="6"/>
    </row>
    <row r="45" spans="1:27" s="9" customFormat="1">
      <c r="A45" s="516" t="s">
        <v>139</v>
      </c>
      <c r="B45" s="485">
        <v>2010</v>
      </c>
      <c r="C45" s="27" t="s">
        <v>133</v>
      </c>
      <c r="D45" s="487" t="s">
        <v>81</v>
      </c>
      <c r="E45" s="54" t="s">
        <v>140</v>
      </c>
      <c r="F45" s="27" t="s">
        <v>30</v>
      </c>
      <c r="G45" s="212">
        <v>1347744000</v>
      </c>
      <c r="H45" s="212">
        <v>1358346131</v>
      </c>
      <c r="I45" s="485">
        <v>9</v>
      </c>
      <c r="J45" s="41" t="s">
        <v>141</v>
      </c>
      <c r="K45" s="217" t="s">
        <v>916</v>
      </c>
      <c r="L45" s="217" t="s">
        <v>623</v>
      </c>
      <c r="M45" s="487" t="s">
        <v>21</v>
      </c>
      <c r="N45" s="487"/>
      <c r="O45" s="487" t="s">
        <v>21</v>
      </c>
      <c r="P45" s="485"/>
      <c r="Q45" s="487"/>
      <c r="R45" s="485"/>
      <c r="S45" s="487"/>
      <c r="T45" s="515" t="s">
        <v>3572</v>
      </c>
      <c r="V45" s="6"/>
    </row>
    <row r="46" spans="1:27" s="9" customFormat="1">
      <c r="A46" s="516" t="s">
        <v>142</v>
      </c>
      <c r="B46" s="485">
        <v>2011</v>
      </c>
      <c r="C46" s="27" t="s">
        <v>133</v>
      </c>
      <c r="D46" s="487" t="s">
        <v>81</v>
      </c>
      <c r="E46" s="54" t="s">
        <v>140</v>
      </c>
      <c r="F46" s="27" t="s">
        <v>30</v>
      </c>
      <c r="G46" s="212">
        <v>2146562000</v>
      </c>
      <c r="H46" s="212">
        <v>2225298411.1675129</v>
      </c>
      <c r="I46" s="485">
        <v>12</v>
      </c>
      <c r="J46" s="41" t="s">
        <v>143</v>
      </c>
      <c r="K46" s="217" t="s">
        <v>916</v>
      </c>
      <c r="L46" s="217" t="s">
        <v>623</v>
      </c>
      <c r="M46" s="487" t="s">
        <v>21</v>
      </c>
      <c r="N46" s="487"/>
      <c r="O46" s="487" t="s">
        <v>21</v>
      </c>
      <c r="P46" s="485"/>
      <c r="Q46" s="487"/>
      <c r="R46" s="485"/>
      <c r="S46" s="487"/>
      <c r="T46" s="515" t="s">
        <v>3572</v>
      </c>
      <c r="V46" s="6"/>
    </row>
    <row r="47" spans="1:27" s="9" customFormat="1">
      <c r="A47" s="516" t="s">
        <v>144</v>
      </c>
      <c r="B47" s="485">
        <v>2012</v>
      </c>
      <c r="C47" s="27" t="s">
        <v>133</v>
      </c>
      <c r="D47" s="487" t="s">
        <v>81</v>
      </c>
      <c r="E47" s="54" t="s">
        <v>145</v>
      </c>
      <c r="F47" s="27" t="s">
        <v>30</v>
      </c>
      <c r="G47" s="212">
        <v>2109663000</v>
      </c>
      <c r="H47" s="212">
        <v>2107958000</v>
      </c>
      <c r="I47" s="485">
        <v>24</v>
      </c>
      <c r="J47" s="41" t="s">
        <v>146</v>
      </c>
      <c r="K47" s="217" t="s">
        <v>916</v>
      </c>
      <c r="L47" s="217" t="s">
        <v>941</v>
      </c>
      <c r="M47" s="487" t="s">
        <v>21</v>
      </c>
      <c r="N47" s="487"/>
      <c r="O47" s="487" t="s">
        <v>21</v>
      </c>
      <c r="P47" s="485"/>
      <c r="Q47" s="487"/>
      <c r="R47" s="485"/>
      <c r="S47" s="487"/>
      <c r="T47" s="517" t="s">
        <v>3573</v>
      </c>
      <c r="V47" s="6"/>
    </row>
    <row r="48" spans="1:27" s="12" customFormat="1">
      <c r="A48" s="516" t="s">
        <v>147</v>
      </c>
      <c r="B48" s="485">
        <v>2006</v>
      </c>
      <c r="C48" s="27" t="s">
        <v>148</v>
      </c>
      <c r="D48" s="487" t="s">
        <v>81</v>
      </c>
      <c r="E48" s="27" t="s">
        <v>149</v>
      </c>
      <c r="F48" s="27" t="s">
        <v>50</v>
      </c>
      <c r="G48" s="212">
        <v>84482680</v>
      </c>
      <c r="H48" s="212">
        <v>69730440</v>
      </c>
      <c r="I48" s="27">
        <v>5</v>
      </c>
      <c r="J48" s="41" t="s">
        <v>150</v>
      </c>
      <c r="K48" s="217" t="s">
        <v>945</v>
      </c>
      <c r="L48" s="217" t="s">
        <v>946</v>
      </c>
      <c r="M48" s="487"/>
      <c r="N48" s="487"/>
      <c r="O48" s="487" t="s">
        <v>21</v>
      </c>
      <c r="P48" s="485"/>
      <c r="Q48" s="487"/>
      <c r="R48" s="485"/>
      <c r="S48" s="487"/>
      <c r="T48" s="517" t="s">
        <v>3573</v>
      </c>
      <c r="U48" s="9"/>
      <c r="V48" s="6"/>
      <c r="W48" s="9"/>
      <c r="X48" s="9"/>
      <c r="Y48" s="9"/>
      <c r="Z48" s="9"/>
      <c r="AA48" s="9"/>
    </row>
    <row r="49" spans="1:27" s="12" customFormat="1">
      <c r="A49" s="516" t="s">
        <v>151</v>
      </c>
      <c r="B49" s="485">
        <v>2007</v>
      </c>
      <c r="C49" s="27" t="s">
        <v>148</v>
      </c>
      <c r="D49" s="487" t="s">
        <v>81</v>
      </c>
      <c r="E49" s="27" t="s">
        <v>149</v>
      </c>
      <c r="F49" s="27" t="s">
        <v>50</v>
      </c>
      <c r="G49" s="212">
        <v>121454480.00000001</v>
      </c>
      <c r="H49" s="212">
        <v>95440290.000000015</v>
      </c>
      <c r="I49" s="27">
        <v>5</v>
      </c>
      <c r="J49" s="41" t="s">
        <v>152</v>
      </c>
      <c r="K49" s="217" t="s">
        <v>945</v>
      </c>
      <c r="L49" s="217" t="s">
        <v>946</v>
      </c>
      <c r="M49" s="487"/>
      <c r="N49" s="487"/>
      <c r="O49" s="487" t="s">
        <v>21</v>
      </c>
      <c r="P49" s="485"/>
      <c r="Q49" s="487"/>
      <c r="R49" s="485"/>
      <c r="S49" s="487"/>
      <c r="T49" s="517" t="s">
        <v>3573</v>
      </c>
      <c r="U49" s="9"/>
      <c r="V49" s="6"/>
      <c r="W49" s="9"/>
      <c r="X49" s="9"/>
      <c r="Y49" s="9"/>
      <c r="Z49" s="9"/>
      <c r="AA49" s="9"/>
    </row>
    <row r="50" spans="1:27" s="9" customFormat="1">
      <c r="A50" s="516" t="s">
        <v>153</v>
      </c>
      <c r="B50" s="485">
        <v>2008</v>
      </c>
      <c r="C50" s="27" t="s">
        <v>148</v>
      </c>
      <c r="D50" s="487" t="s">
        <v>81</v>
      </c>
      <c r="E50" s="27" t="s">
        <v>154</v>
      </c>
      <c r="F50" s="27" t="s">
        <v>30</v>
      </c>
      <c r="G50" s="212">
        <v>594748911</v>
      </c>
      <c r="H50" s="212">
        <v>665559303</v>
      </c>
      <c r="I50" s="27">
        <v>28</v>
      </c>
      <c r="J50" s="41" t="s">
        <v>155</v>
      </c>
      <c r="K50" s="217" t="s">
        <v>945</v>
      </c>
      <c r="L50" s="217" t="s">
        <v>623</v>
      </c>
      <c r="M50" s="487"/>
      <c r="N50" s="487"/>
      <c r="O50" s="487" t="s">
        <v>21</v>
      </c>
      <c r="P50" s="485"/>
      <c r="Q50" s="487"/>
      <c r="R50" s="485"/>
      <c r="S50" s="487"/>
      <c r="T50" s="515"/>
      <c r="V50" s="6"/>
    </row>
    <row r="51" spans="1:27" s="9" customFormat="1">
      <c r="A51" s="516" t="s">
        <v>156</v>
      </c>
      <c r="B51" s="485">
        <v>2009</v>
      </c>
      <c r="C51" s="27" t="s">
        <v>148</v>
      </c>
      <c r="D51" s="487" t="s">
        <v>81</v>
      </c>
      <c r="E51" s="27" t="s">
        <v>154</v>
      </c>
      <c r="F51" s="27" t="s">
        <v>30</v>
      </c>
      <c r="G51" s="212">
        <v>284861428.97265005</v>
      </c>
      <c r="H51" s="212">
        <v>285117107.7502619</v>
      </c>
      <c r="I51" s="27">
        <v>28</v>
      </c>
      <c r="J51" s="41" t="s">
        <v>157</v>
      </c>
      <c r="K51" s="217" t="s">
        <v>945</v>
      </c>
      <c r="L51" s="217" t="s">
        <v>623</v>
      </c>
      <c r="M51" s="487"/>
      <c r="N51" s="487"/>
      <c r="O51" s="487" t="s">
        <v>21</v>
      </c>
      <c r="P51" s="485"/>
      <c r="Q51" s="487"/>
      <c r="R51" s="485"/>
      <c r="S51" s="487"/>
      <c r="T51" s="515" t="s">
        <v>3572</v>
      </c>
      <c r="V51" s="6"/>
    </row>
    <row r="52" spans="1:27" s="9" customFormat="1" ht="15" customHeight="1">
      <c r="A52" s="516" t="s">
        <v>158</v>
      </c>
      <c r="B52" s="485">
        <v>2010</v>
      </c>
      <c r="C52" s="27" t="s">
        <v>148</v>
      </c>
      <c r="D52" s="487" t="s">
        <v>81</v>
      </c>
      <c r="E52" s="27" t="s">
        <v>154</v>
      </c>
      <c r="F52" s="27" t="s">
        <v>30</v>
      </c>
      <c r="G52" s="212">
        <v>245231916.38661528</v>
      </c>
      <c r="H52" s="212">
        <v>268224380.18679258</v>
      </c>
      <c r="I52" s="27">
        <v>28</v>
      </c>
      <c r="J52" s="41" t="s">
        <v>159</v>
      </c>
      <c r="K52" s="217" t="s">
        <v>945</v>
      </c>
      <c r="L52" s="217" t="s">
        <v>623</v>
      </c>
      <c r="M52" s="487"/>
      <c r="N52" s="487"/>
      <c r="O52" s="487" t="s">
        <v>21</v>
      </c>
      <c r="P52" s="485"/>
      <c r="Q52" s="487"/>
      <c r="R52" s="485"/>
      <c r="S52" s="487"/>
      <c r="T52" s="517" t="s">
        <v>3578</v>
      </c>
      <c r="V52" s="6"/>
    </row>
    <row r="53" spans="1:27" s="9" customFormat="1">
      <c r="A53" s="516" t="s">
        <v>160</v>
      </c>
      <c r="B53" s="485">
        <v>2011</v>
      </c>
      <c r="C53" s="27" t="s">
        <v>148</v>
      </c>
      <c r="D53" s="487" t="s">
        <v>81</v>
      </c>
      <c r="E53" s="27" t="s">
        <v>140</v>
      </c>
      <c r="F53" s="27" t="s">
        <v>30</v>
      </c>
      <c r="G53" s="212">
        <v>389368836.09803921</v>
      </c>
      <c r="H53" s="212">
        <v>397882411.3509804</v>
      </c>
      <c r="I53" s="27">
        <v>24</v>
      </c>
      <c r="J53" s="41" t="s">
        <v>161</v>
      </c>
      <c r="K53" s="217" t="s">
        <v>945</v>
      </c>
      <c r="L53" s="217" t="s">
        <v>623</v>
      </c>
      <c r="M53" s="487"/>
      <c r="N53" s="487"/>
      <c r="O53" s="487" t="s">
        <v>21</v>
      </c>
      <c r="P53" s="485"/>
      <c r="Q53" s="487"/>
      <c r="R53" s="485"/>
      <c r="S53" s="487"/>
      <c r="T53" s="515" t="s">
        <v>3572</v>
      </c>
      <c r="V53" s="6"/>
    </row>
    <row r="54" spans="1:27">
      <c r="A54" s="516" t="s">
        <v>162</v>
      </c>
      <c r="B54" s="200">
        <v>2012</v>
      </c>
      <c r="C54" s="493" t="s">
        <v>148</v>
      </c>
      <c r="D54" s="200" t="s">
        <v>81</v>
      </c>
      <c r="E54" s="54" t="s">
        <v>45</v>
      </c>
      <c r="F54" s="200" t="s">
        <v>30</v>
      </c>
      <c r="G54" s="214">
        <v>615027475</v>
      </c>
      <c r="H54" s="214">
        <v>605454283.42999995</v>
      </c>
      <c r="I54" s="27">
        <v>37</v>
      </c>
      <c r="J54" s="41" t="s">
        <v>163</v>
      </c>
      <c r="K54" s="217" t="s">
        <v>945</v>
      </c>
      <c r="L54" s="217" t="s">
        <v>564</v>
      </c>
      <c r="M54" s="488" t="s">
        <v>21</v>
      </c>
      <c r="N54" s="488"/>
      <c r="O54" s="488" t="s">
        <v>21</v>
      </c>
      <c r="P54" s="488"/>
      <c r="Q54" s="488"/>
      <c r="R54" s="488"/>
      <c r="S54" s="488"/>
      <c r="T54" s="515" t="s">
        <v>3572</v>
      </c>
      <c r="U54" s="9"/>
      <c r="V54" s="9"/>
    </row>
    <row r="55" spans="1:27" s="12" customFormat="1" ht="15" customHeight="1">
      <c r="A55" s="516" t="s">
        <v>164</v>
      </c>
      <c r="B55" s="485">
        <v>2007</v>
      </c>
      <c r="C55" s="27" t="s">
        <v>165</v>
      </c>
      <c r="D55" s="487" t="s">
        <v>81</v>
      </c>
      <c r="E55" s="27" t="s">
        <v>166</v>
      </c>
      <c r="F55" s="27" t="s">
        <v>30</v>
      </c>
      <c r="G55" s="212">
        <v>416300000</v>
      </c>
      <c r="H55" s="212">
        <v>416491000</v>
      </c>
      <c r="I55" s="27">
        <v>26</v>
      </c>
      <c r="J55" s="41" t="s">
        <v>167</v>
      </c>
      <c r="K55" s="217" t="s">
        <v>975</v>
      </c>
      <c r="L55" s="217" t="s">
        <v>976</v>
      </c>
      <c r="M55" s="487"/>
      <c r="N55" s="487"/>
      <c r="O55" s="487" t="s">
        <v>21</v>
      </c>
      <c r="P55" s="485"/>
      <c r="Q55" s="487"/>
      <c r="R55" s="485"/>
      <c r="S55" s="487"/>
      <c r="T55" s="517" t="s">
        <v>3573</v>
      </c>
      <c r="U55" s="9"/>
      <c r="V55" s="6"/>
      <c r="W55" s="9"/>
      <c r="X55" s="9"/>
      <c r="Y55" s="9"/>
      <c r="Z55" s="9"/>
      <c r="AA55" s="9"/>
    </row>
    <row r="56" spans="1:27" s="9" customFormat="1" ht="15" customHeight="1">
      <c r="A56" s="516" t="s">
        <v>168</v>
      </c>
      <c r="B56" s="485">
        <v>2008</v>
      </c>
      <c r="C56" s="27" t="s">
        <v>165</v>
      </c>
      <c r="D56" s="487" t="s">
        <v>81</v>
      </c>
      <c r="E56" s="27" t="s">
        <v>169</v>
      </c>
      <c r="F56" s="27" t="s">
        <v>30</v>
      </c>
      <c r="G56" s="212">
        <v>516117440.10301042</v>
      </c>
      <c r="H56" s="212">
        <v>578201440.10301042</v>
      </c>
      <c r="I56" s="27">
        <v>41</v>
      </c>
      <c r="J56" s="41" t="s">
        <v>170</v>
      </c>
      <c r="K56" s="217" t="s">
        <v>975</v>
      </c>
      <c r="L56" s="217" t="s">
        <v>623</v>
      </c>
      <c r="M56" s="487"/>
      <c r="N56" s="487"/>
      <c r="O56" s="487" t="s">
        <v>21</v>
      </c>
      <c r="P56" s="485"/>
      <c r="Q56" s="487"/>
      <c r="R56" s="485"/>
      <c r="S56" s="487"/>
      <c r="T56" s="517" t="s">
        <v>3580</v>
      </c>
      <c r="V56" s="6"/>
    </row>
    <row r="57" spans="1:27" s="9" customFormat="1" ht="15" customHeight="1">
      <c r="A57" s="516" t="s">
        <v>171</v>
      </c>
      <c r="B57" s="485">
        <v>2009</v>
      </c>
      <c r="C57" s="27" t="s">
        <v>165</v>
      </c>
      <c r="D57" s="487" t="s">
        <v>81</v>
      </c>
      <c r="E57" s="27" t="s">
        <v>169</v>
      </c>
      <c r="F57" s="27" t="s">
        <v>30</v>
      </c>
      <c r="G57" s="212">
        <v>253718209.59147424</v>
      </c>
      <c r="H57" s="212">
        <v>294456985.79040849</v>
      </c>
      <c r="I57" s="27">
        <v>41</v>
      </c>
      <c r="J57" s="41" t="s">
        <v>172</v>
      </c>
      <c r="K57" s="217" t="s">
        <v>975</v>
      </c>
      <c r="L57" s="217" t="s">
        <v>623</v>
      </c>
      <c r="M57" s="487"/>
      <c r="N57" s="487"/>
      <c r="O57" s="487" t="s">
        <v>21</v>
      </c>
      <c r="P57" s="485"/>
      <c r="Q57" s="487"/>
      <c r="R57" s="485"/>
      <c r="S57" s="487"/>
      <c r="T57" s="517" t="s">
        <v>3580</v>
      </c>
      <c r="V57" s="6"/>
    </row>
    <row r="58" spans="1:27" s="9" customFormat="1" ht="15" customHeight="1">
      <c r="A58" s="516" t="s">
        <v>173</v>
      </c>
      <c r="B58" s="485">
        <v>2010</v>
      </c>
      <c r="C58" s="27" t="s">
        <v>165</v>
      </c>
      <c r="D58" s="487" t="s">
        <v>81</v>
      </c>
      <c r="E58" s="27" t="s">
        <v>174</v>
      </c>
      <c r="F58" s="27" t="s">
        <v>30</v>
      </c>
      <c r="G58" s="212">
        <v>875938726</v>
      </c>
      <c r="H58" s="212">
        <v>773021963</v>
      </c>
      <c r="I58" s="27">
        <v>58</v>
      </c>
      <c r="J58" s="41" t="s">
        <v>175</v>
      </c>
      <c r="K58" s="217" t="s">
        <v>975</v>
      </c>
      <c r="L58" s="217" t="s">
        <v>773</v>
      </c>
      <c r="M58" s="487" t="s">
        <v>21</v>
      </c>
      <c r="N58" s="487"/>
      <c r="O58" s="487" t="s">
        <v>21</v>
      </c>
      <c r="P58" s="485"/>
      <c r="Q58" s="487"/>
      <c r="R58" s="485"/>
      <c r="S58" s="487"/>
      <c r="T58" s="515"/>
      <c r="V58" s="6"/>
    </row>
    <row r="59" spans="1:27" s="9" customFormat="1" ht="15" customHeight="1">
      <c r="A59" s="516" t="s">
        <v>176</v>
      </c>
      <c r="B59" s="485">
        <v>2011</v>
      </c>
      <c r="C59" s="27" t="s">
        <v>165</v>
      </c>
      <c r="D59" s="487" t="s">
        <v>81</v>
      </c>
      <c r="E59" s="54" t="s">
        <v>90</v>
      </c>
      <c r="F59" s="27" t="s">
        <v>30</v>
      </c>
      <c r="G59" s="212">
        <v>1413126313</v>
      </c>
      <c r="H59" s="212">
        <v>1408273353</v>
      </c>
      <c r="I59" s="485">
        <v>106</v>
      </c>
      <c r="J59" s="486" t="s">
        <v>177</v>
      </c>
      <c r="K59" s="217" t="s">
        <v>975</v>
      </c>
      <c r="L59" s="217" t="s">
        <v>773</v>
      </c>
      <c r="M59" s="487" t="s">
        <v>21</v>
      </c>
      <c r="N59" s="487"/>
      <c r="O59" s="487"/>
      <c r="P59" s="485"/>
      <c r="Q59" s="487"/>
      <c r="R59" s="485"/>
      <c r="S59" s="487" t="s">
        <v>22</v>
      </c>
      <c r="T59" s="515" t="s">
        <v>3572</v>
      </c>
      <c r="V59" s="6"/>
    </row>
    <row r="60" spans="1:27">
      <c r="A60" s="370" t="s">
        <v>178</v>
      </c>
      <c r="B60" s="200">
        <v>2012</v>
      </c>
      <c r="C60" s="201" t="s">
        <v>179</v>
      </c>
      <c r="D60" s="200" t="s">
        <v>81</v>
      </c>
      <c r="E60" s="54" t="s">
        <v>45</v>
      </c>
      <c r="F60" s="200" t="s">
        <v>36</v>
      </c>
      <c r="G60" s="214">
        <v>1505213145</v>
      </c>
      <c r="H60" s="247">
        <v>1514746636</v>
      </c>
      <c r="I60" s="27">
        <v>110</v>
      </c>
      <c r="J60" s="41" t="s">
        <v>180</v>
      </c>
      <c r="K60" s="217" t="s">
        <v>975</v>
      </c>
      <c r="L60" s="217" t="s">
        <v>564</v>
      </c>
      <c r="M60" s="488" t="s">
        <v>21</v>
      </c>
      <c r="N60" s="488"/>
      <c r="O60" s="488" t="s">
        <v>21</v>
      </c>
      <c r="P60" s="488"/>
      <c r="Q60" s="488"/>
      <c r="R60" s="488"/>
      <c r="S60" s="488"/>
      <c r="T60" s="515"/>
      <c r="U60" s="9"/>
      <c r="V60" s="9"/>
    </row>
    <row r="61" spans="1:27" s="12" customFormat="1" ht="15" customHeight="1">
      <c r="A61" s="516" t="s">
        <v>181</v>
      </c>
      <c r="B61" s="485">
        <v>2007</v>
      </c>
      <c r="C61" s="27" t="s">
        <v>182</v>
      </c>
      <c r="D61" s="487" t="s">
        <v>81</v>
      </c>
      <c r="E61" s="54"/>
      <c r="F61" s="27" t="s">
        <v>50</v>
      </c>
      <c r="G61" s="489">
        <v>6148771541.7605944</v>
      </c>
      <c r="H61" s="489">
        <v>4083149750.8419681</v>
      </c>
      <c r="I61" s="485"/>
      <c r="J61" s="486"/>
      <c r="K61" s="486"/>
      <c r="L61" s="486"/>
      <c r="M61" s="487"/>
      <c r="N61" s="487"/>
      <c r="O61" s="487"/>
      <c r="P61" s="485"/>
      <c r="Q61" s="487"/>
      <c r="R61" s="485"/>
      <c r="S61" s="487"/>
      <c r="T61" s="515"/>
      <c r="U61" s="9"/>
      <c r="V61" s="6"/>
      <c r="W61" s="9"/>
      <c r="X61" s="9"/>
      <c r="Y61" s="9"/>
      <c r="Z61" s="9"/>
      <c r="AA61" s="9"/>
    </row>
    <row r="62" spans="1:27" s="12" customFormat="1" ht="15" customHeight="1">
      <c r="A62" s="516" t="s">
        <v>183</v>
      </c>
      <c r="B62" s="485">
        <v>2008</v>
      </c>
      <c r="C62" s="27" t="s">
        <v>182</v>
      </c>
      <c r="D62" s="487" t="s">
        <v>81</v>
      </c>
      <c r="E62" s="54"/>
      <c r="F62" s="27" t="s">
        <v>50</v>
      </c>
      <c r="G62" s="489">
        <v>9119117112.0564747</v>
      </c>
      <c r="H62" s="489">
        <v>6011049981.865613</v>
      </c>
      <c r="I62" s="485"/>
      <c r="J62" s="486"/>
      <c r="K62" s="486"/>
      <c r="L62" s="486"/>
      <c r="M62" s="487"/>
      <c r="N62" s="487"/>
      <c r="O62" s="487"/>
      <c r="P62" s="485"/>
      <c r="Q62" s="487"/>
      <c r="R62" s="485"/>
      <c r="S62" s="487"/>
      <c r="T62" s="515"/>
      <c r="U62" s="9"/>
      <c r="V62" s="6"/>
      <c r="W62" s="9"/>
      <c r="X62" s="9"/>
      <c r="Y62" s="9"/>
      <c r="Z62" s="9"/>
      <c r="AA62" s="9"/>
    </row>
    <row r="63" spans="1:27" s="12" customFormat="1">
      <c r="A63" s="516" t="s">
        <v>184</v>
      </c>
      <c r="B63" s="485">
        <v>2004</v>
      </c>
      <c r="C63" s="27" t="s">
        <v>185</v>
      </c>
      <c r="D63" s="487" t="s">
        <v>81</v>
      </c>
      <c r="E63" s="27"/>
      <c r="F63" s="27" t="s">
        <v>98</v>
      </c>
      <c r="G63" s="212">
        <v>775990000</v>
      </c>
      <c r="H63" s="212">
        <v>808829000</v>
      </c>
      <c r="I63" s="485"/>
      <c r="J63" s="486"/>
      <c r="K63" s="486"/>
      <c r="L63" s="486"/>
      <c r="M63" s="487"/>
      <c r="N63" s="487"/>
      <c r="O63" s="487"/>
      <c r="P63" s="485"/>
      <c r="Q63" s="487"/>
      <c r="R63" s="485"/>
      <c r="S63" s="487"/>
      <c r="T63" s="515"/>
      <c r="U63" s="9"/>
      <c r="V63" s="6"/>
      <c r="W63" s="9"/>
      <c r="X63" s="9"/>
      <c r="Y63" s="9"/>
      <c r="Z63" s="9"/>
      <c r="AA63" s="9"/>
    </row>
    <row r="64" spans="1:27" s="12" customFormat="1">
      <c r="A64" s="516" t="s">
        <v>186</v>
      </c>
      <c r="B64" s="485">
        <v>2005</v>
      </c>
      <c r="C64" s="27" t="s">
        <v>185</v>
      </c>
      <c r="D64" s="487" t="s">
        <v>81</v>
      </c>
      <c r="E64" s="27"/>
      <c r="F64" s="27" t="s">
        <v>36</v>
      </c>
      <c r="G64" s="212">
        <v>1716414357.4144487</v>
      </c>
      <c r="H64" s="212">
        <v>1748730093.1558936</v>
      </c>
      <c r="I64" s="485"/>
      <c r="J64" s="486"/>
      <c r="K64" s="486"/>
      <c r="L64" s="486"/>
      <c r="M64" s="487"/>
      <c r="N64" s="487"/>
      <c r="O64" s="487"/>
      <c r="P64" s="485"/>
      <c r="Q64" s="487"/>
      <c r="R64" s="485"/>
      <c r="S64" s="487"/>
      <c r="T64" s="515"/>
      <c r="U64" s="9"/>
      <c r="V64" s="6"/>
      <c r="W64" s="9"/>
      <c r="X64" s="9"/>
      <c r="Y64" s="9"/>
      <c r="Z64" s="9"/>
      <c r="AA64" s="9"/>
    </row>
    <row r="65" spans="1:27" s="12" customFormat="1">
      <c r="A65" s="516" t="s">
        <v>187</v>
      </c>
      <c r="B65" s="485">
        <v>2006</v>
      </c>
      <c r="C65" s="27" t="s">
        <v>185</v>
      </c>
      <c r="D65" s="487" t="s">
        <v>81</v>
      </c>
      <c r="E65" s="27"/>
      <c r="F65" s="27" t="s">
        <v>36</v>
      </c>
      <c r="G65" s="212">
        <v>1944187567.1747403</v>
      </c>
      <c r="H65" s="212">
        <v>2007587567.1747401</v>
      </c>
      <c r="I65" s="485"/>
      <c r="J65" s="486"/>
      <c r="K65" s="486"/>
      <c r="L65" s="486"/>
      <c r="M65" s="487"/>
      <c r="N65" s="487"/>
      <c r="O65" s="487"/>
      <c r="P65" s="485"/>
      <c r="Q65" s="487"/>
      <c r="R65" s="485"/>
      <c r="S65" s="487"/>
      <c r="T65" s="515"/>
      <c r="U65" s="9"/>
      <c r="V65" s="6"/>
      <c r="W65" s="9"/>
      <c r="X65" s="9"/>
      <c r="Y65" s="9"/>
      <c r="Z65" s="9"/>
      <c r="AA65" s="9"/>
    </row>
    <row r="66" spans="1:27">
      <c r="A66" s="516" t="s">
        <v>188</v>
      </c>
      <c r="B66" s="487">
        <v>2004</v>
      </c>
      <c r="C66" s="494" t="s">
        <v>189</v>
      </c>
      <c r="D66" s="494" t="s">
        <v>81</v>
      </c>
      <c r="E66" s="495" t="s">
        <v>190</v>
      </c>
      <c r="F66" s="494" t="s">
        <v>19</v>
      </c>
      <c r="G66" s="212">
        <v>27021531.670000002</v>
      </c>
      <c r="H66" s="212">
        <v>27012825.07</v>
      </c>
      <c r="I66" s="485">
        <v>8</v>
      </c>
      <c r="J66" s="486" t="s">
        <v>191</v>
      </c>
      <c r="K66" s="486" t="s">
        <v>1043</v>
      </c>
      <c r="L66" s="217" t="s">
        <v>1047</v>
      </c>
      <c r="M66" s="487"/>
      <c r="N66" s="487"/>
      <c r="O66" s="487" t="s">
        <v>21</v>
      </c>
      <c r="P66" s="485"/>
      <c r="Q66" s="485"/>
      <c r="R66" s="485"/>
      <c r="S66" s="487" t="s">
        <v>23</v>
      </c>
      <c r="T66" s="515"/>
      <c r="U66" s="9"/>
      <c r="V66" s="9"/>
    </row>
    <row r="67" spans="1:27">
      <c r="A67" s="516" t="s">
        <v>192</v>
      </c>
      <c r="B67" s="487">
        <v>2005</v>
      </c>
      <c r="C67" s="494" t="s">
        <v>189</v>
      </c>
      <c r="D67" s="494" t="s">
        <v>81</v>
      </c>
      <c r="E67" s="495" t="s">
        <v>193</v>
      </c>
      <c r="F67" s="494" t="s">
        <v>19</v>
      </c>
      <c r="G67" s="212">
        <v>44654643</v>
      </c>
      <c r="H67" s="212">
        <v>44137187</v>
      </c>
      <c r="I67" s="485">
        <v>9</v>
      </c>
      <c r="J67" s="485" t="s">
        <v>194</v>
      </c>
      <c r="K67" s="485" t="s">
        <v>1043</v>
      </c>
      <c r="L67" s="217" t="s">
        <v>1047</v>
      </c>
      <c r="M67" s="487" t="s">
        <v>21</v>
      </c>
      <c r="N67" s="487" t="s">
        <v>21</v>
      </c>
      <c r="O67" s="487" t="s">
        <v>21</v>
      </c>
      <c r="P67" s="487" t="s">
        <v>21</v>
      </c>
      <c r="Q67" s="487" t="s">
        <v>21</v>
      </c>
      <c r="R67" s="485"/>
      <c r="S67" s="487" t="s">
        <v>23</v>
      </c>
      <c r="T67" s="515"/>
      <c r="U67" s="9"/>
      <c r="V67" s="9"/>
    </row>
    <row r="68" spans="1:27">
      <c r="A68" s="516" t="s">
        <v>195</v>
      </c>
      <c r="B68" s="487">
        <v>2006</v>
      </c>
      <c r="C68" s="494" t="s">
        <v>189</v>
      </c>
      <c r="D68" s="494" t="s">
        <v>81</v>
      </c>
      <c r="E68" s="495" t="s">
        <v>196</v>
      </c>
      <c r="F68" s="494" t="s">
        <v>19</v>
      </c>
      <c r="G68" s="212">
        <v>66220560</v>
      </c>
      <c r="H68" s="212">
        <v>66776712</v>
      </c>
      <c r="I68" s="485">
        <v>11</v>
      </c>
      <c r="J68" s="485" t="s">
        <v>197</v>
      </c>
      <c r="K68" s="485" t="s">
        <v>1043</v>
      </c>
      <c r="L68" s="217" t="s">
        <v>1047</v>
      </c>
      <c r="M68" s="487" t="s">
        <v>21</v>
      </c>
      <c r="N68" s="487" t="s">
        <v>21</v>
      </c>
      <c r="O68" s="487" t="s">
        <v>21</v>
      </c>
      <c r="P68" s="487" t="s">
        <v>21</v>
      </c>
      <c r="Q68" s="487" t="s">
        <v>21</v>
      </c>
      <c r="R68" s="485"/>
      <c r="S68" s="487" t="s">
        <v>23</v>
      </c>
      <c r="T68" s="517" t="s">
        <v>3581</v>
      </c>
      <c r="U68" s="14"/>
      <c r="V68" s="9"/>
    </row>
    <row r="69" spans="1:27">
      <c r="A69" s="516" t="s">
        <v>198</v>
      </c>
      <c r="B69" s="487">
        <v>2007</v>
      </c>
      <c r="C69" s="494" t="s">
        <v>189</v>
      </c>
      <c r="D69" s="494" t="s">
        <v>81</v>
      </c>
      <c r="E69" s="495" t="s">
        <v>196</v>
      </c>
      <c r="F69" s="494" t="s">
        <v>19</v>
      </c>
      <c r="G69" s="212">
        <v>61767543</v>
      </c>
      <c r="H69" s="212">
        <v>64548464</v>
      </c>
      <c r="I69" s="485">
        <v>11</v>
      </c>
      <c r="J69" s="485" t="s">
        <v>199</v>
      </c>
      <c r="K69" s="485" t="s">
        <v>1043</v>
      </c>
      <c r="L69" s="217" t="s">
        <v>1047</v>
      </c>
      <c r="M69" s="487" t="s">
        <v>21</v>
      </c>
      <c r="N69" s="487" t="s">
        <v>21</v>
      </c>
      <c r="O69" s="487" t="s">
        <v>21</v>
      </c>
      <c r="P69" s="487" t="s">
        <v>21</v>
      </c>
      <c r="Q69" s="487" t="s">
        <v>21</v>
      </c>
      <c r="R69" s="485"/>
      <c r="S69" s="487" t="s">
        <v>23</v>
      </c>
      <c r="T69" s="515" t="s">
        <v>3582</v>
      </c>
      <c r="U69" s="14"/>
      <c r="V69" s="9"/>
    </row>
    <row r="70" spans="1:27">
      <c r="A70" s="516" t="s">
        <v>200</v>
      </c>
      <c r="B70" s="487">
        <v>2008</v>
      </c>
      <c r="C70" s="494" t="s">
        <v>189</v>
      </c>
      <c r="D70" s="494" t="s">
        <v>81</v>
      </c>
      <c r="E70" s="495" t="s">
        <v>196</v>
      </c>
      <c r="F70" s="494" t="s">
        <v>19</v>
      </c>
      <c r="G70" s="212">
        <v>91193482</v>
      </c>
      <c r="H70" s="212">
        <v>90840454</v>
      </c>
      <c r="I70" s="485">
        <v>11</v>
      </c>
      <c r="J70" s="485" t="s">
        <v>201</v>
      </c>
      <c r="K70" s="485" t="s">
        <v>1043</v>
      </c>
      <c r="L70" s="217" t="s">
        <v>1047</v>
      </c>
      <c r="M70" s="487" t="s">
        <v>21</v>
      </c>
      <c r="N70" s="487" t="s">
        <v>21</v>
      </c>
      <c r="O70" s="487" t="s">
        <v>21</v>
      </c>
      <c r="P70" s="487" t="s">
        <v>21</v>
      </c>
      <c r="Q70" s="487" t="s">
        <v>21</v>
      </c>
      <c r="R70" s="485"/>
      <c r="S70" s="487" t="s">
        <v>23</v>
      </c>
      <c r="T70" s="515" t="s">
        <v>3582</v>
      </c>
      <c r="U70" s="14"/>
      <c r="V70" s="9"/>
    </row>
    <row r="71" spans="1:27" ht="30">
      <c r="A71" s="516" t="s">
        <v>202</v>
      </c>
      <c r="B71" s="487">
        <v>2009</v>
      </c>
      <c r="C71" s="494" t="s">
        <v>189</v>
      </c>
      <c r="D71" s="494" t="s">
        <v>81</v>
      </c>
      <c r="E71" s="495" t="s">
        <v>203</v>
      </c>
      <c r="F71" s="494" t="s">
        <v>19</v>
      </c>
      <c r="G71" s="212">
        <v>111972313.33333333</v>
      </c>
      <c r="H71" s="212">
        <v>111975972.38095237</v>
      </c>
      <c r="I71" s="485">
        <v>10</v>
      </c>
      <c r="J71" s="485" t="s">
        <v>204</v>
      </c>
      <c r="K71" s="485" t="s">
        <v>1043</v>
      </c>
      <c r="L71" s="217" t="s">
        <v>1047</v>
      </c>
      <c r="M71" s="487" t="s">
        <v>21</v>
      </c>
      <c r="N71" s="487" t="s">
        <v>21</v>
      </c>
      <c r="O71" s="487" t="s">
        <v>21</v>
      </c>
      <c r="P71" s="487" t="s">
        <v>21</v>
      </c>
      <c r="Q71" s="487" t="s">
        <v>21</v>
      </c>
      <c r="R71" s="485"/>
      <c r="S71" s="487" t="s">
        <v>23</v>
      </c>
      <c r="T71" s="515" t="s">
        <v>3583</v>
      </c>
      <c r="U71" s="14"/>
      <c r="V71" s="9"/>
    </row>
    <row r="72" spans="1:27">
      <c r="A72" s="516" t="s">
        <v>205</v>
      </c>
      <c r="B72" s="487">
        <v>2010</v>
      </c>
      <c r="C72" s="494" t="s">
        <v>189</v>
      </c>
      <c r="D72" s="494" t="s">
        <v>81</v>
      </c>
      <c r="E72" s="495" t="s">
        <v>206</v>
      </c>
      <c r="F72" s="27" t="s">
        <v>30</v>
      </c>
      <c r="G72" s="212">
        <v>212460480</v>
      </c>
      <c r="H72" s="212">
        <v>192644934</v>
      </c>
      <c r="I72" s="496">
        <v>18</v>
      </c>
      <c r="J72" s="487" t="s">
        <v>207</v>
      </c>
      <c r="K72" s="487" t="s">
        <v>1043</v>
      </c>
      <c r="L72" s="217" t="s">
        <v>1047</v>
      </c>
      <c r="M72" s="487" t="s">
        <v>21</v>
      </c>
      <c r="N72" s="487" t="s">
        <v>21</v>
      </c>
      <c r="O72" s="487" t="s">
        <v>21</v>
      </c>
      <c r="P72" s="487" t="s">
        <v>21</v>
      </c>
      <c r="Q72" s="487" t="s">
        <v>21</v>
      </c>
      <c r="R72" s="487"/>
      <c r="S72" s="487" t="s">
        <v>22</v>
      </c>
      <c r="T72" s="515" t="s">
        <v>3572</v>
      </c>
      <c r="U72" s="14"/>
      <c r="V72" s="9"/>
    </row>
    <row r="73" spans="1:27">
      <c r="A73" s="516" t="s">
        <v>208</v>
      </c>
      <c r="B73" s="487">
        <v>2011</v>
      </c>
      <c r="C73" s="494" t="s">
        <v>189</v>
      </c>
      <c r="D73" s="494" t="s">
        <v>81</v>
      </c>
      <c r="E73" s="495" t="s">
        <v>206</v>
      </c>
      <c r="F73" s="27" t="s">
        <v>30</v>
      </c>
      <c r="G73" s="212">
        <v>942698326.41000009</v>
      </c>
      <c r="H73" s="212">
        <v>897711128</v>
      </c>
      <c r="I73" s="496">
        <v>18</v>
      </c>
      <c r="J73" s="487" t="s">
        <v>207</v>
      </c>
      <c r="K73" s="487" t="s">
        <v>1043</v>
      </c>
      <c r="L73" s="217" t="s">
        <v>1047</v>
      </c>
      <c r="M73" s="487" t="s">
        <v>21</v>
      </c>
      <c r="N73" s="487" t="s">
        <v>21</v>
      </c>
      <c r="O73" s="487" t="s">
        <v>21</v>
      </c>
      <c r="P73" s="487" t="s">
        <v>21</v>
      </c>
      <c r="Q73" s="487" t="s">
        <v>21</v>
      </c>
      <c r="R73" s="487"/>
      <c r="S73" s="487" t="s">
        <v>22</v>
      </c>
      <c r="T73" s="515" t="s">
        <v>3572</v>
      </c>
      <c r="U73" s="14"/>
      <c r="V73" s="9"/>
    </row>
    <row r="74" spans="1:27">
      <c r="A74" s="521" t="s">
        <v>209</v>
      </c>
      <c r="B74" s="200">
        <v>2012</v>
      </c>
      <c r="C74" s="200" t="s">
        <v>189</v>
      </c>
      <c r="D74" s="200" t="s">
        <v>81</v>
      </c>
      <c r="E74" s="54" t="s">
        <v>45</v>
      </c>
      <c r="F74" s="200" t="s">
        <v>36</v>
      </c>
      <c r="G74" s="243">
        <v>1112429755.6600001</v>
      </c>
      <c r="H74" s="243">
        <v>1110806094.97</v>
      </c>
      <c r="I74" s="27">
        <v>18</v>
      </c>
      <c r="J74" s="497" t="s">
        <v>210</v>
      </c>
      <c r="K74" s="497" t="s">
        <v>1043</v>
      </c>
      <c r="L74" s="217" t="s">
        <v>1047</v>
      </c>
      <c r="M74" s="488" t="s">
        <v>21</v>
      </c>
      <c r="N74" s="488"/>
      <c r="O74" s="488" t="s">
        <v>21</v>
      </c>
      <c r="P74" s="488"/>
      <c r="Q74" s="488"/>
      <c r="R74" s="488"/>
      <c r="S74" s="488"/>
      <c r="T74" s="515"/>
      <c r="U74" s="9"/>
      <c r="V74" s="9"/>
    </row>
    <row r="75" spans="1:27">
      <c r="A75" s="520" t="s">
        <v>211</v>
      </c>
      <c r="B75" s="498">
        <v>2013</v>
      </c>
      <c r="C75" s="499" t="s">
        <v>189</v>
      </c>
      <c r="D75" s="500" t="s">
        <v>81</v>
      </c>
      <c r="E75" s="54" t="s">
        <v>45</v>
      </c>
      <c r="F75" s="488" t="s">
        <v>36</v>
      </c>
      <c r="G75" s="243">
        <v>1269116732.9300001</v>
      </c>
      <c r="H75" s="243">
        <v>1215635816.8599999</v>
      </c>
      <c r="I75" s="27">
        <v>19</v>
      </c>
      <c r="J75" s="41" t="s">
        <v>210</v>
      </c>
      <c r="K75" s="41" t="s">
        <v>1043</v>
      </c>
      <c r="L75" s="217" t="s">
        <v>1047</v>
      </c>
      <c r="M75" s="488" t="s">
        <v>21</v>
      </c>
      <c r="N75" s="488"/>
      <c r="O75" s="488" t="s">
        <v>21</v>
      </c>
      <c r="P75" s="488"/>
      <c r="Q75" s="488"/>
      <c r="R75" s="488"/>
      <c r="S75" s="488"/>
      <c r="T75" s="517" t="s">
        <v>3573</v>
      </c>
      <c r="U75" s="9"/>
      <c r="V75" s="9"/>
    </row>
    <row r="76" spans="1:27" s="15" customFormat="1">
      <c r="A76" s="516" t="s">
        <v>212</v>
      </c>
      <c r="B76" s="485">
        <v>2010</v>
      </c>
      <c r="C76" s="487" t="s">
        <v>213</v>
      </c>
      <c r="D76" s="494" t="s">
        <v>214</v>
      </c>
      <c r="E76" s="27" t="s">
        <v>112</v>
      </c>
      <c r="F76" s="27" t="s">
        <v>30</v>
      </c>
      <c r="G76" s="212">
        <v>155800631</v>
      </c>
      <c r="H76" s="212">
        <v>157157449</v>
      </c>
      <c r="I76" s="485">
        <v>8</v>
      </c>
      <c r="J76" s="41" t="s">
        <v>215</v>
      </c>
      <c r="K76" s="41" t="s">
        <v>1115</v>
      </c>
      <c r="L76" s="217" t="s">
        <v>1117</v>
      </c>
      <c r="M76" s="485"/>
      <c r="N76" s="485"/>
      <c r="O76" s="487" t="s">
        <v>21</v>
      </c>
      <c r="P76" s="485"/>
      <c r="Q76" s="485"/>
      <c r="R76" s="485"/>
      <c r="S76" s="487"/>
      <c r="T76" s="515"/>
      <c r="U76" s="9"/>
      <c r="V76" s="9"/>
      <c r="W76" s="9"/>
      <c r="X76" s="9"/>
      <c r="Y76" s="9"/>
      <c r="Z76" s="9"/>
      <c r="AA76" s="9"/>
    </row>
    <row r="77" spans="1:27" s="15" customFormat="1">
      <c r="A77" s="516" t="s">
        <v>216</v>
      </c>
      <c r="B77" s="485">
        <v>2011</v>
      </c>
      <c r="C77" s="487" t="s">
        <v>213</v>
      </c>
      <c r="D77" s="494" t="s">
        <v>214</v>
      </c>
      <c r="E77" s="27" t="s">
        <v>140</v>
      </c>
      <c r="F77" s="27" t="s">
        <v>30</v>
      </c>
      <c r="G77" s="212">
        <v>224641623</v>
      </c>
      <c r="H77" s="212">
        <v>224641623</v>
      </c>
      <c r="I77" s="485">
        <v>8</v>
      </c>
      <c r="J77" s="41" t="s">
        <v>217</v>
      </c>
      <c r="K77" s="41" t="s">
        <v>1115</v>
      </c>
      <c r="L77" s="217" t="s">
        <v>1153</v>
      </c>
      <c r="M77" s="485"/>
      <c r="N77" s="485"/>
      <c r="O77" s="487" t="s">
        <v>21</v>
      </c>
      <c r="P77" s="485"/>
      <c r="Q77" s="485"/>
      <c r="R77" s="485"/>
      <c r="S77" s="487"/>
      <c r="T77" s="515"/>
      <c r="U77" s="9"/>
      <c r="V77" s="9"/>
      <c r="W77" s="9"/>
      <c r="X77" s="9"/>
      <c r="Y77" s="9"/>
      <c r="Z77" s="9"/>
      <c r="AA77" s="9"/>
    </row>
    <row r="78" spans="1:27" s="9" customFormat="1">
      <c r="A78" s="516" t="s">
        <v>218</v>
      </c>
      <c r="B78" s="485">
        <v>2005</v>
      </c>
      <c r="C78" s="487" t="s">
        <v>219</v>
      </c>
      <c r="D78" s="494" t="s">
        <v>81</v>
      </c>
      <c r="E78" s="495" t="s">
        <v>59</v>
      </c>
      <c r="F78" s="487" t="s">
        <v>19</v>
      </c>
      <c r="G78" s="212">
        <v>138153403</v>
      </c>
      <c r="H78" s="212">
        <v>139444841</v>
      </c>
      <c r="I78" s="485">
        <v>6</v>
      </c>
      <c r="J78" s="485" t="s">
        <v>220</v>
      </c>
      <c r="K78" s="485" t="s">
        <v>1159</v>
      </c>
      <c r="L78" s="217" t="s">
        <v>773</v>
      </c>
      <c r="M78" s="487" t="s">
        <v>21</v>
      </c>
      <c r="N78" s="485"/>
      <c r="O78" s="487" t="s">
        <v>21</v>
      </c>
      <c r="P78" s="485"/>
      <c r="Q78" s="485"/>
      <c r="R78" s="485"/>
      <c r="S78" s="487" t="s">
        <v>23</v>
      </c>
      <c r="T78" s="515" t="s">
        <v>3572</v>
      </c>
      <c r="U78" s="14"/>
    </row>
    <row r="79" spans="1:27" s="9" customFormat="1">
      <c r="A79" s="516" t="s">
        <v>221</v>
      </c>
      <c r="B79" s="485">
        <v>2006</v>
      </c>
      <c r="C79" s="487" t="s">
        <v>219</v>
      </c>
      <c r="D79" s="494" t="s">
        <v>81</v>
      </c>
      <c r="E79" s="27" t="s">
        <v>222</v>
      </c>
      <c r="F79" s="487" t="s">
        <v>19</v>
      </c>
      <c r="G79" s="212">
        <v>129435000</v>
      </c>
      <c r="H79" s="489">
        <v>122473523.42801651</v>
      </c>
      <c r="I79" s="27">
        <v>6</v>
      </c>
      <c r="J79" s="41" t="s">
        <v>223</v>
      </c>
      <c r="K79" s="41" t="s">
        <v>1159</v>
      </c>
      <c r="L79" s="217" t="s">
        <v>662</v>
      </c>
      <c r="M79" s="487" t="s">
        <v>21</v>
      </c>
      <c r="N79" s="485"/>
      <c r="O79" s="487" t="s">
        <v>21</v>
      </c>
      <c r="P79" s="485"/>
      <c r="Q79" s="485"/>
      <c r="R79" s="485"/>
      <c r="S79" s="487"/>
      <c r="T79" s="515" t="s">
        <v>3584</v>
      </c>
    </row>
    <row r="80" spans="1:27" s="9" customFormat="1">
      <c r="A80" s="516" t="s">
        <v>224</v>
      </c>
      <c r="B80" s="485">
        <v>2007</v>
      </c>
      <c r="C80" s="487" t="s">
        <v>219</v>
      </c>
      <c r="D80" s="494" t="s">
        <v>81</v>
      </c>
      <c r="E80" s="27" t="s">
        <v>18</v>
      </c>
      <c r="F80" s="487" t="s">
        <v>19</v>
      </c>
      <c r="G80" s="214">
        <v>171775146.47727105</v>
      </c>
      <c r="H80" s="214">
        <v>173554249.65628326</v>
      </c>
      <c r="I80" s="27">
        <v>6</v>
      </c>
      <c r="J80" s="41" t="s">
        <v>225</v>
      </c>
      <c r="K80" s="41" t="s">
        <v>1159</v>
      </c>
      <c r="L80" s="217" t="s">
        <v>780</v>
      </c>
      <c r="M80" s="487" t="s">
        <v>21</v>
      </c>
      <c r="N80" s="485"/>
      <c r="O80" s="487" t="s">
        <v>21</v>
      </c>
      <c r="P80" s="485"/>
      <c r="Q80" s="485"/>
      <c r="R80" s="485"/>
      <c r="S80" s="487"/>
      <c r="T80" s="515" t="s">
        <v>3584</v>
      </c>
    </row>
    <row r="81" spans="1:22" s="9" customFormat="1">
      <c r="A81" s="516" t="s">
        <v>226</v>
      </c>
      <c r="B81" s="485">
        <v>2008</v>
      </c>
      <c r="C81" s="487" t="s">
        <v>219</v>
      </c>
      <c r="D81" s="494" t="s">
        <v>81</v>
      </c>
      <c r="E81" s="27" t="s">
        <v>18</v>
      </c>
      <c r="F81" s="487" t="s">
        <v>19</v>
      </c>
      <c r="G81" s="214">
        <v>211216758.63145587</v>
      </c>
      <c r="H81" s="214">
        <v>212638919.54098818</v>
      </c>
      <c r="I81" s="27">
        <v>6</v>
      </c>
      <c r="J81" s="41" t="s">
        <v>227</v>
      </c>
      <c r="K81" s="41" t="s">
        <v>1159</v>
      </c>
      <c r="L81" s="217" t="s">
        <v>780</v>
      </c>
      <c r="M81" s="487" t="s">
        <v>21</v>
      </c>
      <c r="N81" s="485"/>
      <c r="O81" s="487" t="s">
        <v>21</v>
      </c>
      <c r="P81" s="485"/>
      <c r="Q81" s="485"/>
      <c r="R81" s="485"/>
      <c r="S81" s="487"/>
      <c r="T81" s="515" t="s">
        <v>3584</v>
      </c>
    </row>
    <row r="82" spans="1:22" s="9" customFormat="1">
      <c r="A82" s="516" t="s">
        <v>228</v>
      </c>
      <c r="B82" s="485">
        <v>2009</v>
      </c>
      <c r="C82" s="487" t="s">
        <v>219</v>
      </c>
      <c r="D82" s="494" t="s">
        <v>81</v>
      </c>
      <c r="E82" s="27" t="s">
        <v>18</v>
      </c>
      <c r="F82" s="487" t="s">
        <v>19</v>
      </c>
      <c r="G82" s="212">
        <v>204355820.14115614</v>
      </c>
      <c r="H82" s="212">
        <v>216639913.76901186</v>
      </c>
      <c r="I82" s="27">
        <v>6</v>
      </c>
      <c r="J82" s="41" t="s">
        <v>229</v>
      </c>
      <c r="K82" s="41" t="s">
        <v>1159</v>
      </c>
      <c r="L82" s="217" t="s">
        <v>780</v>
      </c>
      <c r="M82" s="487" t="s">
        <v>21</v>
      </c>
      <c r="N82" s="485"/>
      <c r="O82" s="487" t="s">
        <v>21</v>
      </c>
      <c r="P82" s="485"/>
      <c r="Q82" s="485"/>
      <c r="R82" s="485"/>
      <c r="S82" s="487"/>
      <c r="T82" s="515" t="s">
        <v>3584</v>
      </c>
    </row>
    <row r="83" spans="1:22" s="9" customFormat="1">
      <c r="A83" s="516" t="s">
        <v>230</v>
      </c>
      <c r="B83" s="485">
        <v>2010</v>
      </c>
      <c r="C83" s="487" t="s">
        <v>219</v>
      </c>
      <c r="D83" s="494" t="s">
        <v>81</v>
      </c>
      <c r="E83" s="27" t="s">
        <v>18</v>
      </c>
      <c r="F83" s="487" t="s">
        <v>19</v>
      </c>
      <c r="G83" s="212">
        <v>218560221.14787036</v>
      </c>
      <c r="H83" s="212">
        <v>220836821.31086206</v>
      </c>
      <c r="I83" s="27">
        <v>7</v>
      </c>
      <c r="J83" s="41" t="s">
        <v>231</v>
      </c>
      <c r="K83" s="41" t="s">
        <v>1159</v>
      </c>
      <c r="L83" s="217" t="s">
        <v>780</v>
      </c>
      <c r="M83" s="487" t="s">
        <v>21</v>
      </c>
      <c r="N83" s="485"/>
      <c r="O83" s="487" t="s">
        <v>21</v>
      </c>
      <c r="P83" s="485"/>
      <c r="Q83" s="485"/>
      <c r="R83" s="485"/>
      <c r="S83" s="487"/>
      <c r="T83" s="515" t="s">
        <v>3584</v>
      </c>
    </row>
    <row r="84" spans="1:22" s="9" customFormat="1">
      <c r="A84" s="516" t="s">
        <v>232</v>
      </c>
      <c r="B84" s="485">
        <v>2011</v>
      </c>
      <c r="C84" s="487" t="s">
        <v>219</v>
      </c>
      <c r="D84" s="494" t="s">
        <v>81</v>
      </c>
      <c r="E84" s="27" t="s">
        <v>90</v>
      </c>
      <c r="F84" s="487" t="s">
        <v>19</v>
      </c>
      <c r="G84" s="214">
        <v>975948622.49588823</v>
      </c>
      <c r="H84" s="214">
        <v>982235037.08119869</v>
      </c>
      <c r="I84" s="27">
        <v>24</v>
      </c>
      <c r="J84" s="41" t="s">
        <v>233</v>
      </c>
      <c r="K84" s="41" t="s">
        <v>1159</v>
      </c>
      <c r="L84" s="217" t="s">
        <v>780</v>
      </c>
      <c r="M84" s="487" t="s">
        <v>21</v>
      </c>
      <c r="N84" s="485"/>
      <c r="O84" s="487" t="s">
        <v>21</v>
      </c>
      <c r="P84" s="485"/>
      <c r="Q84" s="485"/>
      <c r="R84" s="485"/>
      <c r="S84" s="487"/>
      <c r="T84" s="515" t="s">
        <v>3585</v>
      </c>
    </row>
    <row r="85" spans="1:22" s="9" customFormat="1">
      <c r="A85" s="516" t="s">
        <v>234</v>
      </c>
      <c r="B85" s="485">
        <v>2012</v>
      </c>
      <c r="C85" s="487" t="s">
        <v>219</v>
      </c>
      <c r="D85" s="494" t="s">
        <v>81</v>
      </c>
      <c r="E85" s="27" t="s">
        <v>90</v>
      </c>
      <c r="F85" s="487" t="s">
        <v>19</v>
      </c>
      <c r="G85" s="212">
        <v>371466405.82975137</v>
      </c>
      <c r="H85" s="212">
        <v>379858335.16916144</v>
      </c>
      <c r="I85" s="27">
        <v>26</v>
      </c>
      <c r="J85" s="41" t="s">
        <v>235</v>
      </c>
      <c r="K85" s="41" t="s">
        <v>1159</v>
      </c>
      <c r="L85" s="217" t="s">
        <v>780</v>
      </c>
      <c r="M85" s="487" t="s">
        <v>21</v>
      </c>
      <c r="N85" s="485"/>
      <c r="O85" s="487" t="s">
        <v>21</v>
      </c>
      <c r="P85" s="485"/>
      <c r="Q85" s="485"/>
      <c r="R85" s="485"/>
      <c r="S85" s="487"/>
      <c r="T85" s="515" t="s">
        <v>3585</v>
      </c>
    </row>
    <row r="86" spans="1:22" s="9" customFormat="1">
      <c r="A86" s="516" t="s">
        <v>236</v>
      </c>
      <c r="B86" s="485">
        <v>2009</v>
      </c>
      <c r="C86" s="487" t="s">
        <v>237</v>
      </c>
      <c r="D86" s="494" t="s">
        <v>238</v>
      </c>
      <c r="E86" s="495" t="s">
        <v>140</v>
      </c>
      <c r="F86" s="27" t="s">
        <v>30</v>
      </c>
      <c r="G86" s="212">
        <v>24925055610</v>
      </c>
      <c r="H86" s="212">
        <v>24682330430</v>
      </c>
      <c r="I86" s="485">
        <v>126</v>
      </c>
      <c r="J86" s="486" t="s">
        <v>239</v>
      </c>
      <c r="K86" s="486" t="s">
        <v>1210</v>
      </c>
      <c r="L86" s="217" t="s">
        <v>1214</v>
      </c>
      <c r="M86" s="487" t="s">
        <v>21</v>
      </c>
      <c r="N86" s="487"/>
      <c r="O86" s="487" t="s">
        <v>21</v>
      </c>
      <c r="P86" s="487"/>
      <c r="Q86" s="487" t="s">
        <v>21</v>
      </c>
      <c r="R86" s="487" t="s">
        <v>21</v>
      </c>
      <c r="S86" s="487" t="s">
        <v>22</v>
      </c>
      <c r="T86" s="515" t="s">
        <v>3586</v>
      </c>
    </row>
    <row r="87" spans="1:22" s="9" customFormat="1">
      <c r="A87" s="516" t="s">
        <v>240</v>
      </c>
      <c r="B87" s="485">
        <v>2010</v>
      </c>
      <c r="C87" s="487" t="s">
        <v>237</v>
      </c>
      <c r="D87" s="494" t="s">
        <v>238</v>
      </c>
      <c r="E87" s="495" t="s">
        <v>241</v>
      </c>
      <c r="F87" s="27" t="s">
        <v>30</v>
      </c>
      <c r="G87" s="212">
        <v>32949795856</v>
      </c>
      <c r="H87" s="212">
        <v>32920365915</v>
      </c>
      <c r="I87" s="485">
        <v>211</v>
      </c>
      <c r="J87" s="486" t="s">
        <v>242</v>
      </c>
      <c r="K87" s="486" t="s">
        <v>1210</v>
      </c>
      <c r="L87" s="217" t="s">
        <v>1214</v>
      </c>
      <c r="M87" s="487" t="s">
        <v>21</v>
      </c>
      <c r="N87" s="487"/>
      <c r="O87" s="487" t="s">
        <v>21</v>
      </c>
      <c r="P87" s="487"/>
      <c r="Q87" s="487" t="s">
        <v>21</v>
      </c>
      <c r="R87" s="487" t="s">
        <v>21</v>
      </c>
      <c r="S87" s="487" t="s">
        <v>22</v>
      </c>
      <c r="T87" s="515" t="s">
        <v>3587</v>
      </c>
    </row>
    <row r="88" spans="1:22" s="9" customFormat="1">
      <c r="A88" s="516" t="s">
        <v>243</v>
      </c>
      <c r="B88" s="485">
        <v>2011</v>
      </c>
      <c r="C88" s="487" t="s">
        <v>237</v>
      </c>
      <c r="D88" s="494" t="s">
        <v>238</v>
      </c>
      <c r="E88" s="495" t="s">
        <v>241</v>
      </c>
      <c r="F88" s="27" t="s">
        <v>30</v>
      </c>
      <c r="G88" s="212">
        <v>44779611925</v>
      </c>
      <c r="H88" s="212">
        <v>44689847698</v>
      </c>
      <c r="I88" s="485">
        <v>233</v>
      </c>
      <c r="J88" s="486" t="s">
        <v>242</v>
      </c>
      <c r="K88" s="486" t="s">
        <v>1210</v>
      </c>
      <c r="L88" s="217" t="s">
        <v>1214</v>
      </c>
      <c r="M88" s="487" t="s">
        <v>21</v>
      </c>
      <c r="N88" s="487"/>
      <c r="O88" s="487" t="s">
        <v>21</v>
      </c>
      <c r="P88" s="487"/>
      <c r="Q88" s="487" t="s">
        <v>21</v>
      </c>
      <c r="R88" s="487" t="s">
        <v>21</v>
      </c>
      <c r="S88" s="487" t="s">
        <v>22</v>
      </c>
      <c r="T88" s="515" t="s">
        <v>3587</v>
      </c>
    </row>
    <row r="89" spans="1:22" s="9" customFormat="1">
      <c r="A89" s="516" t="s">
        <v>244</v>
      </c>
      <c r="B89" s="485">
        <v>2009</v>
      </c>
      <c r="C89" s="487" t="s">
        <v>245</v>
      </c>
      <c r="D89" s="494" t="s">
        <v>246</v>
      </c>
      <c r="E89" s="495" t="s">
        <v>247</v>
      </c>
      <c r="F89" s="487" t="s">
        <v>98</v>
      </c>
      <c r="G89" s="212">
        <v>41249682456.5</v>
      </c>
      <c r="H89" s="212">
        <v>40159269633.400002</v>
      </c>
      <c r="I89" s="485">
        <v>34</v>
      </c>
      <c r="J89" s="485" t="s">
        <v>248</v>
      </c>
      <c r="K89" s="485" t="s">
        <v>1268</v>
      </c>
      <c r="L89" s="217" t="s">
        <v>976</v>
      </c>
      <c r="M89" s="487" t="s">
        <v>21</v>
      </c>
      <c r="N89" s="485"/>
      <c r="O89" s="487" t="s">
        <v>21</v>
      </c>
      <c r="P89" s="485"/>
      <c r="Q89" s="485"/>
      <c r="R89" s="485"/>
      <c r="S89" s="487" t="s">
        <v>22</v>
      </c>
      <c r="T89" s="515" t="s">
        <v>3588</v>
      </c>
    </row>
    <row r="90" spans="1:22" s="9" customFormat="1">
      <c r="A90" s="516" t="s">
        <v>249</v>
      </c>
      <c r="B90" s="485">
        <v>2010</v>
      </c>
      <c r="C90" s="487" t="s">
        <v>245</v>
      </c>
      <c r="D90" s="494" t="s">
        <v>246</v>
      </c>
      <c r="E90" s="495" t="s">
        <v>39</v>
      </c>
      <c r="F90" s="487" t="s">
        <v>98</v>
      </c>
      <c r="G90" s="212">
        <v>53852645106.349998</v>
      </c>
      <c r="H90" s="212">
        <v>54037731812.769997</v>
      </c>
      <c r="I90" s="485">
        <v>51</v>
      </c>
      <c r="J90" s="485" t="s">
        <v>250</v>
      </c>
      <c r="K90" s="485" t="s">
        <v>1268</v>
      </c>
      <c r="L90" s="217" t="s">
        <v>1274</v>
      </c>
      <c r="M90" s="487" t="s">
        <v>21</v>
      </c>
      <c r="N90" s="485"/>
      <c r="O90" s="487" t="s">
        <v>21</v>
      </c>
      <c r="P90" s="485"/>
      <c r="Q90" s="487" t="s">
        <v>21</v>
      </c>
      <c r="R90" s="485"/>
      <c r="S90" s="487" t="s">
        <v>22</v>
      </c>
      <c r="T90" s="517" t="s">
        <v>3589</v>
      </c>
    </row>
    <row r="91" spans="1:22" s="9" customFormat="1" ht="30">
      <c r="A91" s="516" t="s">
        <v>251</v>
      </c>
      <c r="B91" s="485">
        <v>2011</v>
      </c>
      <c r="C91" s="487" t="s">
        <v>245</v>
      </c>
      <c r="D91" s="494" t="s">
        <v>246</v>
      </c>
      <c r="E91" s="495" t="s">
        <v>90</v>
      </c>
      <c r="F91" s="487" t="s">
        <v>98</v>
      </c>
      <c r="G91" s="212">
        <v>82986002828</v>
      </c>
      <c r="H91" s="212">
        <v>81810684105</v>
      </c>
      <c r="I91" s="485">
        <v>47</v>
      </c>
      <c r="J91" s="485" t="s">
        <v>252</v>
      </c>
      <c r="K91" s="485" t="s">
        <v>1268</v>
      </c>
      <c r="L91" s="217" t="s">
        <v>1277</v>
      </c>
      <c r="M91" s="487" t="s">
        <v>21</v>
      </c>
      <c r="N91" s="485"/>
      <c r="O91" s="487" t="s">
        <v>21</v>
      </c>
      <c r="P91" s="485"/>
      <c r="Q91" s="487" t="s">
        <v>21</v>
      </c>
      <c r="R91" s="485"/>
      <c r="S91" s="487" t="s">
        <v>22</v>
      </c>
      <c r="T91" s="515" t="s">
        <v>3590</v>
      </c>
    </row>
    <row r="92" spans="1:22">
      <c r="A92" s="520" t="s">
        <v>253</v>
      </c>
      <c r="B92" s="491">
        <v>2012</v>
      </c>
      <c r="C92" s="492" t="s">
        <v>245</v>
      </c>
      <c r="D92" s="492" t="s">
        <v>246</v>
      </c>
      <c r="E92" s="54" t="s">
        <v>45</v>
      </c>
      <c r="F92" s="492" t="s">
        <v>98</v>
      </c>
      <c r="G92" s="214">
        <v>94032633453</v>
      </c>
      <c r="H92" s="501">
        <v>93136980753</v>
      </c>
      <c r="I92" s="27">
        <v>43</v>
      </c>
      <c r="J92" s="41" t="s">
        <v>254</v>
      </c>
      <c r="K92" s="41" t="s">
        <v>1268</v>
      </c>
      <c r="L92" s="217" t="s">
        <v>1277</v>
      </c>
      <c r="M92" s="488" t="s">
        <v>21</v>
      </c>
      <c r="N92" s="488"/>
      <c r="O92" s="488" t="s">
        <v>21</v>
      </c>
      <c r="P92" s="488"/>
      <c r="Q92" s="488"/>
      <c r="R92" s="488"/>
      <c r="S92" s="488" t="s">
        <v>22</v>
      </c>
      <c r="T92" s="515"/>
      <c r="U92" s="9"/>
      <c r="V92" s="9"/>
    </row>
    <row r="93" spans="1:22" s="9" customFormat="1">
      <c r="A93" s="516" t="s">
        <v>255</v>
      </c>
      <c r="B93" s="485">
        <v>2005</v>
      </c>
      <c r="C93" s="200" t="s">
        <v>273</v>
      </c>
      <c r="D93" s="494" t="s">
        <v>34</v>
      </c>
      <c r="E93" s="495" t="s">
        <v>256</v>
      </c>
      <c r="F93" s="487" t="s">
        <v>98</v>
      </c>
      <c r="G93" s="212">
        <v>2622996991</v>
      </c>
      <c r="H93" s="212">
        <v>2610384907</v>
      </c>
      <c r="I93" s="485">
        <v>37</v>
      </c>
      <c r="J93" s="485" t="s">
        <v>257</v>
      </c>
      <c r="K93" s="485" t="s">
        <v>1283</v>
      </c>
      <c r="L93" s="217" t="s">
        <v>662</v>
      </c>
      <c r="M93" s="487"/>
      <c r="N93" s="485"/>
      <c r="O93" s="487" t="s">
        <v>21</v>
      </c>
      <c r="P93" s="485"/>
      <c r="Q93" s="487"/>
      <c r="R93" s="485"/>
      <c r="S93" s="487" t="s">
        <v>258</v>
      </c>
      <c r="T93" s="517" t="s">
        <v>3573</v>
      </c>
    </row>
    <row r="94" spans="1:22" s="9" customFormat="1">
      <c r="A94" s="516" t="s">
        <v>259</v>
      </c>
      <c r="B94" s="485">
        <v>2006</v>
      </c>
      <c r="C94" s="200" t="s">
        <v>273</v>
      </c>
      <c r="D94" s="494" t="s">
        <v>34</v>
      </c>
      <c r="E94" s="495" t="s">
        <v>260</v>
      </c>
      <c r="F94" s="487" t="s">
        <v>50</v>
      </c>
      <c r="G94" s="212">
        <v>10237431640</v>
      </c>
      <c r="H94" s="212">
        <v>10113048830</v>
      </c>
      <c r="I94" s="485">
        <v>103</v>
      </c>
      <c r="J94" s="485" t="s">
        <v>261</v>
      </c>
      <c r="K94" s="485" t="s">
        <v>1283</v>
      </c>
      <c r="L94" s="217" t="s">
        <v>1289</v>
      </c>
      <c r="M94" s="487"/>
      <c r="N94" s="485"/>
      <c r="O94" s="487" t="s">
        <v>21</v>
      </c>
      <c r="P94" s="485"/>
      <c r="Q94" s="487"/>
      <c r="R94" s="485"/>
      <c r="S94" s="487" t="s">
        <v>258</v>
      </c>
      <c r="T94" s="517" t="s">
        <v>3573</v>
      </c>
    </row>
    <row r="95" spans="1:22" s="9" customFormat="1" ht="30">
      <c r="A95" s="516" t="s">
        <v>262</v>
      </c>
      <c r="B95" s="485">
        <v>2007</v>
      </c>
      <c r="C95" s="200" t="s">
        <v>273</v>
      </c>
      <c r="D95" s="494" t="s">
        <v>34</v>
      </c>
      <c r="E95" s="495" t="s">
        <v>68</v>
      </c>
      <c r="F95" s="487" t="s">
        <v>50</v>
      </c>
      <c r="G95" s="212">
        <v>12635329400</v>
      </c>
      <c r="H95" s="212">
        <v>12635329400</v>
      </c>
      <c r="I95" s="485">
        <v>108</v>
      </c>
      <c r="J95" s="485" t="s">
        <v>263</v>
      </c>
      <c r="K95" s="485" t="s">
        <v>1283</v>
      </c>
      <c r="L95" s="217" t="s">
        <v>1293</v>
      </c>
      <c r="M95" s="487"/>
      <c r="N95" s="485"/>
      <c r="O95" s="487" t="s">
        <v>21</v>
      </c>
      <c r="P95" s="485"/>
      <c r="Q95" s="487"/>
      <c r="R95" s="485"/>
      <c r="S95" s="487" t="s">
        <v>258</v>
      </c>
      <c r="T95" s="515" t="s">
        <v>3591</v>
      </c>
    </row>
    <row r="96" spans="1:22" s="9" customFormat="1" ht="30">
      <c r="A96" s="516" t="s">
        <v>264</v>
      </c>
      <c r="B96" s="485">
        <v>2008</v>
      </c>
      <c r="C96" s="200" t="s">
        <v>273</v>
      </c>
      <c r="D96" s="494" t="s">
        <v>34</v>
      </c>
      <c r="E96" s="495" t="s">
        <v>68</v>
      </c>
      <c r="F96" s="487" t="s">
        <v>50</v>
      </c>
      <c r="G96" s="212">
        <v>21000131830</v>
      </c>
      <c r="H96" s="212">
        <v>21000131830</v>
      </c>
      <c r="I96" s="485">
        <v>109</v>
      </c>
      <c r="J96" s="485" t="s">
        <v>265</v>
      </c>
      <c r="K96" s="485" t="s">
        <v>1283</v>
      </c>
      <c r="L96" s="217" t="s">
        <v>1293</v>
      </c>
      <c r="M96" s="487"/>
      <c r="N96" s="485"/>
      <c r="O96" s="487" t="s">
        <v>21</v>
      </c>
      <c r="P96" s="485"/>
      <c r="Q96" s="487"/>
      <c r="R96" s="485"/>
      <c r="S96" s="487" t="s">
        <v>258</v>
      </c>
      <c r="T96" s="515" t="s">
        <v>3591</v>
      </c>
    </row>
    <row r="97" spans="1:22" s="9" customFormat="1">
      <c r="A97" s="516" t="s">
        <v>266</v>
      </c>
      <c r="B97" s="485">
        <v>2009</v>
      </c>
      <c r="C97" s="200" t="s">
        <v>273</v>
      </c>
      <c r="D97" s="494" t="s">
        <v>34</v>
      </c>
      <c r="E97" s="495" t="s">
        <v>71</v>
      </c>
      <c r="F97" s="487" t="s">
        <v>30</v>
      </c>
      <c r="G97" s="212">
        <v>12722411270</v>
      </c>
      <c r="H97" s="212">
        <v>12971087110</v>
      </c>
      <c r="I97" s="485">
        <v>123</v>
      </c>
      <c r="J97" s="485" t="s">
        <v>267</v>
      </c>
      <c r="K97" s="485" t="s">
        <v>1283</v>
      </c>
      <c r="L97" s="217" t="s">
        <v>1293</v>
      </c>
      <c r="M97" s="487"/>
      <c r="N97" s="485"/>
      <c r="O97" s="487" t="s">
        <v>21</v>
      </c>
      <c r="P97" s="485"/>
      <c r="Q97" s="487"/>
      <c r="R97" s="485"/>
      <c r="S97" s="487" t="s">
        <v>258</v>
      </c>
      <c r="T97" s="515" t="s">
        <v>3572</v>
      </c>
    </row>
    <row r="98" spans="1:22" s="9" customFormat="1">
      <c r="A98" s="516" t="s">
        <v>268</v>
      </c>
      <c r="B98" s="485">
        <v>2010</v>
      </c>
      <c r="C98" s="200" t="s">
        <v>273</v>
      </c>
      <c r="D98" s="494" t="s">
        <v>34</v>
      </c>
      <c r="E98" s="495" t="s">
        <v>39</v>
      </c>
      <c r="F98" s="487" t="s">
        <v>30</v>
      </c>
      <c r="G98" s="212">
        <v>20754211560</v>
      </c>
      <c r="H98" s="212">
        <v>20787323350</v>
      </c>
      <c r="I98" s="485">
        <v>164</v>
      </c>
      <c r="J98" s="485" t="s">
        <v>269</v>
      </c>
      <c r="K98" s="485" t="s">
        <v>1283</v>
      </c>
      <c r="L98" s="217" t="s">
        <v>1293</v>
      </c>
      <c r="M98" s="487" t="s">
        <v>21</v>
      </c>
      <c r="N98" s="485"/>
      <c r="O98" s="487" t="s">
        <v>21</v>
      </c>
      <c r="P98" s="485"/>
      <c r="Q98" s="487"/>
      <c r="R98" s="485"/>
      <c r="S98" s="487" t="s">
        <v>258</v>
      </c>
      <c r="T98" s="517" t="s">
        <v>3573</v>
      </c>
    </row>
    <row r="99" spans="1:22" s="9" customFormat="1" ht="30">
      <c r="A99" s="516" t="s">
        <v>270</v>
      </c>
      <c r="B99" s="485">
        <v>2011</v>
      </c>
      <c r="C99" s="200" t="s">
        <v>273</v>
      </c>
      <c r="D99" s="494" t="s">
        <v>34</v>
      </c>
      <c r="E99" s="495" t="s">
        <v>39</v>
      </c>
      <c r="F99" s="487" t="s">
        <v>30</v>
      </c>
      <c r="G99" s="212">
        <v>28779202170</v>
      </c>
      <c r="H99" s="212">
        <v>28858076750</v>
      </c>
      <c r="I99" s="485">
        <v>167</v>
      </c>
      <c r="J99" s="485" t="s">
        <v>271</v>
      </c>
      <c r="K99" s="485" t="s">
        <v>1283</v>
      </c>
      <c r="L99" s="217" t="s">
        <v>1293</v>
      </c>
      <c r="M99" s="487" t="s">
        <v>21</v>
      </c>
      <c r="N99" s="485"/>
      <c r="O99" s="487" t="s">
        <v>21</v>
      </c>
      <c r="P99" s="485"/>
      <c r="Q99" s="487"/>
      <c r="R99" s="485"/>
      <c r="S99" s="487" t="s">
        <v>258</v>
      </c>
      <c r="T99" s="515" t="s">
        <v>3591</v>
      </c>
    </row>
    <row r="100" spans="1:22">
      <c r="A100" s="521" t="s">
        <v>272</v>
      </c>
      <c r="B100" s="200">
        <v>2012</v>
      </c>
      <c r="C100" s="200" t="s">
        <v>273</v>
      </c>
      <c r="D100" s="200" t="s">
        <v>34</v>
      </c>
      <c r="E100" s="54" t="s">
        <v>45</v>
      </c>
      <c r="F100" s="200" t="s">
        <v>30</v>
      </c>
      <c r="G100" s="214">
        <v>30672394366</v>
      </c>
      <c r="H100" s="214">
        <v>30665150905</v>
      </c>
      <c r="I100" s="27">
        <v>158</v>
      </c>
      <c r="J100" s="502" t="s">
        <v>274</v>
      </c>
      <c r="K100" s="502" t="s">
        <v>1354</v>
      </c>
      <c r="L100" s="217" t="s">
        <v>1357</v>
      </c>
      <c r="M100" s="488" t="s">
        <v>21</v>
      </c>
      <c r="N100" s="488"/>
      <c r="O100" s="488" t="s">
        <v>21</v>
      </c>
      <c r="P100" s="488"/>
      <c r="Q100" s="488"/>
      <c r="R100" s="488"/>
      <c r="S100" s="488"/>
      <c r="T100" s="515"/>
      <c r="U100" s="9"/>
      <c r="V100" s="9"/>
    </row>
    <row r="101" spans="1:22">
      <c r="A101" s="521" t="s">
        <v>275</v>
      </c>
      <c r="B101" s="200">
        <v>2013</v>
      </c>
      <c r="C101" s="200" t="s">
        <v>273</v>
      </c>
      <c r="D101" s="200" t="s">
        <v>34</v>
      </c>
      <c r="E101" s="54" t="s">
        <v>45</v>
      </c>
      <c r="F101" s="200" t="s">
        <v>30</v>
      </c>
      <c r="G101" s="250">
        <v>30773721236</v>
      </c>
      <c r="H101" s="250">
        <v>31961400394</v>
      </c>
      <c r="I101" s="27">
        <v>203</v>
      </c>
      <c r="J101" s="41" t="s">
        <v>276</v>
      </c>
      <c r="K101" s="41" t="s">
        <v>1354</v>
      </c>
      <c r="L101" s="217" t="s">
        <v>1357</v>
      </c>
      <c r="M101" s="488" t="s">
        <v>21</v>
      </c>
      <c r="N101" s="488"/>
      <c r="O101" s="488" t="s">
        <v>21</v>
      </c>
      <c r="P101" s="488"/>
      <c r="Q101" s="488"/>
      <c r="R101" s="488"/>
      <c r="S101" s="488"/>
      <c r="T101" s="515"/>
      <c r="U101" s="9"/>
      <c r="V101" s="9"/>
    </row>
    <row r="102" spans="1:22" s="9" customFormat="1">
      <c r="A102" s="516" t="s">
        <v>277</v>
      </c>
      <c r="B102" s="485">
        <v>2004</v>
      </c>
      <c r="C102" s="487" t="s">
        <v>278</v>
      </c>
      <c r="D102" s="494" t="s">
        <v>34</v>
      </c>
      <c r="E102" s="495" t="s">
        <v>166</v>
      </c>
      <c r="F102" s="487" t="s">
        <v>19</v>
      </c>
      <c r="G102" s="212">
        <v>30473246</v>
      </c>
      <c r="H102" s="212">
        <v>120576226</v>
      </c>
      <c r="I102" s="485">
        <v>2</v>
      </c>
      <c r="J102" s="485" t="s">
        <v>279</v>
      </c>
      <c r="K102" s="485" t="s">
        <v>1354</v>
      </c>
      <c r="L102" s="217" t="s">
        <v>1367</v>
      </c>
      <c r="M102" s="487"/>
      <c r="N102" s="485"/>
      <c r="O102" s="487" t="s">
        <v>21</v>
      </c>
      <c r="P102" s="485"/>
      <c r="Q102" s="487"/>
      <c r="R102" s="485"/>
      <c r="S102" s="487" t="s">
        <v>258</v>
      </c>
      <c r="T102" s="517" t="s">
        <v>3573</v>
      </c>
    </row>
    <row r="103" spans="1:22" s="9" customFormat="1">
      <c r="A103" s="516" t="s">
        <v>280</v>
      </c>
      <c r="B103" s="485">
        <v>2005</v>
      </c>
      <c r="C103" s="487" t="s">
        <v>278</v>
      </c>
      <c r="D103" s="494" t="s">
        <v>34</v>
      </c>
      <c r="E103" s="495" t="s">
        <v>166</v>
      </c>
      <c r="F103" s="487" t="s">
        <v>19</v>
      </c>
      <c r="G103" s="212">
        <v>29106335</v>
      </c>
      <c r="H103" s="212">
        <v>38337987</v>
      </c>
      <c r="I103" s="485">
        <v>6</v>
      </c>
      <c r="J103" s="485" t="s">
        <v>279</v>
      </c>
      <c r="K103" s="485" t="s">
        <v>1354</v>
      </c>
      <c r="L103" s="217" t="s">
        <v>1367</v>
      </c>
      <c r="M103" s="487"/>
      <c r="N103" s="485"/>
      <c r="O103" s="487" t="s">
        <v>21</v>
      </c>
      <c r="P103" s="485"/>
      <c r="Q103" s="487"/>
      <c r="R103" s="485"/>
      <c r="S103" s="487" t="s">
        <v>258</v>
      </c>
      <c r="T103" s="517" t="s">
        <v>3573</v>
      </c>
    </row>
    <row r="104" spans="1:22" s="9" customFormat="1">
      <c r="A104" s="516" t="s">
        <v>281</v>
      </c>
      <c r="B104" s="485">
        <v>2006</v>
      </c>
      <c r="C104" s="487" t="s">
        <v>278</v>
      </c>
      <c r="D104" s="494" t="s">
        <v>34</v>
      </c>
      <c r="E104" s="495" t="s">
        <v>166</v>
      </c>
      <c r="F104" s="487" t="s">
        <v>19</v>
      </c>
      <c r="G104" s="212">
        <v>26120301</v>
      </c>
      <c r="H104" s="212">
        <v>33994038</v>
      </c>
      <c r="I104" s="485">
        <v>6</v>
      </c>
      <c r="J104" s="485" t="s">
        <v>279</v>
      </c>
      <c r="K104" s="485" t="s">
        <v>1354</v>
      </c>
      <c r="L104" s="217" t="s">
        <v>1367</v>
      </c>
      <c r="M104" s="487"/>
      <c r="N104" s="485"/>
      <c r="O104" s="487" t="s">
        <v>21</v>
      </c>
      <c r="P104" s="485"/>
      <c r="Q104" s="487"/>
      <c r="R104" s="485"/>
      <c r="S104" s="487" t="s">
        <v>258</v>
      </c>
      <c r="T104" s="517" t="s">
        <v>3573</v>
      </c>
    </row>
    <row r="105" spans="1:22" s="9" customFormat="1">
      <c r="A105" s="516" t="s">
        <v>282</v>
      </c>
      <c r="B105" s="485">
        <v>2007</v>
      </c>
      <c r="C105" s="487" t="s">
        <v>278</v>
      </c>
      <c r="D105" s="494" t="s">
        <v>34</v>
      </c>
      <c r="E105" s="495" t="s">
        <v>166</v>
      </c>
      <c r="F105" s="487" t="s">
        <v>19</v>
      </c>
      <c r="G105" s="212">
        <v>28210188</v>
      </c>
      <c r="H105" s="212">
        <v>37580429</v>
      </c>
      <c r="I105" s="485">
        <v>6</v>
      </c>
      <c r="J105" s="485" t="s">
        <v>279</v>
      </c>
      <c r="K105" s="485" t="s">
        <v>1354</v>
      </c>
      <c r="L105" s="217" t="s">
        <v>1367</v>
      </c>
      <c r="M105" s="487"/>
      <c r="N105" s="485"/>
      <c r="O105" s="487" t="s">
        <v>21</v>
      </c>
      <c r="P105" s="485"/>
      <c r="Q105" s="487"/>
      <c r="R105" s="485"/>
      <c r="S105" s="487" t="s">
        <v>258</v>
      </c>
      <c r="T105" s="517" t="s">
        <v>3573</v>
      </c>
    </row>
    <row r="106" spans="1:22" s="9" customFormat="1" ht="30">
      <c r="A106" s="516" t="s">
        <v>283</v>
      </c>
      <c r="B106" s="485">
        <v>2008</v>
      </c>
      <c r="C106" s="487" t="s">
        <v>278</v>
      </c>
      <c r="D106" s="494" t="s">
        <v>34</v>
      </c>
      <c r="E106" s="495" t="s">
        <v>166</v>
      </c>
      <c r="F106" s="487" t="s">
        <v>30</v>
      </c>
      <c r="G106" s="212">
        <v>72855334</v>
      </c>
      <c r="H106" s="212">
        <v>74794639</v>
      </c>
      <c r="I106" s="485">
        <v>26</v>
      </c>
      <c r="J106" s="485" t="s">
        <v>279</v>
      </c>
      <c r="K106" s="485" t="s">
        <v>1354</v>
      </c>
      <c r="L106" s="217" t="s">
        <v>1367</v>
      </c>
      <c r="M106" s="487"/>
      <c r="N106" s="485"/>
      <c r="O106" s="487" t="s">
        <v>21</v>
      </c>
      <c r="P106" s="485"/>
      <c r="Q106" s="487"/>
      <c r="R106" s="485"/>
      <c r="S106" s="487" t="s">
        <v>258</v>
      </c>
      <c r="T106" s="515" t="s">
        <v>3592</v>
      </c>
    </row>
    <row r="107" spans="1:22" s="9" customFormat="1" ht="30">
      <c r="A107" s="516" t="s">
        <v>284</v>
      </c>
      <c r="B107" s="485">
        <v>2009</v>
      </c>
      <c r="C107" s="487" t="s">
        <v>278</v>
      </c>
      <c r="D107" s="494" t="s">
        <v>34</v>
      </c>
      <c r="E107" s="495" t="s">
        <v>285</v>
      </c>
      <c r="F107" s="487" t="s">
        <v>30</v>
      </c>
      <c r="G107" s="212">
        <v>96148291</v>
      </c>
      <c r="H107" s="212">
        <v>99435121</v>
      </c>
      <c r="I107" s="485">
        <v>26</v>
      </c>
      <c r="J107" s="485" t="s">
        <v>286</v>
      </c>
      <c r="K107" s="485" t="s">
        <v>1354</v>
      </c>
      <c r="L107" s="217" t="s">
        <v>1367</v>
      </c>
      <c r="M107" s="487"/>
      <c r="N107" s="485"/>
      <c r="O107" s="487" t="s">
        <v>21</v>
      </c>
      <c r="P107" s="485"/>
      <c r="Q107" s="487"/>
      <c r="R107" s="485"/>
      <c r="S107" s="487" t="s">
        <v>258</v>
      </c>
      <c r="T107" s="515" t="s">
        <v>3593</v>
      </c>
    </row>
    <row r="108" spans="1:22" s="9" customFormat="1">
      <c r="A108" s="516" t="s">
        <v>287</v>
      </c>
      <c r="B108" s="485">
        <v>2010</v>
      </c>
      <c r="C108" s="487" t="s">
        <v>278</v>
      </c>
      <c r="D108" s="494" t="s">
        <v>34</v>
      </c>
      <c r="E108" s="495" t="s">
        <v>39</v>
      </c>
      <c r="F108" s="487" t="s">
        <v>30</v>
      </c>
      <c r="G108" s="212">
        <v>143976791</v>
      </c>
      <c r="H108" s="212">
        <v>142159547</v>
      </c>
      <c r="I108" s="485">
        <v>42</v>
      </c>
      <c r="J108" s="485" t="s">
        <v>286</v>
      </c>
      <c r="K108" s="485" t="s">
        <v>1354</v>
      </c>
      <c r="L108" s="217" t="s">
        <v>1435</v>
      </c>
      <c r="M108" s="487" t="s">
        <v>21</v>
      </c>
      <c r="N108" s="487" t="s">
        <v>21</v>
      </c>
      <c r="O108" s="487" t="s">
        <v>21</v>
      </c>
      <c r="P108" s="485"/>
      <c r="Q108" s="487"/>
      <c r="R108" s="485"/>
      <c r="S108" s="487" t="s">
        <v>258</v>
      </c>
      <c r="T108" s="517" t="s">
        <v>3573</v>
      </c>
    </row>
    <row r="109" spans="1:22" s="9" customFormat="1">
      <c r="A109" s="516" t="s">
        <v>288</v>
      </c>
      <c r="B109" s="485">
        <v>2011</v>
      </c>
      <c r="C109" s="487" t="s">
        <v>278</v>
      </c>
      <c r="D109" s="494" t="s">
        <v>34</v>
      </c>
      <c r="E109" s="495" t="s">
        <v>39</v>
      </c>
      <c r="F109" s="487" t="s">
        <v>30</v>
      </c>
      <c r="G109" s="212">
        <v>246173059</v>
      </c>
      <c r="H109" s="212">
        <v>246031215</v>
      </c>
      <c r="I109" s="485">
        <v>57</v>
      </c>
      <c r="J109" s="485" t="s">
        <v>289</v>
      </c>
      <c r="K109" s="485" t="s">
        <v>1354</v>
      </c>
      <c r="L109" s="217" t="s">
        <v>1435</v>
      </c>
      <c r="M109" s="487" t="s">
        <v>21</v>
      </c>
      <c r="N109" s="487" t="s">
        <v>21</v>
      </c>
      <c r="O109" s="487" t="s">
        <v>21</v>
      </c>
      <c r="P109" s="485"/>
      <c r="Q109" s="487"/>
      <c r="R109" s="485"/>
      <c r="S109" s="487" t="s">
        <v>258</v>
      </c>
      <c r="T109" s="517" t="s">
        <v>3573</v>
      </c>
    </row>
    <row r="110" spans="1:22" s="9" customFormat="1">
      <c r="A110" s="516" t="s">
        <v>290</v>
      </c>
      <c r="B110" s="485">
        <v>2012</v>
      </c>
      <c r="C110" s="487" t="s">
        <v>278</v>
      </c>
      <c r="D110" s="494" t="s">
        <v>34</v>
      </c>
      <c r="E110" s="495" t="s">
        <v>291</v>
      </c>
      <c r="F110" s="487" t="s">
        <v>30</v>
      </c>
      <c r="G110" s="212">
        <v>217306922</v>
      </c>
      <c r="H110" s="212">
        <v>217274931</v>
      </c>
      <c r="I110" s="485">
        <v>72</v>
      </c>
      <c r="J110" s="485" t="s">
        <v>292</v>
      </c>
      <c r="K110" s="485" t="s">
        <v>1354</v>
      </c>
      <c r="L110" s="217" t="s">
        <v>662</v>
      </c>
      <c r="M110" s="487" t="s">
        <v>21</v>
      </c>
      <c r="N110" s="487" t="s">
        <v>21</v>
      </c>
      <c r="O110" s="487" t="s">
        <v>21</v>
      </c>
      <c r="P110" s="485"/>
      <c r="Q110" s="487" t="s">
        <v>21</v>
      </c>
      <c r="R110" s="485"/>
      <c r="S110" s="487" t="s">
        <v>258</v>
      </c>
      <c r="T110" s="515" t="s">
        <v>3572</v>
      </c>
    </row>
    <row r="111" spans="1:22" s="9" customFormat="1">
      <c r="A111" s="516" t="s">
        <v>293</v>
      </c>
      <c r="B111" s="485">
        <v>2008</v>
      </c>
      <c r="C111" s="487" t="s">
        <v>294</v>
      </c>
      <c r="D111" s="494" t="s">
        <v>81</v>
      </c>
      <c r="E111" s="495" t="s">
        <v>295</v>
      </c>
      <c r="F111" s="487" t="s">
        <v>296</v>
      </c>
      <c r="G111" s="489">
        <v>29450878.977873351</v>
      </c>
      <c r="H111" s="489">
        <v>29455182.953620762</v>
      </c>
      <c r="I111" s="485">
        <v>46</v>
      </c>
      <c r="J111" s="485" t="s">
        <v>297</v>
      </c>
      <c r="K111" s="485" t="s">
        <v>1467</v>
      </c>
      <c r="L111" s="217" t="s">
        <v>1470</v>
      </c>
      <c r="M111" s="487" t="s">
        <v>21</v>
      </c>
      <c r="N111" s="485"/>
      <c r="O111" s="487" t="s">
        <v>21</v>
      </c>
      <c r="P111" s="485"/>
      <c r="Q111" s="487" t="s">
        <v>21</v>
      </c>
      <c r="R111" s="485"/>
      <c r="S111" s="487" t="s">
        <v>22</v>
      </c>
      <c r="T111" s="515" t="s">
        <v>3594</v>
      </c>
    </row>
    <row r="112" spans="1:22" s="9" customFormat="1">
      <c r="A112" s="516" t="s">
        <v>298</v>
      </c>
      <c r="B112" s="485">
        <v>2009</v>
      </c>
      <c r="C112" s="487" t="s">
        <v>294</v>
      </c>
      <c r="D112" s="494" t="s">
        <v>81</v>
      </c>
      <c r="E112" s="495" t="s">
        <v>149</v>
      </c>
      <c r="F112" s="487" t="s">
        <v>299</v>
      </c>
      <c r="G112" s="489">
        <v>35425230</v>
      </c>
      <c r="H112" s="489">
        <v>35280234</v>
      </c>
      <c r="I112" s="485">
        <v>65</v>
      </c>
      <c r="J112" s="485" t="s">
        <v>300</v>
      </c>
      <c r="K112" s="485" t="s">
        <v>1467</v>
      </c>
      <c r="L112" s="217" t="s">
        <v>780</v>
      </c>
      <c r="M112" s="487" t="s">
        <v>21</v>
      </c>
      <c r="N112" s="485"/>
      <c r="O112" s="487" t="s">
        <v>21</v>
      </c>
      <c r="P112" s="485"/>
      <c r="Q112" s="487" t="s">
        <v>21</v>
      </c>
      <c r="R112" s="485"/>
      <c r="S112" s="487" t="s">
        <v>22</v>
      </c>
      <c r="T112" s="515"/>
    </row>
    <row r="113" spans="1:27" s="9" customFormat="1">
      <c r="A113" s="516" t="s">
        <v>301</v>
      </c>
      <c r="B113" s="485">
        <v>2010</v>
      </c>
      <c r="C113" s="487" t="s">
        <v>294</v>
      </c>
      <c r="D113" s="494" t="s">
        <v>81</v>
      </c>
      <c r="E113" s="495" t="s">
        <v>302</v>
      </c>
      <c r="F113" s="487" t="s">
        <v>299</v>
      </c>
      <c r="G113" s="489">
        <v>71896113</v>
      </c>
      <c r="H113" s="489">
        <v>69720697</v>
      </c>
      <c r="I113" s="485">
        <v>71</v>
      </c>
      <c r="J113" s="485" t="s">
        <v>303</v>
      </c>
      <c r="K113" s="485" t="s">
        <v>1467</v>
      </c>
      <c r="L113" s="217" t="s">
        <v>780</v>
      </c>
      <c r="M113" s="487" t="s">
        <v>21</v>
      </c>
      <c r="N113" s="485"/>
      <c r="O113" s="487" t="s">
        <v>21</v>
      </c>
      <c r="P113" s="485"/>
      <c r="Q113" s="487" t="s">
        <v>21</v>
      </c>
      <c r="R113" s="485"/>
      <c r="S113" s="487" t="s">
        <v>22</v>
      </c>
      <c r="T113" s="515"/>
    </row>
    <row r="114" spans="1:27" s="9" customFormat="1">
      <c r="A114" s="516" t="s">
        <v>304</v>
      </c>
      <c r="B114" s="485">
        <v>2011</v>
      </c>
      <c r="C114" s="487" t="s">
        <v>294</v>
      </c>
      <c r="D114" s="494" t="s">
        <v>81</v>
      </c>
      <c r="E114" s="495" t="s">
        <v>140</v>
      </c>
      <c r="F114" s="487" t="s">
        <v>299</v>
      </c>
      <c r="G114" s="489">
        <v>102802566.91</v>
      </c>
      <c r="H114" s="489">
        <v>115407282</v>
      </c>
      <c r="I114" s="485">
        <v>65</v>
      </c>
      <c r="J114" s="485" t="s">
        <v>305</v>
      </c>
      <c r="K114" s="485" t="s">
        <v>1467</v>
      </c>
      <c r="L114" s="217" t="s">
        <v>1506</v>
      </c>
      <c r="M114" s="487" t="s">
        <v>21</v>
      </c>
      <c r="N114" s="485"/>
      <c r="O114" s="487" t="s">
        <v>21</v>
      </c>
      <c r="P114" s="485"/>
      <c r="Q114" s="487" t="s">
        <v>21</v>
      </c>
      <c r="R114" s="485"/>
      <c r="S114" s="487" t="s">
        <v>22</v>
      </c>
      <c r="T114" s="515" t="s">
        <v>3595</v>
      </c>
    </row>
    <row r="115" spans="1:27" s="9" customFormat="1">
      <c r="A115" s="516" t="s">
        <v>306</v>
      </c>
      <c r="B115" s="485">
        <v>2012</v>
      </c>
      <c r="C115" s="487" t="s">
        <v>294</v>
      </c>
      <c r="D115" s="494" t="s">
        <v>81</v>
      </c>
      <c r="E115" s="495" t="s">
        <v>42</v>
      </c>
      <c r="F115" s="487" t="s">
        <v>299</v>
      </c>
      <c r="G115" s="489">
        <v>110146657</v>
      </c>
      <c r="H115" s="489">
        <v>100809819</v>
      </c>
      <c r="I115" s="485">
        <v>80</v>
      </c>
      <c r="J115" s="485" t="s">
        <v>307</v>
      </c>
      <c r="K115" s="485" t="s">
        <v>1467</v>
      </c>
      <c r="L115" s="217" t="s">
        <v>1506</v>
      </c>
      <c r="M115" s="487" t="s">
        <v>21</v>
      </c>
      <c r="N115" s="485"/>
      <c r="O115" s="487" t="s">
        <v>21</v>
      </c>
      <c r="P115" s="485"/>
      <c r="Q115" s="487" t="s">
        <v>21</v>
      </c>
      <c r="R115" s="485"/>
      <c r="S115" s="487" t="s">
        <v>22</v>
      </c>
      <c r="T115" s="515"/>
    </row>
    <row r="116" spans="1:27" s="15" customFormat="1">
      <c r="A116" s="516" t="s">
        <v>308</v>
      </c>
      <c r="B116" s="485">
        <v>2007</v>
      </c>
      <c r="C116" s="487" t="s">
        <v>309</v>
      </c>
      <c r="D116" s="494" t="s">
        <v>81</v>
      </c>
      <c r="E116" s="27" t="s">
        <v>71</v>
      </c>
      <c r="F116" s="487" t="s">
        <v>19</v>
      </c>
      <c r="G116" s="212">
        <v>48300000</v>
      </c>
      <c r="H116" s="212">
        <v>48100000</v>
      </c>
      <c r="I116" s="485">
        <v>3</v>
      </c>
      <c r="J116" s="41" t="s">
        <v>310</v>
      </c>
      <c r="K116" s="41" t="s">
        <v>1541</v>
      </c>
      <c r="L116" s="217" t="s">
        <v>1277</v>
      </c>
      <c r="M116" s="487"/>
      <c r="N116" s="485"/>
      <c r="O116" s="487" t="s">
        <v>21</v>
      </c>
      <c r="P116" s="485"/>
      <c r="Q116" s="487"/>
      <c r="R116" s="485"/>
      <c r="S116" s="487"/>
      <c r="T116" s="515"/>
      <c r="U116" s="9"/>
      <c r="V116" s="9"/>
      <c r="W116" s="9"/>
      <c r="X116" s="9"/>
      <c r="Y116" s="9"/>
      <c r="Z116" s="9"/>
      <c r="AA116" s="9"/>
    </row>
    <row r="117" spans="1:27" s="15" customFormat="1">
      <c r="A117" s="516" t="s">
        <v>311</v>
      </c>
      <c r="B117" s="485">
        <v>2008</v>
      </c>
      <c r="C117" s="487" t="s">
        <v>309</v>
      </c>
      <c r="D117" s="494" t="s">
        <v>81</v>
      </c>
      <c r="E117" s="27" t="s">
        <v>71</v>
      </c>
      <c r="F117" s="487" t="s">
        <v>19</v>
      </c>
      <c r="G117" s="212">
        <v>55300000</v>
      </c>
      <c r="H117" s="212">
        <v>54900000</v>
      </c>
      <c r="I117" s="485">
        <v>3</v>
      </c>
      <c r="J117" s="41" t="s">
        <v>312</v>
      </c>
      <c r="K117" s="41" t="s">
        <v>1541</v>
      </c>
      <c r="L117" s="217" t="s">
        <v>1277</v>
      </c>
      <c r="M117" s="487"/>
      <c r="N117" s="485"/>
      <c r="O117" s="487" t="s">
        <v>21</v>
      </c>
      <c r="P117" s="485"/>
      <c r="Q117" s="487"/>
      <c r="R117" s="485"/>
      <c r="S117" s="487"/>
      <c r="T117" s="515"/>
      <c r="U117" s="9"/>
      <c r="V117" s="9"/>
      <c r="W117" s="9"/>
      <c r="X117" s="9"/>
      <c r="Y117" s="9"/>
      <c r="Z117" s="9"/>
      <c r="AA117" s="9"/>
    </row>
    <row r="118" spans="1:27" s="15" customFormat="1">
      <c r="A118" s="516" t="s">
        <v>313</v>
      </c>
      <c r="B118" s="485">
        <v>2009</v>
      </c>
      <c r="C118" s="487" t="s">
        <v>309</v>
      </c>
      <c r="D118" s="494" t="s">
        <v>81</v>
      </c>
      <c r="E118" s="27" t="s">
        <v>71</v>
      </c>
      <c r="F118" s="487" t="s">
        <v>19</v>
      </c>
      <c r="G118" s="212">
        <v>20900000</v>
      </c>
      <c r="H118" s="212">
        <v>21000000</v>
      </c>
      <c r="I118" s="485">
        <v>3</v>
      </c>
      <c r="J118" s="41" t="s">
        <v>314</v>
      </c>
      <c r="K118" s="41" t="s">
        <v>1541</v>
      </c>
      <c r="L118" s="217" t="s">
        <v>1277</v>
      </c>
      <c r="M118" s="487"/>
      <c r="N118" s="485"/>
      <c r="O118" s="487" t="s">
        <v>21</v>
      </c>
      <c r="P118" s="485"/>
      <c r="Q118" s="487"/>
      <c r="R118" s="485"/>
      <c r="S118" s="487"/>
      <c r="T118" s="515"/>
      <c r="U118" s="9"/>
      <c r="V118" s="9"/>
      <c r="W118" s="9"/>
      <c r="X118" s="9"/>
      <c r="Y118" s="9"/>
      <c r="Z118" s="9"/>
      <c r="AA118" s="9"/>
    </row>
    <row r="119" spans="1:27" s="9" customFormat="1">
      <c r="A119" s="516" t="s">
        <v>315</v>
      </c>
      <c r="B119" s="485">
        <v>2010</v>
      </c>
      <c r="C119" s="487" t="s">
        <v>309</v>
      </c>
      <c r="D119" s="494" t="s">
        <v>81</v>
      </c>
      <c r="E119" s="27" t="s">
        <v>316</v>
      </c>
      <c r="F119" s="487" t="s">
        <v>30</v>
      </c>
      <c r="G119" s="212">
        <v>160705175.41774061</v>
      </c>
      <c r="H119" s="212">
        <v>151591513.6386776</v>
      </c>
      <c r="I119" s="485">
        <v>9</v>
      </c>
      <c r="J119" s="41" t="s">
        <v>317</v>
      </c>
      <c r="K119" s="41" t="s">
        <v>1541</v>
      </c>
      <c r="L119" s="217" t="s">
        <v>1277</v>
      </c>
      <c r="M119" s="487" t="s">
        <v>21</v>
      </c>
      <c r="N119" s="485"/>
      <c r="O119" s="487" t="s">
        <v>21</v>
      </c>
      <c r="P119" s="485"/>
      <c r="Q119" s="487"/>
      <c r="R119" s="487" t="s">
        <v>21</v>
      </c>
      <c r="S119" s="487"/>
      <c r="T119" s="517" t="s">
        <v>3573</v>
      </c>
    </row>
    <row r="120" spans="1:27" s="9" customFormat="1">
      <c r="A120" s="516" t="s">
        <v>318</v>
      </c>
      <c r="B120" s="485">
        <v>2011</v>
      </c>
      <c r="C120" s="487" t="s">
        <v>309</v>
      </c>
      <c r="D120" s="494" t="s">
        <v>81</v>
      </c>
      <c r="E120" s="27" t="s">
        <v>319</v>
      </c>
      <c r="F120" s="487" t="s">
        <v>30</v>
      </c>
      <c r="G120" s="212">
        <v>87349503.051701158</v>
      </c>
      <c r="H120" s="212">
        <v>83461011.17475681</v>
      </c>
      <c r="I120" s="485">
        <v>35</v>
      </c>
      <c r="J120" s="41" t="s">
        <v>320</v>
      </c>
      <c r="K120" s="41" t="s">
        <v>1541</v>
      </c>
      <c r="L120" s="217" t="s">
        <v>1277</v>
      </c>
      <c r="M120" s="487" t="s">
        <v>21</v>
      </c>
      <c r="N120" s="485"/>
      <c r="O120" s="487" t="s">
        <v>21</v>
      </c>
      <c r="P120" s="485"/>
      <c r="Q120" s="487"/>
      <c r="R120" s="485"/>
      <c r="S120" s="487"/>
      <c r="T120" s="515" t="s">
        <v>3572</v>
      </c>
    </row>
    <row r="121" spans="1:27" s="12" customFormat="1">
      <c r="A121" s="516" t="s">
        <v>321</v>
      </c>
      <c r="B121" s="485">
        <v>2006</v>
      </c>
      <c r="C121" s="487" t="s">
        <v>322</v>
      </c>
      <c r="D121" s="494" t="s">
        <v>81</v>
      </c>
      <c r="E121" s="27" t="s">
        <v>166</v>
      </c>
      <c r="F121" s="27" t="s">
        <v>19</v>
      </c>
      <c r="G121" s="489">
        <v>221333358.83264166</v>
      </c>
      <c r="H121" s="489">
        <v>230105758.38130391</v>
      </c>
      <c r="I121" s="27">
        <v>7</v>
      </c>
      <c r="J121" s="41" t="s">
        <v>323</v>
      </c>
      <c r="K121" s="41" t="s">
        <v>1582</v>
      </c>
      <c r="L121" s="217" t="s">
        <v>1569</v>
      </c>
      <c r="M121" s="487" t="s">
        <v>21</v>
      </c>
      <c r="N121" s="485"/>
      <c r="O121" s="487" t="s">
        <v>21</v>
      </c>
      <c r="P121" s="485"/>
      <c r="Q121" s="487"/>
      <c r="R121" s="485"/>
      <c r="S121" s="487"/>
      <c r="T121" s="515"/>
      <c r="U121" s="9"/>
      <c r="V121" s="9"/>
      <c r="W121" s="9"/>
      <c r="X121" s="9"/>
      <c r="Y121" s="9"/>
      <c r="Z121" s="9"/>
      <c r="AA121" s="9"/>
    </row>
    <row r="122" spans="1:27" s="12" customFormat="1">
      <c r="A122" s="516" t="s">
        <v>324</v>
      </c>
      <c r="B122" s="485">
        <v>2007</v>
      </c>
      <c r="C122" s="487" t="s">
        <v>322</v>
      </c>
      <c r="D122" s="494" t="s">
        <v>81</v>
      </c>
      <c r="E122" s="27" t="s">
        <v>71</v>
      </c>
      <c r="F122" s="27" t="s">
        <v>19</v>
      </c>
      <c r="G122" s="489">
        <v>283774774.17844975</v>
      </c>
      <c r="H122" s="489">
        <v>287602068.42591846</v>
      </c>
      <c r="I122" s="27">
        <v>9</v>
      </c>
      <c r="J122" s="41" t="s">
        <v>325</v>
      </c>
      <c r="K122" s="41" t="s">
        <v>1582</v>
      </c>
      <c r="L122" s="217" t="s">
        <v>564</v>
      </c>
      <c r="M122" s="487" t="s">
        <v>21</v>
      </c>
      <c r="N122" s="485"/>
      <c r="O122" s="487" t="s">
        <v>21</v>
      </c>
      <c r="P122" s="485"/>
      <c r="Q122" s="487"/>
      <c r="R122" s="485"/>
      <c r="S122" s="487"/>
      <c r="T122" s="515" t="s">
        <v>3572</v>
      </c>
      <c r="U122" s="9"/>
      <c r="V122" s="9"/>
      <c r="W122" s="9"/>
      <c r="X122" s="9"/>
      <c r="Y122" s="9"/>
      <c r="Z122" s="9"/>
      <c r="AA122" s="9"/>
    </row>
    <row r="123" spans="1:27" s="12" customFormat="1">
      <c r="A123" s="516" t="s">
        <v>326</v>
      </c>
      <c r="B123" s="485">
        <v>2008</v>
      </c>
      <c r="C123" s="487" t="s">
        <v>322</v>
      </c>
      <c r="D123" s="494" t="s">
        <v>81</v>
      </c>
      <c r="E123" s="27" t="s">
        <v>71</v>
      </c>
      <c r="F123" s="27" t="s">
        <v>19</v>
      </c>
      <c r="G123" s="489">
        <v>281237313.39930284</v>
      </c>
      <c r="H123" s="489">
        <v>290993478.4861306</v>
      </c>
      <c r="I123" s="27">
        <v>9</v>
      </c>
      <c r="J123" s="41" t="s">
        <v>327</v>
      </c>
      <c r="K123" s="41" t="s">
        <v>1582</v>
      </c>
      <c r="L123" s="217" t="s">
        <v>564</v>
      </c>
      <c r="M123" s="487" t="s">
        <v>21</v>
      </c>
      <c r="N123" s="485"/>
      <c r="O123" s="487" t="s">
        <v>21</v>
      </c>
      <c r="P123" s="485"/>
      <c r="Q123" s="487"/>
      <c r="R123" s="485"/>
      <c r="S123" s="487"/>
      <c r="T123" s="517" t="s">
        <v>3573</v>
      </c>
      <c r="U123" s="9"/>
      <c r="V123" s="9"/>
      <c r="W123" s="9"/>
      <c r="X123" s="9"/>
      <c r="Y123" s="9"/>
      <c r="Z123" s="9"/>
      <c r="AA123" s="9"/>
    </row>
    <row r="124" spans="1:27" s="9" customFormat="1">
      <c r="A124" s="516" t="s">
        <v>328</v>
      </c>
      <c r="B124" s="485">
        <v>2009</v>
      </c>
      <c r="C124" s="487" t="s">
        <v>322</v>
      </c>
      <c r="D124" s="494" t="s">
        <v>81</v>
      </c>
      <c r="E124" s="27" t="s">
        <v>247</v>
      </c>
      <c r="F124" s="27" t="s">
        <v>329</v>
      </c>
      <c r="G124" s="212">
        <v>380403587.30837423</v>
      </c>
      <c r="H124" s="212">
        <v>370973010.96793836</v>
      </c>
      <c r="I124" s="27">
        <v>40</v>
      </c>
      <c r="J124" s="41" t="s">
        <v>330</v>
      </c>
      <c r="K124" s="41" t="s">
        <v>1582</v>
      </c>
      <c r="L124" s="217" t="s">
        <v>564</v>
      </c>
      <c r="M124" s="487" t="s">
        <v>21</v>
      </c>
      <c r="N124" s="485"/>
      <c r="O124" s="487" t="s">
        <v>21</v>
      </c>
      <c r="P124" s="485"/>
      <c r="Q124" s="487"/>
      <c r="R124" s="485"/>
      <c r="S124" s="487"/>
      <c r="T124" s="517" t="s">
        <v>3573</v>
      </c>
    </row>
    <row r="125" spans="1:27" s="9" customFormat="1">
      <c r="A125" s="516" t="s">
        <v>331</v>
      </c>
      <c r="B125" s="485">
        <v>2010</v>
      </c>
      <c r="C125" s="487" t="s">
        <v>322</v>
      </c>
      <c r="D125" s="494" t="s">
        <v>81</v>
      </c>
      <c r="E125" s="27" t="s">
        <v>39</v>
      </c>
      <c r="F125" s="27" t="s">
        <v>19</v>
      </c>
      <c r="G125" s="212">
        <v>346547621.39714646</v>
      </c>
      <c r="H125" s="212">
        <v>351835136.30196124</v>
      </c>
      <c r="I125" s="27">
        <v>9</v>
      </c>
      <c r="J125" s="41" t="s">
        <v>332</v>
      </c>
      <c r="K125" s="41" t="s">
        <v>1582</v>
      </c>
      <c r="L125" s="217" t="s">
        <v>564</v>
      </c>
      <c r="M125" s="487" t="s">
        <v>21</v>
      </c>
      <c r="N125" s="485"/>
      <c r="O125" s="487" t="s">
        <v>21</v>
      </c>
      <c r="P125" s="485"/>
      <c r="Q125" s="487"/>
      <c r="R125" s="485"/>
      <c r="S125" s="487"/>
      <c r="T125" s="515" t="s">
        <v>3572</v>
      </c>
    </row>
    <row r="126" spans="1:27" s="9" customFormat="1">
      <c r="A126" s="516" t="s">
        <v>333</v>
      </c>
      <c r="B126" s="485">
        <v>2011</v>
      </c>
      <c r="C126" s="487" t="s">
        <v>322</v>
      </c>
      <c r="D126" s="494" t="s">
        <v>81</v>
      </c>
      <c r="E126" s="27" t="s">
        <v>90</v>
      </c>
      <c r="F126" s="27" t="s">
        <v>19</v>
      </c>
      <c r="G126" s="212">
        <v>425193486.59834021</v>
      </c>
      <c r="H126" s="212">
        <v>423052152.71608418</v>
      </c>
      <c r="I126" s="27">
        <v>18</v>
      </c>
      <c r="J126" s="41" t="s">
        <v>334</v>
      </c>
      <c r="K126" s="41" t="s">
        <v>1582</v>
      </c>
      <c r="L126" s="217" t="s">
        <v>780</v>
      </c>
      <c r="M126" s="487" t="s">
        <v>21</v>
      </c>
      <c r="N126" s="485"/>
      <c r="O126" s="487" t="s">
        <v>21</v>
      </c>
      <c r="P126" s="485"/>
      <c r="Q126" s="487"/>
      <c r="R126" s="485"/>
      <c r="S126" s="487"/>
      <c r="T126" s="515" t="s">
        <v>3572</v>
      </c>
    </row>
    <row r="127" spans="1:27">
      <c r="A127" s="521" t="s">
        <v>335</v>
      </c>
      <c r="B127" s="200">
        <v>2012</v>
      </c>
      <c r="C127" s="200" t="s">
        <v>322</v>
      </c>
      <c r="D127" s="200" t="s">
        <v>81</v>
      </c>
      <c r="E127" s="54" t="s">
        <v>45</v>
      </c>
      <c r="F127" s="200" t="s">
        <v>19</v>
      </c>
      <c r="G127" s="214">
        <v>481528351</v>
      </c>
      <c r="H127" s="214">
        <v>443716630</v>
      </c>
      <c r="I127" s="27">
        <v>14</v>
      </c>
      <c r="J127" s="41" t="s">
        <v>336</v>
      </c>
      <c r="K127" s="41" t="s">
        <v>1582</v>
      </c>
      <c r="L127" s="217" t="s">
        <v>564</v>
      </c>
      <c r="M127" s="488" t="s">
        <v>21</v>
      </c>
      <c r="N127" s="488"/>
      <c r="O127" s="488" t="s">
        <v>21</v>
      </c>
      <c r="P127" s="488"/>
      <c r="Q127" s="488"/>
      <c r="R127" s="488"/>
      <c r="S127" s="488"/>
      <c r="T127" s="515"/>
      <c r="U127" s="9"/>
      <c r="V127" s="9"/>
    </row>
    <row r="128" spans="1:27" s="12" customFormat="1">
      <c r="A128" s="516" t="s">
        <v>337</v>
      </c>
      <c r="B128" s="485">
        <v>2005</v>
      </c>
      <c r="C128" s="487" t="s">
        <v>338</v>
      </c>
      <c r="D128" s="494" t="s">
        <v>81</v>
      </c>
      <c r="E128" s="27" t="s">
        <v>104</v>
      </c>
      <c r="F128" s="27" t="s">
        <v>30</v>
      </c>
      <c r="G128" s="489">
        <v>29636377.094866872</v>
      </c>
      <c r="H128" s="489">
        <v>28035804.654841263</v>
      </c>
      <c r="I128" s="485">
        <v>14</v>
      </c>
      <c r="J128" s="41" t="s">
        <v>339</v>
      </c>
      <c r="K128" s="41" t="s">
        <v>1585</v>
      </c>
      <c r="L128" s="217" t="s">
        <v>1277</v>
      </c>
      <c r="M128" s="487"/>
      <c r="N128" s="485"/>
      <c r="O128" s="487" t="s">
        <v>21</v>
      </c>
      <c r="P128" s="485"/>
      <c r="Q128" s="487"/>
      <c r="R128" s="485"/>
      <c r="S128" s="487"/>
      <c r="T128" s="517" t="s">
        <v>3573</v>
      </c>
      <c r="U128" s="9"/>
      <c r="V128" s="9"/>
      <c r="W128" s="9"/>
      <c r="X128" s="9"/>
      <c r="Y128" s="9"/>
      <c r="Z128" s="9"/>
      <c r="AA128" s="9"/>
    </row>
    <row r="129" spans="1:27" s="12" customFormat="1">
      <c r="A129" s="516" t="s">
        <v>340</v>
      </c>
      <c r="B129" s="485">
        <v>2006</v>
      </c>
      <c r="C129" s="487" t="s">
        <v>338</v>
      </c>
      <c r="D129" s="494" t="s">
        <v>81</v>
      </c>
      <c r="E129" s="27" t="s">
        <v>341</v>
      </c>
      <c r="F129" s="27" t="s">
        <v>30</v>
      </c>
      <c r="G129" s="489">
        <v>280165029.78406549</v>
      </c>
      <c r="H129" s="489">
        <v>273414760.23827255</v>
      </c>
      <c r="I129" s="485">
        <v>27</v>
      </c>
      <c r="J129" s="41" t="s">
        <v>342</v>
      </c>
      <c r="K129" s="41" t="s">
        <v>1585</v>
      </c>
      <c r="L129" s="217" t="s">
        <v>1277</v>
      </c>
      <c r="M129" s="487"/>
      <c r="N129" s="485"/>
      <c r="O129" s="487" t="s">
        <v>21</v>
      </c>
      <c r="P129" s="485"/>
      <c r="Q129" s="487"/>
      <c r="R129" s="485"/>
      <c r="S129" s="487"/>
      <c r="T129" s="515"/>
      <c r="U129" s="9"/>
      <c r="V129" s="9"/>
      <c r="W129" s="9"/>
      <c r="X129" s="9"/>
      <c r="Y129" s="9"/>
      <c r="Z129" s="9"/>
      <c r="AA129" s="9"/>
    </row>
    <row r="130" spans="1:27" s="12" customFormat="1">
      <c r="A130" s="516" t="s">
        <v>343</v>
      </c>
      <c r="B130" s="485">
        <v>2007</v>
      </c>
      <c r="C130" s="487" t="s">
        <v>338</v>
      </c>
      <c r="D130" s="494" t="s">
        <v>81</v>
      </c>
      <c r="E130" s="27" t="s">
        <v>344</v>
      </c>
      <c r="F130" s="27" t="s">
        <v>36</v>
      </c>
      <c r="G130" s="489">
        <v>175753291.2240898</v>
      </c>
      <c r="H130" s="489">
        <v>182576278.74600381</v>
      </c>
      <c r="I130" s="485">
        <v>36</v>
      </c>
      <c r="J130" s="41" t="s">
        <v>345</v>
      </c>
      <c r="K130" s="41" t="s">
        <v>1585</v>
      </c>
      <c r="L130" s="217" t="s">
        <v>623</v>
      </c>
      <c r="M130" s="487"/>
      <c r="N130" s="485"/>
      <c r="O130" s="487" t="s">
        <v>21</v>
      </c>
      <c r="P130" s="485"/>
      <c r="Q130" s="487"/>
      <c r="R130" s="485"/>
      <c r="S130" s="487"/>
      <c r="T130" s="517" t="s">
        <v>3573</v>
      </c>
      <c r="U130" s="9"/>
      <c r="V130" s="9"/>
      <c r="W130" s="9"/>
      <c r="X130" s="9"/>
      <c r="Y130" s="9"/>
      <c r="Z130" s="9"/>
      <c r="AA130" s="9"/>
    </row>
    <row r="131" spans="1:27" s="12" customFormat="1">
      <c r="A131" s="516" t="s">
        <v>346</v>
      </c>
      <c r="B131" s="485">
        <v>2008</v>
      </c>
      <c r="C131" s="487" t="s">
        <v>338</v>
      </c>
      <c r="D131" s="494" t="s">
        <v>81</v>
      </c>
      <c r="E131" s="27" t="s">
        <v>344</v>
      </c>
      <c r="F131" s="27" t="s">
        <v>36</v>
      </c>
      <c r="G131" s="489">
        <v>231365651.58618</v>
      </c>
      <c r="H131" s="489">
        <v>234899503.96719909</v>
      </c>
      <c r="I131" s="485">
        <v>36</v>
      </c>
      <c r="J131" s="41" t="s">
        <v>345</v>
      </c>
      <c r="K131" s="41" t="s">
        <v>1585</v>
      </c>
      <c r="L131" s="217" t="s">
        <v>623</v>
      </c>
      <c r="M131" s="487"/>
      <c r="N131" s="485"/>
      <c r="O131" s="487" t="s">
        <v>21</v>
      </c>
      <c r="P131" s="485"/>
      <c r="Q131" s="487"/>
      <c r="R131" s="485"/>
      <c r="S131" s="487"/>
      <c r="T131" s="517" t="s">
        <v>3573</v>
      </c>
      <c r="U131" s="9"/>
      <c r="V131" s="9"/>
      <c r="W131" s="9"/>
      <c r="X131" s="9"/>
      <c r="Y131" s="9"/>
      <c r="Z131" s="9"/>
      <c r="AA131" s="9"/>
    </row>
    <row r="132" spans="1:27" s="9" customFormat="1">
      <c r="A132" s="516" t="s">
        <v>347</v>
      </c>
      <c r="B132" s="485">
        <v>2009</v>
      </c>
      <c r="C132" s="487" t="s">
        <v>338</v>
      </c>
      <c r="D132" s="494" t="s">
        <v>81</v>
      </c>
      <c r="E132" s="27" t="s">
        <v>348</v>
      </c>
      <c r="F132" s="27" t="s">
        <v>36</v>
      </c>
      <c r="G132" s="212">
        <v>191165715.06295663</v>
      </c>
      <c r="H132" s="212">
        <v>195416882.63640603</v>
      </c>
      <c r="I132" s="27">
        <v>36</v>
      </c>
      <c r="J132" s="41" t="s">
        <v>349</v>
      </c>
      <c r="K132" s="41" t="s">
        <v>1585</v>
      </c>
      <c r="L132" s="217" t="s">
        <v>623</v>
      </c>
      <c r="M132" s="487"/>
      <c r="N132" s="485"/>
      <c r="O132" s="487" t="s">
        <v>21</v>
      </c>
      <c r="P132" s="485"/>
      <c r="Q132" s="487"/>
      <c r="R132" s="485"/>
      <c r="S132" s="487"/>
      <c r="T132" s="515" t="s">
        <v>3572</v>
      </c>
    </row>
    <row r="133" spans="1:27" s="9" customFormat="1">
      <c r="A133" s="516" t="s">
        <v>350</v>
      </c>
      <c r="B133" s="485">
        <v>2010</v>
      </c>
      <c r="C133" s="487" t="s">
        <v>338</v>
      </c>
      <c r="D133" s="494" t="s">
        <v>81</v>
      </c>
      <c r="E133" s="27" t="s">
        <v>77</v>
      </c>
      <c r="F133" s="27" t="s">
        <v>30</v>
      </c>
      <c r="G133" s="212">
        <v>270018612.99116182</v>
      </c>
      <c r="H133" s="212">
        <v>237278711.68385196</v>
      </c>
      <c r="I133" s="27">
        <v>70</v>
      </c>
      <c r="J133" s="41" t="s">
        <v>351</v>
      </c>
      <c r="K133" s="41" t="s">
        <v>1585</v>
      </c>
      <c r="L133" s="217" t="s">
        <v>623</v>
      </c>
      <c r="M133" s="487" t="s">
        <v>21</v>
      </c>
      <c r="N133" s="485"/>
      <c r="O133" s="487" t="s">
        <v>21</v>
      </c>
      <c r="P133" s="485"/>
      <c r="Q133" s="487"/>
      <c r="R133" s="485"/>
      <c r="S133" s="487"/>
      <c r="T133" s="517" t="s">
        <v>3573</v>
      </c>
    </row>
    <row r="134" spans="1:27" s="9" customFormat="1">
      <c r="A134" s="516" t="s">
        <v>352</v>
      </c>
      <c r="B134" s="485">
        <v>2011</v>
      </c>
      <c r="C134" s="487" t="s">
        <v>338</v>
      </c>
      <c r="D134" s="494" t="s">
        <v>81</v>
      </c>
      <c r="E134" s="27" t="s">
        <v>77</v>
      </c>
      <c r="F134" s="27" t="s">
        <v>30</v>
      </c>
      <c r="G134" s="212">
        <v>448018316.76552463</v>
      </c>
      <c r="H134" s="212">
        <v>429224820.98045433</v>
      </c>
      <c r="I134" s="27">
        <v>70</v>
      </c>
      <c r="J134" s="41" t="s">
        <v>353</v>
      </c>
      <c r="K134" s="41" t="s">
        <v>1585</v>
      </c>
      <c r="L134" s="217" t="s">
        <v>623</v>
      </c>
      <c r="M134" s="487" t="s">
        <v>21</v>
      </c>
      <c r="N134" s="485"/>
      <c r="O134" s="487" t="s">
        <v>21</v>
      </c>
      <c r="P134" s="485"/>
      <c r="Q134" s="487"/>
      <c r="R134" s="485"/>
      <c r="S134" s="487"/>
      <c r="T134" s="517" t="s">
        <v>3573</v>
      </c>
    </row>
    <row r="135" spans="1:27">
      <c r="A135" s="518" t="s">
        <v>354</v>
      </c>
      <c r="B135" s="200">
        <v>2012</v>
      </c>
      <c r="C135" s="200" t="s">
        <v>338</v>
      </c>
      <c r="D135" s="200" t="s">
        <v>81</v>
      </c>
      <c r="E135" s="54" t="s">
        <v>45</v>
      </c>
      <c r="F135" s="200" t="s">
        <v>36</v>
      </c>
      <c r="G135" s="214">
        <v>472169395.82999998</v>
      </c>
      <c r="H135" s="214">
        <v>468640335.36000001</v>
      </c>
      <c r="I135" s="27">
        <v>15</v>
      </c>
      <c r="J135" s="41" t="s">
        <v>355</v>
      </c>
      <c r="K135" s="41" t="s">
        <v>1585</v>
      </c>
      <c r="L135" s="217" t="s">
        <v>564</v>
      </c>
      <c r="M135" s="488" t="s">
        <v>21</v>
      </c>
      <c r="N135" s="488"/>
      <c r="O135" s="488" t="s">
        <v>21</v>
      </c>
      <c r="P135" s="488"/>
      <c r="Q135" s="488"/>
      <c r="R135" s="488"/>
      <c r="S135" s="488"/>
      <c r="T135" s="517" t="s">
        <v>3573</v>
      </c>
      <c r="U135" s="9"/>
      <c r="V135" s="9"/>
    </row>
    <row r="136" spans="1:27" s="9" customFormat="1">
      <c r="A136" s="516" t="s">
        <v>356</v>
      </c>
      <c r="B136" s="485">
        <v>2006</v>
      </c>
      <c r="C136" s="487" t="s">
        <v>357</v>
      </c>
      <c r="D136" s="494" t="s">
        <v>238</v>
      </c>
      <c r="E136" s="495" t="s">
        <v>358</v>
      </c>
      <c r="F136" s="27" t="s">
        <v>36</v>
      </c>
      <c r="G136" s="214">
        <v>411987301.60000002</v>
      </c>
      <c r="H136" s="214">
        <v>434116184.30000001</v>
      </c>
      <c r="I136" s="485">
        <v>25</v>
      </c>
      <c r="J136" s="485" t="s">
        <v>359</v>
      </c>
      <c r="K136" s="485" t="s">
        <v>1616</v>
      </c>
      <c r="L136" s="217" t="s">
        <v>1620</v>
      </c>
      <c r="M136" s="487" t="s">
        <v>21</v>
      </c>
      <c r="N136" s="485"/>
      <c r="O136" s="487" t="s">
        <v>21</v>
      </c>
      <c r="P136" s="485"/>
      <c r="Q136" s="487" t="s">
        <v>21</v>
      </c>
      <c r="R136" s="485"/>
      <c r="S136" s="487" t="s">
        <v>22</v>
      </c>
      <c r="T136" s="517" t="s">
        <v>3573</v>
      </c>
    </row>
    <row r="137" spans="1:27" s="9" customFormat="1">
      <c r="A137" s="516" t="s">
        <v>360</v>
      </c>
      <c r="B137" s="485">
        <v>2007</v>
      </c>
      <c r="C137" s="487" t="s">
        <v>357</v>
      </c>
      <c r="D137" s="494" t="s">
        <v>238</v>
      </c>
      <c r="E137" s="495" t="s">
        <v>361</v>
      </c>
      <c r="F137" s="27" t="s">
        <v>36</v>
      </c>
      <c r="G137" s="214">
        <v>640532901</v>
      </c>
      <c r="H137" s="214">
        <v>660586246</v>
      </c>
      <c r="I137" s="485">
        <v>38</v>
      </c>
      <c r="J137" s="485" t="s">
        <v>362</v>
      </c>
      <c r="K137" s="485" t="s">
        <v>1616</v>
      </c>
      <c r="L137" s="217" t="s">
        <v>1277</v>
      </c>
      <c r="M137" s="487" t="s">
        <v>21</v>
      </c>
      <c r="N137" s="485"/>
      <c r="O137" s="487" t="s">
        <v>21</v>
      </c>
      <c r="P137" s="485"/>
      <c r="Q137" s="487" t="s">
        <v>21</v>
      </c>
      <c r="R137" s="485"/>
      <c r="S137" s="487" t="s">
        <v>22</v>
      </c>
      <c r="T137" s="515" t="s">
        <v>3572</v>
      </c>
    </row>
    <row r="138" spans="1:27" s="9" customFormat="1">
      <c r="A138" s="516" t="s">
        <v>363</v>
      </c>
      <c r="B138" s="485">
        <v>2008</v>
      </c>
      <c r="C138" s="487" t="s">
        <v>357</v>
      </c>
      <c r="D138" s="494" t="s">
        <v>238</v>
      </c>
      <c r="E138" s="495" t="s">
        <v>364</v>
      </c>
      <c r="F138" s="27" t="s">
        <v>36</v>
      </c>
      <c r="G138" s="214">
        <v>587942636</v>
      </c>
      <c r="H138" s="214">
        <v>588887191.39999998</v>
      </c>
      <c r="I138" s="485">
        <v>46</v>
      </c>
      <c r="J138" s="485" t="s">
        <v>365</v>
      </c>
      <c r="K138" s="485" t="s">
        <v>1616</v>
      </c>
      <c r="L138" s="217" t="s">
        <v>1658</v>
      </c>
      <c r="M138" s="487" t="s">
        <v>21</v>
      </c>
      <c r="N138" s="485"/>
      <c r="O138" s="487" t="s">
        <v>21</v>
      </c>
      <c r="P138" s="485"/>
      <c r="Q138" s="487" t="s">
        <v>21</v>
      </c>
      <c r="R138" s="485"/>
      <c r="S138" s="487" t="s">
        <v>22</v>
      </c>
      <c r="T138" s="515" t="s">
        <v>3572</v>
      </c>
    </row>
    <row r="139" spans="1:27" s="9" customFormat="1">
      <c r="A139" s="516" t="s">
        <v>366</v>
      </c>
      <c r="B139" s="485">
        <v>2009</v>
      </c>
      <c r="C139" s="487" t="s">
        <v>357</v>
      </c>
      <c r="D139" s="494" t="s">
        <v>238</v>
      </c>
      <c r="E139" s="495" t="s">
        <v>71</v>
      </c>
      <c r="F139" s="27" t="s">
        <v>36</v>
      </c>
      <c r="G139" s="214">
        <v>512525992.42710215</v>
      </c>
      <c r="H139" s="214">
        <v>512566409.30000001</v>
      </c>
      <c r="I139" s="485">
        <v>101</v>
      </c>
      <c r="J139" s="485" t="s">
        <v>367</v>
      </c>
      <c r="K139" s="485" t="s">
        <v>1616</v>
      </c>
      <c r="L139" s="217" t="s">
        <v>1658</v>
      </c>
      <c r="M139" s="487" t="s">
        <v>21</v>
      </c>
      <c r="N139" s="487" t="s">
        <v>21</v>
      </c>
      <c r="O139" s="487" t="s">
        <v>21</v>
      </c>
      <c r="P139" s="503"/>
      <c r="Q139" s="487" t="s">
        <v>21</v>
      </c>
      <c r="R139" s="485"/>
      <c r="S139" s="487" t="s">
        <v>22</v>
      </c>
      <c r="T139" s="515" t="s">
        <v>3572</v>
      </c>
    </row>
    <row r="140" spans="1:27" s="9" customFormat="1">
      <c r="A140" s="516" t="s">
        <v>368</v>
      </c>
      <c r="B140" s="485">
        <v>2010</v>
      </c>
      <c r="C140" s="487" t="s">
        <v>357</v>
      </c>
      <c r="D140" s="494" t="s">
        <v>238</v>
      </c>
      <c r="E140" s="495" t="s">
        <v>154</v>
      </c>
      <c r="F140" s="27" t="s">
        <v>36</v>
      </c>
      <c r="G140" s="214">
        <v>943183886</v>
      </c>
      <c r="H140" s="214">
        <v>943184625.70000005</v>
      </c>
      <c r="I140" s="485">
        <v>150</v>
      </c>
      <c r="J140" s="485" t="s">
        <v>369</v>
      </c>
      <c r="K140" s="485" t="s">
        <v>1616</v>
      </c>
      <c r="L140" s="217" t="s">
        <v>1658</v>
      </c>
      <c r="M140" s="487" t="s">
        <v>21</v>
      </c>
      <c r="N140" s="487" t="s">
        <v>21</v>
      </c>
      <c r="O140" s="487" t="s">
        <v>21</v>
      </c>
      <c r="P140" s="503"/>
      <c r="Q140" s="487" t="s">
        <v>21</v>
      </c>
      <c r="R140" s="485"/>
      <c r="S140" s="487" t="s">
        <v>22</v>
      </c>
      <c r="T140" s="515"/>
    </row>
    <row r="141" spans="1:27" s="9" customFormat="1">
      <c r="A141" s="516" t="s">
        <v>370</v>
      </c>
      <c r="B141" s="485">
        <v>2011</v>
      </c>
      <c r="C141" s="487" t="s">
        <v>357</v>
      </c>
      <c r="D141" s="494" t="s">
        <v>238</v>
      </c>
      <c r="E141" s="495" t="s">
        <v>371</v>
      </c>
      <c r="F141" s="27" t="s">
        <v>36</v>
      </c>
      <c r="G141" s="214">
        <v>1716796513</v>
      </c>
      <c r="H141" s="214">
        <v>1716856381</v>
      </c>
      <c r="I141" s="485">
        <v>200</v>
      </c>
      <c r="J141" s="485" t="s">
        <v>372</v>
      </c>
      <c r="K141" s="485" t="s">
        <v>1616</v>
      </c>
      <c r="L141" s="217" t="s">
        <v>1658</v>
      </c>
      <c r="M141" s="487" t="s">
        <v>21</v>
      </c>
      <c r="N141" s="487" t="s">
        <v>21</v>
      </c>
      <c r="O141" s="487" t="s">
        <v>21</v>
      </c>
      <c r="P141" s="503"/>
      <c r="Q141" s="487" t="s">
        <v>21</v>
      </c>
      <c r="R141" s="485"/>
      <c r="S141" s="487" t="s">
        <v>22</v>
      </c>
      <c r="T141" s="515" t="s">
        <v>3596</v>
      </c>
    </row>
    <row r="142" spans="1:27" s="9" customFormat="1">
      <c r="A142" s="516" t="s">
        <v>373</v>
      </c>
      <c r="B142" s="485">
        <v>2012</v>
      </c>
      <c r="C142" s="487" t="s">
        <v>357</v>
      </c>
      <c r="D142" s="494" t="s">
        <v>238</v>
      </c>
      <c r="E142" s="495" t="s">
        <v>174</v>
      </c>
      <c r="F142" s="27" t="s">
        <v>36</v>
      </c>
      <c r="G142" s="214">
        <v>1180619495</v>
      </c>
      <c r="H142" s="212">
        <v>2233069669</v>
      </c>
      <c r="I142" s="485">
        <v>199</v>
      </c>
      <c r="J142" s="485" t="s">
        <v>374</v>
      </c>
      <c r="K142" s="485" t="s">
        <v>1616</v>
      </c>
      <c r="L142" s="217" t="s">
        <v>1717</v>
      </c>
      <c r="M142" s="487" t="s">
        <v>21</v>
      </c>
      <c r="N142" s="487"/>
      <c r="O142" s="487" t="s">
        <v>21</v>
      </c>
      <c r="P142" s="503"/>
      <c r="Q142" s="487" t="s">
        <v>21</v>
      </c>
      <c r="R142" s="485"/>
      <c r="S142" s="487" t="s">
        <v>22</v>
      </c>
      <c r="T142" s="515" t="s">
        <v>3597</v>
      </c>
    </row>
    <row r="143" spans="1:27">
      <c r="A143" s="522" t="s">
        <v>375</v>
      </c>
      <c r="B143" s="498">
        <v>2013</v>
      </c>
      <c r="C143" s="500" t="s">
        <v>357</v>
      </c>
      <c r="D143" s="500" t="s">
        <v>238</v>
      </c>
      <c r="E143" s="54" t="s">
        <v>45</v>
      </c>
      <c r="F143" s="500" t="s">
        <v>36</v>
      </c>
      <c r="G143" s="214">
        <v>1054895582.33</v>
      </c>
      <c r="H143" s="214">
        <v>1054920348.0599999</v>
      </c>
      <c r="I143" s="27">
        <v>240</v>
      </c>
      <c r="J143" s="41" t="s">
        <v>376</v>
      </c>
      <c r="K143" s="41" t="s">
        <v>1616</v>
      </c>
      <c r="L143" s="217" t="s">
        <v>1724</v>
      </c>
      <c r="M143" s="488" t="s">
        <v>21</v>
      </c>
      <c r="N143" s="488"/>
      <c r="O143" s="488" t="s">
        <v>21</v>
      </c>
      <c r="P143" s="488"/>
      <c r="Q143" s="488"/>
      <c r="R143" s="488"/>
      <c r="S143" s="488"/>
      <c r="T143" s="517" t="s">
        <v>3573</v>
      </c>
      <c r="U143" s="9"/>
      <c r="V143" s="9"/>
    </row>
    <row r="144" spans="1:27" s="9" customFormat="1">
      <c r="A144" s="516" t="s">
        <v>377</v>
      </c>
      <c r="B144" s="485">
        <v>2008</v>
      </c>
      <c r="C144" s="487" t="s">
        <v>378</v>
      </c>
      <c r="D144" s="494" t="s">
        <v>81</v>
      </c>
      <c r="E144" s="495" t="s">
        <v>302</v>
      </c>
      <c r="F144" s="27" t="s">
        <v>379</v>
      </c>
      <c r="G144" s="214">
        <v>25571802.530971412</v>
      </c>
      <c r="H144" s="214">
        <v>8484826</v>
      </c>
      <c r="I144" s="485">
        <v>6</v>
      </c>
      <c r="J144" s="485" t="s">
        <v>380</v>
      </c>
      <c r="K144" s="485" t="s">
        <v>1729</v>
      </c>
      <c r="L144" s="217" t="s">
        <v>1047</v>
      </c>
      <c r="M144" s="487" t="s">
        <v>21</v>
      </c>
      <c r="N144" s="487" t="s">
        <v>21</v>
      </c>
      <c r="O144" s="487" t="s">
        <v>21</v>
      </c>
      <c r="P144" s="494" t="s">
        <v>21</v>
      </c>
      <c r="Q144" s="487" t="s">
        <v>21</v>
      </c>
      <c r="R144" s="487" t="s">
        <v>21</v>
      </c>
      <c r="S144" s="487" t="s">
        <v>22</v>
      </c>
      <c r="T144" s="515" t="s">
        <v>3598</v>
      </c>
    </row>
    <row r="145" spans="1:27" s="9" customFormat="1" ht="45">
      <c r="A145" s="516" t="s">
        <v>381</v>
      </c>
      <c r="B145" s="485">
        <v>2009</v>
      </c>
      <c r="C145" s="487" t="s">
        <v>378</v>
      </c>
      <c r="D145" s="494" t="s">
        <v>81</v>
      </c>
      <c r="E145" s="495" t="s">
        <v>222</v>
      </c>
      <c r="F145" s="27" t="s">
        <v>30</v>
      </c>
      <c r="G145" s="214">
        <v>51049678.183363676</v>
      </c>
      <c r="H145" s="214">
        <v>42568813.472747095</v>
      </c>
      <c r="I145" s="485">
        <v>31</v>
      </c>
      <c r="J145" s="485" t="s">
        <v>382</v>
      </c>
      <c r="K145" s="485" t="s">
        <v>1729</v>
      </c>
      <c r="L145" s="217" t="s">
        <v>1277</v>
      </c>
      <c r="M145" s="487" t="s">
        <v>21</v>
      </c>
      <c r="N145" s="487"/>
      <c r="O145" s="487" t="s">
        <v>21</v>
      </c>
      <c r="P145" s="494"/>
      <c r="Q145" s="487" t="s">
        <v>21</v>
      </c>
      <c r="R145" s="487"/>
      <c r="S145" s="487" t="s">
        <v>22</v>
      </c>
      <c r="T145" s="517" t="s">
        <v>3600</v>
      </c>
    </row>
    <row r="146" spans="1:27" s="9" customFormat="1">
      <c r="A146" s="516" t="s">
        <v>381</v>
      </c>
      <c r="B146" s="485">
        <v>2011</v>
      </c>
      <c r="C146" s="487" t="s">
        <v>378</v>
      </c>
      <c r="D146" s="494" t="s">
        <v>81</v>
      </c>
      <c r="E146" s="495" t="s">
        <v>145</v>
      </c>
      <c r="F146" s="27" t="s">
        <v>30</v>
      </c>
      <c r="G146" s="214">
        <v>115116240.28</v>
      </c>
      <c r="H146" s="214">
        <v>114608833.28</v>
      </c>
      <c r="I146" s="485">
        <v>37</v>
      </c>
      <c r="J146" s="485" t="s">
        <v>383</v>
      </c>
      <c r="K146" s="485" t="s">
        <v>1729</v>
      </c>
      <c r="L146" s="217" t="s">
        <v>1277</v>
      </c>
      <c r="M146" s="487" t="s">
        <v>21</v>
      </c>
      <c r="N146" s="487"/>
      <c r="O146" s="487" t="s">
        <v>21</v>
      </c>
      <c r="P146" s="494"/>
      <c r="Q146" s="487" t="s">
        <v>21</v>
      </c>
      <c r="R146" s="487" t="s">
        <v>21</v>
      </c>
      <c r="S146" s="487" t="s">
        <v>22</v>
      </c>
      <c r="T146" s="515" t="s">
        <v>3575</v>
      </c>
    </row>
    <row r="147" spans="1:27" s="9" customFormat="1" ht="30">
      <c r="A147" s="516" t="s">
        <v>384</v>
      </c>
      <c r="B147" s="485">
        <v>2010</v>
      </c>
      <c r="C147" s="487" t="s">
        <v>378</v>
      </c>
      <c r="D147" s="494" t="s">
        <v>81</v>
      </c>
      <c r="E147" s="495" t="s">
        <v>39</v>
      </c>
      <c r="F147" s="27" t="s">
        <v>30</v>
      </c>
      <c r="G147" s="214">
        <v>71555872.336879551</v>
      </c>
      <c r="H147" s="214">
        <v>56324644.57037691</v>
      </c>
      <c r="I147" s="485">
        <v>44</v>
      </c>
      <c r="J147" s="485" t="s">
        <v>385</v>
      </c>
      <c r="K147" s="485" t="s">
        <v>1729</v>
      </c>
      <c r="L147" s="217" t="s">
        <v>1780</v>
      </c>
      <c r="M147" s="487" t="s">
        <v>21</v>
      </c>
      <c r="N147" s="487"/>
      <c r="O147" s="487" t="s">
        <v>21</v>
      </c>
      <c r="P147" s="494"/>
      <c r="Q147" s="487" t="s">
        <v>21</v>
      </c>
      <c r="R147" s="487"/>
      <c r="S147" s="487" t="s">
        <v>22</v>
      </c>
      <c r="T147" s="515" t="s">
        <v>3599</v>
      </c>
    </row>
    <row r="148" spans="1:27" s="12" customFormat="1">
      <c r="A148" s="516" t="s">
        <v>386</v>
      </c>
      <c r="B148" s="485">
        <v>2005</v>
      </c>
      <c r="C148" s="487" t="s">
        <v>387</v>
      </c>
      <c r="D148" s="494" t="s">
        <v>81</v>
      </c>
      <c r="E148" s="27" t="s">
        <v>388</v>
      </c>
      <c r="F148" s="27" t="s">
        <v>36</v>
      </c>
      <c r="G148" s="214">
        <v>14928853.70728069</v>
      </c>
      <c r="H148" s="214">
        <v>15079465.449712178</v>
      </c>
      <c r="I148" s="27">
        <v>13</v>
      </c>
      <c r="J148" s="41" t="s">
        <v>389</v>
      </c>
      <c r="K148" s="41" t="s">
        <v>1786</v>
      </c>
      <c r="L148" s="217" t="s">
        <v>1787</v>
      </c>
      <c r="M148" s="487" t="s">
        <v>21</v>
      </c>
      <c r="N148" s="487"/>
      <c r="O148" s="487" t="s">
        <v>21</v>
      </c>
      <c r="P148" s="503"/>
      <c r="Q148" s="487"/>
      <c r="R148" s="485"/>
      <c r="S148" s="487"/>
      <c r="T148" s="515" t="s">
        <v>3572</v>
      </c>
      <c r="U148" s="9"/>
      <c r="V148" s="9"/>
      <c r="W148" s="9"/>
      <c r="X148" s="9"/>
      <c r="Y148" s="9"/>
      <c r="Z148" s="9"/>
      <c r="AA148" s="9"/>
    </row>
    <row r="149" spans="1:27" s="12" customFormat="1">
      <c r="A149" s="516" t="s">
        <v>390</v>
      </c>
      <c r="B149" s="485">
        <v>2006</v>
      </c>
      <c r="C149" s="487" t="s">
        <v>387</v>
      </c>
      <c r="D149" s="494" t="s">
        <v>81</v>
      </c>
      <c r="E149" s="27" t="s">
        <v>388</v>
      </c>
      <c r="F149" s="27" t="s">
        <v>36</v>
      </c>
      <c r="G149" s="214">
        <v>25063833.699167486</v>
      </c>
      <c r="H149" s="214">
        <v>25374332.380495336</v>
      </c>
      <c r="I149" s="27">
        <v>13</v>
      </c>
      <c r="J149" s="41" t="s">
        <v>391</v>
      </c>
      <c r="K149" s="41" t="s">
        <v>1786</v>
      </c>
      <c r="L149" s="217" t="s">
        <v>1787</v>
      </c>
      <c r="M149" s="487" t="s">
        <v>21</v>
      </c>
      <c r="N149" s="487"/>
      <c r="O149" s="487" t="s">
        <v>21</v>
      </c>
      <c r="P149" s="503"/>
      <c r="Q149" s="487"/>
      <c r="R149" s="485"/>
      <c r="S149" s="487"/>
      <c r="T149" s="517" t="s">
        <v>3573</v>
      </c>
      <c r="U149" s="9"/>
      <c r="V149" s="9"/>
      <c r="W149" s="9"/>
      <c r="X149" s="9"/>
      <c r="Y149" s="9"/>
      <c r="Z149" s="9"/>
      <c r="AA149" s="9"/>
    </row>
    <row r="150" spans="1:27" s="12" customFormat="1">
      <c r="A150" s="516" t="s">
        <v>392</v>
      </c>
      <c r="B150" s="485">
        <v>2007</v>
      </c>
      <c r="C150" s="487" t="s">
        <v>387</v>
      </c>
      <c r="D150" s="494" t="s">
        <v>81</v>
      </c>
      <c r="E150" s="27" t="s">
        <v>393</v>
      </c>
      <c r="F150" s="27" t="s">
        <v>30</v>
      </c>
      <c r="G150" s="214">
        <v>147175593.54643524</v>
      </c>
      <c r="H150" s="214">
        <v>147175593.54643524</v>
      </c>
      <c r="I150" s="27">
        <v>68</v>
      </c>
      <c r="J150" s="41" t="s">
        <v>394</v>
      </c>
      <c r="K150" s="41" t="s">
        <v>1786</v>
      </c>
      <c r="L150" s="217" t="s">
        <v>1790</v>
      </c>
      <c r="M150" s="487" t="s">
        <v>21</v>
      </c>
      <c r="N150" s="487"/>
      <c r="O150" s="487" t="s">
        <v>21</v>
      </c>
      <c r="P150" s="503"/>
      <c r="Q150" s="487"/>
      <c r="R150" s="485"/>
      <c r="S150" s="487"/>
      <c r="T150" s="515" t="s">
        <v>3572</v>
      </c>
      <c r="U150" s="9"/>
      <c r="V150" s="9"/>
      <c r="W150" s="9"/>
      <c r="X150" s="9"/>
      <c r="Y150" s="9"/>
      <c r="Z150" s="9"/>
      <c r="AA150" s="9"/>
    </row>
    <row r="151" spans="1:27" s="12" customFormat="1">
      <c r="A151" s="516" t="s">
        <v>395</v>
      </c>
      <c r="B151" s="485">
        <v>2008</v>
      </c>
      <c r="C151" s="487" t="s">
        <v>387</v>
      </c>
      <c r="D151" s="494" t="s">
        <v>81</v>
      </c>
      <c r="E151" s="27" t="s">
        <v>393</v>
      </c>
      <c r="F151" s="27" t="s">
        <v>30</v>
      </c>
      <c r="G151" s="214">
        <v>418740295.82386595</v>
      </c>
      <c r="H151" s="214">
        <v>418740295.82386595</v>
      </c>
      <c r="I151" s="27">
        <v>63</v>
      </c>
      <c r="J151" s="41" t="s">
        <v>396</v>
      </c>
      <c r="K151" s="41" t="s">
        <v>1786</v>
      </c>
      <c r="L151" s="217" t="s">
        <v>1790</v>
      </c>
      <c r="M151" s="487" t="s">
        <v>21</v>
      </c>
      <c r="N151" s="487"/>
      <c r="O151" s="487" t="s">
        <v>21</v>
      </c>
      <c r="P151" s="503"/>
      <c r="Q151" s="487"/>
      <c r="R151" s="485"/>
      <c r="S151" s="487"/>
      <c r="T151" s="515" t="s">
        <v>3572</v>
      </c>
      <c r="U151" s="9"/>
      <c r="V151" s="9"/>
      <c r="W151" s="9"/>
      <c r="X151" s="9"/>
      <c r="Y151" s="9"/>
      <c r="Z151" s="9"/>
      <c r="AA151" s="9"/>
    </row>
    <row r="152" spans="1:27" s="12" customFormat="1">
      <c r="A152" s="516" t="s">
        <v>397</v>
      </c>
      <c r="B152" s="485">
        <v>2009</v>
      </c>
      <c r="C152" s="487" t="s">
        <v>387</v>
      </c>
      <c r="D152" s="494" t="s">
        <v>81</v>
      </c>
      <c r="E152" s="27" t="s">
        <v>393</v>
      </c>
      <c r="F152" s="27" t="s">
        <v>30</v>
      </c>
      <c r="G152" s="214">
        <v>143129702.9482843</v>
      </c>
      <c r="H152" s="214">
        <v>143129702.9482843</v>
      </c>
      <c r="I152" s="27">
        <v>39</v>
      </c>
      <c r="J152" s="41" t="s">
        <v>398</v>
      </c>
      <c r="K152" s="41" t="s">
        <v>1786</v>
      </c>
      <c r="L152" s="217" t="s">
        <v>1790</v>
      </c>
      <c r="M152" s="487" t="s">
        <v>21</v>
      </c>
      <c r="N152" s="487"/>
      <c r="O152" s="487" t="s">
        <v>21</v>
      </c>
      <c r="P152" s="503"/>
      <c r="Q152" s="487"/>
      <c r="R152" s="485"/>
      <c r="S152" s="487"/>
      <c r="T152" s="515"/>
      <c r="U152" s="9"/>
      <c r="V152" s="9"/>
      <c r="W152" s="9"/>
      <c r="X152" s="9"/>
      <c r="Y152" s="9"/>
      <c r="Z152" s="9"/>
      <c r="AA152" s="9"/>
    </row>
    <row r="153" spans="1:27" s="9" customFormat="1">
      <c r="A153" s="516" t="s">
        <v>399</v>
      </c>
      <c r="B153" s="485">
        <v>2010</v>
      </c>
      <c r="C153" s="487" t="s">
        <v>387</v>
      </c>
      <c r="D153" s="494" t="s">
        <v>81</v>
      </c>
      <c r="E153" s="27" t="s">
        <v>74</v>
      </c>
      <c r="F153" s="27" t="s">
        <v>30</v>
      </c>
      <c r="G153" s="214">
        <v>109503726.04387245</v>
      </c>
      <c r="H153" s="214">
        <v>107544027.23628214</v>
      </c>
      <c r="I153" s="27">
        <v>73</v>
      </c>
      <c r="J153" s="41" t="s">
        <v>400</v>
      </c>
      <c r="K153" s="41" t="s">
        <v>1786</v>
      </c>
      <c r="L153" s="217" t="s">
        <v>1790</v>
      </c>
      <c r="M153" s="487" t="s">
        <v>21</v>
      </c>
      <c r="N153" s="487"/>
      <c r="O153" s="487" t="s">
        <v>21</v>
      </c>
      <c r="P153" s="503"/>
      <c r="Q153" s="487"/>
      <c r="R153" s="485"/>
      <c r="S153" s="487"/>
      <c r="T153" s="515" t="s">
        <v>3572</v>
      </c>
    </row>
    <row r="154" spans="1:27" s="9" customFormat="1">
      <c r="A154" s="516" t="s">
        <v>401</v>
      </c>
      <c r="B154" s="485">
        <v>2011</v>
      </c>
      <c r="C154" s="487" t="s">
        <v>387</v>
      </c>
      <c r="D154" s="494" t="s">
        <v>81</v>
      </c>
      <c r="E154" s="27" t="s">
        <v>90</v>
      </c>
      <c r="F154" s="27" t="s">
        <v>30</v>
      </c>
      <c r="G154" s="214">
        <v>119279040.34148772</v>
      </c>
      <c r="H154" s="214">
        <v>117840829.10229464</v>
      </c>
      <c r="I154" s="27">
        <v>113</v>
      </c>
      <c r="J154" s="41" t="s">
        <v>402</v>
      </c>
      <c r="K154" s="41" t="s">
        <v>1786</v>
      </c>
      <c r="L154" s="217" t="s">
        <v>1797</v>
      </c>
      <c r="M154" s="487"/>
      <c r="N154" s="487"/>
      <c r="O154" s="487" t="s">
        <v>21</v>
      </c>
      <c r="P154" s="503"/>
      <c r="Q154" s="487"/>
      <c r="R154" s="485"/>
      <c r="S154" s="487"/>
      <c r="T154" s="515"/>
    </row>
    <row r="155" spans="1:27">
      <c r="A155" s="521" t="s">
        <v>403</v>
      </c>
      <c r="B155" s="200">
        <v>2012</v>
      </c>
      <c r="C155" s="200" t="s">
        <v>387</v>
      </c>
      <c r="D155" s="200" t="s">
        <v>81</v>
      </c>
      <c r="E155" s="54" t="s">
        <v>45</v>
      </c>
      <c r="F155" s="200" t="s">
        <v>36</v>
      </c>
      <c r="G155" s="214">
        <v>344759167</v>
      </c>
      <c r="H155" s="214">
        <v>340897169</v>
      </c>
      <c r="I155" s="27">
        <v>63</v>
      </c>
      <c r="J155" s="41" t="s">
        <v>404</v>
      </c>
      <c r="K155" s="41" t="s">
        <v>1786</v>
      </c>
      <c r="L155" s="217" t="s">
        <v>1801</v>
      </c>
      <c r="M155" s="488" t="s">
        <v>21</v>
      </c>
      <c r="N155" s="488"/>
      <c r="O155" s="488" t="s">
        <v>21</v>
      </c>
      <c r="P155" s="488"/>
      <c r="Q155" s="488"/>
      <c r="R155" s="488"/>
      <c r="S155" s="488"/>
      <c r="T155" s="515" t="s">
        <v>3572</v>
      </c>
      <c r="U155" s="9"/>
      <c r="V155" s="9"/>
    </row>
    <row r="156" spans="1:27" s="9" customFormat="1">
      <c r="A156" s="516" t="s">
        <v>405</v>
      </c>
      <c r="B156" s="485">
        <v>1999</v>
      </c>
      <c r="C156" s="487" t="s">
        <v>406</v>
      </c>
      <c r="D156" s="494" t="s">
        <v>81</v>
      </c>
      <c r="E156" s="495" t="s">
        <v>97</v>
      </c>
      <c r="F156" s="27" t="s">
        <v>50</v>
      </c>
      <c r="G156" s="214">
        <v>8073000000</v>
      </c>
      <c r="H156" s="214">
        <v>8084000000</v>
      </c>
      <c r="I156" s="485">
        <v>24</v>
      </c>
      <c r="J156" s="485" t="s">
        <v>407</v>
      </c>
      <c r="K156" s="485" t="s">
        <v>1803</v>
      </c>
      <c r="L156" s="217" t="s">
        <v>1806</v>
      </c>
      <c r="M156" s="487" t="s">
        <v>21</v>
      </c>
      <c r="N156" s="487"/>
      <c r="O156" s="487"/>
      <c r="P156" s="494"/>
      <c r="Q156" s="487"/>
      <c r="R156" s="487"/>
      <c r="S156" s="487" t="s">
        <v>22</v>
      </c>
      <c r="T156" s="515"/>
    </row>
    <row r="157" spans="1:27" s="9" customFormat="1">
      <c r="A157" s="516" t="s">
        <v>408</v>
      </c>
      <c r="B157" s="485">
        <v>2000</v>
      </c>
      <c r="C157" s="487" t="s">
        <v>406</v>
      </c>
      <c r="D157" s="494" t="s">
        <v>81</v>
      </c>
      <c r="E157" s="495" t="s">
        <v>97</v>
      </c>
      <c r="F157" s="27" t="s">
        <v>50</v>
      </c>
      <c r="G157" s="214">
        <v>15807000000</v>
      </c>
      <c r="H157" s="214">
        <v>15807000000</v>
      </c>
      <c r="I157" s="485">
        <v>24</v>
      </c>
      <c r="J157" s="485" t="s">
        <v>407</v>
      </c>
      <c r="K157" s="485" t="s">
        <v>1803</v>
      </c>
      <c r="L157" s="217" t="s">
        <v>1806</v>
      </c>
      <c r="M157" s="487" t="s">
        <v>21</v>
      </c>
      <c r="N157" s="487"/>
      <c r="O157" s="487"/>
      <c r="P157" s="494"/>
      <c r="Q157" s="487"/>
      <c r="R157" s="487"/>
      <c r="S157" s="487" t="s">
        <v>22</v>
      </c>
      <c r="T157" s="515" t="s">
        <v>3572</v>
      </c>
    </row>
    <row r="158" spans="1:27" s="9" customFormat="1">
      <c r="A158" s="516" t="s">
        <v>409</v>
      </c>
      <c r="B158" s="485">
        <v>2001</v>
      </c>
      <c r="C158" s="487" t="s">
        <v>406</v>
      </c>
      <c r="D158" s="494" t="s">
        <v>81</v>
      </c>
      <c r="E158" s="495" t="s">
        <v>97</v>
      </c>
      <c r="F158" s="27" t="s">
        <v>50</v>
      </c>
      <c r="G158" s="214">
        <v>15909000000</v>
      </c>
      <c r="H158" s="214">
        <v>15909000000</v>
      </c>
      <c r="I158" s="485">
        <v>24</v>
      </c>
      <c r="J158" s="485" t="s">
        <v>407</v>
      </c>
      <c r="K158" s="485" t="s">
        <v>1803</v>
      </c>
      <c r="L158" s="217" t="s">
        <v>1806</v>
      </c>
      <c r="M158" s="487" t="s">
        <v>21</v>
      </c>
      <c r="N158" s="487"/>
      <c r="O158" s="487"/>
      <c r="P158" s="494"/>
      <c r="Q158" s="487"/>
      <c r="R158" s="487"/>
      <c r="S158" s="487" t="s">
        <v>22</v>
      </c>
      <c r="T158" s="515" t="s">
        <v>3572</v>
      </c>
    </row>
    <row r="159" spans="1:27" s="9" customFormat="1">
      <c r="A159" s="516" t="s">
        <v>410</v>
      </c>
      <c r="B159" s="485">
        <v>2002</v>
      </c>
      <c r="C159" s="487" t="s">
        <v>406</v>
      </c>
      <c r="D159" s="494" t="s">
        <v>81</v>
      </c>
      <c r="E159" s="495" t="s">
        <v>97</v>
      </c>
      <c r="F159" s="27" t="s">
        <v>50</v>
      </c>
      <c r="G159" s="214">
        <v>11875000000</v>
      </c>
      <c r="H159" s="214">
        <v>11875000000</v>
      </c>
      <c r="I159" s="485">
        <v>24</v>
      </c>
      <c r="J159" s="485" t="s">
        <v>407</v>
      </c>
      <c r="K159" s="485" t="s">
        <v>1803</v>
      </c>
      <c r="L159" s="217" t="s">
        <v>1806</v>
      </c>
      <c r="M159" s="487" t="s">
        <v>21</v>
      </c>
      <c r="N159" s="487"/>
      <c r="O159" s="487"/>
      <c r="P159" s="494"/>
      <c r="Q159" s="487"/>
      <c r="R159" s="487"/>
      <c r="S159" s="487" t="s">
        <v>22</v>
      </c>
      <c r="T159" s="515" t="s">
        <v>3572</v>
      </c>
    </row>
    <row r="160" spans="1:27" s="9" customFormat="1">
      <c r="A160" s="516" t="s">
        <v>411</v>
      </c>
      <c r="B160" s="485">
        <v>2003</v>
      </c>
      <c r="C160" s="487" t="s">
        <v>406</v>
      </c>
      <c r="D160" s="494" t="s">
        <v>81</v>
      </c>
      <c r="E160" s="495" t="s">
        <v>97</v>
      </c>
      <c r="F160" s="27" t="s">
        <v>50</v>
      </c>
      <c r="G160" s="214">
        <v>17091000000</v>
      </c>
      <c r="H160" s="214">
        <v>17095000000</v>
      </c>
      <c r="I160" s="485">
        <v>24</v>
      </c>
      <c r="J160" s="485" t="s">
        <v>407</v>
      </c>
      <c r="K160" s="485" t="s">
        <v>1803</v>
      </c>
      <c r="L160" s="217" t="s">
        <v>1806</v>
      </c>
      <c r="M160" s="487" t="s">
        <v>21</v>
      </c>
      <c r="N160" s="487"/>
      <c r="O160" s="487"/>
      <c r="P160" s="494"/>
      <c r="Q160" s="487"/>
      <c r="R160" s="487"/>
      <c r="S160" s="487" t="s">
        <v>22</v>
      </c>
      <c r="T160" s="515" t="s">
        <v>3572</v>
      </c>
    </row>
    <row r="161" spans="1:27" s="9" customFormat="1">
      <c r="A161" s="516" t="s">
        <v>412</v>
      </c>
      <c r="B161" s="485">
        <v>2004</v>
      </c>
      <c r="C161" s="487" t="s">
        <v>406</v>
      </c>
      <c r="D161" s="494" t="s">
        <v>81</v>
      </c>
      <c r="E161" s="495" t="s">
        <v>97</v>
      </c>
      <c r="F161" s="27" t="s">
        <v>50</v>
      </c>
      <c r="G161" s="214">
        <v>26596000000</v>
      </c>
      <c r="H161" s="214">
        <v>26597000000</v>
      </c>
      <c r="I161" s="485">
        <v>24</v>
      </c>
      <c r="J161" s="485" t="s">
        <v>407</v>
      </c>
      <c r="K161" s="485" t="s">
        <v>1803</v>
      </c>
      <c r="L161" s="217" t="s">
        <v>1806</v>
      </c>
      <c r="M161" s="487" t="s">
        <v>21</v>
      </c>
      <c r="N161" s="487"/>
      <c r="O161" s="487"/>
      <c r="P161" s="494"/>
      <c r="Q161" s="487"/>
      <c r="R161" s="487"/>
      <c r="S161" s="487" t="s">
        <v>22</v>
      </c>
      <c r="T161" s="515" t="s">
        <v>3572</v>
      </c>
    </row>
    <row r="162" spans="1:27" s="9" customFormat="1" ht="30">
      <c r="A162" s="516" t="s">
        <v>413</v>
      </c>
      <c r="B162" s="485">
        <v>2005</v>
      </c>
      <c r="C162" s="487" t="s">
        <v>406</v>
      </c>
      <c r="D162" s="494" t="s">
        <v>81</v>
      </c>
      <c r="E162" s="495" t="s">
        <v>414</v>
      </c>
      <c r="F162" s="27" t="s">
        <v>50</v>
      </c>
      <c r="G162" s="214">
        <v>37761759990.706177</v>
      </c>
      <c r="H162" s="214">
        <v>37589633076.178871</v>
      </c>
      <c r="I162" s="487" t="s">
        <v>258</v>
      </c>
      <c r="J162" s="485" t="s">
        <v>415</v>
      </c>
      <c r="K162" s="485" t="s">
        <v>1803</v>
      </c>
      <c r="L162" s="217" t="s">
        <v>1806</v>
      </c>
      <c r="M162" s="487" t="s">
        <v>21</v>
      </c>
      <c r="N162" s="487"/>
      <c r="O162" s="487"/>
      <c r="P162" s="494"/>
      <c r="Q162" s="487"/>
      <c r="R162" s="487"/>
      <c r="S162" s="487" t="s">
        <v>22</v>
      </c>
      <c r="T162" s="517" t="s">
        <v>3602</v>
      </c>
    </row>
    <row r="163" spans="1:27" s="9" customFormat="1">
      <c r="A163" s="516" t="s">
        <v>416</v>
      </c>
      <c r="B163" s="485">
        <v>2006</v>
      </c>
      <c r="C163" s="487" t="s">
        <v>406</v>
      </c>
      <c r="D163" s="494" t="s">
        <v>81</v>
      </c>
      <c r="E163" s="495" t="s">
        <v>302</v>
      </c>
      <c r="F163" s="27" t="s">
        <v>50</v>
      </c>
      <c r="G163" s="214">
        <v>45464400000</v>
      </c>
      <c r="H163" s="214">
        <v>44748184080</v>
      </c>
      <c r="I163" s="487" t="s">
        <v>258</v>
      </c>
      <c r="J163" s="485" t="s">
        <v>417</v>
      </c>
      <c r="K163" s="485" t="s">
        <v>1803</v>
      </c>
      <c r="L163" s="217" t="s">
        <v>1806</v>
      </c>
      <c r="M163" s="487" t="s">
        <v>21</v>
      </c>
      <c r="N163" s="487"/>
      <c r="O163" s="487"/>
      <c r="P163" s="494"/>
      <c r="Q163" s="487"/>
      <c r="R163" s="487"/>
      <c r="S163" s="487" t="s">
        <v>22</v>
      </c>
      <c r="T163" s="515" t="s">
        <v>3572</v>
      </c>
    </row>
    <row r="164" spans="1:27" s="9" customFormat="1">
      <c r="A164" s="516" t="s">
        <v>418</v>
      </c>
      <c r="B164" s="485">
        <v>2007</v>
      </c>
      <c r="C164" s="487" t="s">
        <v>406</v>
      </c>
      <c r="D164" s="494" t="s">
        <v>81</v>
      </c>
      <c r="E164" s="495" t="s">
        <v>302</v>
      </c>
      <c r="F164" s="27" t="s">
        <v>50</v>
      </c>
      <c r="G164" s="214">
        <v>43678500000</v>
      </c>
      <c r="H164" s="214">
        <v>43562165330</v>
      </c>
      <c r="I164" s="487" t="s">
        <v>258</v>
      </c>
      <c r="J164" s="485" t="s">
        <v>417</v>
      </c>
      <c r="K164" s="485" t="s">
        <v>1803</v>
      </c>
      <c r="L164" s="217" t="s">
        <v>1806</v>
      </c>
      <c r="M164" s="487" t="s">
        <v>21</v>
      </c>
      <c r="N164" s="487"/>
      <c r="O164" s="487"/>
      <c r="P164" s="494"/>
      <c r="Q164" s="487"/>
      <c r="R164" s="487"/>
      <c r="S164" s="487" t="s">
        <v>22</v>
      </c>
      <c r="T164" s="515" t="s">
        <v>3572</v>
      </c>
    </row>
    <row r="165" spans="1:27" s="9" customFormat="1">
      <c r="A165" s="516" t="s">
        <v>419</v>
      </c>
      <c r="B165" s="485">
        <v>2008</v>
      </c>
      <c r="C165" s="487" t="s">
        <v>406</v>
      </c>
      <c r="D165" s="494" t="s">
        <v>81</v>
      </c>
      <c r="E165" s="495" t="s">
        <v>302</v>
      </c>
      <c r="F165" s="27" t="s">
        <v>50</v>
      </c>
      <c r="G165" s="214">
        <v>59398200000</v>
      </c>
      <c r="H165" s="214">
        <v>59266324980</v>
      </c>
      <c r="I165" s="487" t="s">
        <v>258</v>
      </c>
      <c r="J165" s="485" t="s">
        <v>417</v>
      </c>
      <c r="K165" s="485" t="s">
        <v>1803</v>
      </c>
      <c r="L165" s="217" t="s">
        <v>1806</v>
      </c>
      <c r="M165" s="487" t="s">
        <v>21</v>
      </c>
      <c r="N165" s="487"/>
      <c r="O165" s="487"/>
      <c r="P165" s="494"/>
      <c r="Q165" s="487"/>
      <c r="R165" s="487"/>
      <c r="S165" s="487" t="s">
        <v>22</v>
      </c>
      <c r="T165" s="515" t="s">
        <v>3572</v>
      </c>
    </row>
    <row r="166" spans="1:27" s="9" customFormat="1">
      <c r="A166" s="516" t="s">
        <v>420</v>
      </c>
      <c r="B166" s="485">
        <v>2009</v>
      </c>
      <c r="C166" s="487" t="s">
        <v>406</v>
      </c>
      <c r="D166" s="494" t="s">
        <v>81</v>
      </c>
      <c r="E166" s="495" t="s">
        <v>174</v>
      </c>
      <c r="F166" s="27" t="s">
        <v>50</v>
      </c>
      <c r="G166" s="214">
        <v>30129486000</v>
      </c>
      <c r="H166" s="214">
        <v>30087646000</v>
      </c>
      <c r="I166" s="487" t="s">
        <v>258</v>
      </c>
      <c r="J166" s="485" t="s">
        <v>421</v>
      </c>
      <c r="K166" s="485" t="s">
        <v>1803</v>
      </c>
      <c r="L166" s="217" t="s">
        <v>1822</v>
      </c>
      <c r="M166" s="487" t="s">
        <v>21</v>
      </c>
      <c r="N166" s="487"/>
      <c r="O166" s="487"/>
      <c r="P166" s="494"/>
      <c r="Q166" s="487"/>
      <c r="R166" s="487"/>
      <c r="S166" s="487" t="s">
        <v>22</v>
      </c>
      <c r="T166" s="515" t="s">
        <v>3601</v>
      </c>
    </row>
    <row r="167" spans="1:27" s="9" customFormat="1">
      <c r="A167" s="516" t="s">
        <v>422</v>
      </c>
      <c r="B167" s="485">
        <v>2010</v>
      </c>
      <c r="C167" s="487" t="s">
        <v>406</v>
      </c>
      <c r="D167" s="494" t="s">
        <v>81</v>
      </c>
      <c r="E167" s="495" t="s">
        <v>174</v>
      </c>
      <c r="F167" s="27" t="s">
        <v>50</v>
      </c>
      <c r="G167" s="214">
        <v>44944995000</v>
      </c>
      <c r="H167" s="214">
        <v>44965362000</v>
      </c>
      <c r="I167" s="487" t="s">
        <v>258</v>
      </c>
      <c r="J167" s="485" t="s">
        <v>421</v>
      </c>
      <c r="K167" s="485" t="s">
        <v>1803</v>
      </c>
      <c r="L167" s="217" t="s">
        <v>1822</v>
      </c>
      <c r="M167" s="487" t="s">
        <v>21</v>
      </c>
      <c r="N167" s="487"/>
      <c r="O167" s="487"/>
      <c r="P167" s="494"/>
      <c r="Q167" s="487"/>
      <c r="R167" s="487"/>
      <c r="S167" s="487" t="s">
        <v>22</v>
      </c>
      <c r="T167" s="515" t="s">
        <v>3601</v>
      </c>
    </row>
    <row r="168" spans="1:27" s="9" customFormat="1">
      <c r="A168" s="516" t="s">
        <v>423</v>
      </c>
      <c r="B168" s="485">
        <v>2011</v>
      </c>
      <c r="C168" s="487" t="s">
        <v>406</v>
      </c>
      <c r="D168" s="494" t="s">
        <v>81</v>
      </c>
      <c r="E168" s="495" t="s">
        <v>424</v>
      </c>
      <c r="F168" s="27" t="s">
        <v>30</v>
      </c>
      <c r="G168" s="214">
        <v>68613385930</v>
      </c>
      <c r="H168" s="214">
        <v>68690659359</v>
      </c>
      <c r="I168" s="487" t="s">
        <v>258</v>
      </c>
      <c r="J168" s="487" t="s">
        <v>425</v>
      </c>
      <c r="K168" s="487" t="s">
        <v>1803</v>
      </c>
      <c r="L168" s="217" t="s">
        <v>1828</v>
      </c>
      <c r="M168" s="487" t="s">
        <v>21</v>
      </c>
      <c r="N168" s="487"/>
      <c r="O168" s="487"/>
      <c r="P168" s="494"/>
      <c r="Q168" s="487"/>
      <c r="R168" s="487"/>
      <c r="S168" s="487" t="s">
        <v>22</v>
      </c>
      <c r="T168" s="515"/>
    </row>
    <row r="169" spans="1:27">
      <c r="A169" s="521" t="s">
        <v>426</v>
      </c>
      <c r="B169" s="200">
        <v>2012</v>
      </c>
      <c r="C169" s="200" t="s">
        <v>406</v>
      </c>
      <c r="D169" s="200" t="s">
        <v>81</v>
      </c>
      <c r="E169" s="54" t="s">
        <v>45</v>
      </c>
      <c r="F169" s="200" t="s">
        <v>19</v>
      </c>
      <c r="G169" s="214">
        <v>177501338.81</v>
      </c>
      <c r="H169" s="214">
        <v>164593480.06999999</v>
      </c>
      <c r="I169" s="27">
        <v>58</v>
      </c>
      <c r="J169" s="41" t="s">
        <v>427</v>
      </c>
      <c r="K169" s="41" t="s">
        <v>1803</v>
      </c>
      <c r="L169" s="217" t="s">
        <v>564</v>
      </c>
      <c r="M169" s="488" t="s">
        <v>21</v>
      </c>
      <c r="N169" s="488"/>
      <c r="O169" s="488" t="s">
        <v>21</v>
      </c>
      <c r="P169" s="488"/>
      <c r="Q169" s="488"/>
      <c r="R169" s="488"/>
      <c r="S169" s="488"/>
      <c r="T169" s="515"/>
      <c r="U169" s="9"/>
      <c r="V169" s="9"/>
    </row>
    <row r="170" spans="1:27" s="9" customFormat="1">
      <c r="A170" s="516" t="s">
        <v>428</v>
      </c>
      <c r="B170" s="485">
        <v>2008</v>
      </c>
      <c r="C170" s="487" t="s">
        <v>429</v>
      </c>
      <c r="D170" s="494" t="s">
        <v>34</v>
      </c>
      <c r="E170" s="27" t="s">
        <v>166</v>
      </c>
      <c r="F170" s="487" t="s">
        <v>50</v>
      </c>
      <c r="G170" s="214">
        <v>71008812.234042555</v>
      </c>
      <c r="H170" s="214">
        <v>71008812.234042555</v>
      </c>
      <c r="I170" s="485">
        <v>69</v>
      </c>
      <c r="J170" s="485" t="s">
        <v>430</v>
      </c>
      <c r="K170" s="485" t="s">
        <v>1866</v>
      </c>
      <c r="L170" s="217" t="s">
        <v>662</v>
      </c>
      <c r="M170" s="487" t="s">
        <v>21</v>
      </c>
      <c r="N170" s="485"/>
      <c r="O170" s="487" t="s">
        <v>21</v>
      </c>
      <c r="P170" s="485"/>
      <c r="Q170" s="487" t="s">
        <v>21</v>
      </c>
      <c r="R170" s="485"/>
      <c r="S170" s="487" t="s">
        <v>22</v>
      </c>
      <c r="T170" s="515"/>
    </row>
    <row r="171" spans="1:27" s="9" customFormat="1">
      <c r="A171" s="516" t="s">
        <v>431</v>
      </c>
      <c r="B171" s="485">
        <v>2009</v>
      </c>
      <c r="C171" s="487" t="s">
        <v>429</v>
      </c>
      <c r="D171" s="494" t="s">
        <v>34</v>
      </c>
      <c r="E171" s="495" t="s">
        <v>432</v>
      </c>
      <c r="F171" s="487" t="s">
        <v>50</v>
      </c>
      <c r="G171" s="214">
        <v>42349871974.522293</v>
      </c>
      <c r="H171" s="214">
        <v>42349871974.522293</v>
      </c>
      <c r="I171" s="27">
        <v>64</v>
      </c>
      <c r="J171" s="486" t="s">
        <v>433</v>
      </c>
      <c r="K171" s="486" t="s">
        <v>1866</v>
      </c>
      <c r="L171" s="217" t="s">
        <v>662</v>
      </c>
      <c r="M171" s="487" t="s">
        <v>21</v>
      </c>
      <c r="N171" s="485"/>
      <c r="O171" s="487" t="s">
        <v>21</v>
      </c>
      <c r="P171" s="485"/>
      <c r="Q171" s="487" t="s">
        <v>21</v>
      </c>
      <c r="R171" s="485"/>
      <c r="S171" s="487" t="s">
        <v>22</v>
      </c>
      <c r="T171" s="515"/>
    </row>
    <row r="172" spans="1:27" s="15" customFormat="1">
      <c r="A172" s="516" t="s">
        <v>434</v>
      </c>
      <c r="B172" s="485">
        <v>2010</v>
      </c>
      <c r="C172" s="487" t="s">
        <v>429</v>
      </c>
      <c r="D172" s="494" t="s">
        <v>34</v>
      </c>
      <c r="E172" s="27" t="s">
        <v>435</v>
      </c>
      <c r="F172" s="27" t="s">
        <v>50</v>
      </c>
      <c r="G172" s="214">
        <v>44013892000</v>
      </c>
      <c r="H172" s="214">
        <v>44013892000</v>
      </c>
      <c r="I172" s="27">
        <v>66</v>
      </c>
      <c r="J172" s="41" t="s">
        <v>436</v>
      </c>
      <c r="K172" s="41" t="s">
        <v>1866</v>
      </c>
      <c r="L172" s="217" t="s">
        <v>662</v>
      </c>
      <c r="M172" s="487" t="s">
        <v>21</v>
      </c>
      <c r="N172" s="485"/>
      <c r="O172" s="487" t="s">
        <v>21</v>
      </c>
      <c r="P172" s="485"/>
      <c r="Q172" s="487"/>
      <c r="R172" s="485"/>
      <c r="S172" s="487"/>
      <c r="T172" s="515"/>
      <c r="U172" s="9"/>
      <c r="V172" s="9"/>
      <c r="W172" s="9"/>
      <c r="X172" s="9"/>
      <c r="Y172" s="9"/>
      <c r="Z172" s="9"/>
      <c r="AA172" s="9"/>
    </row>
    <row r="173" spans="1:27" s="9" customFormat="1">
      <c r="A173" s="516" t="s">
        <v>437</v>
      </c>
      <c r="B173" s="485">
        <v>2011</v>
      </c>
      <c r="C173" s="487" t="s">
        <v>429</v>
      </c>
      <c r="D173" s="494" t="s">
        <v>34</v>
      </c>
      <c r="E173" s="495" t="s">
        <v>432</v>
      </c>
      <c r="F173" s="487" t="s">
        <v>50</v>
      </c>
      <c r="G173" s="214">
        <v>60421715740</v>
      </c>
      <c r="H173" s="214">
        <v>60421715740</v>
      </c>
      <c r="I173" s="27">
        <v>64</v>
      </c>
      <c r="J173" s="485" t="s">
        <v>438</v>
      </c>
      <c r="K173" s="485" t="s">
        <v>1866</v>
      </c>
      <c r="L173" s="217" t="s">
        <v>662</v>
      </c>
      <c r="M173" s="487" t="s">
        <v>21</v>
      </c>
      <c r="N173" s="485"/>
      <c r="O173" s="487" t="s">
        <v>21</v>
      </c>
      <c r="P173" s="485"/>
      <c r="Q173" s="487" t="s">
        <v>21</v>
      </c>
      <c r="R173" s="485"/>
      <c r="S173" s="487" t="s">
        <v>22</v>
      </c>
      <c r="T173" s="515"/>
    </row>
    <row r="174" spans="1:27" s="9" customFormat="1">
      <c r="A174" s="516" t="s">
        <v>439</v>
      </c>
      <c r="B174" s="485">
        <v>2012</v>
      </c>
      <c r="C174" s="487" t="s">
        <v>429</v>
      </c>
      <c r="D174" s="494" t="s">
        <v>34</v>
      </c>
      <c r="E174" s="495" t="s">
        <v>432</v>
      </c>
      <c r="F174" s="487" t="s">
        <v>50</v>
      </c>
      <c r="G174" s="214">
        <v>65229640210</v>
      </c>
      <c r="H174" s="214">
        <v>65229640210</v>
      </c>
      <c r="I174" s="27">
        <v>69</v>
      </c>
      <c r="J174" s="485" t="s">
        <v>440</v>
      </c>
      <c r="K174" s="485" t="s">
        <v>1866</v>
      </c>
      <c r="L174" s="217" t="s">
        <v>662</v>
      </c>
      <c r="M174" s="487" t="s">
        <v>21</v>
      </c>
      <c r="N174" s="485"/>
      <c r="O174" s="487" t="s">
        <v>21</v>
      </c>
      <c r="P174" s="485"/>
      <c r="Q174" s="487" t="s">
        <v>21</v>
      </c>
      <c r="R174" s="485"/>
      <c r="S174" s="487" t="s">
        <v>22</v>
      </c>
      <c r="T174" s="515" t="s">
        <v>3572</v>
      </c>
    </row>
    <row r="175" spans="1:27" s="9" customFormat="1">
      <c r="A175" s="516" t="s">
        <v>441</v>
      </c>
      <c r="B175" s="485">
        <v>2004</v>
      </c>
      <c r="C175" s="487" t="s">
        <v>442</v>
      </c>
      <c r="D175" s="494" t="s">
        <v>214</v>
      </c>
      <c r="E175" s="495" t="s">
        <v>361</v>
      </c>
      <c r="F175" s="27" t="s">
        <v>30</v>
      </c>
      <c r="G175" s="214">
        <v>884263514.49853373</v>
      </c>
      <c r="H175" s="214">
        <v>883327965.60997057</v>
      </c>
      <c r="I175" s="485">
        <v>33</v>
      </c>
      <c r="J175" s="485" t="s">
        <v>443</v>
      </c>
      <c r="K175" s="485" t="s">
        <v>1878</v>
      </c>
      <c r="L175" s="217" t="s">
        <v>1277</v>
      </c>
      <c r="M175" s="487"/>
      <c r="N175" s="485"/>
      <c r="O175" s="487" t="s">
        <v>21</v>
      </c>
      <c r="P175" s="485"/>
      <c r="Q175" s="487"/>
      <c r="R175" s="485"/>
      <c r="S175" s="487" t="s">
        <v>23</v>
      </c>
      <c r="T175" s="515"/>
    </row>
    <row r="176" spans="1:27" s="9" customFormat="1">
      <c r="A176" s="516" t="s">
        <v>444</v>
      </c>
      <c r="B176" s="485">
        <v>2005</v>
      </c>
      <c r="C176" s="487" t="s">
        <v>442</v>
      </c>
      <c r="D176" s="494" t="s">
        <v>214</v>
      </c>
      <c r="E176" s="495" t="s">
        <v>361</v>
      </c>
      <c r="F176" s="27" t="s">
        <v>30</v>
      </c>
      <c r="G176" s="214">
        <v>1756747244.267477</v>
      </c>
      <c r="H176" s="214">
        <v>1755425838.3039513</v>
      </c>
      <c r="I176" s="485">
        <v>33</v>
      </c>
      <c r="J176" s="485" t="s">
        <v>443</v>
      </c>
      <c r="K176" s="485" t="s">
        <v>1878</v>
      </c>
      <c r="L176" s="217" t="s">
        <v>1277</v>
      </c>
      <c r="M176" s="487"/>
      <c r="N176" s="485"/>
      <c r="O176" s="487" t="s">
        <v>21</v>
      </c>
      <c r="P176" s="485"/>
      <c r="Q176" s="487"/>
      <c r="R176" s="485"/>
      <c r="S176" s="487" t="s">
        <v>23</v>
      </c>
      <c r="T176" s="515"/>
    </row>
    <row r="177" spans="1:27" s="9" customFormat="1">
      <c r="A177" s="516" t="s">
        <v>445</v>
      </c>
      <c r="B177" s="485">
        <v>2006</v>
      </c>
      <c r="C177" s="487" t="s">
        <v>442</v>
      </c>
      <c r="D177" s="494" t="s">
        <v>214</v>
      </c>
      <c r="E177" s="495" t="s">
        <v>361</v>
      </c>
      <c r="F177" s="27" t="s">
        <v>30</v>
      </c>
      <c r="G177" s="212">
        <v>2926435259.9327216</v>
      </c>
      <c r="H177" s="212">
        <v>2926253811.7614679</v>
      </c>
      <c r="I177" s="485">
        <v>33</v>
      </c>
      <c r="J177" s="485" t="s">
        <v>443</v>
      </c>
      <c r="K177" s="485" t="s">
        <v>1878</v>
      </c>
      <c r="L177" s="217" t="s">
        <v>1277</v>
      </c>
      <c r="M177" s="487"/>
      <c r="N177" s="485"/>
      <c r="O177" s="487" t="s">
        <v>21</v>
      </c>
      <c r="P177" s="485"/>
      <c r="Q177" s="487"/>
      <c r="R177" s="485"/>
      <c r="S177" s="487" t="s">
        <v>23</v>
      </c>
      <c r="T177" s="515"/>
    </row>
    <row r="178" spans="1:27" s="9" customFormat="1">
      <c r="A178" s="516" t="s">
        <v>446</v>
      </c>
      <c r="B178" s="485">
        <v>2007</v>
      </c>
      <c r="C178" s="487" t="s">
        <v>442</v>
      </c>
      <c r="D178" s="494" t="s">
        <v>214</v>
      </c>
      <c r="E178" s="495" t="s">
        <v>361</v>
      </c>
      <c r="F178" s="27" t="s">
        <v>30</v>
      </c>
      <c r="G178" s="214">
        <v>3125388072.7948718</v>
      </c>
      <c r="H178" s="214">
        <v>3126093879.5</v>
      </c>
      <c r="I178" s="485">
        <v>33</v>
      </c>
      <c r="J178" s="485" t="s">
        <v>443</v>
      </c>
      <c r="K178" s="485" t="s">
        <v>1878</v>
      </c>
      <c r="L178" s="217" t="s">
        <v>1277</v>
      </c>
      <c r="M178" s="487"/>
      <c r="N178" s="485"/>
      <c r="O178" s="487" t="s">
        <v>21</v>
      </c>
      <c r="P178" s="485"/>
      <c r="Q178" s="487"/>
      <c r="R178" s="485"/>
      <c r="S178" s="487" t="s">
        <v>23</v>
      </c>
      <c r="T178" s="515"/>
    </row>
    <row r="179" spans="1:27" s="9" customFormat="1">
      <c r="A179" s="516" t="s">
        <v>447</v>
      </c>
      <c r="B179" s="485">
        <v>2008</v>
      </c>
      <c r="C179" s="487" t="s">
        <v>442</v>
      </c>
      <c r="D179" s="494" t="s">
        <v>214</v>
      </c>
      <c r="E179" s="495" t="s">
        <v>448</v>
      </c>
      <c r="F179" s="27" t="s">
        <v>30</v>
      </c>
      <c r="G179" s="214">
        <v>3573697357.7190704</v>
      </c>
      <c r="H179" s="214">
        <v>3573963810.1613121</v>
      </c>
      <c r="I179" s="485">
        <v>51</v>
      </c>
      <c r="J179" s="485" t="s">
        <v>449</v>
      </c>
      <c r="K179" s="485" t="s">
        <v>1878</v>
      </c>
      <c r="L179" s="217" t="s">
        <v>1277</v>
      </c>
      <c r="M179" s="487"/>
      <c r="N179" s="485"/>
      <c r="O179" s="487" t="s">
        <v>21</v>
      </c>
      <c r="P179" s="485"/>
      <c r="Q179" s="487"/>
      <c r="R179" s="485"/>
      <c r="S179" s="487" t="s">
        <v>23</v>
      </c>
      <c r="T179" s="517" t="s">
        <v>3573</v>
      </c>
    </row>
    <row r="180" spans="1:27" s="9" customFormat="1">
      <c r="A180" s="516" t="s">
        <v>450</v>
      </c>
      <c r="B180" s="485">
        <v>2009</v>
      </c>
      <c r="C180" s="487" t="s">
        <v>442</v>
      </c>
      <c r="D180" s="494" t="s">
        <v>214</v>
      </c>
      <c r="E180" s="495" t="s">
        <v>39</v>
      </c>
      <c r="F180" s="27" t="s">
        <v>30</v>
      </c>
      <c r="G180" s="214">
        <v>2965369766.4701195</v>
      </c>
      <c r="H180" s="214">
        <v>2965945526.7968125</v>
      </c>
      <c r="I180" s="485">
        <v>51</v>
      </c>
      <c r="J180" s="485" t="s">
        <v>449</v>
      </c>
      <c r="K180" s="485" t="s">
        <v>1878</v>
      </c>
      <c r="L180" s="217" t="s">
        <v>1277</v>
      </c>
      <c r="M180" s="487"/>
      <c r="N180" s="485"/>
      <c r="O180" s="487" t="s">
        <v>21</v>
      </c>
      <c r="P180" s="485"/>
      <c r="Q180" s="487"/>
      <c r="R180" s="485"/>
      <c r="S180" s="487" t="s">
        <v>23</v>
      </c>
      <c r="T180" s="515" t="s">
        <v>3603</v>
      </c>
    </row>
    <row r="181" spans="1:27" s="9" customFormat="1">
      <c r="A181" s="516" t="s">
        <v>451</v>
      </c>
      <c r="B181" s="485">
        <v>2010</v>
      </c>
      <c r="C181" s="487" t="s">
        <v>442</v>
      </c>
      <c r="D181" s="494" t="s">
        <v>214</v>
      </c>
      <c r="E181" s="495" t="s">
        <v>90</v>
      </c>
      <c r="F181" s="27" t="s">
        <v>30</v>
      </c>
      <c r="G181" s="214">
        <v>4358147652.2724705</v>
      </c>
      <c r="H181" s="214">
        <v>4358224746.2937012</v>
      </c>
      <c r="I181" s="485">
        <v>51</v>
      </c>
      <c r="J181" s="485" t="s">
        <v>449</v>
      </c>
      <c r="K181" s="485" t="s">
        <v>1878</v>
      </c>
      <c r="L181" s="217" t="s">
        <v>1277</v>
      </c>
      <c r="M181" s="487"/>
      <c r="N181" s="485"/>
      <c r="O181" s="487" t="s">
        <v>21</v>
      </c>
      <c r="P181" s="485"/>
      <c r="Q181" s="487"/>
      <c r="R181" s="485"/>
      <c r="S181" s="487" t="s">
        <v>23</v>
      </c>
      <c r="T181" s="515"/>
    </row>
    <row r="182" spans="1:27" s="15" customFormat="1">
      <c r="A182" s="516" t="s">
        <v>452</v>
      </c>
      <c r="B182" s="485">
        <v>2011</v>
      </c>
      <c r="C182" s="487" t="s">
        <v>442</v>
      </c>
      <c r="D182" s="494" t="s">
        <v>214</v>
      </c>
      <c r="E182" s="27" t="s">
        <v>453</v>
      </c>
      <c r="F182" s="27" t="s">
        <v>30</v>
      </c>
      <c r="G182" s="212">
        <v>5884323617</v>
      </c>
      <c r="H182" s="212">
        <v>5881394469</v>
      </c>
      <c r="I182" s="27">
        <v>59</v>
      </c>
      <c r="J182" s="41" t="s">
        <v>454</v>
      </c>
      <c r="K182" s="41" t="s">
        <v>1878</v>
      </c>
      <c r="L182" s="217" t="s">
        <v>1277</v>
      </c>
      <c r="M182" s="487" t="s">
        <v>21</v>
      </c>
      <c r="N182" s="485"/>
      <c r="O182" s="487" t="s">
        <v>21</v>
      </c>
      <c r="P182" s="485"/>
      <c r="Q182" s="487"/>
      <c r="R182" s="485"/>
      <c r="S182" s="487" t="s">
        <v>23</v>
      </c>
      <c r="T182" s="515"/>
      <c r="U182" s="9"/>
      <c r="V182" s="9"/>
      <c r="W182" s="9"/>
      <c r="X182" s="9"/>
      <c r="Y182" s="9"/>
      <c r="Z182" s="9"/>
      <c r="AA182" s="9"/>
    </row>
    <row r="183" spans="1:27" s="15" customFormat="1">
      <c r="A183" s="516" t="s">
        <v>455</v>
      </c>
      <c r="B183" s="485">
        <v>2012</v>
      </c>
      <c r="C183" s="487" t="s">
        <v>442</v>
      </c>
      <c r="D183" s="494" t="s">
        <v>214</v>
      </c>
      <c r="E183" s="27" t="s">
        <v>453</v>
      </c>
      <c r="F183" s="27" t="s">
        <v>30</v>
      </c>
      <c r="G183" s="212">
        <v>5480907241</v>
      </c>
      <c r="H183" s="212">
        <v>5478998767</v>
      </c>
      <c r="I183" s="27">
        <v>59</v>
      </c>
      <c r="J183" s="41" t="s">
        <v>456</v>
      </c>
      <c r="K183" s="41" t="s">
        <v>1878</v>
      </c>
      <c r="L183" s="217" t="s">
        <v>1277</v>
      </c>
      <c r="M183" s="487" t="s">
        <v>21</v>
      </c>
      <c r="N183" s="485"/>
      <c r="O183" s="487" t="s">
        <v>21</v>
      </c>
      <c r="P183" s="485"/>
      <c r="Q183" s="487"/>
      <c r="R183" s="485"/>
      <c r="S183" s="487" t="s">
        <v>23</v>
      </c>
      <c r="T183" s="515"/>
      <c r="U183" s="9"/>
      <c r="V183" s="9"/>
      <c r="W183" s="9"/>
      <c r="X183" s="9"/>
      <c r="Y183" s="9"/>
      <c r="Z183" s="9"/>
      <c r="AA183" s="9"/>
    </row>
    <row r="184" spans="1:27" s="9" customFormat="1" ht="30">
      <c r="A184" s="516" t="s">
        <v>457</v>
      </c>
      <c r="B184" s="485">
        <v>2004</v>
      </c>
      <c r="C184" s="487" t="s">
        <v>458</v>
      </c>
      <c r="D184" s="494" t="s">
        <v>81</v>
      </c>
      <c r="E184" s="27" t="s">
        <v>459</v>
      </c>
      <c r="F184" s="27" t="s">
        <v>50</v>
      </c>
      <c r="G184" s="214">
        <v>802597372.72742176</v>
      </c>
      <c r="H184" s="212"/>
      <c r="I184" s="27">
        <v>17</v>
      </c>
      <c r="J184" s="41" t="s">
        <v>460</v>
      </c>
      <c r="K184" s="41" t="s">
        <v>1997</v>
      </c>
      <c r="L184" s="217" t="s">
        <v>1993</v>
      </c>
      <c r="M184" s="487"/>
      <c r="N184" s="485"/>
      <c r="O184" s="487" t="s">
        <v>21</v>
      </c>
      <c r="P184" s="485"/>
      <c r="Q184" s="487"/>
      <c r="R184" s="485"/>
      <c r="S184" s="487"/>
      <c r="T184" s="519" t="s">
        <v>3566</v>
      </c>
    </row>
    <row r="185" spans="1:27" s="9" customFormat="1" ht="30">
      <c r="A185" s="516" t="s">
        <v>461</v>
      </c>
      <c r="B185" s="485">
        <v>2005</v>
      </c>
      <c r="C185" s="487" t="s">
        <v>458</v>
      </c>
      <c r="D185" s="494" t="s">
        <v>81</v>
      </c>
      <c r="E185" s="27" t="s">
        <v>462</v>
      </c>
      <c r="F185" s="27" t="s">
        <v>50</v>
      </c>
      <c r="G185" s="214">
        <v>1738493617.9513669</v>
      </c>
      <c r="H185" s="212"/>
      <c r="I185" s="27">
        <v>17</v>
      </c>
      <c r="J185" s="41" t="s">
        <v>463</v>
      </c>
      <c r="K185" s="41" t="s">
        <v>1997</v>
      </c>
      <c r="L185" s="217" t="s">
        <v>1993</v>
      </c>
      <c r="M185" s="487"/>
      <c r="N185" s="485"/>
      <c r="O185" s="487" t="s">
        <v>21</v>
      </c>
      <c r="P185" s="485"/>
      <c r="Q185" s="487"/>
      <c r="R185" s="485"/>
      <c r="S185" s="487"/>
      <c r="T185" s="519" t="s">
        <v>3566</v>
      </c>
    </row>
    <row r="186" spans="1:27" s="9" customFormat="1" ht="30">
      <c r="A186" s="516" t="s">
        <v>464</v>
      </c>
      <c r="B186" s="485">
        <v>2006</v>
      </c>
      <c r="C186" s="487" t="s">
        <v>458</v>
      </c>
      <c r="D186" s="494" t="s">
        <v>81</v>
      </c>
      <c r="E186" s="27" t="s">
        <v>462</v>
      </c>
      <c r="F186" s="27" t="s">
        <v>50</v>
      </c>
      <c r="G186" s="214">
        <v>2581804427.3293929</v>
      </c>
      <c r="H186" s="212"/>
      <c r="I186" s="27">
        <v>17</v>
      </c>
      <c r="J186" s="41" t="s">
        <v>465</v>
      </c>
      <c r="K186" s="41" t="s">
        <v>1997</v>
      </c>
      <c r="L186" s="217" t="s">
        <v>1993</v>
      </c>
      <c r="M186" s="487"/>
      <c r="N186" s="485"/>
      <c r="O186" s="487" t="s">
        <v>21</v>
      </c>
      <c r="P186" s="485"/>
      <c r="Q186" s="487"/>
      <c r="R186" s="485"/>
      <c r="S186" s="487"/>
      <c r="T186" s="519" t="s">
        <v>3566</v>
      </c>
    </row>
    <row r="187" spans="1:27" s="12" customFormat="1">
      <c r="A187" s="516" t="s">
        <v>466</v>
      </c>
      <c r="B187" s="485">
        <v>2007</v>
      </c>
      <c r="C187" s="487" t="s">
        <v>458</v>
      </c>
      <c r="D187" s="494" t="s">
        <v>81</v>
      </c>
      <c r="E187" s="27" t="s">
        <v>432</v>
      </c>
      <c r="F187" s="27" t="s">
        <v>50</v>
      </c>
      <c r="G187" s="212">
        <v>2553350325.8307009</v>
      </c>
      <c r="H187" s="212">
        <v>2443821662.9688482</v>
      </c>
      <c r="I187" s="27">
        <v>25</v>
      </c>
      <c r="J187" s="41" t="s">
        <v>467</v>
      </c>
      <c r="K187" s="41" t="s">
        <v>1997</v>
      </c>
      <c r="L187" s="217" t="s">
        <v>1993</v>
      </c>
      <c r="M187" s="487"/>
      <c r="N187" s="485"/>
      <c r="O187" s="487" t="s">
        <v>21</v>
      </c>
      <c r="P187" s="485"/>
      <c r="Q187" s="487"/>
      <c r="R187" s="485"/>
      <c r="S187" s="487"/>
      <c r="T187" s="515" t="s">
        <v>3604</v>
      </c>
      <c r="U187" s="9"/>
      <c r="V187" s="9"/>
      <c r="W187" s="9"/>
      <c r="X187" s="9"/>
      <c r="Y187" s="9"/>
      <c r="Z187" s="9"/>
      <c r="AA187" s="9"/>
    </row>
    <row r="188" spans="1:27" s="12" customFormat="1">
      <c r="A188" s="516" t="s">
        <v>468</v>
      </c>
      <c r="B188" s="485">
        <v>2008</v>
      </c>
      <c r="C188" s="487" t="s">
        <v>458</v>
      </c>
      <c r="D188" s="494" t="s">
        <v>81</v>
      </c>
      <c r="E188" s="27" t="s">
        <v>432</v>
      </c>
      <c r="F188" s="27" t="s">
        <v>50</v>
      </c>
      <c r="G188" s="212">
        <v>4645910135.5534267</v>
      </c>
      <c r="H188" s="212">
        <v>4608048676.9085875</v>
      </c>
      <c r="I188" s="27">
        <v>25</v>
      </c>
      <c r="J188" s="41" t="s">
        <v>469</v>
      </c>
      <c r="K188" s="41" t="s">
        <v>1997</v>
      </c>
      <c r="L188" s="217" t="s">
        <v>1993</v>
      </c>
      <c r="M188" s="487"/>
      <c r="N188" s="485"/>
      <c r="O188" s="487" t="s">
        <v>21</v>
      </c>
      <c r="P188" s="485"/>
      <c r="Q188" s="487"/>
      <c r="R188" s="485"/>
      <c r="S188" s="487"/>
      <c r="T188" s="515" t="s">
        <v>3604</v>
      </c>
      <c r="U188" s="9"/>
      <c r="V188" s="9"/>
      <c r="W188" s="9"/>
      <c r="X188" s="9"/>
      <c r="Y188" s="9"/>
      <c r="Z188" s="9"/>
      <c r="AA188" s="9"/>
    </row>
    <row r="189" spans="1:27" s="12" customFormat="1">
      <c r="A189" s="516" t="s">
        <v>470</v>
      </c>
      <c r="B189" s="485">
        <v>2009</v>
      </c>
      <c r="C189" s="487" t="s">
        <v>458</v>
      </c>
      <c r="D189" s="494" t="s">
        <v>81</v>
      </c>
      <c r="E189" s="27" t="s">
        <v>432</v>
      </c>
      <c r="F189" s="27" t="s">
        <v>50</v>
      </c>
      <c r="G189" s="212">
        <v>2343960552.7359438</v>
      </c>
      <c r="H189" s="212">
        <v>2293891127.9047532</v>
      </c>
      <c r="I189" s="27">
        <v>30</v>
      </c>
      <c r="J189" s="41" t="s">
        <v>471</v>
      </c>
      <c r="K189" s="41" t="s">
        <v>1997</v>
      </c>
      <c r="L189" s="217" t="s">
        <v>1993</v>
      </c>
      <c r="M189" s="487"/>
      <c r="N189" s="485"/>
      <c r="O189" s="487" t="s">
        <v>21</v>
      </c>
      <c r="P189" s="485"/>
      <c r="Q189" s="487"/>
      <c r="R189" s="485"/>
      <c r="S189" s="487"/>
      <c r="T189" s="515" t="s">
        <v>3604</v>
      </c>
      <c r="U189" s="9"/>
      <c r="V189" s="9"/>
      <c r="W189" s="9"/>
      <c r="X189" s="9"/>
      <c r="Y189" s="9"/>
      <c r="Z189" s="9"/>
      <c r="AA189" s="9"/>
    </row>
    <row r="190" spans="1:27" s="9" customFormat="1">
      <c r="A190" s="516" t="s">
        <v>472</v>
      </c>
      <c r="B190" s="485">
        <v>2010</v>
      </c>
      <c r="C190" s="487" t="s">
        <v>458</v>
      </c>
      <c r="D190" s="494" t="s">
        <v>81</v>
      </c>
      <c r="E190" s="27" t="s">
        <v>448</v>
      </c>
      <c r="F190" s="27" t="s">
        <v>50</v>
      </c>
      <c r="G190" s="214">
        <v>3195780380.0319676</v>
      </c>
      <c r="H190" s="214">
        <v>3419011268.8920569</v>
      </c>
      <c r="I190" s="27">
        <v>16</v>
      </c>
      <c r="J190" s="41" t="s">
        <v>473</v>
      </c>
      <c r="K190" s="41" t="s">
        <v>1997</v>
      </c>
      <c r="L190" s="217" t="s">
        <v>564</v>
      </c>
      <c r="M190" s="487"/>
      <c r="N190" s="485"/>
      <c r="O190" s="487"/>
      <c r="P190" s="485"/>
      <c r="Q190" s="487"/>
      <c r="R190" s="485"/>
      <c r="S190" s="487"/>
      <c r="T190" s="515"/>
    </row>
    <row r="191" spans="1:27" s="9" customFormat="1">
      <c r="A191" s="516" t="s">
        <v>474</v>
      </c>
      <c r="B191" s="485">
        <v>2011</v>
      </c>
      <c r="C191" s="487" t="s">
        <v>458</v>
      </c>
      <c r="D191" s="494" t="s">
        <v>81</v>
      </c>
      <c r="E191" s="27" t="s">
        <v>316</v>
      </c>
      <c r="F191" s="27" t="s">
        <v>50</v>
      </c>
      <c r="G191" s="214">
        <v>5529544307</v>
      </c>
      <c r="H191" s="214">
        <v>5551437090.9858561</v>
      </c>
      <c r="I191" s="27">
        <v>17</v>
      </c>
      <c r="J191" s="41" t="s">
        <v>475</v>
      </c>
      <c r="K191" s="41" t="s">
        <v>1997</v>
      </c>
      <c r="L191" s="217" t="s">
        <v>780</v>
      </c>
      <c r="M191" s="487"/>
      <c r="N191" s="485"/>
      <c r="O191" s="487" t="s">
        <v>21</v>
      </c>
      <c r="P191" s="485"/>
      <c r="Q191" s="487"/>
      <c r="R191" s="485"/>
      <c r="S191" s="487"/>
      <c r="T191" s="515"/>
    </row>
    <row r="192" spans="1:27" s="9" customFormat="1">
      <c r="A192" s="516" t="s">
        <v>476</v>
      </c>
      <c r="B192" s="485">
        <v>2012</v>
      </c>
      <c r="C192" s="487" t="s">
        <v>458</v>
      </c>
      <c r="D192" s="494" t="s">
        <v>81</v>
      </c>
      <c r="E192" s="27" t="s">
        <v>90</v>
      </c>
      <c r="F192" s="27" t="s">
        <v>30</v>
      </c>
      <c r="G192" s="214">
        <v>3185676000</v>
      </c>
      <c r="H192" s="214">
        <v>3210830000</v>
      </c>
      <c r="I192" s="27">
        <v>21</v>
      </c>
      <c r="J192" s="41" t="s">
        <v>477</v>
      </c>
      <c r="K192" s="41" t="s">
        <v>1997</v>
      </c>
      <c r="L192" s="217" t="s">
        <v>623</v>
      </c>
      <c r="M192" s="487" t="s">
        <v>21</v>
      </c>
      <c r="N192" s="485"/>
      <c r="O192" s="487" t="s">
        <v>21</v>
      </c>
      <c r="P192" s="485"/>
      <c r="Q192" s="487"/>
      <c r="R192" s="485"/>
      <c r="S192" s="487"/>
      <c r="T192" s="517" t="s">
        <v>3573</v>
      </c>
    </row>
    <row r="193" spans="1:22">
      <c r="A193" s="521" t="s">
        <v>478</v>
      </c>
      <c r="B193" s="200">
        <v>2013</v>
      </c>
      <c r="C193" s="200" t="s">
        <v>458</v>
      </c>
      <c r="D193" s="200" t="s">
        <v>81</v>
      </c>
      <c r="E193" s="54" t="s">
        <v>45</v>
      </c>
      <c r="F193" s="200" t="s">
        <v>50</v>
      </c>
      <c r="G193" s="214">
        <v>3041615000</v>
      </c>
      <c r="H193" s="214">
        <v>3044743000</v>
      </c>
      <c r="I193" s="27">
        <v>96</v>
      </c>
      <c r="J193" s="41" t="s">
        <v>479</v>
      </c>
      <c r="K193" s="41" t="s">
        <v>1997</v>
      </c>
      <c r="L193" s="217" t="s">
        <v>623</v>
      </c>
      <c r="M193" s="488" t="s">
        <v>21</v>
      </c>
      <c r="N193" s="488"/>
      <c r="O193" s="488" t="s">
        <v>21</v>
      </c>
      <c r="P193" s="488"/>
      <c r="Q193" s="488"/>
      <c r="R193" s="488"/>
      <c r="S193" s="488"/>
      <c r="T193" s="517" t="s">
        <v>3573</v>
      </c>
      <c r="U193" s="9"/>
      <c r="V193" s="9"/>
    </row>
    <row r="194" spans="1:22" s="9" customFormat="1">
      <c r="A194" s="516" t="s">
        <v>480</v>
      </c>
      <c r="B194" s="485">
        <v>2006</v>
      </c>
      <c r="C194" s="487" t="s">
        <v>481</v>
      </c>
      <c r="D194" s="494" t="s">
        <v>81</v>
      </c>
      <c r="E194" s="495" t="s">
        <v>482</v>
      </c>
      <c r="F194" s="487" t="s">
        <v>19</v>
      </c>
      <c r="G194" s="212">
        <v>7255694.5761567</v>
      </c>
      <c r="H194" s="212">
        <v>7650039.54407294</v>
      </c>
      <c r="I194" s="485">
        <v>9</v>
      </c>
      <c r="J194" s="485" t="s">
        <v>483</v>
      </c>
      <c r="K194" s="485" t="s">
        <v>2021</v>
      </c>
      <c r="L194" s="217" t="s">
        <v>2024</v>
      </c>
      <c r="M194" s="487" t="s">
        <v>21</v>
      </c>
      <c r="N194" s="485"/>
      <c r="O194" s="487" t="s">
        <v>21</v>
      </c>
      <c r="P194" s="485"/>
      <c r="Q194" s="487" t="s">
        <v>21</v>
      </c>
      <c r="R194" s="487"/>
      <c r="S194" s="487" t="s">
        <v>23</v>
      </c>
      <c r="T194" s="515" t="s">
        <v>3588</v>
      </c>
    </row>
    <row r="195" spans="1:22" s="9" customFormat="1">
      <c r="A195" s="516" t="s">
        <v>484</v>
      </c>
      <c r="B195" s="485">
        <v>2007</v>
      </c>
      <c r="C195" s="487" t="s">
        <v>481</v>
      </c>
      <c r="D195" s="494" t="s">
        <v>81</v>
      </c>
      <c r="E195" s="495" t="s">
        <v>482</v>
      </c>
      <c r="F195" s="487" t="s">
        <v>19</v>
      </c>
      <c r="G195" s="212">
        <v>10201528.665884711</v>
      </c>
      <c r="H195" s="212">
        <v>10475495.659182299</v>
      </c>
      <c r="I195" s="485">
        <v>9</v>
      </c>
      <c r="J195" s="485" t="s">
        <v>483</v>
      </c>
      <c r="K195" s="485" t="s">
        <v>2021</v>
      </c>
      <c r="L195" s="217" t="s">
        <v>2024</v>
      </c>
      <c r="M195" s="487" t="s">
        <v>21</v>
      </c>
      <c r="N195" s="485"/>
      <c r="O195" s="487" t="s">
        <v>21</v>
      </c>
      <c r="P195" s="485"/>
      <c r="Q195" s="487" t="s">
        <v>21</v>
      </c>
      <c r="R195" s="487"/>
      <c r="S195" s="487" t="s">
        <v>23</v>
      </c>
      <c r="T195" s="515"/>
    </row>
    <row r="196" spans="1:22" s="9" customFormat="1">
      <c r="A196" s="516" t="s">
        <v>485</v>
      </c>
      <c r="B196" s="485">
        <v>2008</v>
      </c>
      <c r="C196" s="487" t="s">
        <v>481</v>
      </c>
      <c r="D196" s="494" t="s">
        <v>81</v>
      </c>
      <c r="E196" s="495" t="s">
        <v>316</v>
      </c>
      <c r="F196" s="27" t="s">
        <v>30</v>
      </c>
      <c r="G196" s="212">
        <v>4427564.2110363245</v>
      </c>
      <c r="H196" s="212">
        <v>7434047.1408309368</v>
      </c>
      <c r="I196" s="485">
        <v>12</v>
      </c>
      <c r="J196" s="485" t="s">
        <v>486</v>
      </c>
      <c r="K196" s="485" t="s">
        <v>2021</v>
      </c>
      <c r="L196" s="217" t="s">
        <v>1047</v>
      </c>
      <c r="M196" s="487" t="s">
        <v>21</v>
      </c>
      <c r="N196" s="487" t="s">
        <v>21</v>
      </c>
      <c r="O196" s="487" t="s">
        <v>21</v>
      </c>
      <c r="P196" s="487" t="s">
        <v>21</v>
      </c>
      <c r="Q196" s="487" t="s">
        <v>21</v>
      </c>
      <c r="R196" s="487"/>
      <c r="S196" s="487" t="s">
        <v>23</v>
      </c>
      <c r="T196" s="515" t="s">
        <v>3605</v>
      </c>
    </row>
    <row r="197" spans="1:22" s="9" customFormat="1">
      <c r="A197" s="516" t="s">
        <v>487</v>
      </c>
      <c r="B197" s="485">
        <v>2009</v>
      </c>
      <c r="C197" s="487" t="s">
        <v>481</v>
      </c>
      <c r="D197" s="494" t="s">
        <v>81</v>
      </c>
      <c r="E197" s="495" t="s">
        <v>316</v>
      </c>
      <c r="F197" s="27" t="s">
        <v>30</v>
      </c>
      <c r="G197" s="212">
        <v>5875777.9977596682</v>
      </c>
      <c r="H197" s="212">
        <v>6091293.3647605022</v>
      </c>
      <c r="I197" s="485">
        <v>12</v>
      </c>
      <c r="J197" s="485" t="s">
        <v>486</v>
      </c>
      <c r="K197" s="485" t="s">
        <v>2021</v>
      </c>
      <c r="L197" s="217" t="s">
        <v>1047</v>
      </c>
      <c r="M197" s="487" t="s">
        <v>21</v>
      </c>
      <c r="N197" s="487" t="s">
        <v>21</v>
      </c>
      <c r="O197" s="487" t="s">
        <v>21</v>
      </c>
      <c r="P197" s="487" t="s">
        <v>21</v>
      </c>
      <c r="Q197" s="487" t="s">
        <v>21</v>
      </c>
      <c r="R197" s="487"/>
      <c r="S197" s="487" t="s">
        <v>23</v>
      </c>
      <c r="T197" s="515"/>
    </row>
    <row r="198" spans="1:22" s="9" customFormat="1">
      <c r="A198" s="516" t="s">
        <v>488</v>
      </c>
      <c r="B198" s="485">
        <v>2010</v>
      </c>
      <c r="C198" s="487" t="s">
        <v>481</v>
      </c>
      <c r="D198" s="494" t="s">
        <v>81</v>
      </c>
      <c r="E198" s="495" t="s">
        <v>316</v>
      </c>
      <c r="F198" s="27" t="s">
        <v>30</v>
      </c>
      <c r="G198" s="212">
        <v>7586792.5651504043</v>
      </c>
      <c r="H198" s="212">
        <v>8273470.9751235368</v>
      </c>
      <c r="I198" s="485">
        <v>13</v>
      </c>
      <c r="J198" s="485" t="s">
        <v>486</v>
      </c>
      <c r="K198" s="485" t="s">
        <v>2021</v>
      </c>
      <c r="L198" s="217" t="s">
        <v>1047</v>
      </c>
      <c r="M198" s="487" t="s">
        <v>21</v>
      </c>
      <c r="N198" s="487" t="s">
        <v>21</v>
      </c>
      <c r="O198" s="487" t="s">
        <v>21</v>
      </c>
      <c r="P198" s="487" t="s">
        <v>21</v>
      </c>
      <c r="Q198" s="487" t="s">
        <v>21</v>
      </c>
      <c r="R198" s="487"/>
      <c r="S198" s="487" t="s">
        <v>23</v>
      </c>
      <c r="T198" s="515"/>
    </row>
    <row r="199" spans="1:22" s="9" customFormat="1">
      <c r="A199" s="516" t="s">
        <v>489</v>
      </c>
      <c r="B199" s="485">
        <v>2011</v>
      </c>
      <c r="C199" s="487" t="s">
        <v>481</v>
      </c>
      <c r="D199" s="494" t="s">
        <v>81</v>
      </c>
      <c r="E199" s="495" t="s">
        <v>90</v>
      </c>
      <c r="F199" s="27" t="s">
        <v>30</v>
      </c>
      <c r="G199" s="212">
        <v>27621406</v>
      </c>
      <c r="H199" s="212">
        <v>26293142</v>
      </c>
      <c r="I199" s="485">
        <v>19</v>
      </c>
      <c r="J199" s="485" t="s">
        <v>490</v>
      </c>
      <c r="K199" s="485" t="s">
        <v>2021</v>
      </c>
      <c r="L199" s="217" t="s">
        <v>564</v>
      </c>
      <c r="M199" s="487" t="s">
        <v>21</v>
      </c>
      <c r="N199" s="487"/>
      <c r="O199" s="487" t="s">
        <v>21</v>
      </c>
      <c r="P199" s="487"/>
      <c r="Q199" s="487" t="s">
        <v>21</v>
      </c>
      <c r="R199" s="487"/>
      <c r="S199" s="487" t="s">
        <v>23</v>
      </c>
      <c r="T199" s="515"/>
    </row>
    <row r="200" spans="1:22" s="9" customFormat="1">
      <c r="A200" s="516" t="s">
        <v>491</v>
      </c>
      <c r="B200" s="485">
        <v>2009</v>
      </c>
      <c r="C200" s="487" t="s">
        <v>492</v>
      </c>
      <c r="D200" s="494" t="s">
        <v>81</v>
      </c>
      <c r="E200" s="495" t="s">
        <v>302</v>
      </c>
      <c r="F200" s="27" t="s">
        <v>379</v>
      </c>
      <c r="G200" s="212">
        <v>102252340</v>
      </c>
      <c r="H200" s="212">
        <v>138928383</v>
      </c>
      <c r="I200" s="485">
        <v>11</v>
      </c>
      <c r="J200" s="485" t="s">
        <v>493</v>
      </c>
      <c r="K200" s="485" t="s">
        <v>2082</v>
      </c>
      <c r="L200" s="217" t="s">
        <v>2085</v>
      </c>
      <c r="M200" s="487" t="s">
        <v>21</v>
      </c>
      <c r="N200" s="487" t="s">
        <v>21</v>
      </c>
      <c r="O200" s="487" t="s">
        <v>21</v>
      </c>
      <c r="P200" s="487" t="s">
        <v>21</v>
      </c>
      <c r="Q200" s="487" t="s">
        <v>21</v>
      </c>
      <c r="R200" s="487"/>
      <c r="S200" s="487" t="s">
        <v>22</v>
      </c>
      <c r="T200" s="515" t="s">
        <v>3572</v>
      </c>
    </row>
    <row r="201" spans="1:22" s="9" customFormat="1">
      <c r="A201" s="516" t="s">
        <v>494</v>
      </c>
      <c r="B201" s="485">
        <v>2010</v>
      </c>
      <c r="C201" s="487" t="s">
        <v>492</v>
      </c>
      <c r="D201" s="494" t="s">
        <v>81</v>
      </c>
      <c r="E201" s="495" t="s">
        <v>154</v>
      </c>
      <c r="F201" s="27" t="s">
        <v>379</v>
      </c>
      <c r="G201" s="212">
        <v>305762430.10000002</v>
      </c>
      <c r="H201" s="212">
        <v>309407926.30000001</v>
      </c>
      <c r="I201" s="485">
        <v>22</v>
      </c>
      <c r="J201" s="485" t="s">
        <v>495</v>
      </c>
      <c r="K201" s="485" t="s">
        <v>2082</v>
      </c>
      <c r="L201" s="217" t="s">
        <v>2103</v>
      </c>
      <c r="M201" s="487" t="s">
        <v>21</v>
      </c>
      <c r="N201" s="487" t="s">
        <v>21</v>
      </c>
      <c r="O201" s="487" t="s">
        <v>21</v>
      </c>
      <c r="P201" s="487" t="s">
        <v>21</v>
      </c>
      <c r="Q201" s="487" t="s">
        <v>21</v>
      </c>
      <c r="R201" s="487"/>
      <c r="S201" s="487" t="s">
        <v>22</v>
      </c>
      <c r="T201" s="515"/>
    </row>
    <row r="202" spans="1:22" s="9" customFormat="1">
      <c r="A202" s="516" t="s">
        <v>496</v>
      </c>
      <c r="B202" s="485">
        <v>2011</v>
      </c>
      <c r="C202" s="487" t="s">
        <v>492</v>
      </c>
      <c r="D202" s="494" t="s">
        <v>81</v>
      </c>
      <c r="E202" s="495" t="s">
        <v>77</v>
      </c>
      <c r="F202" s="27" t="s">
        <v>379</v>
      </c>
      <c r="G202" s="212">
        <v>329804745</v>
      </c>
      <c r="H202" s="212">
        <v>337100430</v>
      </c>
      <c r="I202" s="485">
        <v>29</v>
      </c>
      <c r="J202" s="485" t="s">
        <v>497</v>
      </c>
      <c r="K202" s="485" t="s">
        <v>2082</v>
      </c>
      <c r="L202" s="217" t="s">
        <v>2103</v>
      </c>
      <c r="M202" s="487" t="s">
        <v>21</v>
      </c>
      <c r="N202" s="487" t="s">
        <v>21</v>
      </c>
      <c r="O202" s="487" t="s">
        <v>21</v>
      </c>
      <c r="P202" s="487" t="s">
        <v>21</v>
      </c>
      <c r="Q202" s="487" t="s">
        <v>21</v>
      </c>
      <c r="R202" s="487"/>
      <c r="S202" s="487" t="s">
        <v>22</v>
      </c>
      <c r="T202" s="515"/>
    </row>
    <row r="203" spans="1:22" s="9" customFormat="1">
      <c r="A203" s="516" t="s">
        <v>498</v>
      </c>
      <c r="B203" s="485">
        <v>2012</v>
      </c>
      <c r="C203" s="487" t="s">
        <v>492</v>
      </c>
      <c r="D203" s="494" t="s">
        <v>81</v>
      </c>
      <c r="E203" s="495" t="s">
        <v>42</v>
      </c>
      <c r="F203" s="27" t="s">
        <v>30</v>
      </c>
      <c r="G203" s="212">
        <v>468277747.69958961</v>
      </c>
      <c r="H203" s="212">
        <v>469605653.31086099</v>
      </c>
      <c r="I203" s="485">
        <v>44</v>
      </c>
      <c r="J203" s="485" t="s">
        <v>499</v>
      </c>
      <c r="K203" s="485" t="s">
        <v>2082</v>
      </c>
      <c r="L203" s="217" t="s">
        <v>564</v>
      </c>
      <c r="M203" s="487" t="s">
        <v>21</v>
      </c>
      <c r="N203" s="487"/>
      <c r="O203" s="487" t="s">
        <v>21</v>
      </c>
      <c r="P203" s="487"/>
      <c r="Q203" s="487" t="s">
        <v>21</v>
      </c>
      <c r="R203" s="487"/>
      <c r="S203" s="487" t="s">
        <v>22</v>
      </c>
      <c r="T203" s="515"/>
    </row>
    <row r="204" spans="1:22" s="9" customFormat="1">
      <c r="A204" s="516" t="s">
        <v>500</v>
      </c>
      <c r="B204" s="485">
        <v>2008</v>
      </c>
      <c r="C204" s="487" t="s">
        <v>501</v>
      </c>
      <c r="D204" s="494" t="s">
        <v>238</v>
      </c>
      <c r="E204" s="495" t="s">
        <v>361</v>
      </c>
      <c r="F204" s="27" t="s">
        <v>50</v>
      </c>
      <c r="G204" s="212">
        <v>2509572538</v>
      </c>
      <c r="H204" s="212">
        <v>2509572538</v>
      </c>
      <c r="I204" s="485">
        <v>18</v>
      </c>
      <c r="J204" s="485" t="s">
        <v>502</v>
      </c>
      <c r="K204" s="485" t="s">
        <v>2140</v>
      </c>
      <c r="L204" s="217" t="s">
        <v>662</v>
      </c>
      <c r="M204" s="487" t="s">
        <v>21</v>
      </c>
      <c r="N204" s="487"/>
      <c r="O204" s="487" t="s">
        <v>21</v>
      </c>
      <c r="P204" s="487"/>
      <c r="Q204" s="487" t="s">
        <v>21</v>
      </c>
      <c r="R204" s="487"/>
      <c r="S204" s="487" t="s">
        <v>22</v>
      </c>
      <c r="T204" s="515"/>
    </row>
    <row r="205" spans="1:22" s="9" customFormat="1">
      <c r="A205" s="516" t="s">
        <v>503</v>
      </c>
      <c r="B205" s="485">
        <v>2009</v>
      </c>
      <c r="C205" s="487" t="s">
        <v>501</v>
      </c>
      <c r="D205" s="494" t="s">
        <v>238</v>
      </c>
      <c r="E205" s="495" t="s">
        <v>504</v>
      </c>
      <c r="F205" s="27" t="s">
        <v>50</v>
      </c>
      <c r="G205" s="212">
        <v>1763889996</v>
      </c>
      <c r="H205" s="212">
        <v>1763889996</v>
      </c>
      <c r="I205" s="485">
        <v>18</v>
      </c>
      <c r="J205" s="485" t="s">
        <v>505</v>
      </c>
      <c r="K205" s="485" t="s">
        <v>2140</v>
      </c>
      <c r="L205" s="217" t="s">
        <v>662</v>
      </c>
      <c r="M205" s="487" t="s">
        <v>21</v>
      </c>
      <c r="N205" s="487"/>
      <c r="O205" s="487" t="s">
        <v>21</v>
      </c>
      <c r="P205" s="487"/>
      <c r="Q205" s="487" t="s">
        <v>21</v>
      </c>
      <c r="R205" s="487"/>
      <c r="S205" s="487" t="s">
        <v>22</v>
      </c>
      <c r="T205" s="515"/>
    </row>
    <row r="206" spans="1:22" s="9" customFormat="1">
      <c r="A206" s="516" t="s">
        <v>506</v>
      </c>
      <c r="B206" s="485">
        <v>2010</v>
      </c>
      <c r="C206" s="487" t="s">
        <v>501</v>
      </c>
      <c r="D206" s="494" t="s">
        <v>238</v>
      </c>
      <c r="E206" s="495" t="s">
        <v>371</v>
      </c>
      <c r="F206" s="27" t="s">
        <v>50</v>
      </c>
      <c r="G206" s="212">
        <v>2149721568</v>
      </c>
      <c r="H206" s="212">
        <v>2149721568</v>
      </c>
      <c r="I206" s="485">
        <v>19</v>
      </c>
      <c r="J206" s="485" t="s">
        <v>505</v>
      </c>
      <c r="K206" s="485" t="s">
        <v>2140</v>
      </c>
      <c r="L206" s="217" t="s">
        <v>564</v>
      </c>
      <c r="M206" s="487" t="s">
        <v>21</v>
      </c>
      <c r="N206" s="487"/>
      <c r="O206" s="487" t="s">
        <v>21</v>
      </c>
      <c r="P206" s="487"/>
      <c r="Q206" s="487" t="s">
        <v>21</v>
      </c>
      <c r="R206" s="487" t="s">
        <v>21</v>
      </c>
      <c r="S206" s="487" t="s">
        <v>22</v>
      </c>
      <c r="T206" s="515"/>
    </row>
    <row r="207" spans="1:22" s="9" customFormat="1">
      <c r="A207" s="516" t="s">
        <v>507</v>
      </c>
      <c r="B207" s="485">
        <v>2011</v>
      </c>
      <c r="C207" s="487" t="s">
        <v>501</v>
      </c>
      <c r="D207" s="494" t="s">
        <v>238</v>
      </c>
      <c r="E207" s="495" t="s">
        <v>39</v>
      </c>
      <c r="F207" s="27" t="s">
        <v>50</v>
      </c>
      <c r="G207" s="212">
        <v>3453285817</v>
      </c>
      <c r="H207" s="212">
        <v>3453285817</v>
      </c>
      <c r="I207" s="485">
        <v>20</v>
      </c>
      <c r="J207" s="485" t="s">
        <v>508</v>
      </c>
      <c r="K207" s="485" t="s">
        <v>2140</v>
      </c>
      <c r="L207" s="217" t="s">
        <v>564</v>
      </c>
      <c r="M207" s="487" t="s">
        <v>21</v>
      </c>
      <c r="N207" s="487"/>
      <c r="O207" s="487" t="s">
        <v>21</v>
      </c>
      <c r="P207" s="487"/>
      <c r="Q207" s="487" t="s">
        <v>21</v>
      </c>
      <c r="R207" s="487" t="s">
        <v>21</v>
      </c>
      <c r="S207" s="487" t="s">
        <v>22</v>
      </c>
      <c r="T207" s="515"/>
    </row>
    <row r="208" spans="1:22" s="9" customFormat="1">
      <c r="A208" s="516" t="s">
        <v>509</v>
      </c>
      <c r="B208" s="485">
        <v>2010</v>
      </c>
      <c r="C208" s="487" t="s">
        <v>510</v>
      </c>
      <c r="D208" s="494" t="s">
        <v>81</v>
      </c>
      <c r="E208" s="27" t="s">
        <v>511</v>
      </c>
      <c r="F208" s="27" t="s">
        <v>512</v>
      </c>
      <c r="G208" s="212">
        <v>60128720.446464643</v>
      </c>
      <c r="H208" s="212">
        <v>65899109.789898992</v>
      </c>
      <c r="I208" s="27">
        <v>22</v>
      </c>
      <c r="J208" s="41" t="s">
        <v>513</v>
      </c>
      <c r="K208" s="41" t="s">
        <v>2148</v>
      </c>
      <c r="L208" s="217" t="s">
        <v>564</v>
      </c>
      <c r="M208" s="487" t="s">
        <v>21</v>
      </c>
      <c r="N208" s="487"/>
      <c r="O208" s="487" t="s">
        <v>21</v>
      </c>
      <c r="P208" s="487"/>
      <c r="Q208" s="487"/>
      <c r="R208" s="487"/>
      <c r="S208" s="487"/>
      <c r="T208" s="515"/>
    </row>
    <row r="209" spans="1:22" s="9" customFormat="1">
      <c r="A209" s="516" t="s">
        <v>514</v>
      </c>
      <c r="B209" s="485">
        <v>2011</v>
      </c>
      <c r="C209" s="487" t="s">
        <v>510</v>
      </c>
      <c r="D209" s="494" t="s">
        <v>81</v>
      </c>
      <c r="E209" s="27" t="s">
        <v>206</v>
      </c>
      <c r="F209" s="27" t="s">
        <v>512</v>
      </c>
      <c r="G209" s="212">
        <v>31315792.572000001</v>
      </c>
      <c r="H209" s="212">
        <v>31297366.316</v>
      </c>
      <c r="I209" s="27">
        <v>25</v>
      </c>
      <c r="J209" s="41" t="s">
        <v>515</v>
      </c>
      <c r="K209" s="41" t="s">
        <v>2148</v>
      </c>
      <c r="L209" s="217" t="s">
        <v>564</v>
      </c>
      <c r="M209" s="487" t="s">
        <v>21</v>
      </c>
      <c r="N209" s="487"/>
      <c r="O209" s="487" t="s">
        <v>21</v>
      </c>
      <c r="P209" s="487"/>
      <c r="Q209" s="487"/>
      <c r="R209" s="487"/>
      <c r="S209" s="487"/>
      <c r="T209" s="515"/>
    </row>
    <row r="210" spans="1:22">
      <c r="A210" s="521" t="s">
        <v>516</v>
      </c>
      <c r="B210" s="200">
        <v>2012</v>
      </c>
      <c r="C210" s="200" t="s">
        <v>510</v>
      </c>
      <c r="D210" s="200" t="s">
        <v>81</v>
      </c>
      <c r="E210" s="54" t="s">
        <v>45</v>
      </c>
      <c r="F210" s="200" t="s">
        <v>19</v>
      </c>
      <c r="G210" s="250">
        <v>31681601.940000001</v>
      </c>
      <c r="H210" s="214">
        <v>35222626.909999996</v>
      </c>
      <c r="I210" s="27">
        <v>27</v>
      </c>
      <c r="J210" s="41" t="s">
        <v>517</v>
      </c>
      <c r="K210" s="41" t="s">
        <v>2148</v>
      </c>
      <c r="L210" s="217" t="s">
        <v>564</v>
      </c>
      <c r="M210" s="488" t="s">
        <v>21</v>
      </c>
      <c r="N210" s="488"/>
      <c r="O210" s="488" t="s">
        <v>21</v>
      </c>
      <c r="P210" s="488"/>
      <c r="Q210" s="488"/>
      <c r="R210" s="488"/>
      <c r="S210" s="488"/>
      <c r="T210" s="517" t="s">
        <v>3573</v>
      </c>
      <c r="U210" s="9"/>
      <c r="V210" s="9"/>
    </row>
    <row r="211" spans="1:22" s="9" customFormat="1">
      <c r="A211" s="516" t="s">
        <v>518</v>
      </c>
      <c r="B211" s="485">
        <v>2011</v>
      </c>
      <c r="C211" s="487" t="s">
        <v>519</v>
      </c>
      <c r="D211" s="494" t="s">
        <v>214</v>
      </c>
      <c r="E211" s="495" t="s">
        <v>319</v>
      </c>
      <c r="F211" s="27" t="s">
        <v>50</v>
      </c>
      <c r="G211" s="212">
        <v>3593984496</v>
      </c>
      <c r="H211" s="212">
        <v>3605333333</v>
      </c>
      <c r="I211" s="485">
        <v>46</v>
      </c>
      <c r="J211" s="485" t="s">
        <v>520</v>
      </c>
      <c r="K211" s="485" t="s">
        <v>2169</v>
      </c>
      <c r="L211" s="217" t="s">
        <v>2172</v>
      </c>
      <c r="M211" s="487" t="s">
        <v>21</v>
      </c>
      <c r="N211" s="487"/>
      <c r="O211" s="487" t="s">
        <v>21</v>
      </c>
      <c r="P211" s="487"/>
      <c r="Q211" s="487"/>
      <c r="R211" s="487" t="s">
        <v>21</v>
      </c>
      <c r="S211" s="487" t="s">
        <v>22</v>
      </c>
      <c r="T211" s="515"/>
    </row>
    <row r="212" spans="1:22" s="9" customFormat="1">
      <c r="A212" s="516" t="s">
        <v>521</v>
      </c>
      <c r="B212" s="485">
        <v>2005</v>
      </c>
      <c r="C212" s="487" t="s">
        <v>522</v>
      </c>
      <c r="D212" s="494" t="s">
        <v>246</v>
      </c>
      <c r="E212" s="495" t="s">
        <v>523</v>
      </c>
      <c r="F212" s="27" t="s">
        <v>50</v>
      </c>
      <c r="G212" s="212">
        <v>4668154975</v>
      </c>
      <c r="H212" s="212">
        <v>4668248606</v>
      </c>
      <c r="I212" s="485">
        <v>12</v>
      </c>
      <c r="J212" s="485" t="s">
        <v>524</v>
      </c>
      <c r="K212" s="485" t="s">
        <v>2176</v>
      </c>
      <c r="L212" s="217" t="s">
        <v>946</v>
      </c>
      <c r="M212" s="487"/>
      <c r="N212" s="487"/>
      <c r="O212" s="487" t="s">
        <v>21</v>
      </c>
      <c r="P212" s="487"/>
      <c r="Q212" s="487"/>
      <c r="R212" s="487"/>
      <c r="S212" s="487" t="s">
        <v>22</v>
      </c>
      <c r="T212" s="515"/>
    </row>
    <row r="213" spans="1:22" s="9" customFormat="1">
      <c r="A213" s="516" t="s">
        <v>525</v>
      </c>
      <c r="B213" s="485">
        <v>2006</v>
      </c>
      <c r="C213" s="487" t="s">
        <v>522</v>
      </c>
      <c r="D213" s="494" t="s">
        <v>246</v>
      </c>
      <c r="E213" s="495" t="s">
        <v>523</v>
      </c>
      <c r="F213" s="27" t="s">
        <v>50</v>
      </c>
      <c r="G213" s="212">
        <v>5122351269</v>
      </c>
      <c r="H213" s="212">
        <v>5121921597</v>
      </c>
      <c r="I213" s="485">
        <v>12</v>
      </c>
      <c r="J213" s="485" t="s">
        <v>524</v>
      </c>
      <c r="K213" s="485" t="s">
        <v>2176</v>
      </c>
      <c r="L213" s="217" t="s">
        <v>946</v>
      </c>
      <c r="M213" s="487"/>
      <c r="N213" s="487"/>
      <c r="O213" s="487" t="s">
        <v>21</v>
      </c>
      <c r="P213" s="487"/>
      <c r="Q213" s="487"/>
      <c r="R213" s="487"/>
      <c r="S213" s="487" t="s">
        <v>22</v>
      </c>
      <c r="T213" s="515"/>
    </row>
    <row r="214" spans="1:22" s="9" customFormat="1">
      <c r="A214" s="516" t="s">
        <v>526</v>
      </c>
      <c r="B214" s="485">
        <v>2007</v>
      </c>
      <c r="C214" s="487" t="s">
        <v>522</v>
      </c>
      <c r="D214" s="494" t="s">
        <v>246</v>
      </c>
      <c r="E214" s="495" t="s">
        <v>523</v>
      </c>
      <c r="F214" s="27" t="s">
        <v>50</v>
      </c>
      <c r="G214" s="212">
        <v>5331162225</v>
      </c>
      <c r="H214" s="212">
        <v>5331078375</v>
      </c>
      <c r="I214" s="485">
        <v>12</v>
      </c>
      <c r="J214" s="485" t="s">
        <v>524</v>
      </c>
      <c r="K214" s="485" t="s">
        <v>2176</v>
      </c>
      <c r="L214" s="217" t="s">
        <v>946</v>
      </c>
      <c r="M214" s="487"/>
      <c r="N214" s="487"/>
      <c r="O214" s="487" t="s">
        <v>21</v>
      </c>
      <c r="P214" s="487"/>
      <c r="Q214" s="487"/>
      <c r="R214" s="487"/>
      <c r="S214" s="487" t="s">
        <v>22</v>
      </c>
      <c r="T214" s="515"/>
    </row>
    <row r="215" spans="1:22" s="9" customFormat="1">
      <c r="A215" s="516" t="s">
        <v>527</v>
      </c>
      <c r="B215" s="485">
        <v>2008</v>
      </c>
      <c r="C215" s="487" t="s">
        <v>522</v>
      </c>
      <c r="D215" s="494" t="s">
        <v>246</v>
      </c>
      <c r="E215" s="495" t="s">
        <v>77</v>
      </c>
      <c r="F215" s="27" t="s">
        <v>50</v>
      </c>
      <c r="G215" s="212">
        <v>7591231594</v>
      </c>
      <c r="H215" s="212">
        <v>214794365</v>
      </c>
      <c r="I215" s="485">
        <v>12</v>
      </c>
      <c r="J215" s="41" t="s">
        <v>528</v>
      </c>
      <c r="K215" s="41" t="s">
        <v>2176</v>
      </c>
      <c r="L215" s="217" t="s">
        <v>946</v>
      </c>
      <c r="M215" s="487"/>
      <c r="N215" s="487"/>
      <c r="O215" s="487" t="s">
        <v>21</v>
      </c>
      <c r="P215" s="487"/>
      <c r="Q215" s="487"/>
      <c r="R215" s="487"/>
      <c r="S215" s="487" t="s">
        <v>22</v>
      </c>
      <c r="T215" s="515" t="s">
        <v>3572</v>
      </c>
    </row>
    <row r="216" spans="1:22" s="9" customFormat="1">
      <c r="A216" s="516" t="s">
        <v>529</v>
      </c>
      <c r="B216" s="485">
        <v>2009</v>
      </c>
      <c r="C216" s="487" t="s">
        <v>522</v>
      </c>
      <c r="D216" s="494" t="s">
        <v>246</v>
      </c>
      <c r="E216" s="495" t="s">
        <v>77</v>
      </c>
      <c r="F216" s="27" t="s">
        <v>50</v>
      </c>
      <c r="G216" s="212">
        <v>3625997931</v>
      </c>
      <c r="H216" s="212">
        <v>114590378</v>
      </c>
      <c r="I216" s="485">
        <v>12</v>
      </c>
      <c r="J216" s="41" t="s">
        <v>528</v>
      </c>
      <c r="K216" s="41" t="s">
        <v>2176</v>
      </c>
      <c r="L216" s="217" t="s">
        <v>946</v>
      </c>
      <c r="M216" s="487"/>
      <c r="N216" s="487"/>
      <c r="O216" s="487" t="s">
        <v>21</v>
      </c>
      <c r="P216" s="487"/>
      <c r="Q216" s="487"/>
      <c r="R216" s="487"/>
      <c r="S216" s="487" t="s">
        <v>22</v>
      </c>
      <c r="T216" s="515" t="s">
        <v>3572</v>
      </c>
    </row>
    <row r="217" spans="1:22" s="9" customFormat="1">
      <c r="A217" s="516" t="s">
        <v>530</v>
      </c>
      <c r="B217" s="485">
        <v>2010</v>
      </c>
      <c r="C217" s="487" t="s">
        <v>522</v>
      </c>
      <c r="D217" s="494" t="s">
        <v>246</v>
      </c>
      <c r="E217" s="495" t="s">
        <v>77</v>
      </c>
      <c r="F217" s="27" t="s">
        <v>50</v>
      </c>
      <c r="G217" s="212">
        <v>5081696110</v>
      </c>
      <c r="H217" s="212">
        <v>245902656</v>
      </c>
      <c r="I217" s="485">
        <v>13</v>
      </c>
      <c r="J217" s="41" t="s">
        <v>528</v>
      </c>
      <c r="K217" s="41" t="s">
        <v>2176</v>
      </c>
      <c r="L217" s="217" t="s">
        <v>946</v>
      </c>
      <c r="M217" s="487"/>
      <c r="N217" s="487" t="s">
        <v>21</v>
      </c>
      <c r="O217" s="487" t="s">
        <v>21</v>
      </c>
      <c r="P217" s="487" t="s">
        <v>21</v>
      </c>
      <c r="Q217" s="487"/>
      <c r="R217" s="487"/>
      <c r="S217" s="487" t="s">
        <v>22</v>
      </c>
      <c r="T217" s="515"/>
    </row>
    <row r="218" spans="1:22" s="9" customFormat="1">
      <c r="A218" s="516" t="s">
        <v>531</v>
      </c>
      <c r="B218" s="485">
        <v>2011</v>
      </c>
      <c r="C218" s="487" t="s">
        <v>522</v>
      </c>
      <c r="D218" s="494" t="s">
        <v>246</v>
      </c>
      <c r="E218" s="495" t="s">
        <v>291</v>
      </c>
      <c r="F218" s="27" t="s">
        <v>50</v>
      </c>
      <c r="G218" s="212">
        <v>5539756725</v>
      </c>
      <c r="H218" s="212">
        <v>372118093</v>
      </c>
      <c r="I218" s="485">
        <v>40</v>
      </c>
      <c r="J218" s="485" t="s">
        <v>532</v>
      </c>
      <c r="K218" s="485" t="s">
        <v>2176</v>
      </c>
      <c r="L218" s="217" t="s">
        <v>946</v>
      </c>
      <c r="M218" s="487"/>
      <c r="N218" s="487" t="s">
        <v>21</v>
      </c>
      <c r="O218" s="487" t="s">
        <v>21</v>
      </c>
      <c r="P218" s="487" t="s">
        <v>21</v>
      </c>
      <c r="Q218" s="487"/>
      <c r="R218" s="487"/>
      <c r="S218" s="487" t="s">
        <v>22</v>
      </c>
      <c r="T218" s="515" t="s">
        <v>3606</v>
      </c>
    </row>
    <row r="219" spans="1:22" s="19" customFormat="1">
      <c r="A219" s="523" t="s">
        <v>533</v>
      </c>
      <c r="B219" s="504">
        <v>2008</v>
      </c>
      <c r="C219" s="504" t="s">
        <v>534</v>
      </c>
      <c r="D219" s="505" t="s">
        <v>81</v>
      </c>
      <c r="E219" s="506" t="s">
        <v>302</v>
      </c>
      <c r="F219" s="68" t="s">
        <v>19</v>
      </c>
      <c r="G219" s="507">
        <v>470370875</v>
      </c>
      <c r="H219" s="507">
        <v>473725116</v>
      </c>
      <c r="I219" s="504">
        <v>14</v>
      </c>
      <c r="J219" s="504" t="s">
        <v>535</v>
      </c>
      <c r="K219" s="504" t="s">
        <v>2204</v>
      </c>
      <c r="L219" s="217" t="s">
        <v>2207</v>
      </c>
      <c r="M219" s="504" t="s">
        <v>21</v>
      </c>
      <c r="N219" s="504"/>
      <c r="O219" s="504" t="s">
        <v>21</v>
      </c>
      <c r="P219" s="504"/>
      <c r="Q219" s="504" t="s">
        <v>21</v>
      </c>
      <c r="R219" s="504"/>
      <c r="S219" s="504" t="s">
        <v>22</v>
      </c>
      <c r="T219" s="517" t="s">
        <v>3573</v>
      </c>
      <c r="U219" s="9"/>
    </row>
    <row r="220" spans="1:22" s="19" customFormat="1">
      <c r="A220" s="523" t="s">
        <v>536</v>
      </c>
      <c r="B220" s="504">
        <v>2009</v>
      </c>
      <c r="C220" s="504" t="s">
        <v>534</v>
      </c>
      <c r="D220" s="505" t="s">
        <v>81</v>
      </c>
      <c r="E220" s="506" t="s">
        <v>511</v>
      </c>
      <c r="F220" s="68" t="s">
        <v>19</v>
      </c>
      <c r="G220" s="507">
        <v>533783358</v>
      </c>
      <c r="H220" s="212">
        <v>574901639</v>
      </c>
      <c r="I220" s="504">
        <v>28</v>
      </c>
      <c r="J220" s="504" t="s">
        <v>537</v>
      </c>
      <c r="K220" s="504" t="s">
        <v>2204</v>
      </c>
      <c r="L220" s="217" t="s">
        <v>564</v>
      </c>
      <c r="M220" s="504" t="s">
        <v>21</v>
      </c>
      <c r="N220" s="504"/>
      <c r="O220" s="504" t="s">
        <v>21</v>
      </c>
      <c r="P220" s="504"/>
      <c r="Q220" s="504" t="s">
        <v>21</v>
      </c>
      <c r="R220" s="504"/>
      <c r="S220" s="504" t="s">
        <v>22</v>
      </c>
      <c r="T220" s="524" t="s">
        <v>3608</v>
      </c>
      <c r="U220" s="9"/>
    </row>
    <row r="221" spans="1:22" s="19" customFormat="1">
      <c r="A221" s="523" t="s">
        <v>538</v>
      </c>
      <c r="B221" s="504">
        <v>2010</v>
      </c>
      <c r="C221" s="504" t="s">
        <v>534</v>
      </c>
      <c r="D221" s="505" t="s">
        <v>81</v>
      </c>
      <c r="E221" s="506" t="s">
        <v>206</v>
      </c>
      <c r="F221" s="68" t="s">
        <v>19</v>
      </c>
      <c r="G221" s="507">
        <v>757063737</v>
      </c>
      <c r="H221" s="507">
        <v>758825945</v>
      </c>
      <c r="I221" s="504">
        <v>20</v>
      </c>
      <c r="J221" s="504" t="s">
        <v>539</v>
      </c>
      <c r="K221" s="504" t="s">
        <v>2204</v>
      </c>
      <c r="L221" s="217" t="s">
        <v>2241</v>
      </c>
      <c r="M221" s="504" t="s">
        <v>21</v>
      </c>
      <c r="N221" s="504"/>
      <c r="O221" s="504" t="s">
        <v>21</v>
      </c>
      <c r="P221" s="504"/>
      <c r="Q221" s="504" t="s">
        <v>21</v>
      </c>
      <c r="R221" s="504"/>
      <c r="S221" s="504" t="s">
        <v>22</v>
      </c>
      <c r="T221" s="524" t="s">
        <v>3596</v>
      </c>
      <c r="U221" s="9"/>
    </row>
    <row r="222" spans="1:22" s="19" customFormat="1" ht="30">
      <c r="A222" s="523" t="s">
        <v>540</v>
      </c>
      <c r="B222" s="504">
        <v>2011</v>
      </c>
      <c r="C222" s="504" t="s">
        <v>534</v>
      </c>
      <c r="D222" s="505" t="s">
        <v>81</v>
      </c>
      <c r="E222" s="506" t="s">
        <v>453</v>
      </c>
      <c r="F222" s="27" t="s">
        <v>19</v>
      </c>
      <c r="G222" s="507">
        <v>1588841770</v>
      </c>
      <c r="H222" s="507">
        <v>1600810082</v>
      </c>
      <c r="I222" s="504">
        <v>25</v>
      </c>
      <c r="J222" s="504" t="s">
        <v>541</v>
      </c>
      <c r="K222" s="504" t="s">
        <v>2204</v>
      </c>
      <c r="L222" s="217" t="s">
        <v>564</v>
      </c>
      <c r="M222" s="504" t="s">
        <v>21</v>
      </c>
      <c r="N222" s="504"/>
      <c r="O222" s="504" t="s">
        <v>21</v>
      </c>
      <c r="P222" s="504"/>
      <c r="Q222" s="504" t="s">
        <v>21</v>
      </c>
      <c r="R222" s="504"/>
      <c r="S222" s="504" t="s">
        <v>22</v>
      </c>
      <c r="T222" s="524" t="s">
        <v>3607</v>
      </c>
      <c r="U222" s="9"/>
    </row>
    <row r="223" spans="1:22" ht="30">
      <c r="A223" s="521" t="s">
        <v>542</v>
      </c>
      <c r="B223" s="200">
        <v>2012</v>
      </c>
      <c r="C223" s="200" t="s">
        <v>534</v>
      </c>
      <c r="D223" s="200" t="s">
        <v>81</v>
      </c>
      <c r="E223" s="54" t="s">
        <v>543</v>
      </c>
      <c r="F223" s="200" t="s">
        <v>36</v>
      </c>
      <c r="G223" s="243">
        <v>1537626771.04</v>
      </c>
      <c r="H223" s="254">
        <v>1519219439.75</v>
      </c>
      <c r="I223" s="27">
        <v>29</v>
      </c>
      <c r="J223" s="508" t="s">
        <v>544</v>
      </c>
      <c r="K223" s="508" t="s">
        <v>2204</v>
      </c>
      <c r="L223" s="217" t="s">
        <v>564</v>
      </c>
      <c r="M223" s="488" t="s">
        <v>21</v>
      </c>
      <c r="N223" s="488"/>
      <c r="O223" s="488" t="s">
        <v>21</v>
      </c>
      <c r="P223" s="488"/>
      <c r="Q223" s="488"/>
      <c r="R223" s="488"/>
      <c r="S223" s="488"/>
      <c r="T223" s="524" t="s">
        <v>3607</v>
      </c>
      <c r="U223" s="9"/>
      <c r="V223" s="9"/>
    </row>
    <row r="224" spans="1:22" ht="30.75" thickBot="1">
      <c r="A224" s="525" t="s">
        <v>545</v>
      </c>
      <c r="B224" s="526">
        <v>2013</v>
      </c>
      <c r="C224" s="526" t="s">
        <v>534</v>
      </c>
      <c r="D224" s="526" t="s">
        <v>81</v>
      </c>
      <c r="E224" s="527" t="s">
        <v>45</v>
      </c>
      <c r="F224" s="526" t="s">
        <v>36</v>
      </c>
      <c r="G224" s="528">
        <v>1498550077.77</v>
      </c>
      <c r="H224" s="529">
        <v>1428239205.4400001</v>
      </c>
      <c r="I224" s="37">
        <v>29</v>
      </c>
      <c r="J224" s="58" t="s">
        <v>546</v>
      </c>
      <c r="K224" s="58" t="s">
        <v>2204</v>
      </c>
      <c r="L224" s="530" t="s">
        <v>564</v>
      </c>
      <c r="M224" s="531" t="s">
        <v>21</v>
      </c>
      <c r="N224" s="531"/>
      <c r="O224" s="531" t="s">
        <v>21</v>
      </c>
      <c r="P224" s="531"/>
      <c r="Q224" s="531"/>
      <c r="R224" s="531"/>
      <c r="S224" s="531"/>
      <c r="T224" s="532" t="s">
        <v>3607</v>
      </c>
      <c r="U224" s="9"/>
      <c r="V224" s="9"/>
    </row>
    <row r="225" spans="1:22">
      <c r="T225" s="209"/>
      <c r="U225" s="9"/>
      <c r="V225" s="9"/>
    </row>
    <row r="226" spans="1:22">
      <c r="G226" s="216"/>
      <c r="H226" s="216"/>
      <c r="T226" s="209"/>
      <c r="U226" s="9"/>
      <c r="V226" s="9"/>
    </row>
    <row r="227" spans="1:22">
      <c r="A227" s="9" t="s">
        <v>547</v>
      </c>
      <c r="G227" s="211"/>
      <c r="H227" s="211"/>
      <c r="T227" s="209"/>
      <c r="U227" s="9"/>
      <c r="V227" s="9"/>
    </row>
    <row r="228" spans="1:22">
      <c r="A228" s="202" t="s">
        <v>548</v>
      </c>
      <c r="I228" s="8"/>
      <c r="J228" s="203"/>
      <c r="K228" s="203"/>
      <c r="L228" s="203"/>
      <c r="M228" s="9"/>
      <c r="N228" s="9"/>
      <c r="O228" s="9"/>
      <c r="P228" s="9"/>
      <c r="Q228" s="9"/>
      <c r="R228" s="9"/>
      <c r="S228" s="9"/>
      <c r="T228" s="209"/>
      <c r="U228" s="9"/>
      <c r="V228" s="9"/>
    </row>
    <row r="229" spans="1:22">
      <c r="A229" s="9" t="s">
        <v>549</v>
      </c>
      <c r="J229" s="203"/>
      <c r="K229" s="203"/>
      <c r="L229" s="203"/>
      <c r="M229" s="9"/>
      <c r="N229" s="9"/>
      <c r="O229" s="9"/>
      <c r="P229" s="9"/>
      <c r="Q229" s="9"/>
      <c r="R229" s="9"/>
      <c r="S229" s="9"/>
      <c r="T229" s="209"/>
      <c r="U229" s="9"/>
      <c r="V229" s="9"/>
    </row>
    <row r="230" spans="1:22">
      <c r="A230" s="10" t="s">
        <v>550</v>
      </c>
      <c r="H230" s="211"/>
      <c r="J230" s="203"/>
      <c r="K230" s="203"/>
      <c r="L230" s="203"/>
      <c r="M230" s="9"/>
      <c r="N230" s="9"/>
      <c r="O230" s="9"/>
      <c r="P230" s="9"/>
      <c r="Q230" s="9"/>
      <c r="R230" s="9"/>
      <c r="S230" s="9"/>
      <c r="T230" s="209"/>
      <c r="U230" s="9"/>
      <c r="V230" s="9"/>
    </row>
  </sheetData>
  <conditionalFormatting sqref="V2:V3 V55:V57">
    <cfRule type="cellIs" dxfId="48" priority="35" stopIfTrue="1" operator="equal">
      <formula>1</formula>
    </cfRule>
  </conditionalFormatting>
  <conditionalFormatting sqref="V4 V6">
    <cfRule type="cellIs" dxfId="47" priority="34" stopIfTrue="1" operator="equal">
      <formula>1</formula>
    </cfRule>
  </conditionalFormatting>
  <conditionalFormatting sqref="V7">
    <cfRule type="cellIs" dxfId="46" priority="33" stopIfTrue="1" operator="equal">
      <formula>1</formula>
    </cfRule>
  </conditionalFormatting>
  <conditionalFormatting sqref="V8">
    <cfRule type="cellIs" dxfId="45" priority="32" stopIfTrue="1" operator="equal">
      <formula>1</formula>
    </cfRule>
  </conditionalFormatting>
  <conditionalFormatting sqref="V9">
    <cfRule type="cellIs" dxfId="44" priority="31" stopIfTrue="1" operator="equal">
      <formula>1</formula>
    </cfRule>
  </conditionalFormatting>
  <conditionalFormatting sqref="V10">
    <cfRule type="cellIs" dxfId="43" priority="30" stopIfTrue="1" operator="equal">
      <formula>1</formula>
    </cfRule>
  </conditionalFormatting>
  <conditionalFormatting sqref="V11">
    <cfRule type="cellIs" dxfId="42" priority="29" stopIfTrue="1" operator="equal">
      <formula>1</formula>
    </cfRule>
  </conditionalFormatting>
  <conditionalFormatting sqref="V12">
    <cfRule type="cellIs" dxfId="41" priority="28" stopIfTrue="1" operator="equal">
      <formula>1</formula>
    </cfRule>
  </conditionalFormatting>
  <conditionalFormatting sqref="V13">
    <cfRule type="cellIs" dxfId="40" priority="27" stopIfTrue="1" operator="equal">
      <formula>1</formula>
    </cfRule>
  </conditionalFormatting>
  <conditionalFormatting sqref="V14">
    <cfRule type="cellIs" dxfId="39" priority="26" stopIfTrue="1" operator="equal">
      <formula>1</formula>
    </cfRule>
  </conditionalFormatting>
  <conditionalFormatting sqref="V15">
    <cfRule type="cellIs" dxfId="38" priority="25" stopIfTrue="1" operator="equal">
      <formula>1</formula>
    </cfRule>
  </conditionalFormatting>
  <conditionalFormatting sqref="V16">
    <cfRule type="cellIs" dxfId="37" priority="24" stopIfTrue="1" operator="equal">
      <formula>1</formula>
    </cfRule>
  </conditionalFormatting>
  <conditionalFormatting sqref="V17">
    <cfRule type="cellIs" dxfId="36" priority="23" stopIfTrue="1" operator="equal">
      <formula>1</formula>
    </cfRule>
  </conditionalFormatting>
  <conditionalFormatting sqref="V18:V19">
    <cfRule type="cellIs" dxfId="35" priority="22" stopIfTrue="1" operator="equal">
      <formula>1</formula>
    </cfRule>
  </conditionalFormatting>
  <conditionalFormatting sqref="V20:V23">
    <cfRule type="cellIs" dxfId="34" priority="21" stopIfTrue="1" operator="equal">
      <formula>1</formula>
    </cfRule>
  </conditionalFormatting>
  <conditionalFormatting sqref="V24">
    <cfRule type="cellIs" dxfId="33" priority="20" stopIfTrue="1" operator="equal">
      <formula>1</formula>
    </cfRule>
  </conditionalFormatting>
  <conditionalFormatting sqref="V25">
    <cfRule type="cellIs" dxfId="32" priority="19" stopIfTrue="1" operator="equal">
      <formula>1</formula>
    </cfRule>
  </conditionalFormatting>
  <conditionalFormatting sqref="V26">
    <cfRule type="cellIs" dxfId="31" priority="18" stopIfTrue="1" operator="equal">
      <formula>1</formula>
    </cfRule>
  </conditionalFormatting>
  <conditionalFormatting sqref="V27">
    <cfRule type="cellIs" dxfId="30" priority="17" stopIfTrue="1" operator="equal">
      <formula>1</formula>
    </cfRule>
  </conditionalFormatting>
  <conditionalFormatting sqref="V28">
    <cfRule type="cellIs" dxfId="29" priority="16" stopIfTrue="1" operator="equal">
      <formula>1</formula>
    </cfRule>
  </conditionalFormatting>
  <conditionalFormatting sqref="V29">
    <cfRule type="cellIs" dxfId="28" priority="15" stopIfTrue="1" operator="equal">
      <formula>1</formula>
    </cfRule>
  </conditionalFormatting>
  <conditionalFormatting sqref="V30:V33">
    <cfRule type="cellIs" dxfId="27" priority="14" stopIfTrue="1" operator="equal">
      <formula>1</formula>
    </cfRule>
  </conditionalFormatting>
  <conditionalFormatting sqref="V34:V36">
    <cfRule type="cellIs" dxfId="26" priority="13" stopIfTrue="1" operator="equal">
      <formula>1</formula>
    </cfRule>
  </conditionalFormatting>
  <conditionalFormatting sqref="V37:V38">
    <cfRule type="cellIs" dxfId="25" priority="12" stopIfTrue="1" operator="equal">
      <formula>1</formula>
    </cfRule>
  </conditionalFormatting>
  <conditionalFormatting sqref="V39">
    <cfRule type="cellIs" dxfId="24" priority="11" stopIfTrue="1" operator="equal">
      <formula>1</formula>
    </cfRule>
  </conditionalFormatting>
  <conditionalFormatting sqref="V40:V42">
    <cfRule type="cellIs" dxfId="23" priority="10" stopIfTrue="1" operator="equal">
      <formula>1</formula>
    </cfRule>
  </conditionalFormatting>
  <conditionalFormatting sqref="V43:V45">
    <cfRule type="cellIs" dxfId="22" priority="9" stopIfTrue="1" operator="equal">
      <formula>1</formula>
    </cfRule>
  </conditionalFormatting>
  <conditionalFormatting sqref="V46">
    <cfRule type="cellIs" dxfId="21" priority="8" stopIfTrue="1" operator="equal">
      <formula>1</formula>
    </cfRule>
  </conditionalFormatting>
  <conditionalFormatting sqref="V47:V49">
    <cfRule type="cellIs" dxfId="20" priority="7" stopIfTrue="1" operator="equal">
      <formula>1</formula>
    </cfRule>
  </conditionalFormatting>
  <conditionalFormatting sqref="V50">
    <cfRule type="cellIs" dxfId="19" priority="6" stopIfTrue="1" operator="equal">
      <formula>1</formula>
    </cfRule>
  </conditionalFormatting>
  <conditionalFormatting sqref="V51">
    <cfRule type="cellIs" dxfId="18" priority="5" stopIfTrue="1" operator="equal">
      <formula>1</formula>
    </cfRule>
  </conditionalFormatting>
  <conditionalFormatting sqref="V52:V54">
    <cfRule type="cellIs" dxfId="17" priority="4" stopIfTrue="1" operator="equal">
      <formula>1</formula>
    </cfRule>
  </conditionalFormatting>
  <conditionalFormatting sqref="V58">
    <cfRule type="cellIs" dxfId="16" priority="3" stopIfTrue="1" operator="equal">
      <formula>1</formula>
    </cfRule>
  </conditionalFormatting>
  <conditionalFormatting sqref="V59:V60">
    <cfRule type="cellIs" dxfId="15" priority="2" stopIfTrue="1" operator="equal">
      <formula>1</formula>
    </cfRule>
  </conditionalFormatting>
  <conditionalFormatting sqref="V5">
    <cfRule type="cellIs" dxfId="14" priority="1" stopIfTrue="1" operator="equal">
      <formula>1</formula>
    </cfRule>
  </conditionalFormatting>
  <hyperlinks>
    <hyperlink ref="A228" r:id="rId1"/>
    <hyperlink ref="A230" r:id="rId2"/>
    <hyperlink ref="J66" r:id="rId3"/>
    <hyperlink ref="J4" r:id="rId4"/>
    <hyperlink ref="J10" r:id="rId5"/>
    <hyperlink ref="J171" r:id="rId6"/>
    <hyperlink ref="J88" r:id="rId7" display="http://eiti.org/files/EITI-2010-2011-oil-final.pdf; "/>
    <hyperlink ref="J86" r:id="rId8"/>
    <hyperlink ref="J87" r:id="rId9" display="http://eiti.org/files/EITI-2010-2011-oil-final.pdf; "/>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2132"/>
  <sheetViews>
    <sheetView tabSelected="1" zoomScale="70" zoomScaleNormal="70" zoomScalePageLayoutView="80" workbookViewId="0">
      <pane xSplit="1" ySplit="1" topLeftCell="AF161" activePane="bottomRight" state="frozen"/>
      <selection pane="topRight" activeCell="B1" sqref="B1"/>
      <selection pane="bottomLeft" activeCell="A2" sqref="A2"/>
      <selection pane="bottomRight" activeCell="AC184" sqref="AC184:AZ199"/>
    </sheetView>
  </sheetViews>
  <sheetFormatPr defaultColWidth="8.85546875" defaultRowHeight="15" customHeight="1"/>
  <cols>
    <col min="1" max="1" width="21.42578125" style="36" customWidth="1"/>
    <col min="2" max="2" width="13.42578125" style="11" customWidth="1"/>
    <col min="3" max="5" width="20.7109375" style="11" customWidth="1"/>
    <col min="6" max="6" width="37.7109375" style="11" customWidth="1"/>
    <col min="7" max="7" width="20.28515625" style="94" customWidth="1"/>
    <col min="8" max="8" width="21.140625" style="94" customWidth="1"/>
    <col min="9" max="9" width="13.7109375" style="94" customWidth="1"/>
    <col min="10" max="10" width="13.140625" style="94" customWidth="1"/>
    <col min="11" max="11" width="10.42578125" style="11" customWidth="1"/>
    <col min="12" max="12" width="13" style="46" customWidth="1"/>
    <col min="13" max="13" width="12" style="11" customWidth="1"/>
    <col min="14" max="14" width="20.7109375" style="11" customWidth="1"/>
    <col min="15" max="15" width="21.7109375" style="13" customWidth="1"/>
    <col min="16" max="17" width="20.7109375" style="11" customWidth="1"/>
    <col min="18" max="18" width="21.7109375" style="11" customWidth="1"/>
    <col min="19" max="19" width="20.7109375" style="11" customWidth="1"/>
    <col min="20" max="20" width="20.7109375" style="13" customWidth="1"/>
    <col min="21" max="22" width="20.7109375" style="11" customWidth="1"/>
    <col min="23" max="23" width="20.7109375" style="47" customWidth="1"/>
    <col min="24" max="27" width="20.7109375" style="11" customWidth="1"/>
    <col min="28" max="28" width="31.28515625" style="36" customWidth="1"/>
    <col min="29" max="29" width="19.7109375" style="32" customWidth="1"/>
    <col min="30" max="30" width="14.28515625" style="36" customWidth="1"/>
    <col min="31" max="31" width="15.28515625" style="32" customWidth="1"/>
    <col min="32" max="32" width="24.28515625" style="36" customWidth="1"/>
    <col min="33" max="35" width="15.28515625" style="32" customWidth="1"/>
    <col min="36" max="36" width="15.28515625" style="608" customWidth="1"/>
    <col min="37" max="37" width="15.28515625" style="32" customWidth="1"/>
    <col min="38" max="38" width="16.7109375" style="32" customWidth="1"/>
    <col min="39" max="40" width="15.28515625" style="32" customWidth="1"/>
    <col min="41" max="41" width="15.28515625" style="36" customWidth="1"/>
    <col min="42" max="45" width="15.28515625" style="32" customWidth="1"/>
    <col min="46" max="46" width="16.42578125" style="32" customWidth="1"/>
    <col min="47" max="52" width="15.28515625" style="32" customWidth="1"/>
    <col min="53" max="16384" width="8.85546875" style="32"/>
  </cols>
  <sheetData>
    <row r="1" spans="1:53" s="25" customFormat="1" ht="107.25" customHeight="1" thickBot="1">
      <c r="A1" s="279" t="s">
        <v>0</v>
      </c>
      <c r="B1" s="280" t="s">
        <v>2275</v>
      </c>
      <c r="C1" s="280" t="s">
        <v>2</v>
      </c>
      <c r="D1" s="280" t="s">
        <v>3</v>
      </c>
      <c r="E1" s="280" t="s">
        <v>5</v>
      </c>
      <c r="F1" s="280" t="s">
        <v>553</v>
      </c>
      <c r="G1" s="281" t="s">
        <v>3758</v>
      </c>
      <c r="H1" s="281" t="s">
        <v>3759</v>
      </c>
      <c r="I1" s="281" t="s">
        <v>3760</v>
      </c>
      <c r="J1" s="281" t="s">
        <v>3761</v>
      </c>
      <c r="K1" s="280" t="s">
        <v>3762</v>
      </c>
      <c r="L1" s="282" t="s">
        <v>554</v>
      </c>
      <c r="M1" s="280" t="s">
        <v>3763</v>
      </c>
      <c r="N1" s="280" t="s">
        <v>3764</v>
      </c>
      <c r="O1" s="281" t="s">
        <v>3796</v>
      </c>
      <c r="P1" s="280" t="s">
        <v>3703</v>
      </c>
      <c r="Q1" s="280" t="s">
        <v>3765</v>
      </c>
      <c r="R1" s="280" t="s">
        <v>3766</v>
      </c>
      <c r="S1" s="280" t="s">
        <v>3767</v>
      </c>
      <c r="T1" s="281" t="s">
        <v>3768</v>
      </c>
      <c r="U1" s="280" t="s">
        <v>3769</v>
      </c>
      <c r="V1" s="280" t="s">
        <v>3563</v>
      </c>
      <c r="W1" s="283" t="s">
        <v>3770</v>
      </c>
      <c r="X1" s="280" t="s">
        <v>3771</v>
      </c>
      <c r="Y1" s="280" t="s">
        <v>3772</v>
      </c>
      <c r="Z1" s="280" t="s">
        <v>3773</v>
      </c>
      <c r="AA1" s="280" t="s">
        <v>3562</v>
      </c>
      <c r="AB1" s="431" t="s">
        <v>557</v>
      </c>
      <c r="AC1" s="432" t="s">
        <v>3747</v>
      </c>
      <c r="AD1" s="288" t="s">
        <v>3688</v>
      </c>
      <c r="AE1" s="265" t="s">
        <v>3721</v>
      </c>
      <c r="AF1" s="266" t="s">
        <v>3748</v>
      </c>
      <c r="AG1" s="268" t="s">
        <v>3749</v>
      </c>
      <c r="AH1" s="289" t="s">
        <v>3722</v>
      </c>
      <c r="AI1" s="265" t="s">
        <v>3630</v>
      </c>
      <c r="AJ1" s="606" t="s">
        <v>3723</v>
      </c>
      <c r="AK1" s="265" t="s">
        <v>3734</v>
      </c>
      <c r="AL1" s="265" t="s">
        <v>3750</v>
      </c>
      <c r="AM1" s="265" t="s">
        <v>3724</v>
      </c>
      <c r="AN1" s="265" t="s">
        <v>3725</v>
      </c>
      <c r="AO1" s="265" t="s">
        <v>3726</v>
      </c>
      <c r="AP1" s="265" t="s">
        <v>3727</v>
      </c>
      <c r="AQ1" s="265" t="s">
        <v>3689</v>
      </c>
      <c r="AR1" s="265" t="s">
        <v>3690</v>
      </c>
      <c r="AS1" s="265" t="s">
        <v>3691</v>
      </c>
      <c r="AT1" s="267" t="s">
        <v>3637</v>
      </c>
      <c r="AU1" s="265" t="s">
        <v>3641</v>
      </c>
      <c r="AV1" s="265" t="s">
        <v>3692</v>
      </c>
      <c r="AW1" s="265" t="s">
        <v>3649</v>
      </c>
      <c r="AX1" s="265" t="s">
        <v>3651</v>
      </c>
      <c r="AY1" s="265" t="s">
        <v>3653</v>
      </c>
      <c r="AZ1" s="290" t="s">
        <v>3655</v>
      </c>
      <c r="BA1" s="278"/>
    </row>
    <row r="2" spans="1:53" ht="15" customHeight="1">
      <c r="A2" s="26" t="s">
        <v>15</v>
      </c>
      <c r="B2" s="53">
        <v>2008</v>
      </c>
      <c r="C2" s="27" t="s">
        <v>16</v>
      </c>
      <c r="D2" s="53" t="s">
        <v>17</v>
      </c>
      <c r="E2" s="27" t="s">
        <v>19</v>
      </c>
      <c r="F2" s="27" t="s">
        <v>559</v>
      </c>
      <c r="G2" s="43"/>
      <c r="H2" s="43"/>
      <c r="I2" s="43"/>
      <c r="J2" s="43"/>
      <c r="K2" s="27"/>
      <c r="L2" s="28"/>
      <c r="M2" s="27"/>
      <c r="N2" s="27"/>
      <c r="O2" s="18">
        <f>SUM(O3:O9)</f>
        <v>86293961.474685758</v>
      </c>
      <c r="P2" s="213">
        <v>89690970</v>
      </c>
      <c r="Q2" s="213">
        <v>89986645</v>
      </c>
      <c r="R2" s="27" t="s">
        <v>619</v>
      </c>
      <c r="S2" s="27"/>
      <c r="T2" s="18"/>
      <c r="U2" s="29" t="s">
        <v>560</v>
      </c>
      <c r="V2" s="27" t="s">
        <v>562</v>
      </c>
      <c r="W2" s="30">
        <v>50.39</v>
      </c>
      <c r="X2" s="27">
        <v>5</v>
      </c>
      <c r="Y2" s="27" t="s">
        <v>563</v>
      </c>
      <c r="Z2" s="27">
        <v>4</v>
      </c>
      <c r="AA2" s="27">
        <v>10</v>
      </c>
      <c r="AB2" s="27" t="s">
        <v>565</v>
      </c>
      <c r="AC2" s="272">
        <v>89690970</v>
      </c>
      <c r="AD2" s="40">
        <v>10190534636.64436</v>
      </c>
      <c r="AE2" s="225">
        <v>8.8013998478037002E-3</v>
      </c>
      <c r="AF2" s="40">
        <v>1001321933.3966748</v>
      </c>
      <c r="AG2" s="227">
        <v>8.9572561040135362E-2</v>
      </c>
      <c r="AH2" s="227" t="s">
        <v>2842</v>
      </c>
      <c r="AI2" s="40">
        <v>4875070000</v>
      </c>
      <c r="AJ2" s="227">
        <v>1.8397883517570005E-2</v>
      </c>
      <c r="AK2" s="40">
        <v>189434919.26129681</v>
      </c>
      <c r="AL2" s="227">
        <v>0.47346587603674523</v>
      </c>
      <c r="AM2" s="40" t="s">
        <v>2842</v>
      </c>
      <c r="AN2" s="269" t="s">
        <v>2842</v>
      </c>
      <c r="AO2" s="40">
        <v>27032197</v>
      </c>
      <c r="AP2" s="40">
        <v>36.299999999999997</v>
      </c>
      <c r="AQ2" s="40">
        <v>58.607097560975618</v>
      </c>
      <c r="AR2" s="40">
        <v>78.5</v>
      </c>
      <c r="AS2" s="51" t="s">
        <v>2842</v>
      </c>
      <c r="AT2" s="291">
        <v>12</v>
      </c>
      <c r="AU2" s="463">
        <v>33.105508049377967</v>
      </c>
      <c r="AV2" s="51">
        <v>-1.23609569456687</v>
      </c>
      <c r="AW2" s="51">
        <v>-2.6893530851444698</v>
      </c>
      <c r="AX2" s="51">
        <v>-1.4784978583419</v>
      </c>
      <c r="AY2" s="51">
        <v>-1.6010792505378999</v>
      </c>
      <c r="AZ2" s="292">
        <v>-1.63716881377191</v>
      </c>
    </row>
    <row r="3" spans="1:53" ht="15" customHeight="1">
      <c r="A3" s="26" t="s">
        <v>15</v>
      </c>
      <c r="B3" s="53">
        <v>2008</v>
      </c>
      <c r="C3" s="27" t="s">
        <v>16</v>
      </c>
      <c r="D3" s="53" t="s">
        <v>17</v>
      </c>
      <c r="E3" s="27" t="s">
        <v>19</v>
      </c>
      <c r="F3" s="27" t="s">
        <v>566</v>
      </c>
      <c r="G3" s="43">
        <f>((37300/365)*286)+((31500/365)*79)</f>
        <v>36044.657534246573</v>
      </c>
      <c r="H3" s="43"/>
      <c r="I3" s="43"/>
      <c r="J3" s="43"/>
      <c r="K3" s="27" t="s">
        <v>567</v>
      </c>
      <c r="L3" s="28">
        <f>((103/365)*286)+((100/365)*79)</f>
        <v>102.35068493150685</v>
      </c>
      <c r="M3" s="27" t="s">
        <v>568</v>
      </c>
      <c r="N3" s="27" t="s">
        <v>569</v>
      </c>
      <c r="O3" s="18">
        <f t="shared" ref="O3:O9" si="0">G3*L3</f>
        <v>3689195.3867517356</v>
      </c>
      <c r="P3" s="213"/>
      <c r="Q3" s="213"/>
      <c r="R3" s="27"/>
      <c r="S3" s="27"/>
      <c r="T3" s="18"/>
      <c r="U3" s="27"/>
      <c r="V3" s="27"/>
      <c r="W3" s="30"/>
      <c r="X3" s="27">
        <v>1</v>
      </c>
      <c r="Y3" s="27" t="s">
        <v>570</v>
      </c>
      <c r="Z3" s="27">
        <v>1</v>
      </c>
      <c r="AA3" s="27"/>
      <c r="AB3" s="27"/>
      <c r="AC3" s="273">
        <v>89690970</v>
      </c>
      <c r="AD3" s="27">
        <v>10190534636.64436</v>
      </c>
      <c r="AE3" s="228">
        <v>8.8013998478037002E-3</v>
      </c>
      <c r="AF3" s="27">
        <v>1001321933.3966748</v>
      </c>
      <c r="AG3" s="226">
        <v>8.9572561040135362E-2</v>
      </c>
      <c r="AH3" s="226" t="s">
        <v>2842</v>
      </c>
      <c r="AI3" s="27">
        <v>4875070000</v>
      </c>
      <c r="AJ3" s="226">
        <v>1.8397883517570005E-2</v>
      </c>
      <c r="AK3" s="27">
        <v>189434919.26129681</v>
      </c>
      <c r="AL3" s="226">
        <v>0.47346587603674523</v>
      </c>
      <c r="AM3" s="27" t="s">
        <v>2842</v>
      </c>
      <c r="AN3" s="271" t="s">
        <v>2842</v>
      </c>
      <c r="AO3" s="27">
        <v>27032197</v>
      </c>
      <c r="AP3" s="27">
        <v>36.299999999999997</v>
      </c>
      <c r="AQ3" s="27">
        <v>58.607097560975618</v>
      </c>
      <c r="AR3" s="27">
        <v>78.5</v>
      </c>
      <c r="AS3" s="29" t="s">
        <v>2842</v>
      </c>
      <c r="AT3" s="270">
        <v>12</v>
      </c>
      <c r="AU3" s="464">
        <v>33.105508049377967</v>
      </c>
      <c r="AV3" s="29">
        <v>-1.23609569456687</v>
      </c>
      <c r="AW3" s="29">
        <v>-2.6893530851444698</v>
      </c>
      <c r="AX3" s="29">
        <v>-1.4784978583419</v>
      </c>
      <c r="AY3" s="29">
        <v>-1.6010792505378999</v>
      </c>
      <c r="AZ3" s="60">
        <v>-1.63716881377191</v>
      </c>
    </row>
    <row r="4" spans="1:53" ht="15" customHeight="1">
      <c r="A4" s="26" t="s">
        <v>15</v>
      </c>
      <c r="B4" s="53">
        <v>2008</v>
      </c>
      <c r="C4" s="27" t="s">
        <v>16</v>
      </c>
      <c r="D4" s="53" t="s">
        <v>17</v>
      </c>
      <c r="E4" s="27" t="s">
        <v>19</v>
      </c>
      <c r="F4" s="27" t="s">
        <v>571</v>
      </c>
      <c r="G4" s="43">
        <f>((6500/365)*286)+((6700/365)*79)</f>
        <v>6543.2876712328762</v>
      </c>
      <c r="H4" s="43"/>
      <c r="I4" s="43"/>
      <c r="J4" s="43"/>
      <c r="K4" s="27" t="s">
        <v>567</v>
      </c>
      <c r="L4" s="28">
        <f>((156/365)*286)+((227/365)*79)</f>
        <v>171.36712328767123</v>
      </c>
      <c r="M4" s="27" t="s">
        <v>568</v>
      </c>
      <c r="N4" s="27" t="s">
        <v>572</v>
      </c>
      <c r="O4" s="18">
        <f t="shared" si="0"/>
        <v>1121304.3850628636</v>
      </c>
      <c r="P4" s="213"/>
      <c r="Q4" s="213"/>
      <c r="R4" s="27"/>
      <c r="S4" s="27"/>
      <c r="T4" s="18"/>
      <c r="U4" s="27"/>
      <c r="V4" s="27"/>
      <c r="W4" s="30"/>
      <c r="X4" s="27"/>
      <c r="Y4" s="27"/>
      <c r="Z4" s="27"/>
      <c r="AA4" s="27"/>
      <c r="AB4" s="27"/>
      <c r="AC4" s="273">
        <v>89690970</v>
      </c>
      <c r="AD4" s="27">
        <v>10190534636.64436</v>
      </c>
      <c r="AE4" s="228">
        <v>8.8013998478037002E-3</v>
      </c>
      <c r="AF4" s="27">
        <v>1001321933.3966748</v>
      </c>
      <c r="AG4" s="226">
        <v>8.9572561040135362E-2</v>
      </c>
      <c r="AH4" s="226" t="s">
        <v>2842</v>
      </c>
      <c r="AI4" s="27">
        <v>4875070000</v>
      </c>
      <c r="AJ4" s="226">
        <v>1.8397883517570005E-2</v>
      </c>
      <c r="AK4" s="27">
        <v>189434919.26129681</v>
      </c>
      <c r="AL4" s="226">
        <v>0.47346587603674523</v>
      </c>
      <c r="AM4" s="27" t="s">
        <v>2842</v>
      </c>
      <c r="AN4" s="271" t="s">
        <v>2842</v>
      </c>
      <c r="AO4" s="27">
        <v>27032197</v>
      </c>
      <c r="AP4" s="27">
        <v>36.299999999999997</v>
      </c>
      <c r="AQ4" s="27">
        <v>58.607097560975618</v>
      </c>
      <c r="AR4" s="27">
        <v>78.5</v>
      </c>
      <c r="AS4" s="29" t="s">
        <v>2842</v>
      </c>
      <c r="AT4" s="270">
        <v>12</v>
      </c>
      <c r="AU4" s="464">
        <v>33.105508049377967</v>
      </c>
      <c r="AV4" s="29">
        <v>-1.23609569456687</v>
      </c>
      <c r="AW4" s="29">
        <v>-2.6893530851444698</v>
      </c>
      <c r="AX4" s="29">
        <v>-1.4784978583419</v>
      </c>
      <c r="AY4" s="29">
        <v>-1.6010792505378999</v>
      </c>
      <c r="AZ4" s="60">
        <v>-1.63716881377191</v>
      </c>
    </row>
    <row r="5" spans="1:53" ht="15" customHeight="1">
      <c r="A5" s="26" t="s">
        <v>15</v>
      </c>
      <c r="B5" s="53">
        <v>2008</v>
      </c>
      <c r="C5" s="27" t="s">
        <v>16</v>
      </c>
      <c r="D5" s="53" t="s">
        <v>17</v>
      </c>
      <c r="E5" s="27" t="s">
        <v>19</v>
      </c>
      <c r="F5" s="27" t="s">
        <v>573</v>
      </c>
      <c r="G5" s="43">
        <f>((383000/365)*286)+((551000/365)*79)*0.90718474</f>
        <v>408292.72478756169</v>
      </c>
      <c r="H5" s="43"/>
      <c r="I5" s="43"/>
      <c r="J5" s="43"/>
      <c r="K5" s="27" t="s">
        <v>567</v>
      </c>
      <c r="L5" s="28">
        <f>((138.17/365)*286)+((72.52/365)*79)</f>
        <v>123.9608219178082</v>
      </c>
      <c r="M5" s="27" t="s">
        <v>568</v>
      </c>
      <c r="N5" s="27" t="s">
        <v>574</v>
      </c>
      <c r="O5" s="18">
        <f t="shared" si="0"/>
        <v>50612301.74772761</v>
      </c>
      <c r="P5" s="213"/>
      <c r="Q5" s="213"/>
      <c r="R5" s="27"/>
      <c r="S5" s="27"/>
      <c r="T5" s="18"/>
      <c r="U5" s="27"/>
      <c r="V5" s="27"/>
      <c r="W5" s="30"/>
      <c r="X5" s="27">
        <v>3</v>
      </c>
      <c r="Y5" s="27" t="s">
        <v>575</v>
      </c>
      <c r="Z5" s="27">
        <v>3</v>
      </c>
      <c r="AA5" s="27"/>
      <c r="AB5" s="27"/>
      <c r="AC5" s="273">
        <v>89690970</v>
      </c>
      <c r="AD5" s="27">
        <v>10190534636.64436</v>
      </c>
      <c r="AE5" s="228">
        <v>8.8013998478037002E-3</v>
      </c>
      <c r="AF5" s="27">
        <v>1001321933.3966748</v>
      </c>
      <c r="AG5" s="226">
        <v>8.9572561040135362E-2</v>
      </c>
      <c r="AH5" s="226" t="s">
        <v>2842</v>
      </c>
      <c r="AI5" s="27">
        <v>4875070000</v>
      </c>
      <c r="AJ5" s="226">
        <v>1.8397883517570005E-2</v>
      </c>
      <c r="AK5" s="27">
        <v>189434919.26129681</v>
      </c>
      <c r="AL5" s="226">
        <v>0.47346587603674523</v>
      </c>
      <c r="AM5" s="27" t="s">
        <v>2842</v>
      </c>
      <c r="AN5" s="271" t="s">
        <v>2842</v>
      </c>
      <c r="AO5" s="27">
        <v>27032197</v>
      </c>
      <c r="AP5" s="27">
        <v>36.299999999999997</v>
      </c>
      <c r="AQ5" s="27">
        <v>58.607097560975618</v>
      </c>
      <c r="AR5" s="27">
        <v>78.5</v>
      </c>
      <c r="AS5" s="29" t="s">
        <v>2842</v>
      </c>
      <c r="AT5" s="270">
        <v>12</v>
      </c>
      <c r="AU5" s="464">
        <v>33.105508049377967</v>
      </c>
      <c r="AV5" s="29">
        <v>-1.23609569456687</v>
      </c>
      <c r="AW5" s="29">
        <v>-2.6893530851444698</v>
      </c>
      <c r="AX5" s="29">
        <v>-1.4784978583419</v>
      </c>
      <c r="AY5" s="29">
        <v>-1.6010792505378999</v>
      </c>
      <c r="AZ5" s="60">
        <v>-1.63716881377191</v>
      </c>
    </row>
    <row r="6" spans="1:53" ht="15" customHeight="1">
      <c r="A6" s="26" t="s">
        <v>15</v>
      </c>
      <c r="B6" s="53">
        <v>2008</v>
      </c>
      <c r="C6" s="27" t="s">
        <v>16</v>
      </c>
      <c r="D6" s="53" t="s">
        <v>17</v>
      </c>
      <c r="E6" s="27" t="s">
        <v>19</v>
      </c>
      <c r="F6" s="27" t="s">
        <v>576</v>
      </c>
      <c r="G6" s="43">
        <v>0</v>
      </c>
      <c r="H6" s="43"/>
      <c r="I6" s="43"/>
      <c r="J6" s="43"/>
      <c r="K6" s="27" t="s">
        <v>567</v>
      </c>
      <c r="L6" s="28"/>
      <c r="M6" s="27"/>
      <c r="N6" s="27" t="s">
        <v>577</v>
      </c>
      <c r="O6" s="18">
        <f t="shared" si="0"/>
        <v>0</v>
      </c>
      <c r="P6" s="213">
        <f>4039997750/50.39</f>
        <v>80174593.173248664</v>
      </c>
      <c r="Q6" s="213">
        <f>4040883880/50.39</f>
        <v>80192178.606866434</v>
      </c>
      <c r="R6" s="27"/>
      <c r="S6" s="27"/>
      <c r="T6" s="18"/>
      <c r="U6" s="27"/>
      <c r="V6" s="27"/>
      <c r="W6" s="30"/>
      <c r="X6" s="27">
        <v>1</v>
      </c>
      <c r="Y6" s="27" t="s">
        <v>578</v>
      </c>
      <c r="Z6" s="27">
        <v>1</v>
      </c>
      <c r="AA6" s="27">
        <v>28</v>
      </c>
      <c r="AB6" s="27"/>
      <c r="AC6" s="273">
        <v>89690970</v>
      </c>
      <c r="AD6" s="27">
        <v>10190534636.64436</v>
      </c>
      <c r="AE6" s="228">
        <v>8.8013998478037002E-3</v>
      </c>
      <c r="AF6" s="27">
        <v>1001321933.3966748</v>
      </c>
      <c r="AG6" s="226">
        <v>8.9572561040135362E-2</v>
      </c>
      <c r="AH6" s="226" t="s">
        <v>2842</v>
      </c>
      <c r="AI6" s="27">
        <v>4875070000</v>
      </c>
      <c r="AJ6" s="226">
        <v>1.8397883517570005E-2</v>
      </c>
      <c r="AK6" s="27">
        <v>189434919.26129681</v>
      </c>
      <c r="AL6" s="226">
        <v>0.47346587603674523</v>
      </c>
      <c r="AM6" s="27" t="s">
        <v>2842</v>
      </c>
      <c r="AN6" s="271" t="s">
        <v>2842</v>
      </c>
      <c r="AO6" s="27">
        <v>27032197</v>
      </c>
      <c r="AP6" s="27">
        <v>36.299999999999997</v>
      </c>
      <c r="AQ6" s="27">
        <v>58.607097560975618</v>
      </c>
      <c r="AR6" s="27">
        <v>78.5</v>
      </c>
      <c r="AS6" s="29" t="s">
        <v>2842</v>
      </c>
      <c r="AT6" s="270">
        <v>12</v>
      </c>
      <c r="AU6" s="464">
        <v>33.105508049377967</v>
      </c>
      <c r="AV6" s="29">
        <v>-1.23609569456687</v>
      </c>
      <c r="AW6" s="29">
        <v>-2.6893530851444698</v>
      </c>
      <c r="AX6" s="29">
        <v>-1.4784978583419</v>
      </c>
      <c r="AY6" s="29">
        <v>-1.6010792505378999</v>
      </c>
      <c r="AZ6" s="60">
        <v>-1.63716881377191</v>
      </c>
    </row>
    <row r="7" spans="1:53" ht="15" customHeight="1">
      <c r="A7" s="26" t="s">
        <v>15</v>
      </c>
      <c r="B7" s="53">
        <v>2008</v>
      </c>
      <c r="C7" s="27" t="s">
        <v>16</v>
      </c>
      <c r="D7" s="53" t="s">
        <v>17</v>
      </c>
      <c r="E7" s="27" t="s">
        <v>19</v>
      </c>
      <c r="F7" s="27" t="s">
        <v>579</v>
      </c>
      <c r="G7" s="43">
        <f>((48700/365)*286)+((46400/365)*79)</f>
        <v>48202.191780821915</v>
      </c>
      <c r="H7" s="43"/>
      <c r="I7" s="43"/>
      <c r="J7" s="43"/>
      <c r="K7" s="27" t="s">
        <v>567</v>
      </c>
      <c r="L7" s="28">
        <f>((25.65/365)*286)+((21.75/365)*79)</f>
        <v>24.805890410958902</v>
      </c>
      <c r="M7" s="27" t="s">
        <v>568</v>
      </c>
      <c r="N7" s="27" t="s">
        <v>580</v>
      </c>
      <c r="O7" s="18">
        <f t="shared" si="0"/>
        <v>1195698.2868830923</v>
      </c>
      <c r="P7" s="213"/>
      <c r="Q7" s="213"/>
      <c r="R7" s="27"/>
      <c r="S7" s="27"/>
      <c r="T7" s="18"/>
      <c r="U7" s="27"/>
      <c r="V7" s="27"/>
      <c r="W7" s="30"/>
      <c r="X7" s="27"/>
      <c r="Y7" s="27"/>
      <c r="Z7" s="27"/>
      <c r="AA7" s="27"/>
      <c r="AB7" s="27"/>
      <c r="AC7" s="273">
        <v>89690970</v>
      </c>
      <c r="AD7" s="27">
        <v>10190534636.64436</v>
      </c>
      <c r="AE7" s="228">
        <v>8.8013998478037002E-3</v>
      </c>
      <c r="AF7" s="27">
        <v>1001321933.3966748</v>
      </c>
      <c r="AG7" s="226">
        <v>8.9572561040135362E-2</v>
      </c>
      <c r="AH7" s="226" t="s">
        <v>2842</v>
      </c>
      <c r="AI7" s="27">
        <v>4875070000</v>
      </c>
      <c r="AJ7" s="226">
        <v>1.8397883517570005E-2</v>
      </c>
      <c r="AK7" s="27">
        <v>189434919.26129681</v>
      </c>
      <c r="AL7" s="226">
        <v>0.47346587603674523</v>
      </c>
      <c r="AM7" s="27" t="s">
        <v>2842</v>
      </c>
      <c r="AN7" s="271" t="s">
        <v>2842</v>
      </c>
      <c r="AO7" s="27">
        <v>27032197</v>
      </c>
      <c r="AP7" s="27">
        <v>36.299999999999997</v>
      </c>
      <c r="AQ7" s="27">
        <v>58.607097560975618</v>
      </c>
      <c r="AR7" s="27">
        <v>78.5</v>
      </c>
      <c r="AS7" s="29" t="s">
        <v>2842</v>
      </c>
      <c r="AT7" s="270">
        <v>12</v>
      </c>
      <c r="AU7" s="464">
        <v>33.105508049377967</v>
      </c>
      <c r="AV7" s="29">
        <v>-1.23609569456687</v>
      </c>
      <c r="AW7" s="29">
        <v>-2.6893530851444698</v>
      </c>
      <c r="AX7" s="29">
        <v>-1.4784978583419</v>
      </c>
      <c r="AY7" s="29">
        <v>-1.6010792505378999</v>
      </c>
      <c r="AZ7" s="60">
        <v>-1.63716881377191</v>
      </c>
    </row>
    <row r="8" spans="1:53" ht="15" customHeight="1">
      <c r="A8" s="26" t="s">
        <v>15</v>
      </c>
      <c r="B8" s="53">
        <v>2008</v>
      </c>
      <c r="C8" s="27" t="s">
        <v>16</v>
      </c>
      <c r="D8" s="53" t="s">
        <v>17</v>
      </c>
      <c r="E8" s="27" t="s">
        <v>19</v>
      </c>
      <c r="F8" s="27" t="s">
        <v>581</v>
      </c>
      <c r="G8" s="595">
        <f>((158200/365)*286)+((180300/365)*79)</f>
        <v>162983.28767123289</v>
      </c>
      <c r="H8" s="595">
        <f>75000*0.90718474</f>
        <v>68038.855500000005</v>
      </c>
      <c r="I8" s="43"/>
      <c r="J8" s="43"/>
      <c r="K8" s="27" t="s">
        <v>567</v>
      </c>
      <c r="L8" s="28">
        <f>((31.39/365)*286)+((36.08/365)*79)</f>
        <v>32.405095890410962</v>
      </c>
      <c r="M8" s="27" t="s">
        <v>568</v>
      </c>
      <c r="N8" s="27" t="s">
        <v>582</v>
      </c>
      <c r="O8" s="18">
        <f t="shared" si="0"/>
        <v>5281489.0655207364</v>
      </c>
      <c r="P8" s="213"/>
      <c r="Q8" s="213"/>
      <c r="R8" s="27"/>
      <c r="S8" s="27"/>
      <c r="T8" s="18"/>
      <c r="U8" s="27"/>
      <c r="V8" s="27"/>
      <c r="W8" s="30"/>
      <c r="X8" s="27">
        <v>1</v>
      </c>
      <c r="Y8" s="27" t="s">
        <v>583</v>
      </c>
      <c r="Z8" s="27"/>
      <c r="AA8" s="27">
        <v>7</v>
      </c>
      <c r="AB8" s="27" t="s">
        <v>3786</v>
      </c>
      <c r="AC8" s="273">
        <v>89690970</v>
      </c>
      <c r="AD8" s="27">
        <v>10190534636.64436</v>
      </c>
      <c r="AE8" s="228">
        <v>8.8013998478037002E-3</v>
      </c>
      <c r="AF8" s="27">
        <v>1001321933.3966748</v>
      </c>
      <c r="AG8" s="226">
        <v>8.9572561040135362E-2</v>
      </c>
      <c r="AH8" s="226" t="s">
        <v>2842</v>
      </c>
      <c r="AI8" s="27">
        <v>4875070000</v>
      </c>
      <c r="AJ8" s="226">
        <v>1.8397883517570005E-2</v>
      </c>
      <c r="AK8" s="27">
        <v>189434919.26129681</v>
      </c>
      <c r="AL8" s="226">
        <v>0.47346587603674523</v>
      </c>
      <c r="AM8" s="27" t="s">
        <v>2842</v>
      </c>
      <c r="AN8" s="271" t="s">
        <v>2842</v>
      </c>
      <c r="AO8" s="27">
        <v>27032197</v>
      </c>
      <c r="AP8" s="27">
        <v>36.299999999999997</v>
      </c>
      <c r="AQ8" s="27">
        <v>58.607097560975618</v>
      </c>
      <c r="AR8" s="27">
        <v>78.5</v>
      </c>
      <c r="AS8" s="29" t="s">
        <v>2842</v>
      </c>
      <c r="AT8" s="270">
        <v>12</v>
      </c>
      <c r="AU8" s="464">
        <v>33.105508049377967</v>
      </c>
      <c r="AV8" s="29">
        <v>-1.23609569456687</v>
      </c>
      <c r="AW8" s="29">
        <v>-2.6893530851444698</v>
      </c>
      <c r="AX8" s="29">
        <v>-1.4784978583419</v>
      </c>
      <c r="AY8" s="29">
        <v>-1.6010792505378999</v>
      </c>
      <c r="AZ8" s="60">
        <v>-1.63716881377191</v>
      </c>
    </row>
    <row r="9" spans="1:53" s="287" customFormat="1" ht="15" customHeight="1">
      <c r="A9" s="301" t="s">
        <v>15</v>
      </c>
      <c r="B9" s="302">
        <v>2008</v>
      </c>
      <c r="C9" s="284" t="s">
        <v>16</v>
      </c>
      <c r="D9" s="302" t="s">
        <v>17</v>
      </c>
      <c r="E9" s="284" t="s">
        <v>19</v>
      </c>
      <c r="F9" s="284" t="s">
        <v>584</v>
      </c>
      <c r="G9" s="303">
        <v>200000</v>
      </c>
      <c r="H9" s="303"/>
      <c r="I9" s="303"/>
      <c r="J9" s="303"/>
      <c r="K9" s="284" t="s">
        <v>567</v>
      </c>
      <c r="L9" s="304">
        <f>((125/365)*286)+((111/365)*79)</f>
        <v>121.96986301369864</v>
      </c>
      <c r="M9" s="284" t="s">
        <v>568</v>
      </c>
      <c r="N9" s="284" t="s">
        <v>585</v>
      </c>
      <c r="O9" s="305">
        <f t="shared" si="0"/>
        <v>24393972.602739729</v>
      </c>
      <c r="P9" s="306"/>
      <c r="Q9" s="306"/>
      <c r="R9" s="284"/>
      <c r="S9" s="284"/>
      <c r="T9" s="305"/>
      <c r="U9" s="284"/>
      <c r="V9" s="284"/>
      <c r="W9" s="307"/>
      <c r="X9" s="284"/>
      <c r="Y9" s="284"/>
      <c r="Z9" s="284"/>
      <c r="AA9" s="284"/>
      <c r="AB9" s="284"/>
      <c r="AC9" s="308">
        <v>89690970</v>
      </c>
      <c r="AD9" s="284">
        <v>10190534636.64436</v>
      </c>
      <c r="AE9" s="309">
        <v>8.8013998478037002E-3</v>
      </c>
      <c r="AF9" s="284">
        <v>1001321933.3966748</v>
      </c>
      <c r="AG9" s="310">
        <v>8.9572561040135362E-2</v>
      </c>
      <c r="AH9" s="310" t="s">
        <v>2842</v>
      </c>
      <c r="AI9" s="284">
        <v>4875070000</v>
      </c>
      <c r="AJ9" s="310">
        <v>1.8397883517570005E-2</v>
      </c>
      <c r="AK9" s="284">
        <v>189434919.26129681</v>
      </c>
      <c r="AL9" s="310">
        <v>0.47346587603674523</v>
      </c>
      <c r="AM9" s="284" t="s">
        <v>2842</v>
      </c>
      <c r="AN9" s="311" t="s">
        <v>2842</v>
      </c>
      <c r="AO9" s="284">
        <v>27032197</v>
      </c>
      <c r="AP9" s="284">
        <v>36.299999999999997</v>
      </c>
      <c r="AQ9" s="284">
        <v>58.607097560975618</v>
      </c>
      <c r="AR9" s="284">
        <v>78.5</v>
      </c>
      <c r="AS9" s="287" t="s">
        <v>2842</v>
      </c>
      <c r="AT9" s="312">
        <v>12</v>
      </c>
      <c r="AU9" s="465">
        <v>33.105508049377967</v>
      </c>
      <c r="AV9" s="287">
        <v>-1.23609569456687</v>
      </c>
      <c r="AW9" s="287">
        <v>-2.6893530851444698</v>
      </c>
      <c r="AX9" s="287">
        <v>-1.4784978583419</v>
      </c>
      <c r="AY9" s="287">
        <v>-1.6010792505378999</v>
      </c>
      <c r="AZ9" s="313">
        <v>-1.63716881377191</v>
      </c>
    </row>
    <row r="10" spans="1:53" s="29" customFormat="1" ht="15" customHeight="1">
      <c r="A10" s="294" t="s">
        <v>24</v>
      </c>
      <c r="B10" s="53">
        <v>2009</v>
      </c>
      <c r="C10" s="27" t="s">
        <v>16</v>
      </c>
      <c r="D10" s="53" t="s">
        <v>17</v>
      </c>
      <c r="E10" s="27" t="s">
        <v>19</v>
      </c>
      <c r="F10" s="27" t="s">
        <v>559</v>
      </c>
      <c r="G10" s="43"/>
      <c r="H10" s="43"/>
      <c r="I10" s="43"/>
      <c r="J10" s="43"/>
      <c r="K10" s="27"/>
      <c r="L10" s="28"/>
      <c r="M10" s="27"/>
      <c r="N10" s="27"/>
      <c r="O10" s="18">
        <f>SUM(O11:O17)</f>
        <v>80652289.499833688</v>
      </c>
      <c r="P10" s="213">
        <v>7788994</v>
      </c>
      <c r="Q10" s="213">
        <v>13964717</v>
      </c>
      <c r="R10" s="27" t="s">
        <v>619</v>
      </c>
      <c r="S10" s="27"/>
      <c r="T10" s="18"/>
      <c r="U10" s="29" t="s">
        <v>560</v>
      </c>
      <c r="V10" s="27" t="s">
        <v>562</v>
      </c>
      <c r="W10" s="30">
        <v>45.7</v>
      </c>
      <c r="X10" s="27">
        <v>6</v>
      </c>
      <c r="Y10" s="27" t="s">
        <v>586</v>
      </c>
      <c r="Z10" s="27">
        <v>5</v>
      </c>
      <c r="AA10" s="27">
        <v>14</v>
      </c>
      <c r="AB10" s="27" t="s">
        <v>587</v>
      </c>
      <c r="AC10" s="273">
        <v>7788994</v>
      </c>
      <c r="AD10" s="27">
        <v>12486950468.17728</v>
      </c>
      <c r="AE10" s="228">
        <v>6.2377071326182325E-4</v>
      </c>
      <c r="AF10" s="27">
        <v>1582845841.3461523</v>
      </c>
      <c r="AG10" s="226">
        <v>4.9208797196420252E-3</v>
      </c>
      <c r="AH10" s="226" t="s">
        <v>2842</v>
      </c>
      <c r="AI10" s="27">
        <v>6235260000</v>
      </c>
      <c r="AJ10" s="226">
        <v>1.2491851181827222E-3</v>
      </c>
      <c r="AK10" s="27">
        <v>229795065.06459686</v>
      </c>
      <c r="AL10" s="226">
        <v>3.3895392826693051E-2</v>
      </c>
      <c r="AM10" s="27" t="s">
        <v>2842</v>
      </c>
      <c r="AN10" s="271" t="s">
        <v>2842</v>
      </c>
      <c r="AO10" s="27">
        <v>27708187</v>
      </c>
      <c r="AP10" s="27" t="s">
        <v>2842</v>
      </c>
      <c r="AQ10" s="27">
        <v>59.112341463414637</v>
      </c>
      <c r="AR10" s="27">
        <v>76.900000000000006</v>
      </c>
      <c r="AS10" s="29" t="s">
        <v>2842</v>
      </c>
      <c r="AT10" s="270">
        <v>12</v>
      </c>
      <c r="AU10" s="464">
        <v>33.105508049377967</v>
      </c>
      <c r="AV10" s="29">
        <v>-1.4604511925908701</v>
      </c>
      <c r="AW10" s="29">
        <v>-2.7044499801217099</v>
      </c>
      <c r="AX10" s="29">
        <v>-1.49946594356579</v>
      </c>
      <c r="AY10" s="29">
        <v>-1.67010510633739</v>
      </c>
      <c r="AZ10" s="60">
        <v>-1.51327923804473</v>
      </c>
    </row>
    <row r="11" spans="1:53" s="29" customFormat="1" ht="15" customHeight="1">
      <c r="A11" s="35" t="s">
        <v>24</v>
      </c>
      <c r="B11" s="53">
        <v>2009</v>
      </c>
      <c r="C11" s="27" t="s">
        <v>16</v>
      </c>
      <c r="D11" s="53" t="s">
        <v>17</v>
      </c>
      <c r="E11" s="27" t="s">
        <v>19</v>
      </c>
      <c r="F11" s="27" t="s">
        <v>566</v>
      </c>
      <c r="G11" s="43">
        <f>((31500/365)*286)+((35600/365)*79)</f>
        <v>32387.397260273974</v>
      </c>
      <c r="H11" s="43"/>
      <c r="I11" s="43"/>
      <c r="J11" s="43"/>
      <c r="K11" s="27" t="s">
        <v>567</v>
      </c>
      <c r="L11" s="28">
        <f>((99/365)*286)+((92/365)*79)</f>
        <v>97.484931506849307</v>
      </c>
      <c r="M11" s="27" t="s">
        <v>568</v>
      </c>
      <c r="N11" s="27" t="s">
        <v>588</v>
      </c>
      <c r="O11" s="18">
        <f t="shared" ref="O11:O17" si="1">G11*L11</f>
        <v>3157283.2036029273</v>
      </c>
      <c r="P11" s="213"/>
      <c r="Q11" s="213"/>
      <c r="R11" s="27"/>
      <c r="S11" s="27"/>
      <c r="T11" s="18"/>
      <c r="U11" s="27"/>
      <c r="V11" s="27"/>
      <c r="W11" s="30"/>
      <c r="X11" s="27">
        <v>1</v>
      </c>
      <c r="Y11" s="27" t="s">
        <v>570</v>
      </c>
      <c r="Z11" s="27">
        <v>1</v>
      </c>
      <c r="AA11" s="27"/>
      <c r="AB11" s="27"/>
      <c r="AC11" s="273">
        <v>7788994</v>
      </c>
      <c r="AD11" s="27">
        <v>12486950468.17728</v>
      </c>
      <c r="AE11" s="228">
        <v>6.2377071326182325E-4</v>
      </c>
      <c r="AF11" s="27">
        <v>1582845841.3461523</v>
      </c>
      <c r="AG11" s="226">
        <v>4.9208797196420252E-3</v>
      </c>
      <c r="AH11" s="226" t="s">
        <v>2842</v>
      </c>
      <c r="AI11" s="27">
        <v>6235260000</v>
      </c>
      <c r="AJ11" s="226">
        <v>1.2491851181827222E-3</v>
      </c>
      <c r="AK11" s="27">
        <v>229795065.06459686</v>
      </c>
      <c r="AL11" s="226">
        <v>3.3895392826693051E-2</v>
      </c>
      <c r="AM11" s="27" t="s">
        <v>2842</v>
      </c>
      <c r="AN11" s="271" t="s">
        <v>2842</v>
      </c>
      <c r="AO11" s="27">
        <v>27708187</v>
      </c>
      <c r="AP11" s="27" t="s">
        <v>2842</v>
      </c>
      <c r="AQ11" s="27">
        <v>59.112341463414637</v>
      </c>
      <c r="AR11" s="27">
        <v>76.900000000000006</v>
      </c>
      <c r="AS11" s="29" t="s">
        <v>2842</v>
      </c>
      <c r="AT11" s="270">
        <v>12</v>
      </c>
      <c r="AU11" s="464">
        <v>33.105508049377967</v>
      </c>
      <c r="AV11" s="29">
        <v>-1.4604511925908701</v>
      </c>
      <c r="AW11" s="29">
        <v>-2.7044499801217099</v>
      </c>
      <c r="AX11" s="29">
        <v>-1.49946594356579</v>
      </c>
      <c r="AY11" s="29">
        <v>-1.67010510633739</v>
      </c>
      <c r="AZ11" s="60">
        <v>-1.51327923804473</v>
      </c>
    </row>
    <row r="12" spans="1:53" s="29" customFormat="1" ht="15" customHeight="1">
      <c r="A12" s="35" t="s">
        <v>24</v>
      </c>
      <c r="B12" s="53">
        <v>2009</v>
      </c>
      <c r="C12" s="27" t="s">
        <v>16</v>
      </c>
      <c r="D12" s="53" t="s">
        <v>17</v>
      </c>
      <c r="E12" s="27" t="s">
        <v>19</v>
      </c>
      <c r="F12" s="27" t="s">
        <v>571</v>
      </c>
      <c r="G12" s="43">
        <f>((6700/365)*286)+((5727/365)*79)</f>
        <v>6489.4054794520553</v>
      </c>
      <c r="H12" s="43"/>
      <c r="I12" s="43"/>
      <c r="J12" s="43"/>
      <c r="K12" s="27" t="s">
        <v>567</v>
      </c>
      <c r="L12" s="28">
        <f>((227/365)*286)+((227/365)*79)</f>
        <v>227</v>
      </c>
      <c r="M12" s="27" t="s">
        <v>568</v>
      </c>
      <c r="N12" s="27" t="s">
        <v>589</v>
      </c>
      <c r="O12" s="18">
        <f t="shared" si="1"/>
        <v>1473095.0438356164</v>
      </c>
      <c r="P12" s="213"/>
      <c r="Q12" s="213"/>
      <c r="R12" s="27"/>
      <c r="S12" s="27"/>
      <c r="T12" s="18"/>
      <c r="U12" s="27"/>
      <c r="V12" s="27"/>
      <c r="W12" s="30"/>
      <c r="X12" s="27"/>
      <c r="Y12" s="27"/>
      <c r="Z12" s="27"/>
      <c r="AA12" s="27"/>
      <c r="AB12" s="27"/>
      <c r="AC12" s="273">
        <v>7788994</v>
      </c>
      <c r="AD12" s="27">
        <v>12486950468.17728</v>
      </c>
      <c r="AE12" s="228">
        <v>6.2377071326182325E-4</v>
      </c>
      <c r="AF12" s="27">
        <v>1582845841.3461523</v>
      </c>
      <c r="AG12" s="226">
        <v>4.9208797196420252E-3</v>
      </c>
      <c r="AH12" s="226" t="s">
        <v>2842</v>
      </c>
      <c r="AI12" s="27">
        <v>6235260000</v>
      </c>
      <c r="AJ12" s="226">
        <v>1.2491851181827222E-3</v>
      </c>
      <c r="AK12" s="27">
        <v>229795065.06459686</v>
      </c>
      <c r="AL12" s="226">
        <v>3.3895392826693051E-2</v>
      </c>
      <c r="AM12" s="27" t="s">
        <v>2842</v>
      </c>
      <c r="AN12" s="271" t="s">
        <v>2842</v>
      </c>
      <c r="AO12" s="27">
        <v>27708187</v>
      </c>
      <c r="AP12" s="27" t="s">
        <v>2842</v>
      </c>
      <c r="AQ12" s="27">
        <v>59.112341463414637</v>
      </c>
      <c r="AR12" s="27">
        <v>76.900000000000006</v>
      </c>
      <c r="AS12" s="29" t="s">
        <v>2842</v>
      </c>
      <c r="AT12" s="270">
        <v>12</v>
      </c>
      <c r="AU12" s="464">
        <v>33.105508049377967</v>
      </c>
      <c r="AV12" s="29">
        <v>-1.4604511925908701</v>
      </c>
      <c r="AW12" s="29">
        <v>-2.7044499801217099</v>
      </c>
      <c r="AX12" s="29">
        <v>-1.49946594356579</v>
      </c>
      <c r="AY12" s="29">
        <v>-1.67010510633739</v>
      </c>
      <c r="AZ12" s="60">
        <v>-1.51327923804473</v>
      </c>
    </row>
    <row r="13" spans="1:53" s="29" customFormat="1" ht="15" customHeight="1">
      <c r="A13" s="35" t="s">
        <v>24</v>
      </c>
      <c r="B13" s="53">
        <v>2009</v>
      </c>
      <c r="C13" s="27" t="s">
        <v>16</v>
      </c>
      <c r="D13" s="53" t="s">
        <v>17</v>
      </c>
      <c r="E13" s="27" t="s">
        <v>19</v>
      </c>
      <c r="F13" s="27" t="s">
        <v>573</v>
      </c>
      <c r="G13" s="43">
        <f>((551000/365)*286)+((799000/365)*79)*0.90718474</f>
        <v>588625.77526997263</v>
      </c>
      <c r="H13" s="43"/>
      <c r="I13" s="43"/>
      <c r="J13" s="43"/>
      <c r="K13" s="27" t="s">
        <v>567</v>
      </c>
      <c r="L13" s="28">
        <f>((72.52/365)*286)+((89.85/365)*79)</f>
        <v>76.270876712328757</v>
      </c>
      <c r="M13" s="27" t="s">
        <v>568</v>
      </c>
      <c r="N13" s="27" t="s">
        <v>574</v>
      </c>
      <c r="O13" s="18">
        <f t="shared" si="1"/>
        <v>44895003.935315013</v>
      </c>
      <c r="P13" s="213"/>
      <c r="Q13" s="213"/>
      <c r="R13" s="27"/>
      <c r="S13" s="27"/>
      <c r="T13" s="18"/>
      <c r="U13" s="27"/>
      <c r="V13" s="27"/>
      <c r="W13" s="30"/>
      <c r="X13" s="27">
        <v>4</v>
      </c>
      <c r="Y13" s="27" t="s">
        <v>575</v>
      </c>
      <c r="Z13" s="27">
        <v>4</v>
      </c>
      <c r="AA13" s="27"/>
      <c r="AB13" s="27"/>
      <c r="AC13" s="273">
        <v>7788994</v>
      </c>
      <c r="AD13" s="27">
        <v>12486950468.17728</v>
      </c>
      <c r="AE13" s="228">
        <v>6.2377071326182325E-4</v>
      </c>
      <c r="AF13" s="27">
        <v>1582845841.3461523</v>
      </c>
      <c r="AG13" s="226">
        <v>4.9208797196420252E-3</v>
      </c>
      <c r="AH13" s="226" t="s">
        <v>2842</v>
      </c>
      <c r="AI13" s="27">
        <v>6235260000</v>
      </c>
      <c r="AJ13" s="226">
        <v>1.2491851181827222E-3</v>
      </c>
      <c r="AK13" s="27">
        <v>229795065.06459686</v>
      </c>
      <c r="AL13" s="226">
        <v>3.3895392826693051E-2</v>
      </c>
      <c r="AM13" s="27" t="s">
        <v>2842</v>
      </c>
      <c r="AN13" s="271" t="s">
        <v>2842</v>
      </c>
      <c r="AO13" s="27">
        <v>27708187</v>
      </c>
      <c r="AP13" s="27" t="s">
        <v>2842</v>
      </c>
      <c r="AQ13" s="27">
        <v>59.112341463414637</v>
      </c>
      <c r="AR13" s="27">
        <v>76.900000000000006</v>
      </c>
      <c r="AS13" s="29" t="s">
        <v>2842</v>
      </c>
      <c r="AT13" s="270">
        <v>12</v>
      </c>
      <c r="AU13" s="464">
        <v>33.105508049377967</v>
      </c>
      <c r="AV13" s="29">
        <v>-1.4604511925908701</v>
      </c>
      <c r="AW13" s="29">
        <v>-2.7044499801217099</v>
      </c>
      <c r="AX13" s="29">
        <v>-1.49946594356579</v>
      </c>
      <c r="AY13" s="29">
        <v>-1.67010510633739</v>
      </c>
      <c r="AZ13" s="60">
        <v>-1.51327923804473</v>
      </c>
    </row>
    <row r="14" spans="1:53" s="29" customFormat="1" ht="15" customHeight="1">
      <c r="A14" s="35" t="s">
        <v>24</v>
      </c>
      <c r="B14" s="53">
        <v>2009</v>
      </c>
      <c r="C14" s="27" t="s">
        <v>16</v>
      </c>
      <c r="D14" s="53" t="s">
        <v>17</v>
      </c>
      <c r="E14" s="27" t="s">
        <v>19</v>
      </c>
      <c r="F14" s="27" t="s">
        <v>576</v>
      </c>
      <c r="G14" s="43">
        <v>0</v>
      </c>
      <c r="H14" s="43"/>
      <c r="I14" s="43"/>
      <c r="J14" s="43"/>
      <c r="K14" s="27" t="s">
        <v>567</v>
      </c>
      <c r="L14" s="28"/>
      <c r="M14" s="27"/>
      <c r="N14" s="27" t="s">
        <v>577</v>
      </c>
      <c r="O14" s="18">
        <f t="shared" si="1"/>
        <v>0</v>
      </c>
      <c r="P14" s="213">
        <v>125043.85</v>
      </c>
      <c r="Q14" s="213">
        <v>139146.85</v>
      </c>
      <c r="R14" s="27"/>
      <c r="S14" s="27"/>
      <c r="T14" s="18"/>
      <c r="U14" s="27"/>
      <c r="V14" s="27"/>
      <c r="W14" s="30"/>
      <c r="X14" s="27">
        <v>1</v>
      </c>
      <c r="Y14" s="27" t="s">
        <v>578</v>
      </c>
      <c r="Z14" s="27">
        <v>1</v>
      </c>
      <c r="AA14" s="27">
        <v>29</v>
      </c>
      <c r="AB14" s="27"/>
      <c r="AC14" s="273">
        <v>7788994</v>
      </c>
      <c r="AD14" s="27">
        <v>12486950468.17728</v>
      </c>
      <c r="AE14" s="228">
        <v>6.2377071326182325E-4</v>
      </c>
      <c r="AF14" s="27">
        <v>1582845841.3461523</v>
      </c>
      <c r="AG14" s="226">
        <v>4.9208797196420252E-3</v>
      </c>
      <c r="AH14" s="226" t="s">
        <v>2842</v>
      </c>
      <c r="AI14" s="27">
        <v>6235260000</v>
      </c>
      <c r="AJ14" s="226">
        <v>1.2491851181827222E-3</v>
      </c>
      <c r="AK14" s="27">
        <v>229795065.06459686</v>
      </c>
      <c r="AL14" s="226">
        <v>3.3895392826693051E-2</v>
      </c>
      <c r="AM14" s="27" t="s">
        <v>2842</v>
      </c>
      <c r="AN14" s="271" t="s">
        <v>2842</v>
      </c>
      <c r="AO14" s="27">
        <v>27708187</v>
      </c>
      <c r="AP14" s="27" t="s">
        <v>2842</v>
      </c>
      <c r="AQ14" s="27">
        <v>59.112341463414637</v>
      </c>
      <c r="AR14" s="27">
        <v>76.900000000000006</v>
      </c>
      <c r="AS14" s="29" t="s">
        <v>2842</v>
      </c>
      <c r="AT14" s="270">
        <v>12</v>
      </c>
      <c r="AU14" s="464">
        <v>33.105508049377967</v>
      </c>
      <c r="AV14" s="29">
        <v>-1.4604511925908701</v>
      </c>
      <c r="AW14" s="29">
        <v>-2.7044499801217099</v>
      </c>
      <c r="AX14" s="29">
        <v>-1.49946594356579</v>
      </c>
      <c r="AY14" s="29">
        <v>-1.67010510633739</v>
      </c>
      <c r="AZ14" s="60">
        <v>-1.51327923804473</v>
      </c>
    </row>
    <row r="15" spans="1:53" s="29" customFormat="1" ht="15" customHeight="1">
      <c r="A15" s="35" t="s">
        <v>24</v>
      </c>
      <c r="B15" s="53">
        <v>2009</v>
      </c>
      <c r="C15" s="27" t="s">
        <v>16</v>
      </c>
      <c r="D15" s="53" t="s">
        <v>17</v>
      </c>
      <c r="E15" s="27" t="s">
        <v>19</v>
      </c>
      <c r="F15" s="27" t="s">
        <v>579</v>
      </c>
      <c r="G15" s="43">
        <f>((46400/365)*286)+((63100/365)*79)</f>
        <v>50014.520547945198</v>
      </c>
      <c r="H15" s="43"/>
      <c r="I15" s="43"/>
      <c r="J15" s="43"/>
      <c r="K15" s="27" t="s">
        <v>567</v>
      </c>
      <c r="L15" s="28">
        <f>((14.14/365)*286)+((13.87/365)*79)</f>
        <v>14.081561643835617</v>
      </c>
      <c r="M15" s="27" t="s">
        <v>568</v>
      </c>
      <c r="N15" s="27" t="s">
        <v>580</v>
      </c>
      <c r="O15" s="18">
        <f t="shared" si="1"/>
        <v>704282.55418277346</v>
      </c>
      <c r="P15" s="213"/>
      <c r="Q15" s="213"/>
      <c r="R15" s="27"/>
      <c r="S15" s="27"/>
      <c r="T15" s="18"/>
      <c r="U15" s="27"/>
      <c r="V15" s="27"/>
      <c r="W15" s="30"/>
      <c r="X15" s="27"/>
      <c r="Y15" s="27"/>
      <c r="Z15" s="27"/>
      <c r="AA15" s="27"/>
      <c r="AB15" s="27"/>
      <c r="AC15" s="273">
        <v>7788994</v>
      </c>
      <c r="AD15" s="27">
        <v>12486950468.17728</v>
      </c>
      <c r="AE15" s="228">
        <v>6.2377071326182325E-4</v>
      </c>
      <c r="AF15" s="27">
        <v>1582845841.3461523</v>
      </c>
      <c r="AG15" s="226">
        <v>4.9208797196420252E-3</v>
      </c>
      <c r="AH15" s="226" t="s">
        <v>2842</v>
      </c>
      <c r="AI15" s="27">
        <v>6235260000</v>
      </c>
      <c r="AJ15" s="226">
        <v>1.2491851181827222E-3</v>
      </c>
      <c r="AK15" s="27">
        <v>229795065.06459686</v>
      </c>
      <c r="AL15" s="226">
        <v>3.3895392826693051E-2</v>
      </c>
      <c r="AM15" s="27" t="s">
        <v>2842</v>
      </c>
      <c r="AN15" s="271" t="s">
        <v>2842</v>
      </c>
      <c r="AO15" s="27">
        <v>27708187</v>
      </c>
      <c r="AP15" s="27" t="s">
        <v>2842</v>
      </c>
      <c r="AQ15" s="27">
        <v>59.112341463414637</v>
      </c>
      <c r="AR15" s="27">
        <v>76.900000000000006</v>
      </c>
      <c r="AS15" s="29" t="s">
        <v>2842</v>
      </c>
      <c r="AT15" s="270">
        <v>12</v>
      </c>
      <c r="AU15" s="464">
        <v>33.105508049377967</v>
      </c>
      <c r="AV15" s="29">
        <v>-1.4604511925908701</v>
      </c>
      <c r="AW15" s="29">
        <v>-2.7044499801217099</v>
      </c>
      <c r="AX15" s="29">
        <v>-1.49946594356579</v>
      </c>
      <c r="AY15" s="29">
        <v>-1.67010510633739</v>
      </c>
      <c r="AZ15" s="60">
        <v>-1.51327923804473</v>
      </c>
    </row>
    <row r="16" spans="1:53" s="29" customFormat="1" ht="15" customHeight="1">
      <c r="A16" s="35" t="s">
        <v>24</v>
      </c>
      <c r="B16" s="53">
        <v>2009</v>
      </c>
      <c r="C16" s="27" t="s">
        <v>16</v>
      </c>
      <c r="D16" s="53" t="s">
        <v>17</v>
      </c>
      <c r="E16" s="27" t="s">
        <v>19</v>
      </c>
      <c r="F16" s="27" t="s">
        <v>581</v>
      </c>
      <c r="G16" s="595">
        <f>((180300/365)*286)+((186100/365)*79)</f>
        <v>181555.34246575343</v>
      </c>
      <c r="H16" s="595">
        <f>75000*0.90718474</f>
        <v>68038.855500000005</v>
      </c>
      <c r="I16" s="43"/>
      <c r="J16" s="43"/>
      <c r="K16" s="27" t="s">
        <v>567</v>
      </c>
      <c r="L16" s="28">
        <f>((36.08/365)*286)+((35.67/365)*79)</f>
        <v>35.9912602739726</v>
      </c>
      <c r="M16" s="27" t="s">
        <v>568</v>
      </c>
      <c r="N16" s="27" t="s">
        <v>582</v>
      </c>
      <c r="O16" s="18">
        <f t="shared" si="1"/>
        <v>6534405.5848151622</v>
      </c>
      <c r="P16" s="213"/>
      <c r="Q16" s="213"/>
      <c r="R16" s="27"/>
      <c r="S16" s="27"/>
      <c r="T16" s="18"/>
      <c r="U16" s="27"/>
      <c r="V16" s="27"/>
      <c r="W16" s="30"/>
      <c r="X16" s="27">
        <v>1</v>
      </c>
      <c r="Y16" s="27" t="s">
        <v>583</v>
      </c>
      <c r="Z16" s="27"/>
      <c r="AA16" s="27">
        <v>7</v>
      </c>
      <c r="AB16" s="27" t="s">
        <v>3786</v>
      </c>
      <c r="AC16" s="273">
        <v>7788994</v>
      </c>
      <c r="AD16" s="27">
        <v>12486950468.17728</v>
      </c>
      <c r="AE16" s="228">
        <v>6.2377071326182325E-4</v>
      </c>
      <c r="AF16" s="27">
        <v>1582845841.3461523</v>
      </c>
      <c r="AG16" s="226">
        <v>4.9208797196420252E-3</v>
      </c>
      <c r="AH16" s="226" t="s">
        <v>2842</v>
      </c>
      <c r="AI16" s="27">
        <v>6235260000</v>
      </c>
      <c r="AJ16" s="226">
        <v>1.2491851181827222E-3</v>
      </c>
      <c r="AK16" s="27">
        <v>229795065.06459686</v>
      </c>
      <c r="AL16" s="226">
        <v>3.3895392826693051E-2</v>
      </c>
      <c r="AM16" s="27" t="s">
        <v>2842</v>
      </c>
      <c r="AN16" s="271" t="s">
        <v>2842</v>
      </c>
      <c r="AO16" s="27">
        <v>27708187</v>
      </c>
      <c r="AP16" s="27" t="s">
        <v>2842</v>
      </c>
      <c r="AQ16" s="27">
        <v>59.112341463414637</v>
      </c>
      <c r="AR16" s="27">
        <v>76.900000000000006</v>
      </c>
      <c r="AS16" s="29" t="s">
        <v>2842</v>
      </c>
      <c r="AT16" s="270">
        <v>12</v>
      </c>
      <c r="AU16" s="464">
        <v>33.105508049377967</v>
      </c>
      <c r="AV16" s="29">
        <v>-1.4604511925908701</v>
      </c>
      <c r="AW16" s="29">
        <v>-2.7044499801217099</v>
      </c>
      <c r="AX16" s="29">
        <v>-1.49946594356579</v>
      </c>
      <c r="AY16" s="29">
        <v>-1.67010510633739</v>
      </c>
      <c r="AZ16" s="60">
        <v>-1.51327923804473</v>
      </c>
    </row>
    <row r="17" spans="1:52" s="287" customFormat="1" ht="15" customHeight="1">
      <c r="A17" s="172" t="s">
        <v>24</v>
      </c>
      <c r="B17" s="302">
        <v>2009</v>
      </c>
      <c r="C17" s="284" t="s">
        <v>16</v>
      </c>
      <c r="D17" s="302" t="s">
        <v>17</v>
      </c>
      <c r="E17" s="284" t="s">
        <v>19</v>
      </c>
      <c r="F17" s="284" t="s">
        <v>584</v>
      </c>
      <c r="G17" s="303">
        <v>200000</v>
      </c>
      <c r="H17" s="303"/>
      <c r="I17" s="303"/>
      <c r="J17" s="303"/>
      <c r="K17" s="284" t="s">
        <v>567</v>
      </c>
      <c r="L17" s="304">
        <f>((111/365)*286)+((150/365)*79)</f>
        <v>119.44109589041096</v>
      </c>
      <c r="M17" s="284" t="s">
        <v>568</v>
      </c>
      <c r="N17" s="284" t="s">
        <v>585</v>
      </c>
      <c r="O17" s="305">
        <f t="shared" si="1"/>
        <v>23888219.178082194</v>
      </c>
      <c r="P17" s="306"/>
      <c r="Q17" s="306"/>
      <c r="R17" s="284"/>
      <c r="S17" s="284"/>
      <c r="T17" s="305"/>
      <c r="U17" s="284"/>
      <c r="V17" s="284"/>
      <c r="W17" s="307"/>
      <c r="X17" s="284"/>
      <c r="Y17" s="284"/>
      <c r="Z17" s="284"/>
      <c r="AA17" s="284"/>
      <c r="AB17" s="284"/>
      <c r="AC17" s="308">
        <v>7788994</v>
      </c>
      <c r="AD17" s="284">
        <v>12486950468.17728</v>
      </c>
      <c r="AE17" s="309">
        <v>6.2377071326182325E-4</v>
      </c>
      <c r="AF17" s="284">
        <v>1582845841.3461523</v>
      </c>
      <c r="AG17" s="310">
        <v>4.9208797196420252E-3</v>
      </c>
      <c r="AH17" s="310" t="s">
        <v>2842</v>
      </c>
      <c r="AI17" s="284">
        <v>6235260000</v>
      </c>
      <c r="AJ17" s="310">
        <v>1.2491851181827222E-3</v>
      </c>
      <c r="AK17" s="284">
        <v>229795065.06459686</v>
      </c>
      <c r="AL17" s="310">
        <v>3.3895392826693051E-2</v>
      </c>
      <c r="AM17" s="284" t="s">
        <v>2842</v>
      </c>
      <c r="AN17" s="311" t="s">
        <v>2842</v>
      </c>
      <c r="AO17" s="284">
        <v>27708187</v>
      </c>
      <c r="AP17" s="284" t="s">
        <v>2842</v>
      </c>
      <c r="AQ17" s="284">
        <v>59.112341463414637</v>
      </c>
      <c r="AR17" s="284">
        <v>76.900000000000006</v>
      </c>
      <c r="AS17" s="287" t="s">
        <v>2842</v>
      </c>
      <c r="AT17" s="312">
        <v>12</v>
      </c>
      <c r="AU17" s="465">
        <v>33.105508049377967</v>
      </c>
      <c r="AV17" s="287">
        <v>-1.4604511925908701</v>
      </c>
      <c r="AW17" s="287">
        <v>-2.7044499801217099</v>
      </c>
      <c r="AX17" s="287">
        <v>-1.49946594356579</v>
      </c>
      <c r="AY17" s="287">
        <v>-1.67010510633739</v>
      </c>
      <c r="AZ17" s="313">
        <v>-1.51327923804473</v>
      </c>
    </row>
    <row r="18" spans="1:52" ht="15" customHeight="1">
      <c r="A18" s="35" t="s">
        <v>25</v>
      </c>
      <c r="B18" s="53">
        <v>2010</v>
      </c>
      <c r="C18" s="27" t="s">
        <v>16</v>
      </c>
      <c r="D18" s="53" t="s">
        <v>17</v>
      </c>
      <c r="E18" s="27" t="s">
        <v>19</v>
      </c>
      <c r="F18" s="27" t="s">
        <v>559</v>
      </c>
      <c r="G18" s="43"/>
      <c r="H18" s="43"/>
      <c r="I18" s="43"/>
      <c r="J18" s="43"/>
      <c r="K18" s="27"/>
      <c r="L18" s="28"/>
      <c r="M18" s="27"/>
      <c r="N18" s="27"/>
      <c r="O18" s="18">
        <f>SUM(O19:O25)</f>
        <v>116777080.83738995</v>
      </c>
      <c r="P18" s="213">
        <v>23383829.469999999</v>
      </c>
      <c r="Q18" s="213">
        <v>24969535.890000001</v>
      </c>
      <c r="R18" s="27" t="s">
        <v>619</v>
      </c>
      <c r="S18" s="27"/>
      <c r="T18" s="18"/>
      <c r="U18" s="29" t="s">
        <v>590</v>
      </c>
      <c r="V18" s="27" t="s">
        <v>562</v>
      </c>
      <c r="W18" s="30">
        <v>45.7</v>
      </c>
      <c r="X18" s="27">
        <v>6</v>
      </c>
      <c r="Y18" s="27" t="s">
        <v>586</v>
      </c>
      <c r="Z18" s="27">
        <v>5</v>
      </c>
      <c r="AA18" s="27">
        <v>10</v>
      </c>
      <c r="AB18" s="27" t="s">
        <v>591</v>
      </c>
      <c r="AC18" s="273">
        <v>23383829.469999999</v>
      </c>
      <c r="AD18" s="27">
        <v>15936784437.224018</v>
      </c>
      <c r="AE18" s="228">
        <v>1.4672865509419641E-3</v>
      </c>
      <c r="AF18" s="27">
        <v>2347966451.1362143</v>
      </c>
      <c r="AG18" s="226">
        <v>9.95918381145703E-3</v>
      </c>
      <c r="AH18" s="226" t="s">
        <v>2842</v>
      </c>
      <c r="AI18" s="27">
        <v>6426380000</v>
      </c>
      <c r="AJ18" s="226">
        <v>3.6387249851393784E-3</v>
      </c>
      <c r="AK18" s="27">
        <v>287745579.01585484</v>
      </c>
      <c r="AL18" s="226">
        <v>8.1265642898762119E-2</v>
      </c>
      <c r="AM18" s="27" t="s">
        <v>2842</v>
      </c>
      <c r="AN18" s="271" t="s">
        <v>2842</v>
      </c>
      <c r="AO18" s="27">
        <v>28397812</v>
      </c>
      <c r="AP18" s="27" t="s">
        <v>2842</v>
      </c>
      <c r="AQ18" s="27">
        <v>59.60009756097562</v>
      </c>
      <c r="AR18" s="27">
        <v>75.3</v>
      </c>
      <c r="AS18" s="29" t="s">
        <v>2842</v>
      </c>
      <c r="AT18" s="270">
        <v>12</v>
      </c>
      <c r="AU18" s="464">
        <v>33.105508049377967</v>
      </c>
      <c r="AV18" s="29">
        <v>-1.4815815982603</v>
      </c>
      <c r="AW18" s="29">
        <v>-2.54981934179348</v>
      </c>
      <c r="AX18" s="29">
        <v>-1.46557142586881</v>
      </c>
      <c r="AY18" s="29">
        <v>-1.5292580860895</v>
      </c>
      <c r="AZ18" s="60">
        <v>-1.62446565845433</v>
      </c>
    </row>
    <row r="19" spans="1:52" ht="15" customHeight="1">
      <c r="A19" s="35" t="s">
        <v>25</v>
      </c>
      <c r="B19" s="53">
        <v>2010</v>
      </c>
      <c r="C19" s="27" t="s">
        <v>16</v>
      </c>
      <c r="D19" s="53" t="s">
        <v>17</v>
      </c>
      <c r="E19" s="27" t="s">
        <v>19</v>
      </c>
      <c r="F19" s="27" t="s">
        <v>566</v>
      </c>
      <c r="G19" s="43">
        <f>((35600/365)*286)+((38000/365)*79)</f>
        <v>36119.452054794521</v>
      </c>
      <c r="H19" s="43"/>
      <c r="I19" s="43"/>
      <c r="J19" s="43"/>
      <c r="K19" s="27" t="s">
        <v>567</v>
      </c>
      <c r="L19" s="28">
        <f>((92/365)*286)+((89.5/365)*79)</f>
        <v>91.458904109589042</v>
      </c>
      <c r="M19" s="27" t="s">
        <v>568</v>
      </c>
      <c r="N19" s="27" t="s">
        <v>588</v>
      </c>
      <c r="O19" s="18">
        <f t="shared" ref="O19:O25" si="2">G19*L19</f>
        <v>3303445.5019703512</v>
      </c>
      <c r="P19" s="213"/>
      <c r="Q19" s="213"/>
      <c r="R19" s="27"/>
      <c r="S19" s="27"/>
      <c r="T19" s="18"/>
      <c r="U19" s="27"/>
      <c r="V19" s="27"/>
      <c r="W19" s="30"/>
      <c r="X19" s="27">
        <v>1</v>
      </c>
      <c r="Y19" s="27" t="s">
        <v>570</v>
      </c>
      <c r="Z19" s="27">
        <v>1</v>
      </c>
      <c r="AA19" s="27"/>
      <c r="AB19" s="27"/>
      <c r="AC19" s="273">
        <v>23383829.469999999</v>
      </c>
      <c r="AD19" s="27">
        <v>15936784437.224018</v>
      </c>
      <c r="AE19" s="228">
        <v>1.4672865509419641E-3</v>
      </c>
      <c r="AF19" s="27">
        <v>2347966451.1362143</v>
      </c>
      <c r="AG19" s="226">
        <v>9.95918381145703E-3</v>
      </c>
      <c r="AH19" s="226" t="s">
        <v>2842</v>
      </c>
      <c r="AI19" s="27">
        <v>6426380000</v>
      </c>
      <c r="AJ19" s="226">
        <v>3.6387249851393784E-3</v>
      </c>
      <c r="AK19" s="27">
        <v>287745579.01585484</v>
      </c>
      <c r="AL19" s="226">
        <v>8.1265642898762119E-2</v>
      </c>
      <c r="AM19" s="27" t="s">
        <v>2842</v>
      </c>
      <c r="AN19" s="271" t="s">
        <v>2842</v>
      </c>
      <c r="AO19" s="27">
        <v>28397812</v>
      </c>
      <c r="AP19" s="27" t="s">
        <v>2842</v>
      </c>
      <c r="AQ19" s="27">
        <v>59.60009756097562</v>
      </c>
      <c r="AR19" s="27">
        <v>75.3</v>
      </c>
      <c r="AS19" s="29" t="s">
        <v>2842</v>
      </c>
      <c r="AT19" s="270">
        <v>12</v>
      </c>
      <c r="AU19" s="464">
        <v>33.105508049377967</v>
      </c>
      <c r="AV19" s="29">
        <v>-1.4815815982603</v>
      </c>
      <c r="AW19" s="29">
        <v>-2.54981934179348</v>
      </c>
      <c r="AX19" s="29">
        <v>-1.46557142586881</v>
      </c>
      <c r="AY19" s="29">
        <v>-1.5292580860895</v>
      </c>
      <c r="AZ19" s="60">
        <v>-1.62446565845433</v>
      </c>
    </row>
    <row r="20" spans="1:52" ht="15" customHeight="1">
      <c r="A20" s="35" t="s">
        <v>25</v>
      </c>
      <c r="B20" s="53">
        <v>2010</v>
      </c>
      <c r="C20" s="27" t="s">
        <v>16</v>
      </c>
      <c r="D20" s="53" t="s">
        <v>17</v>
      </c>
      <c r="E20" s="27" t="s">
        <v>19</v>
      </c>
      <c r="F20" s="27" t="s">
        <v>571</v>
      </c>
      <c r="G20" s="43">
        <f>((5727/365)*286)+((6204/365)*79)</f>
        <v>5830.2410958904111</v>
      </c>
      <c r="H20" s="43"/>
      <c r="I20" s="43"/>
      <c r="J20" s="43"/>
      <c r="K20" s="27" t="s">
        <v>567</v>
      </c>
      <c r="L20" s="28">
        <f>((227/365)*286)+((212/365)*79)</f>
        <v>223.75342465753425</v>
      </c>
      <c r="M20" s="27" t="s">
        <v>568</v>
      </c>
      <c r="N20" s="27" t="s">
        <v>589</v>
      </c>
      <c r="O20" s="18">
        <f t="shared" si="2"/>
        <v>1304536.4117845751</v>
      </c>
      <c r="P20" s="213"/>
      <c r="Q20" s="213"/>
      <c r="R20" s="27"/>
      <c r="S20" s="27"/>
      <c r="T20" s="18"/>
      <c r="U20" s="27"/>
      <c r="V20" s="27"/>
      <c r="W20" s="30"/>
      <c r="X20" s="27"/>
      <c r="Y20" s="27"/>
      <c r="Z20" s="27"/>
      <c r="AA20" s="27"/>
      <c r="AB20" s="27"/>
      <c r="AC20" s="273">
        <v>23383829.469999999</v>
      </c>
      <c r="AD20" s="27">
        <v>15936784437.224018</v>
      </c>
      <c r="AE20" s="228">
        <v>1.4672865509419641E-3</v>
      </c>
      <c r="AF20" s="27">
        <v>2347966451.1362143</v>
      </c>
      <c r="AG20" s="226">
        <v>9.95918381145703E-3</v>
      </c>
      <c r="AH20" s="226" t="s">
        <v>2842</v>
      </c>
      <c r="AI20" s="27">
        <v>6426380000</v>
      </c>
      <c r="AJ20" s="226">
        <v>3.6387249851393784E-3</v>
      </c>
      <c r="AK20" s="27">
        <v>287745579.01585484</v>
      </c>
      <c r="AL20" s="226">
        <v>8.1265642898762119E-2</v>
      </c>
      <c r="AM20" s="27" t="s">
        <v>2842</v>
      </c>
      <c r="AN20" s="271" t="s">
        <v>2842</v>
      </c>
      <c r="AO20" s="27">
        <v>28397812</v>
      </c>
      <c r="AP20" s="27" t="s">
        <v>2842</v>
      </c>
      <c r="AQ20" s="27">
        <v>59.60009756097562</v>
      </c>
      <c r="AR20" s="27">
        <v>75.3</v>
      </c>
      <c r="AS20" s="29" t="s">
        <v>2842</v>
      </c>
      <c r="AT20" s="270">
        <v>12</v>
      </c>
      <c r="AU20" s="464">
        <v>33.105508049377967</v>
      </c>
      <c r="AV20" s="29">
        <v>-1.4815815982603</v>
      </c>
      <c r="AW20" s="29">
        <v>-2.54981934179348</v>
      </c>
      <c r="AX20" s="29">
        <v>-1.46557142586881</v>
      </c>
      <c r="AY20" s="29">
        <v>-1.5292580860895</v>
      </c>
      <c r="AZ20" s="60">
        <v>-1.62446565845433</v>
      </c>
    </row>
    <row r="21" spans="1:52" ht="15" customHeight="1">
      <c r="A21" s="35" t="s">
        <v>25</v>
      </c>
      <c r="B21" s="53">
        <v>2010</v>
      </c>
      <c r="C21" s="27" t="s">
        <v>16</v>
      </c>
      <c r="D21" s="53" t="s">
        <v>17</v>
      </c>
      <c r="E21" s="27" t="s">
        <v>19</v>
      </c>
      <c r="F21" s="27" t="s">
        <v>573</v>
      </c>
      <c r="G21" s="43">
        <f>((799000/365)*286)+((799000/365)*79)*0.90718474</f>
        <v>782949.06294120545</v>
      </c>
      <c r="H21" s="43"/>
      <c r="I21" s="43"/>
      <c r="J21" s="43"/>
      <c r="K21" s="27" t="s">
        <v>567</v>
      </c>
      <c r="L21" s="28">
        <f>((89.85/365)*286)+((111.55/365)*79)</f>
        <v>94.546712328767114</v>
      </c>
      <c r="M21" s="27" t="s">
        <v>568</v>
      </c>
      <c r="N21" s="27" t="s">
        <v>574</v>
      </c>
      <c r="O21" s="18">
        <f t="shared" si="2"/>
        <v>74025259.821979925</v>
      </c>
      <c r="P21" s="213"/>
      <c r="Q21" s="213"/>
      <c r="R21" s="27"/>
      <c r="S21" s="27"/>
      <c r="T21" s="18"/>
      <c r="U21" s="27"/>
      <c r="V21" s="27"/>
      <c r="W21" s="30"/>
      <c r="X21" s="27">
        <v>4</v>
      </c>
      <c r="Y21" s="27" t="s">
        <v>592</v>
      </c>
      <c r="Z21" s="27">
        <v>4</v>
      </c>
      <c r="AA21" s="27"/>
      <c r="AB21" s="27"/>
      <c r="AC21" s="273">
        <v>23383829.469999999</v>
      </c>
      <c r="AD21" s="27">
        <v>15936784437.224018</v>
      </c>
      <c r="AE21" s="228">
        <v>1.4672865509419641E-3</v>
      </c>
      <c r="AF21" s="27">
        <v>2347966451.1362143</v>
      </c>
      <c r="AG21" s="226">
        <v>9.95918381145703E-3</v>
      </c>
      <c r="AH21" s="226" t="s">
        <v>2842</v>
      </c>
      <c r="AI21" s="27">
        <v>6426380000</v>
      </c>
      <c r="AJ21" s="226">
        <v>3.6387249851393784E-3</v>
      </c>
      <c r="AK21" s="27">
        <v>287745579.01585484</v>
      </c>
      <c r="AL21" s="226">
        <v>8.1265642898762119E-2</v>
      </c>
      <c r="AM21" s="27" t="s">
        <v>2842</v>
      </c>
      <c r="AN21" s="271" t="s">
        <v>2842</v>
      </c>
      <c r="AO21" s="27">
        <v>28397812</v>
      </c>
      <c r="AP21" s="27" t="s">
        <v>2842</v>
      </c>
      <c r="AQ21" s="27">
        <v>59.60009756097562</v>
      </c>
      <c r="AR21" s="27">
        <v>75.3</v>
      </c>
      <c r="AS21" s="29" t="s">
        <v>2842</v>
      </c>
      <c r="AT21" s="270">
        <v>12</v>
      </c>
      <c r="AU21" s="464">
        <v>33.105508049377967</v>
      </c>
      <c r="AV21" s="29">
        <v>-1.4815815982603</v>
      </c>
      <c r="AW21" s="29">
        <v>-2.54981934179348</v>
      </c>
      <c r="AX21" s="29">
        <v>-1.46557142586881</v>
      </c>
      <c r="AY21" s="29">
        <v>-1.5292580860895</v>
      </c>
      <c r="AZ21" s="60">
        <v>-1.62446565845433</v>
      </c>
    </row>
    <row r="22" spans="1:52" ht="15" customHeight="1">
      <c r="A22" s="35" t="s">
        <v>25</v>
      </c>
      <c r="B22" s="53">
        <v>2010</v>
      </c>
      <c r="C22" s="27" t="s">
        <v>16</v>
      </c>
      <c r="D22" s="53" t="s">
        <v>17</v>
      </c>
      <c r="E22" s="27" t="s">
        <v>19</v>
      </c>
      <c r="F22" s="27" t="s">
        <v>576</v>
      </c>
      <c r="G22" s="43">
        <v>0</v>
      </c>
      <c r="H22" s="43"/>
      <c r="I22" s="43"/>
      <c r="J22" s="43"/>
      <c r="K22" s="27" t="s">
        <v>567</v>
      </c>
      <c r="L22" s="28"/>
      <c r="M22" s="27"/>
      <c r="N22" s="27" t="s">
        <v>577</v>
      </c>
      <c r="O22" s="18">
        <f t="shared" si="2"/>
        <v>0</v>
      </c>
      <c r="P22" s="213">
        <v>629151.18000000005</v>
      </c>
      <c r="Q22" s="213">
        <v>2058584.22</v>
      </c>
      <c r="R22" s="27"/>
      <c r="S22" s="27"/>
      <c r="T22" s="18"/>
      <c r="U22" s="27"/>
      <c r="V22" s="27"/>
      <c r="W22" s="30"/>
      <c r="X22" s="27">
        <v>1</v>
      </c>
      <c r="Y22" s="27" t="s">
        <v>578</v>
      </c>
      <c r="Z22" s="27">
        <v>1</v>
      </c>
      <c r="AA22" s="27">
        <v>20</v>
      </c>
      <c r="AB22" s="27"/>
      <c r="AC22" s="273">
        <v>23383829.469999999</v>
      </c>
      <c r="AD22" s="27">
        <v>15936784437.224018</v>
      </c>
      <c r="AE22" s="228">
        <v>1.4672865509419641E-3</v>
      </c>
      <c r="AF22" s="27">
        <v>2347966451.1362143</v>
      </c>
      <c r="AG22" s="226">
        <v>9.95918381145703E-3</v>
      </c>
      <c r="AH22" s="226" t="s">
        <v>2842</v>
      </c>
      <c r="AI22" s="27">
        <v>6426380000</v>
      </c>
      <c r="AJ22" s="226">
        <v>3.6387249851393784E-3</v>
      </c>
      <c r="AK22" s="27">
        <v>287745579.01585484</v>
      </c>
      <c r="AL22" s="226">
        <v>8.1265642898762119E-2</v>
      </c>
      <c r="AM22" s="27" t="s">
        <v>2842</v>
      </c>
      <c r="AN22" s="271" t="s">
        <v>2842</v>
      </c>
      <c r="AO22" s="27">
        <v>28397812</v>
      </c>
      <c r="AP22" s="27" t="s">
        <v>2842</v>
      </c>
      <c r="AQ22" s="27">
        <v>59.60009756097562</v>
      </c>
      <c r="AR22" s="27">
        <v>75.3</v>
      </c>
      <c r="AS22" s="29" t="s">
        <v>2842</v>
      </c>
      <c r="AT22" s="270">
        <v>12</v>
      </c>
      <c r="AU22" s="464">
        <v>33.105508049377967</v>
      </c>
      <c r="AV22" s="29">
        <v>-1.4815815982603</v>
      </c>
      <c r="AW22" s="29">
        <v>-2.54981934179348</v>
      </c>
      <c r="AX22" s="29">
        <v>-1.46557142586881</v>
      </c>
      <c r="AY22" s="29">
        <v>-1.5292580860895</v>
      </c>
      <c r="AZ22" s="60">
        <v>-1.62446565845433</v>
      </c>
    </row>
    <row r="23" spans="1:52" ht="15" customHeight="1">
      <c r="A23" s="35" t="s">
        <v>25</v>
      </c>
      <c r="B23" s="53">
        <v>2010</v>
      </c>
      <c r="C23" s="27" t="s">
        <v>16</v>
      </c>
      <c r="D23" s="53" t="s">
        <v>17</v>
      </c>
      <c r="E23" s="27" t="s">
        <v>19</v>
      </c>
      <c r="F23" s="27" t="s">
        <v>579</v>
      </c>
      <c r="G23" s="43">
        <f>((63100/365)*286)+((62000/365)*79)</f>
        <v>62861.917808219179</v>
      </c>
      <c r="H23" s="43"/>
      <c r="I23" s="43"/>
      <c r="J23" s="43"/>
      <c r="K23" s="27" t="s">
        <v>567</v>
      </c>
      <c r="L23" s="28">
        <f>((18.3/365)*286)+((18.5/365)*79)</f>
        <v>18.343287671232879</v>
      </c>
      <c r="M23" s="27" t="s">
        <v>568</v>
      </c>
      <c r="N23" s="27" t="s">
        <v>580</v>
      </c>
      <c r="O23" s="18">
        <f t="shared" si="2"/>
        <v>1153094.2419215615</v>
      </c>
      <c r="P23" s="213"/>
      <c r="Q23" s="213"/>
      <c r="R23" s="27"/>
      <c r="S23" s="27"/>
      <c r="T23" s="18"/>
      <c r="U23" s="27"/>
      <c r="V23" s="27"/>
      <c r="W23" s="30"/>
      <c r="X23" s="27"/>
      <c r="Y23" s="27"/>
      <c r="Z23" s="27"/>
      <c r="AA23" s="27"/>
      <c r="AB23" s="27"/>
      <c r="AC23" s="273">
        <v>23383829.469999999</v>
      </c>
      <c r="AD23" s="27">
        <v>15936784437.224018</v>
      </c>
      <c r="AE23" s="228">
        <v>1.4672865509419641E-3</v>
      </c>
      <c r="AF23" s="27">
        <v>2347966451.1362143</v>
      </c>
      <c r="AG23" s="226">
        <v>9.95918381145703E-3</v>
      </c>
      <c r="AH23" s="226" t="s">
        <v>2842</v>
      </c>
      <c r="AI23" s="27">
        <v>6426380000</v>
      </c>
      <c r="AJ23" s="226">
        <v>3.6387249851393784E-3</v>
      </c>
      <c r="AK23" s="27">
        <v>287745579.01585484</v>
      </c>
      <c r="AL23" s="226">
        <v>8.1265642898762119E-2</v>
      </c>
      <c r="AM23" s="27" t="s">
        <v>2842</v>
      </c>
      <c r="AN23" s="271" t="s">
        <v>2842</v>
      </c>
      <c r="AO23" s="27">
        <v>28397812</v>
      </c>
      <c r="AP23" s="27" t="s">
        <v>2842</v>
      </c>
      <c r="AQ23" s="27">
        <v>59.60009756097562</v>
      </c>
      <c r="AR23" s="27">
        <v>75.3</v>
      </c>
      <c r="AS23" s="29" t="s">
        <v>2842</v>
      </c>
      <c r="AT23" s="270">
        <v>12</v>
      </c>
      <c r="AU23" s="464">
        <v>33.105508049377967</v>
      </c>
      <c r="AV23" s="29">
        <v>-1.4815815982603</v>
      </c>
      <c r="AW23" s="29">
        <v>-2.54981934179348</v>
      </c>
      <c r="AX23" s="29">
        <v>-1.46557142586881</v>
      </c>
      <c r="AY23" s="29">
        <v>-1.5292580860895</v>
      </c>
      <c r="AZ23" s="60">
        <v>-1.62446565845433</v>
      </c>
    </row>
    <row r="24" spans="1:52" ht="15" customHeight="1">
      <c r="A24" s="35" t="s">
        <v>25</v>
      </c>
      <c r="B24" s="53">
        <v>2010</v>
      </c>
      <c r="C24" s="27" t="s">
        <v>16</v>
      </c>
      <c r="D24" s="53" t="s">
        <v>17</v>
      </c>
      <c r="E24" s="27" t="s">
        <v>19</v>
      </c>
      <c r="F24" s="27" t="s">
        <v>581</v>
      </c>
      <c r="G24" s="595">
        <f>((186100/365)*286)+((190000/365)*79)</f>
        <v>186944.10958904109</v>
      </c>
      <c r="H24" s="595">
        <f>75000*0.90718474</f>
        <v>68038.855500000005</v>
      </c>
      <c r="I24" s="43"/>
      <c r="J24" s="43"/>
      <c r="K24" s="27" t="s">
        <v>567</v>
      </c>
      <c r="L24" s="28">
        <f>((35.67/365)*286)+((38.29/365)*79)</f>
        <v>36.237068493150687</v>
      </c>
      <c r="M24" s="27" t="s">
        <v>568</v>
      </c>
      <c r="N24" s="27" t="s">
        <v>582</v>
      </c>
      <c r="O24" s="18">
        <f t="shared" si="2"/>
        <v>6774306.5035691503</v>
      </c>
      <c r="P24" s="213"/>
      <c r="Q24" s="213"/>
      <c r="R24" s="27"/>
      <c r="S24" s="27"/>
      <c r="T24" s="18"/>
      <c r="U24" s="27"/>
      <c r="V24" s="27"/>
      <c r="W24" s="30"/>
      <c r="X24" s="27">
        <v>1</v>
      </c>
      <c r="Y24" s="27" t="s">
        <v>583</v>
      </c>
      <c r="Z24" s="27"/>
      <c r="AA24" s="27">
        <v>7</v>
      </c>
      <c r="AB24" s="27" t="s">
        <v>3786</v>
      </c>
      <c r="AC24" s="273">
        <v>23383829.469999999</v>
      </c>
      <c r="AD24" s="27">
        <v>15936784437.224018</v>
      </c>
      <c r="AE24" s="228">
        <v>1.4672865509419641E-3</v>
      </c>
      <c r="AF24" s="27">
        <v>2347966451.1362143</v>
      </c>
      <c r="AG24" s="226">
        <v>9.95918381145703E-3</v>
      </c>
      <c r="AH24" s="226" t="s">
        <v>2842</v>
      </c>
      <c r="AI24" s="27">
        <v>6426380000</v>
      </c>
      <c r="AJ24" s="226">
        <v>3.6387249851393784E-3</v>
      </c>
      <c r="AK24" s="27">
        <v>287745579.01585484</v>
      </c>
      <c r="AL24" s="226">
        <v>8.1265642898762119E-2</v>
      </c>
      <c r="AM24" s="27" t="s">
        <v>2842</v>
      </c>
      <c r="AN24" s="271" t="s">
        <v>2842</v>
      </c>
      <c r="AO24" s="27">
        <v>28397812</v>
      </c>
      <c r="AP24" s="27" t="s">
        <v>2842</v>
      </c>
      <c r="AQ24" s="27">
        <v>59.60009756097562</v>
      </c>
      <c r="AR24" s="27">
        <v>75.3</v>
      </c>
      <c r="AS24" s="29" t="s">
        <v>2842</v>
      </c>
      <c r="AT24" s="270">
        <v>12</v>
      </c>
      <c r="AU24" s="464">
        <v>33.105508049377967</v>
      </c>
      <c r="AV24" s="29">
        <v>-1.4815815982603</v>
      </c>
      <c r="AW24" s="29">
        <v>-2.54981934179348</v>
      </c>
      <c r="AX24" s="29">
        <v>-1.46557142586881</v>
      </c>
      <c r="AY24" s="29">
        <v>-1.5292580860895</v>
      </c>
      <c r="AZ24" s="60">
        <v>-1.62446565845433</v>
      </c>
    </row>
    <row r="25" spans="1:52" s="287" customFormat="1" ht="15" customHeight="1">
      <c r="A25" s="172" t="s">
        <v>25</v>
      </c>
      <c r="B25" s="302">
        <v>2010</v>
      </c>
      <c r="C25" s="284" t="s">
        <v>16</v>
      </c>
      <c r="D25" s="302" t="s">
        <v>17</v>
      </c>
      <c r="E25" s="284" t="s">
        <v>19</v>
      </c>
      <c r="F25" s="284" t="s">
        <v>584</v>
      </c>
      <c r="G25" s="303">
        <v>200000</v>
      </c>
      <c r="H25" s="303"/>
      <c r="I25" s="303"/>
      <c r="J25" s="303"/>
      <c r="K25" s="284" t="s">
        <v>567</v>
      </c>
      <c r="L25" s="304">
        <f>((150/365)*286)+((155/365)*79)</f>
        <v>151.08219178082192</v>
      </c>
      <c r="M25" s="284" t="s">
        <v>568</v>
      </c>
      <c r="N25" s="284" t="s">
        <v>585</v>
      </c>
      <c r="O25" s="305">
        <f t="shared" si="2"/>
        <v>30216438.356164385</v>
      </c>
      <c r="P25" s="306"/>
      <c r="Q25" s="306"/>
      <c r="R25" s="284"/>
      <c r="S25" s="284"/>
      <c r="T25" s="305"/>
      <c r="U25" s="284"/>
      <c r="V25" s="284"/>
      <c r="W25" s="307"/>
      <c r="X25" s="284"/>
      <c r="Y25" s="284"/>
      <c r="Z25" s="284"/>
      <c r="AA25" s="284"/>
      <c r="AB25" s="284"/>
      <c r="AC25" s="308">
        <v>23383829.469999999</v>
      </c>
      <c r="AD25" s="284">
        <v>15936784437.224018</v>
      </c>
      <c r="AE25" s="309">
        <v>1.4672865509419641E-3</v>
      </c>
      <c r="AF25" s="284">
        <v>2347966451.1362143</v>
      </c>
      <c r="AG25" s="310">
        <v>9.95918381145703E-3</v>
      </c>
      <c r="AH25" s="310" t="s">
        <v>2842</v>
      </c>
      <c r="AI25" s="284">
        <v>6426380000</v>
      </c>
      <c r="AJ25" s="310">
        <v>3.6387249851393784E-3</v>
      </c>
      <c r="AK25" s="284">
        <v>287745579.01585484</v>
      </c>
      <c r="AL25" s="310">
        <v>8.1265642898762119E-2</v>
      </c>
      <c r="AM25" s="284" t="s">
        <v>2842</v>
      </c>
      <c r="AN25" s="311" t="s">
        <v>2842</v>
      </c>
      <c r="AO25" s="284">
        <v>28397812</v>
      </c>
      <c r="AP25" s="284" t="s">
        <v>2842</v>
      </c>
      <c r="AQ25" s="284">
        <v>59.60009756097562</v>
      </c>
      <c r="AR25" s="284">
        <v>75.3</v>
      </c>
      <c r="AS25" s="287" t="s">
        <v>2842</v>
      </c>
      <c r="AT25" s="312">
        <v>12</v>
      </c>
      <c r="AU25" s="465">
        <v>33.105508049377967</v>
      </c>
      <c r="AV25" s="287">
        <v>-1.4815815982603</v>
      </c>
      <c r="AW25" s="287">
        <v>-2.54981934179348</v>
      </c>
      <c r="AX25" s="287">
        <v>-1.46557142586881</v>
      </c>
      <c r="AY25" s="287">
        <v>-1.5292580860895</v>
      </c>
      <c r="AZ25" s="313">
        <v>-1.62446565845433</v>
      </c>
    </row>
    <row r="26" spans="1:52" s="29" customFormat="1" ht="15" customHeight="1">
      <c r="A26" s="294" t="s">
        <v>28</v>
      </c>
      <c r="B26" s="53">
        <v>2011</v>
      </c>
      <c r="C26" s="27" t="s">
        <v>16</v>
      </c>
      <c r="D26" s="53" t="s">
        <v>17</v>
      </c>
      <c r="E26" s="27" t="s">
        <v>30</v>
      </c>
      <c r="F26" s="27" t="s">
        <v>593</v>
      </c>
      <c r="G26" s="43"/>
      <c r="H26" s="43"/>
      <c r="I26" s="43"/>
      <c r="J26" s="43"/>
      <c r="K26" s="27"/>
      <c r="L26" s="28"/>
      <c r="M26" s="27"/>
      <c r="N26" s="27"/>
      <c r="O26" s="18">
        <f>+O27+O30</f>
        <v>156067920.43296844</v>
      </c>
      <c r="P26" s="213">
        <v>101776402</v>
      </c>
      <c r="Q26" s="213">
        <v>101712176</v>
      </c>
      <c r="R26" s="27" t="s">
        <v>619</v>
      </c>
      <c r="S26" s="27"/>
      <c r="T26" s="18"/>
      <c r="U26" s="29" t="s">
        <v>594</v>
      </c>
      <c r="V26" s="27" t="s">
        <v>562</v>
      </c>
      <c r="W26" s="30">
        <v>47.63</v>
      </c>
      <c r="X26" s="27">
        <v>14</v>
      </c>
      <c r="Y26" s="27" t="s">
        <v>595</v>
      </c>
      <c r="Z26" s="27">
        <v>14</v>
      </c>
      <c r="AA26" s="27">
        <v>5</v>
      </c>
      <c r="AB26" s="27" t="s">
        <v>596</v>
      </c>
      <c r="AC26" s="273">
        <v>101776402</v>
      </c>
      <c r="AD26" s="27">
        <v>17870159081.787025</v>
      </c>
      <c r="AE26" s="228">
        <v>5.6953271391819256E-3</v>
      </c>
      <c r="AF26" s="27">
        <v>3385680339.6353698</v>
      </c>
      <c r="AG26" s="226">
        <v>3.0060842073165447E-2</v>
      </c>
      <c r="AH26" s="226" t="s">
        <v>2842</v>
      </c>
      <c r="AI26" s="27">
        <v>6884700000</v>
      </c>
      <c r="AJ26" s="226">
        <v>1.4782982846020887E-2</v>
      </c>
      <c r="AK26" s="27">
        <v>286386916.31657809</v>
      </c>
      <c r="AL26" s="226">
        <v>0.35538076707210409</v>
      </c>
      <c r="AM26" s="27" t="s">
        <v>2842</v>
      </c>
      <c r="AN26" s="271" t="s">
        <v>2842</v>
      </c>
      <c r="AO26" s="27">
        <v>29105480</v>
      </c>
      <c r="AP26" s="27">
        <v>35.799999999999997</v>
      </c>
      <c r="AQ26" s="27">
        <v>60.065365853658541</v>
      </c>
      <c r="AR26" s="27">
        <v>73.599999999999994</v>
      </c>
      <c r="AS26" s="29" t="s">
        <v>2842</v>
      </c>
      <c r="AT26" s="270">
        <v>12</v>
      </c>
      <c r="AU26" s="464">
        <v>33.105508049377967</v>
      </c>
      <c r="AV26" s="29">
        <v>-1.41068579570898</v>
      </c>
      <c r="AW26" s="29">
        <v>-2.4839237712058702</v>
      </c>
      <c r="AX26" s="29">
        <v>-1.4576805129002399</v>
      </c>
      <c r="AY26" s="29">
        <v>-1.5398129724722101</v>
      </c>
      <c r="AZ26" s="60">
        <v>-1.54901259715108</v>
      </c>
    </row>
    <row r="27" spans="1:52" s="29" customFormat="1" ht="15" customHeight="1">
      <c r="A27" s="35" t="s">
        <v>28</v>
      </c>
      <c r="B27" s="53">
        <v>2011</v>
      </c>
      <c r="C27" s="27" t="s">
        <v>16</v>
      </c>
      <c r="D27" s="53" t="s">
        <v>17</v>
      </c>
      <c r="E27" s="27" t="s">
        <v>50</v>
      </c>
      <c r="F27" s="27" t="s">
        <v>597</v>
      </c>
      <c r="G27" s="43"/>
      <c r="H27" s="43"/>
      <c r="I27" s="43"/>
      <c r="J27" s="43"/>
      <c r="K27" s="27"/>
      <c r="L27" s="28"/>
      <c r="M27" s="27"/>
      <c r="N27" s="27"/>
      <c r="O27" s="18">
        <f>SUM(O28:O29)</f>
        <v>27100818.034893151</v>
      </c>
      <c r="P27" s="213">
        <v>2359935.6498005502</v>
      </c>
      <c r="Q27" s="213">
        <v>2374092.2947722021</v>
      </c>
      <c r="R27" s="27"/>
      <c r="S27" s="27"/>
      <c r="T27" s="18"/>
      <c r="U27" s="27"/>
      <c r="V27" s="27"/>
      <c r="W27" s="30"/>
      <c r="X27" s="27">
        <v>3</v>
      </c>
      <c r="Y27" s="27" t="s">
        <v>598</v>
      </c>
      <c r="Z27" s="27">
        <v>3</v>
      </c>
      <c r="AA27" s="27">
        <v>5</v>
      </c>
      <c r="AB27" s="27"/>
      <c r="AC27" s="273">
        <v>101776402</v>
      </c>
      <c r="AD27" s="27">
        <v>17870159081.787025</v>
      </c>
      <c r="AE27" s="228">
        <v>5.6953271391819256E-3</v>
      </c>
      <c r="AF27" s="27">
        <v>3385680339.6353698</v>
      </c>
      <c r="AG27" s="226">
        <v>3.0060842073165447E-2</v>
      </c>
      <c r="AH27" s="226" t="s">
        <v>2842</v>
      </c>
      <c r="AI27" s="27">
        <v>6884700000</v>
      </c>
      <c r="AJ27" s="226">
        <v>1.4782982846020887E-2</v>
      </c>
      <c r="AK27" s="27">
        <v>286386916.31657809</v>
      </c>
      <c r="AL27" s="226">
        <v>0.35538076707210409</v>
      </c>
      <c r="AM27" s="27" t="s">
        <v>2842</v>
      </c>
      <c r="AN27" s="271" t="s">
        <v>2842</v>
      </c>
      <c r="AO27" s="27">
        <v>29105480</v>
      </c>
      <c r="AP27" s="27">
        <v>35.799999999999997</v>
      </c>
      <c r="AQ27" s="27">
        <v>60.065365853658541</v>
      </c>
      <c r="AR27" s="27">
        <v>73.599999999999994</v>
      </c>
      <c r="AS27" s="29" t="s">
        <v>2842</v>
      </c>
      <c r="AT27" s="270">
        <v>12</v>
      </c>
      <c r="AU27" s="464">
        <v>33.105508049377967</v>
      </c>
      <c r="AV27" s="29">
        <v>-1.41068579570898</v>
      </c>
      <c r="AW27" s="29">
        <v>-2.4839237712058702</v>
      </c>
      <c r="AX27" s="29">
        <v>-1.4576805129002399</v>
      </c>
      <c r="AY27" s="29">
        <v>-1.5398129724722101</v>
      </c>
      <c r="AZ27" s="60">
        <v>-1.54901259715108</v>
      </c>
    </row>
    <row r="28" spans="1:52" s="29" customFormat="1" ht="15" customHeight="1">
      <c r="A28" s="35" t="s">
        <v>28</v>
      </c>
      <c r="B28" s="53">
        <v>2011</v>
      </c>
      <c r="C28" s="27" t="s">
        <v>16</v>
      </c>
      <c r="D28" s="53" t="s">
        <v>17</v>
      </c>
      <c r="E28" s="27" t="s">
        <v>552</v>
      </c>
      <c r="F28" s="27" t="s">
        <v>552</v>
      </c>
      <c r="G28" s="43">
        <f>5000000000*0.0283168</f>
        <v>141584000</v>
      </c>
      <c r="H28" s="43"/>
      <c r="I28" s="43"/>
      <c r="J28" s="43"/>
      <c r="K28" s="27" t="s">
        <v>599</v>
      </c>
      <c r="L28" s="28">
        <f>((0.19666/365)*286)+((0.172411/365)*79)</f>
        <v>0.19141158630136987</v>
      </c>
      <c r="M28" s="27" t="s">
        <v>600</v>
      </c>
      <c r="N28" s="27" t="s">
        <v>601</v>
      </c>
      <c r="O28" s="18">
        <f>G28*L28</f>
        <v>27100818.034893151</v>
      </c>
      <c r="P28" s="213">
        <v>1198115.6414024774</v>
      </c>
      <c r="Q28" s="213">
        <v>1212272.2863741338</v>
      </c>
      <c r="R28" s="27"/>
      <c r="S28" s="27"/>
      <c r="T28" s="18"/>
      <c r="U28" s="27"/>
      <c r="V28" s="27"/>
      <c r="W28" s="30"/>
      <c r="X28" s="27">
        <v>2</v>
      </c>
      <c r="Y28" s="27" t="s">
        <v>602</v>
      </c>
      <c r="Z28" s="27">
        <v>2</v>
      </c>
      <c r="AA28" s="27">
        <v>5</v>
      </c>
      <c r="AB28" s="27"/>
      <c r="AC28" s="273">
        <v>101776402</v>
      </c>
      <c r="AD28" s="27">
        <v>17870159081.787025</v>
      </c>
      <c r="AE28" s="228">
        <v>5.6953271391819256E-3</v>
      </c>
      <c r="AF28" s="27">
        <v>3385680339.6353698</v>
      </c>
      <c r="AG28" s="226">
        <v>3.0060842073165447E-2</v>
      </c>
      <c r="AH28" s="226" t="s">
        <v>2842</v>
      </c>
      <c r="AI28" s="27">
        <v>6884700000</v>
      </c>
      <c r="AJ28" s="226">
        <v>1.4782982846020887E-2</v>
      </c>
      <c r="AK28" s="27">
        <v>286386916.31657809</v>
      </c>
      <c r="AL28" s="226">
        <v>0.35538076707210409</v>
      </c>
      <c r="AM28" s="27" t="s">
        <v>2842</v>
      </c>
      <c r="AN28" s="271" t="s">
        <v>2842</v>
      </c>
      <c r="AO28" s="27">
        <v>29105480</v>
      </c>
      <c r="AP28" s="27">
        <v>35.799999999999997</v>
      </c>
      <c r="AQ28" s="27">
        <v>60.065365853658541</v>
      </c>
      <c r="AR28" s="27">
        <v>73.599999999999994</v>
      </c>
      <c r="AS28" s="29" t="s">
        <v>2842</v>
      </c>
      <c r="AT28" s="270">
        <v>12</v>
      </c>
      <c r="AU28" s="464">
        <v>33.105508049377967</v>
      </c>
      <c r="AV28" s="29">
        <v>-1.41068579570898</v>
      </c>
      <c r="AW28" s="29">
        <v>-2.4839237712058702</v>
      </c>
      <c r="AX28" s="29">
        <v>-1.4576805129002399</v>
      </c>
      <c r="AY28" s="29">
        <v>-1.5398129724722101</v>
      </c>
      <c r="AZ28" s="60">
        <v>-1.54901259715108</v>
      </c>
    </row>
    <row r="29" spans="1:52" s="29" customFormat="1" ht="15" customHeight="1">
      <c r="A29" s="35" t="s">
        <v>28</v>
      </c>
      <c r="B29" s="53">
        <v>2011</v>
      </c>
      <c r="C29" s="27" t="s">
        <v>16</v>
      </c>
      <c r="D29" s="53" t="s">
        <v>17</v>
      </c>
      <c r="E29" s="27" t="s">
        <v>98</v>
      </c>
      <c r="F29" s="27" t="s">
        <v>98</v>
      </c>
      <c r="G29" s="43">
        <v>0</v>
      </c>
      <c r="H29" s="43"/>
      <c r="I29" s="43"/>
      <c r="J29" s="43"/>
      <c r="K29" s="27" t="s">
        <v>603</v>
      </c>
      <c r="L29" s="28"/>
      <c r="M29" s="27"/>
      <c r="N29" s="27" t="s">
        <v>604</v>
      </c>
      <c r="O29" s="18">
        <f>G29*L29</f>
        <v>0</v>
      </c>
      <c r="P29" s="213">
        <v>1161820.0083980684</v>
      </c>
      <c r="Q29" s="213">
        <v>1161820.0083980684</v>
      </c>
      <c r="R29" s="27"/>
      <c r="S29" s="27"/>
      <c r="T29" s="18"/>
      <c r="U29" s="27"/>
      <c r="V29" s="27"/>
      <c r="W29" s="30"/>
      <c r="X29" s="27">
        <v>1</v>
      </c>
      <c r="Y29" s="27" t="s">
        <v>605</v>
      </c>
      <c r="Z29" s="27">
        <v>1</v>
      </c>
      <c r="AA29" s="27">
        <v>5</v>
      </c>
      <c r="AB29" s="27"/>
      <c r="AC29" s="273">
        <v>101776402</v>
      </c>
      <c r="AD29" s="27">
        <v>17870159081.787025</v>
      </c>
      <c r="AE29" s="228">
        <v>5.6953271391819256E-3</v>
      </c>
      <c r="AF29" s="27">
        <v>3385680339.6353698</v>
      </c>
      <c r="AG29" s="226">
        <v>3.0060842073165447E-2</v>
      </c>
      <c r="AH29" s="226" t="s">
        <v>2842</v>
      </c>
      <c r="AI29" s="27">
        <v>6884700000</v>
      </c>
      <c r="AJ29" s="226">
        <v>1.4782982846020887E-2</v>
      </c>
      <c r="AK29" s="27">
        <v>286386916.31657809</v>
      </c>
      <c r="AL29" s="226">
        <v>0.35538076707210409</v>
      </c>
      <c r="AM29" s="27" t="s">
        <v>2842</v>
      </c>
      <c r="AN29" s="271" t="s">
        <v>2842</v>
      </c>
      <c r="AO29" s="27">
        <v>29105480</v>
      </c>
      <c r="AP29" s="27">
        <v>35.799999999999997</v>
      </c>
      <c r="AQ29" s="27">
        <v>60.065365853658541</v>
      </c>
      <c r="AR29" s="27">
        <v>73.599999999999994</v>
      </c>
      <c r="AS29" s="29" t="s">
        <v>2842</v>
      </c>
      <c r="AT29" s="270">
        <v>12</v>
      </c>
      <c r="AU29" s="464">
        <v>33.105508049377967</v>
      </c>
      <c r="AV29" s="29">
        <v>-1.41068579570898</v>
      </c>
      <c r="AW29" s="29">
        <v>-2.4839237712058702</v>
      </c>
      <c r="AX29" s="29">
        <v>-1.4576805129002399</v>
      </c>
      <c r="AY29" s="29">
        <v>-1.5398129724722101</v>
      </c>
      <c r="AZ29" s="60">
        <v>-1.54901259715108</v>
      </c>
    </row>
    <row r="30" spans="1:52" s="29" customFormat="1" ht="15" customHeight="1">
      <c r="A30" s="35" t="s">
        <v>28</v>
      </c>
      <c r="B30" s="53">
        <v>2011</v>
      </c>
      <c r="C30" s="27" t="s">
        <v>16</v>
      </c>
      <c r="D30" s="53" t="s">
        <v>17</v>
      </c>
      <c r="E30" s="27" t="s">
        <v>19</v>
      </c>
      <c r="F30" s="27" t="s">
        <v>559</v>
      </c>
      <c r="G30" s="43"/>
      <c r="H30" s="43"/>
      <c r="I30" s="43"/>
      <c r="J30" s="43"/>
      <c r="K30" s="27"/>
      <c r="L30" s="28"/>
      <c r="M30" s="27"/>
      <c r="N30" s="27"/>
      <c r="O30" s="18">
        <f>SUM(O31:O39)</f>
        <v>128967102.39807528</v>
      </c>
      <c r="P30" s="213">
        <f>P26-P27</f>
        <v>99416466.350199446</v>
      </c>
      <c r="Q30" s="213">
        <f>Q26-Q27</f>
        <v>99338083.705227792</v>
      </c>
      <c r="R30" s="27"/>
      <c r="S30" s="27"/>
      <c r="T30" s="18"/>
      <c r="U30" s="27"/>
      <c r="V30" s="27"/>
      <c r="W30" s="30"/>
      <c r="X30" s="27">
        <v>11</v>
      </c>
      <c r="Y30" s="27" t="s">
        <v>606</v>
      </c>
      <c r="Z30" s="27">
        <v>11</v>
      </c>
      <c r="AA30" s="27">
        <v>5</v>
      </c>
      <c r="AB30" s="27"/>
      <c r="AC30" s="273">
        <v>101776402</v>
      </c>
      <c r="AD30" s="27">
        <v>17870159081.787025</v>
      </c>
      <c r="AE30" s="228">
        <v>5.6953271391819256E-3</v>
      </c>
      <c r="AF30" s="27">
        <v>3385680339.6353698</v>
      </c>
      <c r="AG30" s="226">
        <v>3.0060842073165447E-2</v>
      </c>
      <c r="AH30" s="226" t="s">
        <v>2842</v>
      </c>
      <c r="AI30" s="27">
        <v>6884700000</v>
      </c>
      <c r="AJ30" s="226">
        <v>1.4782982846020887E-2</v>
      </c>
      <c r="AK30" s="27">
        <v>286386916.31657809</v>
      </c>
      <c r="AL30" s="226">
        <v>0.35538076707210409</v>
      </c>
      <c r="AM30" s="27" t="s">
        <v>2842</v>
      </c>
      <c r="AN30" s="271" t="s">
        <v>2842</v>
      </c>
      <c r="AO30" s="27">
        <v>29105480</v>
      </c>
      <c r="AP30" s="27">
        <v>35.799999999999997</v>
      </c>
      <c r="AQ30" s="27">
        <v>60.065365853658541</v>
      </c>
      <c r="AR30" s="27">
        <v>73.599999999999994</v>
      </c>
      <c r="AS30" s="29" t="s">
        <v>2842</v>
      </c>
      <c r="AT30" s="270">
        <v>12</v>
      </c>
      <c r="AU30" s="464">
        <v>33.105508049377967</v>
      </c>
      <c r="AV30" s="29">
        <v>-1.41068579570898</v>
      </c>
      <c r="AW30" s="29">
        <v>-2.4839237712058702</v>
      </c>
      <c r="AX30" s="29">
        <v>-1.4576805129002399</v>
      </c>
      <c r="AY30" s="29">
        <v>-1.5398129724722101</v>
      </c>
      <c r="AZ30" s="60">
        <v>-1.54901259715108</v>
      </c>
    </row>
    <row r="31" spans="1:52" s="29" customFormat="1" ht="15" customHeight="1">
      <c r="A31" s="35" t="s">
        <v>28</v>
      </c>
      <c r="B31" s="53">
        <v>2011</v>
      </c>
      <c r="C31" s="27" t="s">
        <v>16</v>
      </c>
      <c r="D31" s="53" t="s">
        <v>17</v>
      </c>
      <c r="E31" s="27" t="s">
        <v>19</v>
      </c>
      <c r="F31" s="27" t="s">
        <v>566</v>
      </c>
      <c r="G31" s="43">
        <f>((38000/365)*286)+((37000/365)*79)</f>
        <v>37783.561643835616</v>
      </c>
      <c r="H31" s="43"/>
      <c r="I31" s="43"/>
      <c r="J31" s="43"/>
      <c r="K31" s="27" t="s">
        <v>567</v>
      </c>
      <c r="L31" s="28">
        <f>((89.5/365)*286)+((89.5/365)*79)</f>
        <v>89.5</v>
      </c>
      <c r="M31" s="27" t="s">
        <v>568</v>
      </c>
      <c r="N31" s="27" t="s">
        <v>588</v>
      </c>
      <c r="O31" s="18">
        <f>G31*L31</f>
        <v>3381628.7671232875</v>
      </c>
      <c r="P31" s="213"/>
      <c r="Q31" s="213"/>
      <c r="R31" s="27"/>
      <c r="S31" s="27"/>
      <c r="T31" s="18"/>
      <c r="U31" s="27"/>
      <c r="V31" s="27"/>
      <c r="W31" s="30"/>
      <c r="X31" s="27">
        <v>1</v>
      </c>
      <c r="Y31" s="27" t="s">
        <v>607</v>
      </c>
      <c r="Z31" s="27">
        <v>1</v>
      </c>
      <c r="AA31" s="27">
        <v>5</v>
      </c>
      <c r="AB31" s="27"/>
      <c r="AC31" s="273">
        <v>101776402</v>
      </c>
      <c r="AD31" s="27">
        <v>17870159081.787025</v>
      </c>
      <c r="AE31" s="228">
        <v>5.6953271391819256E-3</v>
      </c>
      <c r="AF31" s="27">
        <v>3385680339.6353698</v>
      </c>
      <c r="AG31" s="226">
        <v>3.0060842073165447E-2</v>
      </c>
      <c r="AH31" s="226" t="s">
        <v>2842</v>
      </c>
      <c r="AI31" s="27">
        <v>6884700000</v>
      </c>
      <c r="AJ31" s="226">
        <v>1.4782982846020887E-2</v>
      </c>
      <c r="AK31" s="27">
        <v>286386916.31657809</v>
      </c>
      <c r="AL31" s="226">
        <v>0.35538076707210409</v>
      </c>
      <c r="AM31" s="27" t="s">
        <v>2842</v>
      </c>
      <c r="AN31" s="271" t="s">
        <v>2842</v>
      </c>
      <c r="AO31" s="27">
        <v>29105480</v>
      </c>
      <c r="AP31" s="27">
        <v>35.799999999999997</v>
      </c>
      <c r="AQ31" s="27">
        <v>60.065365853658541</v>
      </c>
      <c r="AR31" s="27">
        <v>73.599999999999994</v>
      </c>
      <c r="AS31" s="29" t="s">
        <v>2842</v>
      </c>
      <c r="AT31" s="270">
        <v>12</v>
      </c>
      <c r="AU31" s="464">
        <v>33.105508049377967</v>
      </c>
      <c r="AV31" s="29">
        <v>-1.41068579570898</v>
      </c>
      <c r="AW31" s="29">
        <v>-2.4839237712058702</v>
      </c>
      <c r="AX31" s="29">
        <v>-1.4576805129002399</v>
      </c>
      <c r="AY31" s="29">
        <v>-1.5398129724722101</v>
      </c>
      <c r="AZ31" s="60">
        <v>-1.54901259715108</v>
      </c>
    </row>
    <row r="32" spans="1:52" s="29" customFormat="1" ht="15" customHeight="1">
      <c r="A32" s="35" t="s">
        <v>28</v>
      </c>
      <c r="B32" s="53">
        <v>2011</v>
      </c>
      <c r="C32" s="27" t="s">
        <v>16</v>
      </c>
      <c r="D32" s="53" t="s">
        <v>17</v>
      </c>
      <c r="E32" s="27" t="s">
        <v>19</v>
      </c>
      <c r="F32" s="27" t="s">
        <v>571</v>
      </c>
      <c r="G32" s="43">
        <f>((6204/365)*286)+((6000/365)*79)</f>
        <v>6159.8465753424662</v>
      </c>
      <c r="H32" s="43"/>
      <c r="I32" s="43"/>
      <c r="J32" s="43"/>
      <c r="K32" s="27" t="s">
        <v>567</v>
      </c>
      <c r="L32" s="28">
        <f>((212/365)*286)+((355/365)*79)</f>
        <v>242.95068493150683</v>
      </c>
      <c r="M32" s="27" t="s">
        <v>568</v>
      </c>
      <c r="N32" s="27" t="s">
        <v>589</v>
      </c>
      <c r="O32" s="18">
        <f>G32*L32</f>
        <v>1496538.9445524488</v>
      </c>
      <c r="P32" s="213"/>
      <c r="Q32" s="213"/>
      <c r="R32" s="27"/>
      <c r="S32" s="27"/>
      <c r="T32" s="18"/>
      <c r="U32" s="27"/>
      <c r="V32" s="27"/>
      <c r="W32" s="30"/>
      <c r="X32" s="27"/>
      <c r="Y32" s="27"/>
      <c r="Z32" s="27"/>
      <c r="AA32" s="27"/>
      <c r="AB32" s="27"/>
      <c r="AC32" s="273">
        <v>101776402</v>
      </c>
      <c r="AD32" s="27">
        <v>17870159081.787025</v>
      </c>
      <c r="AE32" s="228">
        <v>5.6953271391819256E-3</v>
      </c>
      <c r="AF32" s="27">
        <v>3385680339.6353698</v>
      </c>
      <c r="AG32" s="226">
        <v>3.0060842073165447E-2</v>
      </c>
      <c r="AH32" s="226" t="s">
        <v>2842</v>
      </c>
      <c r="AI32" s="27">
        <v>6884700000</v>
      </c>
      <c r="AJ32" s="226">
        <v>1.4782982846020887E-2</v>
      </c>
      <c r="AK32" s="27">
        <v>286386916.31657809</v>
      </c>
      <c r="AL32" s="226">
        <v>0.35538076707210409</v>
      </c>
      <c r="AM32" s="27" t="s">
        <v>2842</v>
      </c>
      <c r="AN32" s="271" t="s">
        <v>2842</v>
      </c>
      <c r="AO32" s="27">
        <v>29105480</v>
      </c>
      <c r="AP32" s="27">
        <v>35.799999999999997</v>
      </c>
      <c r="AQ32" s="27">
        <v>60.065365853658541</v>
      </c>
      <c r="AR32" s="27">
        <v>73.599999999999994</v>
      </c>
      <c r="AS32" s="29" t="s">
        <v>2842</v>
      </c>
      <c r="AT32" s="270">
        <v>12</v>
      </c>
      <c r="AU32" s="464">
        <v>33.105508049377967</v>
      </c>
      <c r="AV32" s="29">
        <v>-1.41068579570898</v>
      </c>
      <c r="AW32" s="29">
        <v>-2.4839237712058702</v>
      </c>
      <c r="AX32" s="29">
        <v>-1.4576805129002399</v>
      </c>
      <c r="AY32" s="29">
        <v>-1.5398129724722101</v>
      </c>
      <c r="AZ32" s="60">
        <v>-1.54901259715108</v>
      </c>
    </row>
    <row r="33" spans="1:52" s="29" customFormat="1" ht="15" customHeight="1">
      <c r="A33" s="35" t="s">
        <v>28</v>
      </c>
      <c r="B33" s="53">
        <v>2011</v>
      </c>
      <c r="C33" s="27" t="s">
        <v>16</v>
      </c>
      <c r="D33" s="53" t="s">
        <v>17</v>
      </c>
      <c r="E33" s="27" t="s">
        <v>19</v>
      </c>
      <c r="F33" s="27" t="s">
        <v>573</v>
      </c>
      <c r="G33" s="43">
        <f>((799000/365)*286)+((827000/365)*79)*0.90718474</f>
        <v>788446.85100936983</v>
      </c>
      <c r="H33" s="43"/>
      <c r="I33" s="43"/>
      <c r="J33" s="43"/>
      <c r="K33" s="27" t="s">
        <v>567</v>
      </c>
      <c r="L33" s="28">
        <f>((111.55/365)*286)+((90.02/365)*79)</f>
        <v>106.89008219178081</v>
      </c>
      <c r="M33" s="27" t="s">
        <v>568</v>
      </c>
      <c r="N33" s="27" t="s">
        <v>574</v>
      </c>
      <c r="O33" s="18">
        <f>G33*L33</f>
        <v>84277148.708242297</v>
      </c>
      <c r="P33" s="213"/>
      <c r="Q33" s="213"/>
      <c r="R33" s="27"/>
      <c r="S33" s="27"/>
      <c r="T33" s="18"/>
      <c r="U33" s="27"/>
      <c r="V33" s="27"/>
      <c r="W33" s="30"/>
      <c r="X33" s="27">
        <v>4</v>
      </c>
      <c r="Y33" s="27" t="s">
        <v>608</v>
      </c>
      <c r="Z33" s="27">
        <v>4</v>
      </c>
      <c r="AA33" s="27">
        <v>5</v>
      </c>
      <c r="AB33" s="27"/>
      <c r="AC33" s="273">
        <v>101776402</v>
      </c>
      <c r="AD33" s="27">
        <v>17870159081.787025</v>
      </c>
      <c r="AE33" s="228">
        <v>5.6953271391819256E-3</v>
      </c>
      <c r="AF33" s="27">
        <v>3385680339.6353698</v>
      </c>
      <c r="AG33" s="226">
        <v>3.0060842073165447E-2</v>
      </c>
      <c r="AH33" s="226" t="s">
        <v>2842</v>
      </c>
      <c r="AI33" s="27">
        <v>6884700000</v>
      </c>
      <c r="AJ33" s="226">
        <v>1.4782982846020887E-2</v>
      </c>
      <c r="AK33" s="27">
        <v>286386916.31657809</v>
      </c>
      <c r="AL33" s="226">
        <v>0.35538076707210409</v>
      </c>
      <c r="AM33" s="27" t="s">
        <v>2842</v>
      </c>
      <c r="AN33" s="271" t="s">
        <v>2842</v>
      </c>
      <c r="AO33" s="27">
        <v>29105480</v>
      </c>
      <c r="AP33" s="27">
        <v>35.799999999999997</v>
      </c>
      <c r="AQ33" s="27">
        <v>60.065365853658541</v>
      </c>
      <c r="AR33" s="27">
        <v>73.599999999999994</v>
      </c>
      <c r="AS33" s="29" t="s">
        <v>2842</v>
      </c>
      <c r="AT33" s="270">
        <v>12</v>
      </c>
      <c r="AU33" s="464">
        <v>33.105508049377967</v>
      </c>
      <c r="AV33" s="29">
        <v>-1.41068579570898</v>
      </c>
      <c r="AW33" s="29">
        <v>-2.4839237712058702</v>
      </c>
      <c r="AX33" s="29">
        <v>-1.4576805129002399</v>
      </c>
      <c r="AY33" s="29">
        <v>-1.5398129724722101</v>
      </c>
      <c r="AZ33" s="60">
        <v>-1.54901259715108</v>
      </c>
    </row>
    <row r="34" spans="1:52" s="29" customFormat="1" ht="15" customHeight="1">
      <c r="A34" s="35" t="s">
        <v>28</v>
      </c>
      <c r="B34" s="53">
        <v>2011</v>
      </c>
      <c r="C34" s="27" t="s">
        <v>16</v>
      </c>
      <c r="D34" s="53" t="s">
        <v>17</v>
      </c>
      <c r="E34" s="27" t="s">
        <v>19</v>
      </c>
      <c r="F34" s="27" t="s">
        <v>609</v>
      </c>
      <c r="G34" s="43"/>
      <c r="H34" s="43"/>
      <c r="I34" s="43"/>
      <c r="J34" s="43"/>
      <c r="K34" s="27"/>
      <c r="L34" s="28"/>
      <c r="M34" s="27"/>
      <c r="N34" s="27"/>
      <c r="O34" s="18"/>
      <c r="P34" s="213">
        <v>1705831.114843586</v>
      </c>
      <c r="Q34" s="213">
        <v>1193060.9069913919</v>
      </c>
      <c r="R34" s="27"/>
      <c r="S34" s="27"/>
      <c r="T34" s="18"/>
      <c r="U34" s="27"/>
      <c r="V34" s="27"/>
      <c r="W34" s="30"/>
      <c r="X34" s="27">
        <v>4</v>
      </c>
      <c r="Y34" s="27" t="s">
        <v>610</v>
      </c>
      <c r="Z34" s="27">
        <v>4</v>
      </c>
      <c r="AA34" s="27">
        <v>5</v>
      </c>
      <c r="AB34" s="27" t="s">
        <v>611</v>
      </c>
      <c r="AC34" s="273">
        <v>101776402</v>
      </c>
      <c r="AD34" s="27">
        <v>17870159081.787025</v>
      </c>
      <c r="AE34" s="228">
        <v>5.6953271391819256E-3</v>
      </c>
      <c r="AF34" s="27">
        <v>3385680339.6353698</v>
      </c>
      <c r="AG34" s="226">
        <v>3.0060842073165447E-2</v>
      </c>
      <c r="AH34" s="226" t="s">
        <v>2842</v>
      </c>
      <c r="AI34" s="27">
        <v>6884700000</v>
      </c>
      <c r="AJ34" s="226">
        <v>1.4782982846020887E-2</v>
      </c>
      <c r="AK34" s="27">
        <v>286386916.31657809</v>
      </c>
      <c r="AL34" s="226">
        <v>0.35538076707210409</v>
      </c>
      <c r="AM34" s="27" t="s">
        <v>2842</v>
      </c>
      <c r="AN34" s="271" t="s">
        <v>2842</v>
      </c>
      <c r="AO34" s="27">
        <v>29105480</v>
      </c>
      <c r="AP34" s="27">
        <v>35.799999999999997</v>
      </c>
      <c r="AQ34" s="27">
        <v>60.065365853658541</v>
      </c>
      <c r="AR34" s="27">
        <v>73.599999999999994</v>
      </c>
      <c r="AS34" s="29" t="s">
        <v>2842</v>
      </c>
      <c r="AT34" s="270">
        <v>12</v>
      </c>
      <c r="AU34" s="464">
        <v>33.105508049377967</v>
      </c>
      <c r="AV34" s="29">
        <v>-1.41068579570898</v>
      </c>
      <c r="AW34" s="29">
        <v>-2.4839237712058702</v>
      </c>
      <c r="AX34" s="29">
        <v>-1.4576805129002399</v>
      </c>
      <c r="AY34" s="29">
        <v>-1.5398129724722101</v>
      </c>
      <c r="AZ34" s="60">
        <v>-1.54901259715108</v>
      </c>
    </row>
    <row r="35" spans="1:52" s="29" customFormat="1" ht="15" customHeight="1">
      <c r="A35" s="35" t="s">
        <v>28</v>
      </c>
      <c r="B35" s="53">
        <v>2011</v>
      </c>
      <c r="C35" s="27" t="s">
        <v>16</v>
      </c>
      <c r="D35" s="53" t="s">
        <v>17</v>
      </c>
      <c r="E35" s="27" t="s">
        <v>19</v>
      </c>
      <c r="F35" s="27" t="s">
        <v>576</v>
      </c>
      <c r="G35" s="43">
        <v>0</v>
      </c>
      <c r="H35" s="43"/>
      <c r="I35" s="43"/>
      <c r="J35" s="43"/>
      <c r="K35" s="27" t="s">
        <v>567</v>
      </c>
      <c r="L35" s="28"/>
      <c r="M35" s="27"/>
      <c r="N35" s="27" t="s">
        <v>577</v>
      </c>
      <c r="O35" s="18">
        <f>G35*L35</f>
        <v>0</v>
      </c>
      <c r="P35" s="213">
        <v>55719496.829729199</v>
      </c>
      <c r="Q35" s="213">
        <v>55704544.194835201</v>
      </c>
      <c r="R35" s="27"/>
      <c r="S35" s="27"/>
      <c r="T35" s="18"/>
      <c r="U35" s="27"/>
      <c r="V35" s="27"/>
      <c r="W35" s="30"/>
      <c r="X35" s="27">
        <v>1</v>
      </c>
      <c r="Y35" s="27" t="s">
        <v>612</v>
      </c>
      <c r="Z35" s="27">
        <v>1</v>
      </c>
      <c r="AA35" s="27">
        <v>5</v>
      </c>
      <c r="AB35" s="27"/>
      <c r="AC35" s="273">
        <v>101776402</v>
      </c>
      <c r="AD35" s="27">
        <v>17870159081.787025</v>
      </c>
      <c r="AE35" s="228">
        <v>5.6953271391819256E-3</v>
      </c>
      <c r="AF35" s="27">
        <v>3385680339.6353698</v>
      </c>
      <c r="AG35" s="226">
        <v>3.0060842073165447E-2</v>
      </c>
      <c r="AH35" s="226" t="s">
        <v>2842</v>
      </c>
      <c r="AI35" s="27">
        <v>6884700000</v>
      </c>
      <c r="AJ35" s="226">
        <v>1.4782982846020887E-2</v>
      </c>
      <c r="AK35" s="27">
        <v>286386916.31657809</v>
      </c>
      <c r="AL35" s="226">
        <v>0.35538076707210409</v>
      </c>
      <c r="AM35" s="27" t="s">
        <v>2842</v>
      </c>
      <c r="AN35" s="271" t="s">
        <v>2842</v>
      </c>
      <c r="AO35" s="27">
        <v>29105480</v>
      </c>
      <c r="AP35" s="27">
        <v>35.799999999999997</v>
      </c>
      <c r="AQ35" s="27">
        <v>60.065365853658541</v>
      </c>
      <c r="AR35" s="27">
        <v>73.599999999999994</v>
      </c>
      <c r="AS35" s="29" t="s">
        <v>2842</v>
      </c>
      <c r="AT35" s="270">
        <v>12</v>
      </c>
      <c r="AU35" s="464">
        <v>33.105508049377967</v>
      </c>
      <c r="AV35" s="29">
        <v>-1.41068579570898</v>
      </c>
      <c r="AW35" s="29">
        <v>-2.4839237712058702</v>
      </c>
      <c r="AX35" s="29">
        <v>-1.4576805129002399</v>
      </c>
      <c r="AY35" s="29">
        <v>-1.5398129724722101</v>
      </c>
      <c r="AZ35" s="60">
        <v>-1.54901259715108</v>
      </c>
    </row>
    <row r="36" spans="1:52" s="29" customFormat="1" ht="15" customHeight="1">
      <c r="A36" s="35" t="s">
        <v>28</v>
      </c>
      <c r="B36" s="53">
        <v>2011</v>
      </c>
      <c r="C36" s="27" t="s">
        <v>16</v>
      </c>
      <c r="D36" s="53" t="s">
        <v>17</v>
      </c>
      <c r="E36" s="27" t="s">
        <v>19</v>
      </c>
      <c r="F36" s="27" t="s">
        <v>579</v>
      </c>
      <c r="G36" s="43">
        <f>((62000/365)*286)+((65000/365)*79)</f>
        <v>62649.315068493153</v>
      </c>
      <c r="H36" s="43"/>
      <c r="I36" s="43"/>
      <c r="J36" s="43"/>
      <c r="K36" s="27" t="s">
        <v>567</v>
      </c>
      <c r="L36" s="28">
        <v>18.5</v>
      </c>
      <c r="M36" s="27" t="s">
        <v>568</v>
      </c>
      <c r="N36" s="27" t="s">
        <v>580</v>
      </c>
      <c r="O36" s="18">
        <f>G36*L36</f>
        <v>1159012.3287671234</v>
      </c>
      <c r="P36" s="213"/>
      <c r="Q36" s="213"/>
      <c r="R36" s="27"/>
      <c r="S36" s="27"/>
      <c r="T36" s="18"/>
      <c r="U36" s="27"/>
      <c r="V36" s="27"/>
      <c r="W36" s="30"/>
      <c r="X36" s="27"/>
      <c r="Y36" s="27"/>
      <c r="Z36" s="27"/>
      <c r="AA36" s="27"/>
      <c r="AB36" s="27"/>
      <c r="AC36" s="273">
        <v>101776402</v>
      </c>
      <c r="AD36" s="27">
        <v>17870159081.787025</v>
      </c>
      <c r="AE36" s="228">
        <v>5.6953271391819256E-3</v>
      </c>
      <c r="AF36" s="27">
        <v>3385680339.6353698</v>
      </c>
      <c r="AG36" s="226">
        <v>3.0060842073165447E-2</v>
      </c>
      <c r="AH36" s="226" t="s">
        <v>2842</v>
      </c>
      <c r="AI36" s="27">
        <v>6884700000</v>
      </c>
      <c r="AJ36" s="226">
        <v>1.4782982846020887E-2</v>
      </c>
      <c r="AK36" s="27">
        <v>286386916.31657809</v>
      </c>
      <c r="AL36" s="226">
        <v>0.35538076707210409</v>
      </c>
      <c r="AM36" s="27" t="s">
        <v>2842</v>
      </c>
      <c r="AN36" s="271" t="s">
        <v>2842</v>
      </c>
      <c r="AO36" s="27">
        <v>29105480</v>
      </c>
      <c r="AP36" s="27">
        <v>35.799999999999997</v>
      </c>
      <c r="AQ36" s="27">
        <v>60.065365853658541</v>
      </c>
      <c r="AR36" s="27">
        <v>73.599999999999994</v>
      </c>
      <c r="AS36" s="29" t="s">
        <v>2842</v>
      </c>
      <c r="AT36" s="270">
        <v>12</v>
      </c>
      <c r="AU36" s="464">
        <v>33.105508049377967</v>
      </c>
      <c r="AV36" s="29">
        <v>-1.41068579570898</v>
      </c>
      <c r="AW36" s="29">
        <v>-2.4839237712058702</v>
      </c>
      <c r="AX36" s="29">
        <v>-1.4576805129002399</v>
      </c>
      <c r="AY36" s="29">
        <v>-1.5398129724722101</v>
      </c>
      <c r="AZ36" s="60">
        <v>-1.54901259715108</v>
      </c>
    </row>
    <row r="37" spans="1:52" s="29" customFormat="1" ht="15" customHeight="1">
      <c r="A37" s="35" t="s">
        <v>28</v>
      </c>
      <c r="B37" s="53">
        <v>2011</v>
      </c>
      <c r="C37" s="27" t="s">
        <v>16</v>
      </c>
      <c r="D37" s="53" t="s">
        <v>17</v>
      </c>
      <c r="E37" s="27" t="s">
        <v>19</v>
      </c>
      <c r="F37" s="27" t="s">
        <v>613</v>
      </c>
      <c r="G37" s="43">
        <f>((30000/365)*286)+((32000/365)*79)</f>
        <v>30432.876712328765</v>
      </c>
      <c r="H37" s="43"/>
      <c r="I37" s="43"/>
      <c r="J37" s="43"/>
      <c r="K37" s="27" t="s">
        <v>567</v>
      </c>
      <c r="L37" s="28">
        <f>((15.3/365)*286)+((15.52/365)*79)</f>
        <v>15.347616438356166</v>
      </c>
      <c r="M37" s="27" t="s">
        <v>568</v>
      </c>
      <c r="N37" s="27" t="s">
        <v>614</v>
      </c>
      <c r="O37" s="18">
        <f>G37*L37</f>
        <v>467072.11889660353</v>
      </c>
      <c r="P37" s="213">
        <v>358637.16145286581</v>
      </c>
      <c r="Q37" s="213">
        <v>358145.28658408567</v>
      </c>
      <c r="R37" s="27"/>
      <c r="S37" s="27"/>
      <c r="T37" s="18"/>
      <c r="U37" s="27"/>
      <c r="V37" s="27"/>
      <c r="W37" s="30"/>
      <c r="X37" s="27">
        <v>1</v>
      </c>
      <c r="Y37" s="27" t="s">
        <v>615</v>
      </c>
      <c r="Z37" s="27">
        <v>1</v>
      </c>
      <c r="AA37" s="27">
        <v>5</v>
      </c>
      <c r="AB37" s="27"/>
      <c r="AC37" s="273">
        <v>101776402</v>
      </c>
      <c r="AD37" s="27">
        <v>17870159081.787025</v>
      </c>
      <c r="AE37" s="228">
        <v>5.6953271391819256E-3</v>
      </c>
      <c r="AF37" s="27">
        <v>3385680339.6353698</v>
      </c>
      <c r="AG37" s="226">
        <v>3.0060842073165447E-2</v>
      </c>
      <c r="AH37" s="226" t="s">
        <v>2842</v>
      </c>
      <c r="AI37" s="27">
        <v>6884700000</v>
      </c>
      <c r="AJ37" s="226">
        <v>1.4782982846020887E-2</v>
      </c>
      <c r="AK37" s="27">
        <v>286386916.31657809</v>
      </c>
      <c r="AL37" s="226">
        <v>0.35538076707210409</v>
      </c>
      <c r="AM37" s="27" t="s">
        <v>2842</v>
      </c>
      <c r="AN37" s="271" t="s">
        <v>2842</v>
      </c>
      <c r="AO37" s="27">
        <v>29105480</v>
      </c>
      <c r="AP37" s="27">
        <v>35.799999999999997</v>
      </c>
      <c r="AQ37" s="27">
        <v>60.065365853658541</v>
      </c>
      <c r="AR37" s="27">
        <v>73.599999999999994</v>
      </c>
      <c r="AS37" s="29" t="s">
        <v>2842</v>
      </c>
      <c r="AT37" s="270">
        <v>12</v>
      </c>
      <c r="AU37" s="464">
        <v>33.105508049377967</v>
      </c>
      <c r="AV37" s="29">
        <v>-1.41068579570898</v>
      </c>
      <c r="AW37" s="29">
        <v>-2.4839237712058702</v>
      </c>
      <c r="AX37" s="29">
        <v>-1.4576805129002399</v>
      </c>
      <c r="AY37" s="29">
        <v>-1.5398129724722101</v>
      </c>
      <c r="AZ37" s="60">
        <v>-1.54901259715108</v>
      </c>
    </row>
    <row r="38" spans="1:52" s="29" customFormat="1" ht="15" customHeight="1">
      <c r="A38" s="35" t="s">
        <v>28</v>
      </c>
      <c r="B38" s="53">
        <v>2011</v>
      </c>
      <c r="C38" s="27" t="s">
        <v>16</v>
      </c>
      <c r="D38" s="53" t="s">
        <v>17</v>
      </c>
      <c r="E38" s="27" t="s">
        <v>19</v>
      </c>
      <c r="F38" s="27" t="s">
        <v>581</v>
      </c>
      <c r="G38" s="43">
        <f>((190000/365)*286)+((180000/365)*79)</f>
        <v>187835.61643835617</v>
      </c>
      <c r="H38" s="43"/>
      <c r="I38" s="43"/>
      <c r="J38" s="43"/>
      <c r="K38" s="27" t="s">
        <v>567</v>
      </c>
      <c r="L38" s="28">
        <f>((38.29/365)*286)+((36/365)*79)</f>
        <v>37.794356164383558</v>
      </c>
      <c r="M38" s="27" t="s">
        <v>568</v>
      </c>
      <c r="N38" s="27" t="s">
        <v>582</v>
      </c>
      <c r="O38" s="18">
        <f>G38*L38</f>
        <v>7099126.1880277721</v>
      </c>
      <c r="P38" s="213"/>
      <c r="Q38" s="213"/>
      <c r="R38" s="27"/>
      <c r="S38" s="27"/>
      <c r="T38" s="18"/>
      <c r="U38" s="27"/>
      <c r="V38" s="27"/>
      <c r="W38" s="30"/>
      <c r="X38" s="27"/>
      <c r="Y38" s="27"/>
      <c r="Z38" s="27"/>
      <c r="AA38" s="27"/>
      <c r="AB38" s="27"/>
      <c r="AC38" s="273">
        <v>101776402</v>
      </c>
      <c r="AD38" s="27">
        <v>17870159081.787025</v>
      </c>
      <c r="AE38" s="228">
        <v>5.6953271391819256E-3</v>
      </c>
      <c r="AF38" s="27">
        <v>3385680339.6353698</v>
      </c>
      <c r="AG38" s="226">
        <v>3.0060842073165447E-2</v>
      </c>
      <c r="AH38" s="226" t="s">
        <v>2842</v>
      </c>
      <c r="AI38" s="27">
        <v>6884700000</v>
      </c>
      <c r="AJ38" s="226">
        <v>1.4782982846020887E-2</v>
      </c>
      <c r="AK38" s="27">
        <v>286386916.31657809</v>
      </c>
      <c r="AL38" s="226">
        <v>0.35538076707210409</v>
      </c>
      <c r="AM38" s="27" t="s">
        <v>2842</v>
      </c>
      <c r="AN38" s="271" t="s">
        <v>2842</v>
      </c>
      <c r="AO38" s="27">
        <v>29105480</v>
      </c>
      <c r="AP38" s="27">
        <v>35.799999999999997</v>
      </c>
      <c r="AQ38" s="27">
        <v>60.065365853658541</v>
      </c>
      <c r="AR38" s="27">
        <v>73.599999999999994</v>
      </c>
      <c r="AS38" s="29" t="s">
        <v>2842</v>
      </c>
      <c r="AT38" s="270">
        <v>12</v>
      </c>
      <c r="AU38" s="464">
        <v>33.105508049377967</v>
      </c>
      <c r="AV38" s="29">
        <v>-1.41068579570898</v>
      </c>
      <c r="AW38" s="29">
        <v>-2.4839237712058702</v>
      </c>
      <c r="AX38" s="29">
        <v>-1.4576805129002399</v>
      </c>
      <c r="AY38" s="29">
        <v>-1.5398129724722101</v>
      </c>
      <c r="AZ38" s="60">
        <v>-1.54901259715108</v>
      </c>
    </row>
    <row r="39" spans="1:52" s="232" customFormat="1" ht="15" customHeight="1" thickBot="1">
      <c r="A39" s="295" t="s">
        <v>28</v>
      </c>
      <c r="B39" s="296">
        <v>2011</v>
      </c>
      <c r="C39" s="230" t="s">
        <v>16</v>
      </c>
      <c r="D39" s="296" t="s">
        <v>17</v>
      </c>
      <c r="E39" s="230" t="s">
        <v>19</v>
      </c>
      <c r="F39" s="230" t="s">
        <v>584</v>
      </c>
      <c r="G39" s="297">
        <v>200000</v>
      </c>
      <c r="H39" s="297"/>
      <c r="I39" s="297"/>
      <c r="J39" s="297"/>
      <c r="K39" s="230" t="s">
        <v>567</v>
      </c>
      <c r="L39" s="298">
        <f>((155/365)*286)+((157/365)*79)</f>
        <v>155.43287671232875</v>
      </c>
      <c r="M39" s="230" t="s">
        <v>568</v>
      </c>
      <c r="N39" s="230" t="s">
        <v>585</v>
      </c>
      <c r="O39" s="285">
        <f>G39*L39</f>
        <v>31086575.342465751</v>
      </c>
      <c r="P39" s="299"/>
      <c r="Q39" s="299"/>
      <c r="R39" s="230"/>
      <c r="S39" s="230"/>
      <c r="T39" s="285"/>
      <c r="U39" s="230"/>
      <c r="V39" s="230"/>
      <c r="W39" s="300"/>
      <c r="X39" s="230"/>
      <c r="Y39" s="230"/>
      <c r="Z39" s="230"/>
      <c r="AA39" s="230"/>
      <c r="AB39" s="230"/>
      <c r="AC39" s="274">
        <v>101776402</v>
      </c>
      <c r="AD39" s="230">
        <v>17870159081.787025</v>
      </c>
      <c r="AE39" s="229">
        <v>5.6953271391819256E-3</v>
      </c>
      <c r="AF39" s="230">
        <v>3385680339.6353698</v>
      </c>
      <c r="AG39" s="231">
        <v>3.0060842073165447E-2</v>
      </c>
      <c r="AH39" s="231" t="s">
        <v>2842</v>
      </c>
      <c r="AI39" s="230">
        <v>6884700000</v>
      </c>
      <c r="AJ39" s="231">
        <v>1.4782982846020887E-2</v>
      </c>
      <c r="AK39" s="230">
        <v>286386916.31657809</v>
      </c>
      <c r="AL39" s="231">
        <v>0.35538076707210409</v>
      </c>
      <c r="AM39" s="230" t="s">
        <v>2842</v>
      </c>
      <c r="AN39" s="275" t="s">
        <v>2842</v>
      </c>
      <c r="AO39" s="230">
        <v>29105480</v>
      </c>
      <c r="AP39" s="230">
        <v>35.799999999999997</v>
      </c>
      <c r="AQ39" s="230">
        <v>60.065365853658541</v>
      </c>
      <c r="AR39" s="230">
        <v>73.599999999999994</v>
      </c>
      <c r="AS39" s="232" t="s">
        <v>2842</v>
      </c>
      <c r="AT39" s="276">
        <v>12</v>
      </c>
      <c r="AU39" s="466">
        <v>33.105508049377967</v>
      </c>
      <c r="AV39" s="232">
        <v>-1.41068579570898</v>
      </c>
      <c r="AW39" s="232">
        <v>-2.4839237712058702</v>
      </c>
      <c r="AX39" s="232">
        <v>-1.4576805129002399</v>
      </c>
      <c r="AY39" s="232">
        <v>-1.5398129724722101</v>
      </c>
      <c r="AZ39" s="293">
        <v>-1.54901259715108</v>
      </c>
    </row>
    <row r="40" spans="1:52" ht="15" customHeight="1">
      <c r="A40" s="294" t="s">
        <v>32</v>
      </c>
      <c r="B40" s="27">
        <v>2009</v>
      </c>
      <c r="C40" s="27" t="s">
        <v>33</v>
      </c>
      <c r="D40" s="39" t="s">
        <v>34</v>
      </c>
      <c r="E40" s="27" t="s">
        <v>36</v>
      </c>
      <c r="F40" s="41" t="s">
        <v>617</v>
      </c>
      <c r="G40" s="43"/>
      <c r="H40" s="43"/>
      <c r="I40" s="43"/>
      <c r="J40" s="43"/>
      <c r="K40" s="27" t="s">
        <v>567</v>
      </c>
      <c r="L40" s="28"/>
      <c r="M40" s="27"/>
      <c r="N40" s="27"/>
      <c r="O40" s="18">
        <f>O41+O42</f>
        <v>228971998.28485578</v>
      </c>
      <c r="P40" s="213">
        <v>33298711.201804318</v>
      </c>
      <c r="Q40" s="213">
        <v>33961855.117602833</v>
      </c>
      <c r="R40" s="27" t="s">
        <v>3693</v>
      </c>
      <c r="S40" s="27" t="s">
        <v>621</v>
      </c>
      <c r="T40" s="42">
        <v>8300000</v>
      </c>
      <c r="U40" s="29" t="s">
        <v>618</v>
      </c>
      <c r="V40" s="27" t="s">
        <v>620</v>
      </c>
      <c r="W40" s="30">
        <v>93.11</v>
      </c>
      <c r="X40" s="27">
        <v>46</v>
      </c>
      <c r="Y40" s="27" t="s">
        <v>622</v>
      </c>
      <c r="Z40" s="27">
        <v>41</v>
      </c>
      <c r="AA40" s="27" t="s">
        <v>624</v>
      </c>
      <c r="AB40" s="27" t="s">
        <v>625</v>
      </c>
      <c r="AC40" s="273">
        <v>33298711.201804318</v>
      </c>
      <c r="AD40" s="27">
        <v>12044208085.864004</v>
      </c>
      <c r="AE40" s="228">
        <v>2.7647073983125725E-3</v>
      </c>
      <c r="AF40" s="27">
        <v>2941677382.8914247</v>
      </c>
      <c r="AG40" s="226">
        <v>1.1319633959681346E-2</v>
      </c>
      <c r="AH40" s="226">
        <v>6.5313833585405046E-2</v>
      </c>
      <c r="AI40" s="27">
        <v>356960000</v>
      </c>
      <c r="AJ40" s="226">
        <v>9.3284152851311961E-2</v>
      </c>
      <c r="AK40" s="27">
        <v>340049308.19241619</v>
      </c>
      <c r="AL40" s="226">
        <v>9.7923184666390536E-2</v>
      </c>
      <c r="AM40" s="27" t="s">
        <v>2842</v>
      </c>
      <c r="AN40" s="271" t="s">
        <v>2842</v>
      </c>
      <c r="AO40" s="27">
        <v>2884303</v>
      </c>
      <c r="AP40" s="27" t="s">
        <v>2842</v>
      </c>
      <c r="AQ40" s="27">
        <v>76.801878048780495</v>
      </c>
      <c r="AR40" s="27">
        <v>15.4</v>
      </c>
      <c r="AS40" s="29" t="s">
        <v>2842</v>
      </c>
      <c r="AT40" s="270">
        <v>33</v>
      </c>
      <c r="AU40" s="464" t="s">
        <v>2842</v>
      </c>
      <c r="AV40" s="29">
        <v>0.12659891494021</v>
      </c>
      <c r="AW40" s="29">
        <v>-5.1232554674726698E-2</v>
      </c>
      <c r="AX40" s="29">
        <v>-0.23899343497433401</v>
      </c>
      <c r="AY40" s="29">
        <v>0.24766539822603401</v>
      </c>
      <c r="AZ40" s="60">
        <v>-0.49327831391160298</v>
      </c>
    </row>
    <row r="41" spans="1:52" ht="15" customHeight="1">
      <c r="A41" s="35" t="s">
        <v>32</v>
      </c>
      <c r="B41" s="27">
        <v>2009</v>
      </c>
      <c r="C41" s="27" t="s">
        <v>33</v>
      </c>
      <c r="D41" s="39" t="s">
        <v>34</v>
      </c>
      <c r="E41" s="27" t="s">
        <v>98</v>
      </c>
      <c r="F41" s="41" t="s">
        <v>98</v>
      </c>
      <c r="G41" s="43">
        <v>3467500</v>
      </c>
      <c r="H41" s="43">
        <v>3467500</v>
      </c>
      <c r="I41" s="43"/>
      <c r="J41" s="43"/>
      <c r="K41" s="27" t="s">
        <v>603</v>
      </c>
      <c r="L41" s="28">
        <f>62.08273385*0.6535</f>
        <v>40.571066570974999</v>
      </c>
      <c r="M41" s="27" t="s">
        <v>626</v>
      </c>
      <c r="N41" s="27" t="s">
        <v>627</v>
      </c>
      <c r="O41" s="18">
        <f>G41*L41</f>
        <v>140680173.33485579</v>
      </c>
      <c r="P41" s="213">
        <v>31300000</v>
      </c>
      <c r="Q41" s="213">
        <v>31903000</v>
      </c>
      <c r="R41" s="27"/>
      <c r="S41" s="27" t="s">
        <v>621</v>
      </c>
      <c r="T41" s="42">
        <v>8300000</v>
      </c>
      <c r="U41" s="29"/>
      <c r="V41" s="27"/>
      <c r="W41" s="30"/>
      <c r="X41" s="27">
        <v>9</v>
      </c>
      <c r="Y41" s="27" t="s">
        <v>628</v>
      </c>
      <c r="Z41" s="27">
        <v>9</v>
      </c>
      <c r="AA41" s="27" t="s">
        <v>629</v>
      </c>
      <c r="AB41" s="27" t="s">
        <v>3667</v>
      </c>
      <c r="AC41" s="273">
        <v>33298711.201804318</v>
      </c>
      <c r="AD41" s="27">
        <v>12044208085.864004</v>
      </c>
      <c r="AE41" s="228">
        <v>2.7647073983125725E-3</v>
      </c>
      <c r="AF41" s="27">
        <v>2941677382.8914247</v>
      </c>
      <c r="AG41" s="226">
        <v>1.1319633959681346E-2</v>
      </c>
      <c r="AH41" s="226">
        <v>6.5313833585405046E-2</v>
      </c>
      <c r="AI41" s="27">
        <v>356960000</v>
      </c>
      <c r="AJ41" s="226">
        <v>9.3284152851311961E-2</v>
      </c>
      <c r="AK41" s="27">
        <v>340049308.19241619</v>
      </c>
      <c r="AL41" s="226">
        <v>9.7923184666390536E-2</v>
      </c>
      <c r="AM41" s="27" t="s">
        <v>2842</v>
      </c>
      <c r="AN41" s="271" t="s">
        <v>2842</v>
      </c>
      <c r="AO41" s="27">
        <v>2884303</v>
      </c>
      <c r="AP41" s="27" t="s">
        <v>2842</v>
      </c>
      <c r="AQ41" s="27">
        <v>76.801878048780495</v>
      </c>
      <c r="AR41" s="27">
        <v>15.4</v>
      </c>
      <c r="AS41" s="29" t="s">
        <v>2842</v>
      </c>
      <c r="AT41" s="270">
        <v>33</v>
      </c>
      <c r="AU41" s="464" t="s">
        <v>2842</v>
      </c>
      <c r="AV41" s="29">
        <v>0.12659891494021</v>
      </c>
      <c r="AW41" s="29">
        <v>-5.1232554674726698E-2</v>
      </c>
      <c r="AX41" s="29">
        <v>-0.23899343497433401</v>
      </c>
      <c r="AY41" s="29">
        <v>0.24766539822603401</v>
      </c>
      <c r="AZ41" s="60">
        <v>-0.49327831391160298</v>
      </c>
    </row>
    <row r="42" spans="1:52" ht="15" customHeight="1">
      <c r="A42" s="35" t="s">
        <v>32</v>
      </c>
      <c r="B42" s="27">
        <v>2009</v>
      </c>
      <c r="C42" s="27" t="s">
        <v>33</v>
      </c>
      <c r="D42" s="39" t="s">
        <v>34</v>
      </c>
      <c r="E42" s="27" t="s">
        <v>19</v>
      </c>
      <c r="F42" s="41" t="s">
        <v>559</v>
      </c>
      <c r="G42" s="43"/>
      <c r="H42" s="43"/>
      <c r="I42" s="43"/>
      <c r="J42" s="43"/>
      <c r="K42" s="27"/>
      <c r="L42" s="28"/>
      <c r="M42" s="27"/>
      <c r="N42" s="27"/>
      <c r="O42" s="18">
        <f>SUM(O43:O49)</f>
        <v>88291824.949999988</v>
      </c>
      <c r="P42" s="213">
        <f>186100000/93.11</f>
        <v>1998711.2018043175</v>
      </c>
      <c r="Q42" s="213">
        <f>191700000/93.11</f>
        <v>2058855.1176028354</v>
      </c>
      <c r="R42" s="27"/>
      <c r="S42" s="27"/>
      <c r="T42" s="18"/>
      <c r="U42" s="29"/>
      <c r="V42" s="27"/>
      <c r="W42" s="30"/>
      <c r="X42" s="27">
        <v>36</v>
      </c>
      <c r="Y42" s="27" t="s">
        <v>630</v>
      </c>
      <c r="Z42" s="27">
        <v>32</v>
      </c>
      <c r="AA42" s="27">
        <v>16</v>
      </c>
      <c r="AB42" s="27" t="s">
        <v>3669</v>
      </c>
      <c r="AC42" s="273">
        <v>33298711.201804318</v>
      </c>
      <c r="AD42" s="27">
        <v>12044208085.864004</v>
      </c>
      <c r="AE42" s="228">
        <v>2.7647073983125725E-3</v>
      </c>
      <c r="AF42" s="27">
        <v>2941677382.8914247</v>
      </c>
      <c r="AG42" s="226">
        <v>1.1319633959681346E-2</v>
      </c>
      <c r="AH42" s="226">
        <v>6.5313833585405046E-2</v>
      </c>
      <c r="AI42" s="27">
        <v>356960000</v>
      </c>
      <c r="AJ42" s="226">
        <v>9.3284152851311961E-2</v>
      </c>
      <c r="AK42" s="27">
        <v>340049308.19241619</v>
      </c>
      <c r="AL42" s="226">
        <v>9.7923184666390536E-2</v>
      </c>
      <c r="AM42" s="27" t="s">
        <v>2842</v>
      </c>
      <c r="AN42" s="271" t="s">
        <v>2842</v>
      </c>
      <c r="AO42" s="27">
        <v>2884303</v>
      </c>
      <c r="AP42" s="27" t="s">
        <v>2842</v>
      </c>
      <c r="AQ42" s="27">
        <v>76.801878048780495</v>
      </c>
      <c r="AR42" s="27">
        <v>15.4</v>
      </c>
      <c r="AS42" s="29" t="s">
        <v>2842</v>
      </c>
      <c r="AT42" s="270">
        <v>33</v>
      </c>
      <c r="AU42" s="464" t="s">
        <v>2842</v>
      </c>
      <c r="AV42" s="29">
        <v>0.12659891494021</v>
      </c>
      <c r="AW42" s="29">
        <v>-5.1232554674726698E-2</v>
      </c>
      <c r="AX42" s="29">
        <v>-0.23899343497433401</v>
      </c>
      <c r="AY42" s="29">
        <v>0.24766539822603401</v>
      </c>
      <c r="AZ42" s="60">
        <v>-0.49327831391160298</v>
      </c>
    </row>
    <row r="43" spans="1:52" ht="15" customHeight="1">
      <c r="A43" s="35" t="s">
        <v>32</v>
      </c>
      <c r="B43" s="27">
        <v>2009</v>
      </c>
      <c r="C43" s="27" t="s">
        <v>33</v>
      </c>
      <c r="D43" s="39" t="s">
        <v>34</v>
      </c>
      <c r="E43" s="27" t="s">
        <v>19</v>
      </c>
      <c r="F43" s="41" t="s">
        <v>571</v>
      </c>
      <c r="G43" s="43">
        <v>283558</v>
      </c>
      <c r="H43" s="43"/>
      <c r="I43" s="43"/>
      <c r="J43" s="43"/>
      <c r="K43" s="27" t="s">
        <v>567</v>
      </c>
      <c r="L43" s="28">
        <v>227</v>
      </c>
      <c r="M43" s="27" t="s">
        <v>568</v>
      </c>
      <c r="N43" s="27" t="s">
        <v>631</v>
      </c>
      <c r="O43" s="18">
        <f>G43*L43</f>
        <v>64367666</v>
      </c>
      <c r="P43" s="213"/>
      <c r="Q43" s="213"/>
      <c r="R43" s="27"/>
      <c r="S43" s="27"/>
      <c r="T43" s="18"/>
      <c r="U43" s="27"/>
      <c r="V43" s="27"/>
      <c r="W43" s="30"/>
      <c r="X43" s="27">
        <v>28</v>
      </c>
      <c r="Y43" s="27" t="s">
        <v>632</v>
      </c>
      <c r="Z43" s="27">
        <v>23</v>
      </c>
      <c r="AA43" s="27"/>
      <c r="AB43" s="27"/>
      <c r="AC43" s="273">
        <v>33298711.201804318</v>
      </c>
      <c r="AD43" s="27">
        <v>12044208085.864004</v>
      </c>
      <c r="AE43" s="228">
        <v>2.7647073983125725E-3</v>
      </c>
      <c r="AF43" s="27">
        <v>2941677382.8914247</v>
      </c>
      <c r="AG43" s="226">
        <v>1.1319633959681346E-2</v>
      </c>
      <c r="AH43" s="226">
        <v>6.5313833585405046E-2</v>
      </c>
      <c r="AI43" s="27">
        <v>356960000</v>
      </c>
      <c r="AJ43" s="226">
        <v>9.3284152851311961E-2</v>
      </c>
      <c r="AK43" s="27">
        <v>340049308.19241619</v>
      </c>
      <c r="AL43" s="226">
        <v>9.7923184666390536E-2</v>
      </c>
      <c r="AM43" s="27" t="s">
        <v>2842</v>
      </c>
      <c r="AN43" s="271" t="s">
        <v>2842</v>
      </c>
      <c r="AO43" s="27">
        <v>2884303</v>
      </c>
      <c r="AP43" s="27" t="s">
        <v>2842</v>
      </c>
      <c r="AQ43" s="27">
        <v>76.801878048780495</v>
      </c>
      <c r="AR43" s="27">
        <v>15.4</v>
      </c>
      <c r="AS43" s="29" t="s">
        <v>2842</v>
      </c>
      <c r="AT43" s="270">
        <v>33</v>
      </c>
      <c r="AU43" s="464" t="s">
        <v>2842</v>
      </c>
      <c r="AV43" s="29">
        <v>0.12659891494021</v>
      </c>
      <c r="AW43" s="29">
        <v>-5.1232554674726698E-2</v>
      </c>
      <c r="AX43" s="29">
        <v>-0.23899343497433401</v>
      </c>
      <c r="AY43" s="29">
        <v>0.24766539822603401</v>
      </c>
      <c r="AZ43" s="60">
        <v>-0.49327831391160298</v>
      </c>
    </row>
    <row r="44" spans="1:52" ht="15" customHeight="1">
      <c r="A44" s="35" t="s">
        <v>32</v>
      </c>
      <c r="B44" s="27">
        <v>2009</v>
      </c>
      <c r="C44" s="27" t="s">
        <v>33</v>
      </c>
      <c r="D44" s="39" t="s">
        <v>34</v>
      </c>
      <c r="E44" s="27" t="s">
        <v>19</v>
      </c>
      <c r="F44" s="41" t="s">
        <v>576</v>
      </c>
      <c r="G44" s="43"/>
      <c r="H44" s="43"/>
      <c r="I44" s="43"/>
      <c r="J44" s="43"/>
      <c r="K44" s="27"/>
      <c r="L44" s="44">
        <v>5149.7385833333301</v>
      </c>
      <c r="M44" s="27" t="s">
        <v>568</v>
      </c>
      <c r="N44" s="27" t="s">
        <v>633</v>
      </c>
      <c r="O44" s="18">
        <f>G46*L44</f>
        <v>9269529.4499999937</v>
      </c>
      <c r="P44" s="213"/>
      <c r="Q44" s="213"/>
      <c r="R44" s="27"/>
      <c r="S44" s="27"/>
      <c r="T44" s="18"/>
      <c r="U44" s="27"/>
      <c r="V44" s="27"/>
      <c r="W44" s="30"/>
      <c r="X44" s="27">
        <v>3</v>
      </c>
      <c r="Y44" s="27" t="s">
        <v>634</v>
      </c>
      <c r="Z44" s="27">
        <v>3</v>
      </c>
      <c r="AA44" s="27"/>
      <c r="AB44" s="27"/>
      <c r="AC44" s="273">
        <v>33298711.201804318</v>
      </c>
      <c r="AD44" s="27">
        <v>12044208085.864004</v>
      </c>
      <c r="AE44" s="228">
        <v>2.7647073983125725E-3</v>
      </c>
      <c r="AF44" s="27">
        <v>2941677382.8914247</v>
      </c>
      <c r="AG44" s="226">
        <v>1.1319633959681346E-2</v>
      </c>
      <c r="AH44" s="226">
        <v>6.5313833585405046E-2</v>
      </c>
      <c r="AI44" s="27">
        <v>356960000</v>
      </c>
      <c r="AJ44" s="226">
        <v>9.3284152851311961E-2</v>
      </c>
      <c r="AK44" s="27">
        <v>340049308.19241619</v>
      </c>
      <c r="AL44" s="226">
        <v>9.7923184666390536E-2</v>
      </c>
      <c r="AM44" s="27" t="s">
        <v>2842</v>
      </c>
      <c r="AN44" s="271" t="s">
        <v>2842</v>
      </c>
      <c r="AO44" s="27">
        <v>2884303</v>
      </c>
      <c r="AP44" s="27" t="s">
        <v>2842</v>
      </c>
      <c r="AQ44" s="27">
        <v>76.801878048780495</v>
      </c>
      <c r="AR44" s="27">
        <v>15.4</v>
      </c>
      <c r="AS44" s="29" t="s">
        <v>2842</v>
      </c>
      <c r="AT44" s="270">
        <v>33</v>
      </c>
      <c r="AU44" s="464" t="s">
        <v>2842</v>
      </c>
      <c r="AV44" s="29">
        <v>0.12659891494021</v>
      </c>
      <c r="AW44" s="29">
        <v>-5.1232554674726698E-2</v>
      </c>
      <c r="AX44" s="29">
        <v>-0.23899343497433401</v>
      </c>
      <c r="AY44" s="29">
        <v>0.24766539822603401</v>
      </c>
      <c r="AZ44" s="60">
        <v>-0.49327831391160298</v>
      </c>
    </row>
    <row r="45" spans="1:52" ht="15" customHeight="1">
      <c r="A45" s="35" t="s">
        <v>32</v>
      </c>
      <c r="B45" s="27">
        <v>2009</v>
      </c>
      <c r="C45" s="27" t="s">
        <v>33</v>
      </c>
      <c r="D45" s="39" t="s">
        <v>34</v>
      </c>
      <c r="E45" s="27" t="s">
        <v>19</v>
      </c>
      <c r="F45" s="41" t="s">
        <v>635</v>
      </c>
      <c r="G45" s="43">
        <v>114286</v>
      </c>
      <c r="H45" s="43"/>
      <c r="I45" s="43"/>
      <c r="J45" s="43"/>
      <c r="K45" s="27" t="s">
        <v>567</v>
      </c>
      <c r="L45" s="28"/>
      <c r="M45" s="27"/>
      <c r="N45" s="27" t="s">
        <v>636</v>
      </c>
      <c r="O45" s="18"/>
      <c r="P45" s="213"/>
      <c r="Q45" s="213"/>
      <c r="R45" s="27"/>
      <c r="S45" s="27"/>
      <c r="T45" s="18"/>
      <c r="U45" s="27"/>
      <c r="V45" s="27"/>
      <c r="W45" s="30"/>
      <c r="X45" s="27"/>
      <c r="Y45" s="27"/>
      <c r="Z45" s="27"/>
      <c r="AA45" s="27"/>
      <c r="AB45" s="27"/>
      <c r="AC45" s="273">
        <v>33298711.201804318</v>
      </c>
      <c r="AD45" s="27">
        <v>12044208085.864004</v>
      </c>
      <c r="AE45" s="228">
        <v>2.7647073983125725E-3</v>
      </c>
      <c r="AF45" s="27">
        <v>2941677382.8914247</v>
      </c>
      <c r="AG45" s="226">
        <v>1.1319633959681346E-2</v>
      </c>
      <c r="AH45" s="226">
        <v>6.5313833585405046E-2</v>
      </c>
      <c r="AI45" s="27">
        <v>356960000</v>
      </c>
      <c r="AJ45" s="226">
        <v>9.3284152851311961E-2</v>
      </c>
      <c r="AK45" s="27">
        <v>340049308.19241619</v>
      </c>
      <c r="AL45" s="226">
        <v>9.7923184666390536E-2</v>
      </c>
      <c r="AM45" s="27" t="s">
        <v>2842</v>
      </c>
      <c r="AN45" s="271" t="s">
        <v>2842</v>
      </c>
      <c r="AO45" s="27">
        <v>2884303</v>
      </c>
      <c r="AP45" s="27" t="s">
        <v>2842</v>
      </c>
      <c r="AQ45" s="27">
        <v>76.801878048780495</v>
      </c>
      <c r="AR45" s="27">
        <v>15.4</v>
      </c>
      <c r="AS45" s="29" t="s">
        <v>2842</v>
      </c>
      <c r="AT45" s="270">
        <v>33</v>
      </c>
      <c r="AU45" s="464" t="s">
        <v>2842</v>
      </c>
      <c r="AV45" s="29">
        <v>0.12659891494021</v>
      </c>
      <c r="AW45" s="29">
        <v>-5.1232554674726698E-2</v>
      </c>
      <c r="AX45" s="29">
        <v>-0.23899343497433401</v>
      </c>
      <c r="AY45" s="29">
        <v>0.24766539822603401</v>
      </c>
      <c r="AZ45" s="60">
        <v>-0.49327831391160298</v>
      </c>
    </row>
    <row r="46" spans="1:52" ht="15" customHeight="1">
      <c r="A46" s="35" t="s">
        <v>32</v>
      </c>
      <c r="B46" s="27">
        <v>2009</v>
      </c>
      <c r="C46" s="27" t="s">
        <v>33</v>
      </c>
      <c r="D46" s="39" t="s">
        <v>34</v>
      </c>
      <c r="E46" s="27" t="s">
        <v>19</v>
      </c>
      <c r="F46" s="41" t="s">
        <v>637</v>
      </c>
      <c r="G46" s="43">
        <v>1800</v>
      </c>
      <c r="H46" s="43"/>
      <c r="I46" s="43"/>
      <c r="J46" s="43"/>
      <c r="K46" s="27" t="s">
        <v>567</v>
      </c>
      <c r="L46" s="28"/>
      <c r="M46" s="27"/>
      <c r="N46" s="27" t="s">
        <v>636</v>
      </c>
      <c r="O46" s="18"/>
      <c r="P46" s="213"/>
      <c r="Q46" s="213"/>
      <c r="R46" s="27"/>
      <c r="S46" s="27"/>
      <c r="T46" s="18"/>
      <c r="U46" s="27"/>
      <c r="V46" s="27"/>
      <c r="W46" s="30"/>
      <c r="X46" s="27"/>
      <c r="Y46" s="27"/>
      <c r="Z46" s="27"/>
      <c r="AA46" s="27"/>
      <c r="AB46" s="27"/>
      <c r="AC46" s="273">
        <v>33298711.201804318</v>
      </c>
      <c r="AD46" s="27">
        <v>12044208085.864004</v>
      </c>
      <c r="AE46" s="228">
        <v>2.7647073983125725E-3</v>
      </c>
      <c r="AF46" s="27">
        <v>2941677382.8914247</v>
      </c>
      <c r="AG46" s="226">
        <v>1.1319633959681346E-2</v>
      </c>
      <c r="AH46" s="226">
        <v>6.5313833585405046E-2</v>
      </c>
      <c r="AI46" s="27">
        <v>356960000</v>
      </c>
      <c r="AJ46" s="226">
        <v>9.3284152851311961E-2</v>
      </c>
      <c r="AK46" s="27">
        <v>340049308.19241619</v>
      </c>
      <c r="AL46" s="226">
        <v>9.7923184666390536E-2</v>
      </c>
      <c r="AM46" s="27" t="s">
        <v>2842</v>
      </c>
      <c r="AN46" s="271" t="s">
        <v>2842</v>
      </c>
      <c r="AO46" s="27">
        <v>2884303</v>
      </c>
      <c r="AP46" s="27" t="s">
        <v>2842</v>
      </c>
      <c r="AQ46" s="27">
        <v>76.801878048780495</v>
      </c>
      <c r="AR46" s="27">
        <v>15.4</v>
      </c>
      <c r="AS46" s="29" t="s">
        <v>2842</v>
      </c>
      <c r="AT46" s="270">
        <v>33</v>
      </c>
      <c r="AU46" s="464" t="s">
        <v>2842</v>
      </c>
      <c r="AV46" s="29">
        <v>0.12659891494021</v>
      </c>
      <c r="AW46" s="29">
        <v>-5.1232554674726698E-2</v>
      </c>
      <c r="AX46" s="29">
        <v>-0.23899343497433401</v>
      </c>
      <c r="AY46" s="29">
        <v>0.24766539822603401</v>
      </c>
      <c r="AZ46" s="60">
        <v>-0.49327831391160298</v>
      </c>
    </row>
    <row r="47" spans="1:52" ht="15" customHeight="1">
      <c r="A47" s="35" t="s">
        <v>32</v>
      </c>
      <c r="B47" s="27">
        <v>2009</v>
      </c>
      <c r="C47" s="27" t="s">
        <v>33</v>
      </c>
      <c r="D47" s="39" t="s">
        <v>34</v>
      </c>
      <c r="E47" s="27" t="s">
        <v>19</v>
      </c>
      <c r="F47" s="41" t="s">
        <v>638</v>
      </c>
      <c r="G47" s="43"/>
      <c r="H47" s="43"/>
      <c r="I47" s="43"/>
      <c r="J47" s="43"/>
      <c r="K47" s="27"/>
      <c r="L47" s="44">
        <v>14654.629499999999</v>
      </c>
      <c r="M47" s="27" t="s">
        <v>568</v>
      </c>
      <c r="N47" s="27" t="s">
        <v>639</v>
      </c>
      <c r="O47" s="18">
        <f>G49*L47</f>
        <v>14654629.5</v>
      </c>
      <c r="P47" s="213"/>
      <c r="Q47" s="213"/>
      <c r="R47" s="27"/>
      <c r="S47" s="27"/>
      <c r="T47" s="18"/>
      <c r="U47" s="27"/>
      <c r="V47" s="27"/>
      <c r="W47" s="30"/>
      <c r="X47" s="27">
        <v>7</v>
      </c>
      <c r="Y47" s="27" t="s">
        <v>640</v>
      </c>
      <c r="Z47" s="27">
        <v>6</v>
      </c>
      <c r="AA47" s="27"/>
      <c r="AB47" s="27"/>
      <c r="AC47" s="273">
        <v>33298711.201804318</v>
      </c>
      <c r="AD47" s="27">
        <v>12044208085.864004</v>
      </c>
      <c r="AE47" s="228">
        <v>2.7647073983125725E-3</v>
      </c>
      <c r="AF47" s="27">
        <v>2941677382.8914247</v>
      </c>
      <c r="AG47" s="226">
        <v>1.1319633959681346E-2</v>
      </c>
      <c r="AH47" s="226">
        <v>6.5313833585405046E-2</v>
      </c>
      <c r="AI47" s="27">
        <v>356960000</v>
      </c>
      <c r="AJ47" s="226">
        <v>9.3284152851311961E-2</v>
      </c>
      <c r="AK47" s="27">
        <v>340049308.19241619</v>
      </c>
      <c r="AL47" s="226">
        <v>9.7923184666390536E-2</v>
      </c>
      <c r="AM47" s="27" t="s">
        <v>2842</v>
      </c>
      <c r="AN47" s="271" t="s">
        <v>2842</v>
      </c>
      <c r="AO47" s="27">
        <v>2884303</v>
      </c>
      <c r="AP47" s="27" t="s">
        <v>2842</v>
      </c>
      <c r="AQ47" s="27">
        <v>76.801878048780495</v>
      </c>
      <c r="AR47" s="27">
        <v>15.4</v>
      </c>
      <c r="AS47" s="29" t="s">
        <v>2842</v>
      </c>
      <c r="AT47" s="270">
        <v>33</v>
      </c>
      <c r="AU47" s="464" t="s">
        <v>2842</v>
      </c>
      <c r="AV47" s="29">
        <v>0.12659891494021</v>
      </c>
      <c r="AW47" s="29">
        <v>-5.1232554674726698E-2</v>
      </c>
      <c r="AX47" s="29">
        <v>-0.23899343497433401</v>
      </c>
      <c r="AY47" s="29">
        <v>0.24766539822603401</v>
      </c>
      <c r="AZ47" s="60">
        <v>-0.49327831391160298</v>
      </c>
    </row>
    <row r="48" spans="1:52" ht="15" customHeight="1">
      <c r="A48" s="35" t="s">
        <v>32</v>
      </c>
      <c r="B48" s="27">
        <v>2009</v>
      </c>
      <c r="C48" s="27" t="s">
        <v>33</v>
      </c>
      <c r="D48" s="39" t="s">
        <v>34</v>
      </c>
      <c r="E48" s="27" t="s">
        <v>19</v>
      </c>
      <c r="F48" s="41" t="s">
        <v>641</v>
      </c>
      <c r="G48" s="43">
        <v>68840</v>
      </c>
      <c r="H48" s="43"/>
      <c r="I48" s="43"/>
      <c r="J48" s="43"/>
      <c r="K48" s="27" t="s">
        <v>567</v>
      </c>
      <c r="L48" s="28"/>
      <c r="M48" s="27"/>
      <c r="N48" s="27" t="s">
        <v>636</v>
      </c>
      <c r="O48" s="18"/>
      <c r="P48" s="213"/>
      <c r="Q48" s="213"/>
      <c r="R48" s="27"/>
      <c r="S48" s="27"/>
      <c r="T48" s="18"/>
      <c r="U48" s="27"/>
      <c r="V48" s="27"/>
      <c r="W48" s="30"/>
      <c r="X48" s="27"/>
      <c r="Y48" s="27"/>
      <c r="Z48" s="27"/>
      <c r="AA48" s="27"/>
      <c r="AB48" s="27"/>
      <c r="AC48" s="273">
        <v>33298711.201804318</v>
      </c>
      <c r="AD48" s="27">
        <v>12044208085.864004</v>
      </c>
      <c r="AE48" s="228">
        <v>2.7647073983125725E-3</v>
      </c>
      <c r="AF48" s="27">
        <v>2941677382.8914247</v>
      </c>
      <c r="AG48" s="226">
        <v>1.1319633959681346E-2</v>
      </c>
      <c r="AH48" s="226">
        <v>6.5313833585405046E-2</v>
      </c>
      <c r="AI48" s="27">
        <v>356960000</v>
      </c>
      <c r="AJ48" s="226">
        <v>9.3284152851311961E-2</v>
      </c>
      <c r="AK48" s="27">
        <v>340049308.19241619</v>
      </c>
      <c r="AL48" s="226">
        <v>9.7923184666390536E-2</v>
      </c>
      <c r="AM48" s="27" t="s">
        <v>2842</v>
      </c>
      <c r="AN48" s="271" t="s">
        <v>2842</v>
      </c>
      <c r="AO48" s="27">
        <v>2884303</v>
      </c>
      <c r="AP48" s="27" t="s">
        <v>2842</v>
      </c>
      <c r="AQ48" s="27">
        <v>76.801878048780495</v>
      </c>
      <c r="AR48" s="27">
        <v>15.4</v>
      </c>
      <c r="AS48" s="29" t="s">
        <v>2842</v>
      </c>
      <c r="AT48" s="270">
        <v>33</v>
      </c>
      <c r="AU48" s="464" t="s">
        <v>2842</v>
      </c>
      <c r="AV48" s="29">
        <v>0.12659891494021</v>
      </c>
      <c r="AW48" s="29">
        <v>-5.1232554674726698E-2</v>
      </c>
      <c r="AX48" s="29">
        <v>-0.23899343497433401</v>
      </c>
      <c r="AY48" s="29">
        <v>0.24766539822603401</v>
      </c>
      <c r="AZ48" s="60">
        <v>-0.49327831391160298</v>
      </c>
    </row>
    <row r="49" spans="1:52" s="287" customFormat="1" ht="15" customHeight="1">
      <c r="A49" s="172" t="s">
        <v>32</v>
      </c>
      <c r="B49" s="284">
        <v>2009</v>
      </c>
      <c r="C49" s="284" t="s">
        <v>33</v>
      </c>
      <c r="D49" s="314" t="s">
        <v>34</v>
      </c>
      <c r="E49" s="284" t="s">
        <v>19</v>
      </c>
      <c r="F49" s="315" t="s">
        <v>642</v>
      </c>
      <c r="G49" s="303">
        <v>1000</v>
      </c>
      <c r="H49" s="303"/>
      <c r="I49" s="303"/>
      <c r="J49" s="303"/>
      <c r="K49" s="284" t="s">
        <v>567</v>
      </c>
      <c r="L49" s="304"/>
      <c r="M49" s="284"/>
      <c r="N49" s="284" t="s">
        <v>636</v>
      </c>
      <c r="O49" s="305"/>
      <c r="P49" s="306"/>
      <c r="Q49" s="306"/>
      <c r="R49" s="284"/>
      <c r="S49" s="284"/>
      <c r="T49" s="305"/>
      <c r="U49" s="284"/>
      <c r="V49" s="284"/>
      <c r="W49" s="307"/>
      <c r="X49" s="284"/>
      <c r="Y49" s="284"/>
      <c r="Z49" s="284"/>
      <c r="AA49" s="284"/>
      <c r="AB49" s="284"/>
      <c r="AC49" s="308">
        <v>33298711.201804318</v>
      </c>
      <c r="AD49" s="284">
        <v>12044208085.864004</v>
      </c>
      <c r="AE49" s="309">
        <v>2.7647073983125725E-3</v>
      </c>
      <c r="AF49" s="284">
        <v>2941677382.8914247</v>
      </c>
      <c r="AG49" s="310">
        <v>1.1319633959681346E-2</v>
      </c>
      <c r="AH49" s="310">
        <v>6.5313833585405046E-2</v>
      </c>
      <c r="AI49" s="284">
        <v>356960000</v>
      </c>
      <c r="AJ49" s="310">
        <v>9.3284152851311961E-2</v>
      </c>
      <c r="AK49" s="284">
        <v>340049308.19241619</v>
      </c>
      <c r="AL49" s="310">
        <v>9.7923184666390536E-2</v>
      </c>
      <c r="AM49" s="284" t="s">
        <v>2842</v>
      </c>
      <c r="AN49" s="311" t="s">
        <v>2842</v>
      </c>
      <c r="AO49" s="284">
        <v>2884303</v>
      </c>
      <c r="AP49" s="284" t="s">
        <v>2842</v>
      </c>
      <c r="AQ49" s="284">
        <v>76.801878048780495</v>
      </c>
      <c r="AR49" s="284">
        <v>15.4</v>
      </c>
      <c r="AS49" s="287" t="s">
        <v>2842</v>
      </c>
      <c r="AT49" s="312">
        <v>33</v>
      </c>
      <c r="AU49" s="465" t="s">
        <v>2842</v>
      </c>
      <c r="AV49" s="287">
        <v>0.12659891494021</v>
      </c>
      <c r="AW49" s="287">
        <v>-5.1232554674726698E-2</v>
      </c>
      <c r="AX49" s="287">
        <v>-0.23899343497433401</v>
      </c>
      <c r="AY49" s="287">
        <v>0.24766539822603401</v>
      </c>
      <c r="AZ49" s="313">
        <v>-0.49327831391160298</v>
      </c>
    </row>
    <row r="50" spans="1:52" s="29" customFormat="1" ht="15" customHeight="1">
      <c r="A50" s="294" t="s">
        <v>38</v>
      </c>
      <c r="B50" s="27">
        <v>2010</v>
      </c>
      <c r="C50" s="27" t="s">
        <v>33</v>
      </c>
      <c r="D50" s="39" t="s">
        <v>34</v>
      </c>
      <c r="E50" s="27" t="s">
        <v>36</v>
      </c>
      <c r="F50" s="41" t="s">
        <v>617</v>
      </c>
      <c r="G50" s="43"/>
      <c r="H50" s="43"/>
      <c r="I50" s="43"/>
      <c r="J50" s="43"/>
      <c r="K50" s="27"/>
      <c r="L50" s="28"/>
      <c r="M50" s="27"/>
      <c r="N50" s="27"/>
      <c r="O50" s="18">
        <f>O51+O52</f>
        <v>493928693.16890663</v>
      </c>
      <c r="P50" s="213">
        <v>62819643</v>
      </c>
      <c r="Q50" s="213">
        <v>61621520</v>
      </c>
      <c r="R50" s="27" t="s">
        <v>619</v>
      </c>
      <c r="S50" s="27"/>
      <c r="T50" s="42"/>
      <c r="U50" s="29" t="s">
        <v>643</v>
      </c>
      <c r="V50" s="27" t="s">
        <v>620</v>
      </c>
      <c r="W50" s="30">
        <v>102.17</v>
      </c>
      <c r="X50" s="27">
        <v>69</v>
      </c>
      <c r="Y50" s="27" t="s">
        <v>644</v>
      </c>
      <c r="Z50" s="27">
        <v>62</v>
      </c>
      <c r="AA50" s="27" t="s">
        <v>645</v>
      </c>
      <c r="AB50" s="27" t="s">
        <v>646</v>
      </c>
      <c r="AC50" s="273">
        <v>62819643</v>
      </c>
      <c r="AD50" s="27">
        <v>11926957254.628792</v>
      </c>
      <c r="AE50" s="228">
        <v>5.2670301116087273E-3</v>
      </c>
      <c r="AF50" s="27">
        <v>2968738930.2496524</v>
      </c>
      <c r="AG50" s="226">
        <v>2.1160379701935347E-2</v>
      </c>
      <c r="AH50" s="226">
        <v>0.12340212445172734</v>
      </c>
      <c r="AI50" s="27">
        <v>340700000</v>
      </c>
      <c r="AJ50" s="226">
        <v>0.18438404167889638</v>
      </c>
      <c r="AK50" s="27">
        <v>299570712.700598</v>
      </c>
      <c r="AL50" s="226">
        <v>0.20969888021992411</v>
      </c>
      <c r="AM50" s="27" t="s">
        <v>2842</v>
      </c>
      <c r="AN50" s="271" t="s">
        <v>2842</v>
      </c>
      <c r="AO50" s="27">
        <v>2856673</v>
      </c>
      <c r="AP50" s="27" t="s">
        <v>2842</v>
      </c>
      <c r="AQ50" s="27">
        <v>76.978512195121951</v>
      </c>
      <c r="AR50" s="27">
        <v>14.8</v>
      </c>
      <c r="AS50" s="29" t="s">
        <v>2842</v>
      </c>
      <c r="AT50" s="270">
        <v>33</v>
      </c>
      <c r="AU50" s="464" t="s">
        <v>2842</v>
      </c>
      <c r="AV50" s="29">
        <v>0.11205761285367399</v>
      </c>
      <c r="AW50" s="29">
        <v>-0.19131423887818599</v>
      </c>
      <c r="AX50" s="29">
        <v>-0.27142752356988198</v>
      </c>
      <c r="AY50" s="29">
        <v>0.23225209582522999</v>
      </c>
      <c r="AZ50" s="60">
        <v>-0.48857776519914198</v>
      </c>
    </row>
    <row r="51" spans="1:52" s="29" customFormat="1" ht="15" customHeight="1">
      <c r="A51" s="35" t="s">
        <v>38</v>
      </c>
      <c r="B51" s="27">
        <v>2010</v>
      </c>
      <c r="C51" s="27" t="s">
        <v>33</v>
      </c>
      <c r="D51" s="39" t="s">
        <v>34</v>
      </c>
      <c r="E51" s="27" t="s">
        <v>98</v>
      </c>
      <c r="F51" s="41" t="s">
        <v>98</v>
      </c>
      <c r="G51" s="43">
        <v>5475000</v>
      </c>
      <c r="H51" s="43">
        <v>5475000</v>
      </c>
      <c r="I51" s="43"/>
      <c r="J51" s="43"/>
      <c r="K51" s="27" t="s">
        <v>603</v>
      </c>
      <c r="L51" s="28">
        <f>79.511386935*0.6535</f>
        <v>51.960691362022501</v>
      </c>
      <c r="M51" s="27" t="s">
        <v>626</v>
      </c>
      <c r="N51" s="27" t="s">
        <v>627</v>
      </c>
      <c r="O51" s="18">
        <f>G51*L51</f>
        <v>284484785.20707321</v>
      </c>
      <c r="P51" s="213">
        <v>56845833</v>
      </c>
      <c r="Q51" s="213">
        <v>55623141</v>
      </c>
      <c r="R51" s="27"/>
      <c r="S51" s="27"/>
      <c r="T51" s="42"/>
      <c r="U51" s="27"/>
      <c r="V51" s="27"/>
      <c r="W51" s="30"/>
      <c r="X51" s="27">
        <v>9</v>
      </c>
      <c r="Y51" s="27" t="s">
        <v>647</v>
      </c>
      <c r="Z51" s="27">
        <v>8</v>
      </c>
      <c r="AA51" s="27" t="s">
        <v>648</v>
      </c>
      <c r="AB51" s="27"/>
      <c r="AC51" s="273">
        <v>62819643</v>
      </c>
      <c r="AD51" s="27">
        <v>11926957254.628792</v>
      </c>
      <c r="AE51" s="228">
        <v>5.2670301116087273E-3</v>
      </c>
      <c r="AF51" s="27">
        <v>2968738930.2496524</v>
      </c>
      <c r="AG51" s="226">
        <v>2.1160379701935347E-2</v>
      </c>
      <c r="AH51" s="226">
        <v>0.12340212445172734</v>
      </c>
      <c r="AI51" s="27">
        <v>340700000</v>
      </c>
      <c r="AJ51" s="226">
        <v>0.18438404167889638</v>
      </c>
      <c r="AK51" s="27">
        <v>299570712.700598</v>
      </c>
      <c r="AL51" s="226">
        <v>0.20969888021992411</v>
      </c>
      <c r="AM51" s="27" t="s">
        <v>2842</v>
      </c>
      <c r="AN51" s="271" t="s">
        <v>2842</v>
      </c>
      <c r="AO51" s="27">
        <v>2856673</v>
      </c>
      <c r="AP51" s="27" t="s">
        <v>2842</v>
      </c>
      <c r="AQ51" s="27">
        <v>76.978512195121951</v>
      </c>
      <c r="AR51" s="27">
        <v>14.8</v>
      </c>
      <c r="AS51" s="29" t="s">
        <v>2842</v>
      </c>
      <c r="AT51" s="270">
        <v>33</v>
      </c>
      <c r="AU51" s="464" t="s">
        <v>2842</v>
      </c>
      <c r="AV51" s="29">
        <v>0.11205761285367399</v>
      </c>
      <c r="AW51" s="29">
        <v>-0.19131423887818599</v>
      </c>
      <c r="AX51" s="29">
        <v>-0.27142752356988198</v>
      </c>
      <c r="AY51" s="29">
        <v>0.23225209582522999</v>
      </c>
      <c r="AZ51" s="60">
        <v>-0.48857776519914198</v>
      </c>
    </row>
    <row r="52" spans="1:52" s="29" customFormat="1" ht="15" customHeight="1">
      <c r="A52" s="35" t="s">
        <v>38</v>
      </c>
      <c r="B52" s="27">
        <v>2010</v>
      </c>
      <c r="C52" s="27" t="s">
        <v>33</v>
      </c>
      <c r="D52" s="39" t="s">
        <v>34</v>
      </c>
      <c r="E52" s="27" t="s">
        <v>19</v>
      </c>
      <c r="F52" s="41" t="s">
        <v>559</v>
      </c>
      <c r="G52" s="43"/>
      <c r="H52" s="43"/>
      <c r="I52" s="43"/>
      <c r="J52" s="43"/>
      <c r="K52" s="27"/>
      <c r="L52" s="28"/>
      <c r="M52" s="27"/>
      <c r="N52" s="27"/>
      <c r="O52" s="18">
        <f>SUM(O53:O60)</f>
        <v>209443907.96183342</v>
      </c>
      <c r="P52" s="213">
        <v>5973810</v>
      </c>
      <c r="Q52" s="213">
        <v>5998379</v>
      </c>
      <c r="R52" s="27"/>
      <c r="S52" s="27"/>
      <c r="T52" s="18"/>
      <c r="U52" s="27"/>
      <c r="V52" s="27"/>
      <c r="W52" s="30"/>
      <c r="X52" s="27">
        <v>60</v>
      </c>
      <c r="Y52" s="27" t="s">
        <v>649</v>
      </c>
      <c r="Z52" s="27">
        <v>54</v>
      </c>
      <c r="AA52" s="27">
        <v>15</v>
      </c>
      <c r="AB52" s="27" t="s">
        <v>3667</v>
      </c>
      <c r="AC52" s="273">
        <v>62819643</v>
      </c>
      <c r="AD52" s="27">
        <v>11926957254.628792</v>
      </c>
      <c r="AE52" s="228">
        <v>5.2670301116087273E-3</v>
      </c>
      <c r="AF52" s="27">
        <v>2968738930.2496524</v>
      </c>
      <c r="AG52" s="226">
        <v>2.1160379701935347E-2</v>
      </c>
      <c r="AH52" s="226">
        <v>0.12340212445172734</v>
      </c>
      <c r="AI52" s="27">
        <v>340700000</v>
      </c>
      <c r="AJ52" s="226">
        <v>0.18438404167889638</v>
      </c>
      <c r="AK52" s="27">
        <v>299570712.700598</v>
      </c>
      <c r="AL52" s="226">
        <v>0.20969888021992411</v>
      </c>
      <c r="AM52" s="27" t="s">
        <v>2842</v>
      </c>
      <c r="AN52" s="271" t="s">
        <v>2842</v>
      </c>
      <c r="AO52" s="27">
        <v>2856673</v>
      </c>
      <c r="AP52" s="27" t="s">
        <v>2842</v>
      </c>
      <c r="AQ52" s="27">
        <v>76.978512195121951</v>
      </c>
      <c r="AR52" s="27">
        <v>14.8</v>
      </c>
      <c r="AS52" s="29" t="s">
        <v>2842</v>
      </c>
      <c r="AT52" s="270">
        <v>33</v>
      </c>
      <c r="AU52" s="464" t="s">
        <v>2842</v>
      </c>
      <c r="AV52" s="29">
        <v>0.11205761285367399</v>
      </c>
      <c r="AW52" s="29">
        <v>-0.19131423887818599</v>
      </c>
      <c r="AX52" s="29">
        <v>-0.27142752356988198</v>
      </c>
      <c r="AY52" s="29">
        <v>0.23225209582522999</v>
      </c>
      <c r="AZ52" s="60">
        <v>-0.48857776519914198</v>
      </c>
    </row>
    <row r="53" spans="1:52" s="29" customFormat="1" ht="15" customHeight="1">
      <c r="A53" s="35" t="s">
        <v>38</v>
      </c>
      <c r="B53" s="27">
        <v>2010</v>
      </c>
      <c r="C53" s="27" t="s">
        <v>33</v>
      </c>
      <c r="D53" s="39" t="s">
        <v>34</v>
      </c>
      <c r="E53" s="27" t="s">
        <v>19</v>
      </c>
      <c r="F53" s="41" t="s">
        <v>571</v>
      </c>
      <c r="G53" s="43">
        <v>328322</v>
      </c>
      <c r="H53" s="197">
        <v>330000</v>
      </c>
      <c r="I53" s="197"/>
      <c r="J53" s="197"/>
      <c r="K53" s="27" t="s">
        <v>567</v>
      </c>
      <c r="L53" s="28">
        <v>212</v>
      </c>
      <c r="M53" s="27" t="s">
        <v>568</v>
      </c>
      <c r="N53" s="27" t="s">
        <v>631</v>
      </c>
      <c r="O53" s="18">
        <f>G53*L53</f>
        <v>69604264</v>
      </c>
      <c r="P53" s="213"/>
      <c r="Q53" s="213"/>
      <c r="R53" s="27"/>
      <c r="S53" s="27"/>
      <c r="T53" s="18"/>
      <c r="U53" s="27"/>
      <c r="V53" s="27"/>
      <c r="W53" s="30"/>
      <c r="X53" s="27">
        <v>38</v>
      </c>
      <c r="Y53" s="27" t="s">
        <v>650</v>
      </c>
      <c r="Z53" s="27">
        <v>34</v>
      </c>
      <c r="AA53" s="27">
        <v>8</v>
      </c>
      <c r="AB53" s="27" t="s">
        <v>3668</v>
      </c>
      <c r="AC53" s="273">
        <v>62819643</v>
      </c>
      <c r="AD53" s="27">
        <v>11926957254.628792</v>
      </c>
      <c r="AE53" s="228">
        <v>5.2670301116087273E-3</v>
      </c>
      <c r="AF53" s="27">
        <v>2968738930.2496524</v>
      </c>
      <c r="AG53" s="226">
        <v>2.1160379701935347E-2</v>
      </c>
      <c r="AH53" s="226">
        <v>0.12340212445172734</v>
      </c>
      <c r="AI53" s="27">
        <v>340700000</v>
      </c>
      <c r="AJ53" s="226">
        <v>0.18438404167889638</v>
      </c>
      <c r="AK53" s="27">
        <v>299570712.700598</v>
      </c>
      <c r="AL53" s="226">
        <v>0.20969888021992411</v>
      </c>
      <c r="AM53" s="27" t="s">
        <v>2842</v>
      </c>
      <c r="AN53" s="271" t="s">
        <v>2842</v>
      </c>
      <c r="AO53" s="27">
        <v>2856673</v>
      </c>
      <c r="AP53" s="27" t="s">
        <v>2842</v>
      </c>
      <c r="AQ53" s="27">
        <v>76.978512195121951</v>
      </c>
      <c r="AR53" s="27">
        <v>14.8</v>
      </c>
      <c r="AS53" s="29" t="s">
        <v>2842</v>
      </c>
      <c r="AT53" s="270">
        <v>33</v>
      </c>
      <c r="AU53" s="464" t="s">
        <v>2842</v>
      </c>
      <c r="AV53" s="29">
        <v>0.11205761285367399</v>
      </c>
      <c r="AW53" s="29">
        <v>-0.19131423887818599</v>
      </c>
      <c r="AX53" s="29">
        <v>-0.27142752356988198</v>
      </c>
      <c r="AY53" s="29">
        <v>0.23225209582522999</v>
      </c>
      <c r="AZ53" s="60">
        <v>-0.48857776519914198</v>
      </c>
    </row>
    <row r="54" spans="1:52" s="29" customFormat="1" ht="15" customHeight="1">
      <c r="A54" s="35" t="s">
        <v>38</v>
      </c>
      <c r="B54" s="27">
        <v>2010</v>
      </c>
      <c r="C54" s="27" t="s">
        <v>33</v>
      </c>
      <c r="D54" s="39" t="s">
        <v>34</v>
      </c>
      <c r="E54" s="27" t="s">
        <v>19</v>
      </c>
      <c r="F54" s="41" t="s">
        <v>576</v>
      </c>
      <c r="G54" s="43"/>
      <c r="H54" s="197">
        <v>140000</v>
      </c>
      <c r="I54" s="197"/>
      <c r="J54" s="197"/>
      <c r="K54" s="27" t="s">
        <v>567</v>
      </c>
      <c r="L54" s="44">
        <v>7534.7795833333303</v>
      </c>
      <c r="M54" s="27" t="s">
        <v>568</v>
      </c>
      <c r="N54" s="27" t="s">
        <v>633</v>
      </c>
      <c r="O54" s="18">
        <f>G56*L54</f>
        <v>16576515.083333327</v>
      </c>
      <c r="P54" s="213"/>
      <c r="Q54" s="213"/>
      <c r="R54" s="27"/>
      <c r="S54" s="27"/>
      <c r="T54" s="18"/>
      <c r="U54" s="27"/>
      <c r="V54" s="27"/>
      <c r="W54" s="30"/>
      <c r="X54" s="27">
        <v>4</v>
      </c>
      <c r="Y54" s="27" t="s">
        <v>651</v>
      </c>
      <c r="Z54" s="27">
        <v>3</v>
      </c>
      <c r="AA54" s="27">
        <v>8</v>
      </c>
      <c r="AB54" s="27"/>
      <c r="AC54" s="273">
        <v>62819643</v>
      </c>
      <c r="AD54" s="27">
        <v>11926957254.628792</v>
      </c>
      <c r="AE54" s="228">
        <v>5.2670301116087273E-3</v>
      </c>
      <c r="AF54" s="27">
        <v>2968738930.2496524</v>
      </c>
      <c r="AG54" s="226">
        <v>2.1160379701935347E-2</v>
      </c>
      <c r="AH54" s="226">
        <v>0.12340212445172734</v>
      </c>
      <c r="AI54" s="27">
        <v>340700000</v>
      </c>
      <c r="AJ54" s="226">
        <v>0.18438404167889638</v>
      </c>
      <c r="AK54" s="27">
        <v>299570712.700598</v>
      </c>
      <c r="AL54" s="226">
        <v>0.20969888021992411</v>
      </c>
      <c r="AM54" s="27" t="s">
        <v>2842</v>
      </c>
      <c r="AN54" s="271" t="s">
        <v>2842</v>
      </c>
      <c r="AO54" s="27">
        <v>2856673</v>
      </c>
      <c r="AP54" s="27" t="s">
        <v>2842</v>
      </c>
      <c r="AQ54" s="27">
        <v>76.978512195121951</v>
      </c>
      <c r="AR54" s="27">
        <v>14.8</v>
      </c>
      <c r="AS54" s="29" t="s">
        <v>2842</v>
      </c>
      <c r="AT54" s="270">
        <v>33</v>
      </c>
      <c r="AU54" s="464" t="s">
        <v>2842</v>
      </c>
      <c r="AV54" s="29">
        <v>0.11205761285367399</v>
      </c>
      <c r="AW54" s="29">
        <v>-0.19131423887818599</v>
      </c>
      <c r="AX54" s="29">
        <v>-0.27142752356988198</v>
      </c>
      <c r="AY54" s="29">
        <v>0.23225209582522999</v>
      </c>
      <c r="AZ54" s="60">
        <v>-0.48857776519914198</v>
      </c>
    </row>
    <row r="55" spans="1:52" s="29" customFormat="1" ht="15" customHeight="1">
      <c r="A55" s="35" t="s">
        <v>38</v>
      </c>
      <c r="B55" s="27">
        <v>2010</v>
      </c>
      <c r="C55" s="27" t="s">
        <v>33</v>
      </c>
      <c r="D55" s="39" t="s">
        <v>34</v>
      </c>
      <c r="E55" s="27" t="s">
        <v>19</v>
      </c>
      <c r="F55" s="41" t="s">
        <v>635</v>
      </c>
      <c r="G55" s="43">
        <v>139926</v>
      </c>
      <c r="H55" s="43"/>
      <c r="I55" s="43"/>
      <c r="J55" s="43"/>
      <c r="K55" s="27" t="s">
        <v>567</v>
      </c>
      <c r="L55" s="28"/>
      <c r="M55" s="27"/>
      <c r="N55" s="27" t="s">
        <v>636</v>
      </c>
      <c r="O55" s="18"/>
      <c r="P55" s="213"/>
      <c r="Q55" s="213"/>
      <c r="R55" s="27"/>
      <c r="S55" s="27"/>
      <c r="T55" s="18"/>
      <c r="U55" s="27"/>
      <c r="V55" s="27"/>
      <c r="W55" s="30"/>
      <c r="X55" s="27"/>
      <c r="Y55" s="27"/>
      <c r="Z55" s="27"/>
      <c r="AA55" s="27"/>
      <c r="AB55" s="27"/>
      <c r="AC55" s="273">
        <v>62819643</v>
      </c>
      <c r="AD55" s="27">
        <v>11926957254.628792</v>
      </c>
      <c r="AE55" s="228">
        <v>5.2670301116087273E-3</v>
      </c>
      <c r="AF55" s="27">
        <v>2968738930.2496524</v>
      </c>
      <c r="AG55" s="226">
        <v>2.1160379701935347E-2</v>
      </c>
      <c r="AH55" s="226">
        <v>0.12340212445172734</v>
      </c>
      <c r="AI55" s="27">
        <v>340700000</v>
      </c>
      <c r="AJ55" s="226">
        <v>0.18438404167889638</v>
      </c>
      <c r="AK55" s="27">
        <v>299570712.700598</v>
      </c>
      <c r="AL55" s="226">
        <v>0.20969888021992411</v>
      </c>
      <c r="AM55" s="27" t="s">
        <v>2842</v>
      </c>
      <c r="AN55" s="271" t="s">
        <v>2842</v>
      </c>
      <c r="AO55" s="27">
        <v>2856673</v>
      </c>
      <c r="AP55" s="27" t="s">
        <v>2842</v>
      </c>
      <c r="AQ55" s="27">
        <v>76.978512195121951</v>
      </c>
      <c r="AR55" s="27">
        <v>14.8</v>
      </c>
      <c r="AS55" s="29" t="s">
        <v>2842</v>
      </c>
      <c r="AT55" s="270">
        <v>33</v>
      </c>
      <c r="AU55" s="464" t="s">
        <v>2842</v>
      </c>
      <c r="AV55" s="29">
        <v>0.11205761285367399</v>
      </c>
      <c r="AW55" s="29">
        <v>-0.19131423887818599</v>
      </c>
      <c r="AX55" s="29">
        <v>-0.27142752356988198</v>
      </c>
      <c r="AY55" s="29">
        <v>0.23225209582522999</v>
      </c>
      <c r="AZ55" s="60">
        <v>-0.48857776519914198</v>
      </c>
    </row>
    <row r="56" spans="1:52" s="29" customFormat="1" ht="15" customHeight="1">
      <c r="A56" s="35" t="s">
        <v>38</v>
      </c>
      <c r="B56" s="27">
        <v>2010</v>
      </c>
      <c r="C56" s="27" t="s">
        <v>33</v>
      </c>
      <c r="D56" s="39" t="s">
        <v>34</v>
      </c>
      <c r="E56" s="27" t="s">
        <v>19</v>
      </c>
      <c r="F56" s="41" t="s">
        <v>652</v>
      </c>
      <c r="G56" s="43">
        <v>2200</v>
      </c>
      <c r="H56" s="43"/>
      <c r="I56" s="43"/>
      <c r="J56" s="43"/>
      <c r="K56" s="27" t="s">
        <v>567</v>
      </c>
      <c r="L56" s="28"/>
      <c r="M56" s="27"/>
      <c r="N56" s="27" t="s">
        <v>636</v>
      </c>
      <c r="O56" s="18"/>
      <c r="P56" s="213"/>
      <c r="Q56" s="213"/>
      <c r="R56" s="27"/>
      <c r="S56" s="27"/>
      <c r="T56" s="18"/>
      <c r="U56" s="27"/>
      <c r="V56" s="27"/>
      <c r="W56" s="30"/>
      <c r="X56" s="27"/>
      <c r="Y56" s="27"/>
      <c r="Z56" s="27"/>
      <c r="AA56" s="27"/>
      <c r="AB56" s="27"/>
      <c r="AC56" s="273">
        <v>62819643</v>
      </c>
      <c r="AD56" s="27">
        <v>11926957254.628792</v>
      </c>
      <c r="AE56" s="228">
        <v>5.2670301116087273E-3</v>
      </c>
      <c r="AF56" s="27">
        <v>2968738930.2496524</v>
      </c>
      <c r="AG56" s="226">
        <v>2.1160379701935347E-2</v>
      </c>
      <c r="AH56" s="226">
        <v>0.12340212445172734</v>
      </c>
      <c r="AI56" s="27">
        <v>340700000</v>
      </c>
      <c r="AJ56" s="226">
        <v>0.18438404167889638</v>
      </c>
      <c r="AK56" s="27">
        <v>299570712.700598</v>
      </c>
      <c r="AL56" s="226">
        <v>0.20969888021992411</v>
      </c>
      <c r="AM56" s="27" t="s">
        <v>2842</v>
      </c>
      <c r="AN56" s="271" t="s">
        <v>2842</v>
      </c>
      <c r="AO56" s="27">
        <v>2856673</v>
      </c>
      <c r="AP56" s="27" t="s">
        <v>2842</v>
      </c>
      <c r="AQ56" s="27">
        <v>76.978512195121951</v>
      </c>
      <c r="AR56" s="27">
        <v>14.8</v>
      </c>
      <c r="AS56" s="29" t="s">
        <v>2842</v>
      </c>
      <c r="AT56" s="270">
        <v>33</v>
      </c>
      <c r="AU56" s="464" t="s">
        <v>2842</v>
      </c>
      <c r="AV56" s="29">
        <v>0.11205761285367399</v>
      </c>
      <c r="AW56" s="29">
        <v>-0.19131423887818599</v>
      </c>
      <c r="AX56" s="29">
        <v>-0.27142752356988198</v>
      </c>
      <c r="AY56" s="29">
        <v>0.23225209582522999</v>
      </c>
      <c r="AZ56" s="60">
        <v>-0.48857776519914198</v>
      </c>
    </row>
    <row r="57" spans="1:52" s="29" customFormat="1" ht="15" customHeight="1">
      <c r="A57" s="35" t="s">
        <v>38</v>
      </c>
      <c r="B57" s="27">
        <v>2010</v>
      </c>
      <c r="C57" s="27" t="s">
        <v>33</v>
      </c>
      <c r="D57" s="39" t="s">
        <v>34</v>
      </c>
      <c r="E57" s="27" t="s">
        <v>19</v>
      </c>
      <c r="F57" s="41" t="s">
        <v>653</v>
      </c>
      <c r="G57" s="43">
        <f>2363445*2.71</f>
        <v>6404935.9500000002</v>
      </c>
      <c r="H57" s="197"/>
      <c r="I57" s="197"/>
      <c r="J57" s="197"/>
      <c r="K57" s="27" t="s">
        <v>567</v>
      </c>
      <c r="L57" s="28">
        <v>9.0299999999999994</v>
      </c>
      <c r="M57" s="27" t="s">
        <v>568</v>
      </c>
      <c r="N57" s="27" t="s">
        <v>654</v>
      </c>
      <c r="O57" s="18">
        <f>G57*L57</f>
        <v>57836571.6285</v>
      </c>
      <c r="P57" s="213"/>
      <c r="Q57" s="213"/>
      <c r="R57" s="27"/>
      <c r="S57" s="27"/>
      <c r="T57" s="18"/>
      <c r="U57" s="27"/>
      <c r="V57" s="27"/>
      <c r="W57" s="30"/>
      <c r="X57" s="27">
        <v>9</v>
      </c>
      <c r="Y57" s="27" t="s">
        <v>655</v>
      </c>
      <c r="Z57" s="27">
        <v>9</v>
      </c>
      <c r="AA57" s="27">
        <v>8</v>
      </c>
      <c r="AB57" s="27" t="s">
        <v>656</v>
      </c>
      <c r="AC57" s="273">
        <v>62819643</v>
      </c>
      <c r="AD57" s="27">
        <v>11926957254.628792</v>
      </c>
      <c r="AE57" s="228">
        <v>5.2670301116087273E-3</v>
      </c>
      <c r="AF57" s="27">
        <v>2968738930.2496524</v>
      </c>
      <c r="AG57" s="226">
        <v>2.1160379701935347E-2</v>
      </c>
      <c r="AH57" s="226">
        <v>0.12340212445172734</v>
      </c>
      <c r="AI57" s="27">
        <v>340700000</v>
      </c>
      <c r="AJ57" s="226">
        <v>0.18438404167889638</v>
      </c>
      <c r="AK57" s="27">
        <v>299570712.700598</v>
      </c>
      <c r="AL57" s="226">
        <v>0.20969888021992411</v>
      </c>
      <c r="AM57" s="27" t="s">
        <v>2842</v>
      </c>
      <c r="AN57" s="271" t="s">
        <v>2842</v>
      </c>
      <c r="AO57" s="27">
        <v>2856673</v>
      </c>
      <c r="AP57" s="27" t="s">
        <v>2842</v>
      </c>
      <c r="AQ57" s="27">
        <v>76.978512195121951</v>
      </c>
      <c r="AR57" s="27">
        <v>14.8</v>
      </c>
      <c r="AS57" s="29" t="s">
        <v>2842</v>
      </c>
      <c r="AT57" s="270">
        <v>33</v>
      </c>
      <c r="AU57" s="464" t="s">
        <v>2842</v>
      </c>
      <c r="AV57" s="29">
        <v>0.11205761285367399</v>
      </c>
      <c r="AW57" s="29">
        <v>-0.19131423887818599</v>
      </c>
      <c r="AX57" s="29">
        <v>-0.27142752356988198</v>
      </c>
      <c r="AY57" s="29">
        <v>0.23225209582522999</v>
      </c>
      <c r="AZ57" s="60">
        <v>-0.48857776519914198</v>
      </c>
    </row>
    <row r="58" spans="1:52" s="29" customFormat="1" ht="15" customHeight="1">
      <c r="A58" s="35" t="s">
        <v>38</v>
      </c>
      <c r="B58" s="27">
        <v>2010</v>
      </c>
      <c r="C58" s="27" t="s">
        <v>33</v>
      </c>
      <c r="D58" s="39" t="s">
        <v>34</v>
      </c>
      <c r="E58" s="27" t="s">
        <v>19</v>
      </c>
      <c r="F58" s="41" t="s">
        <v>638</v>
      </c>
      <c r="G58" s="43"/>
      <c r="H58" s="197">
        <v>270000</v>
      </c>
      <c r="I58" s="197"/>
      <c r="J58" s="197"/>
      <c r="K58" s="27" t="s">
        <v>567</v>
      </c>
      <c r="L58" s="44">
        <v>21808.852416666701</v>
      </c>
      <c r="M58" s="27" t="s">
        <v>568</v>
      </c>
      <c r="N58" s="27" t="s">
        <v>639</v>
      </c>
      <c r="O58" s="18">
        <f>G60*L58</f>
        <v>65426557.250000104</v>
      </c>
      <c r="P58" s="213"/>
      <c r="Q58" s="213"/>
      <c r="R58" s="27"/>
      <c r="S58" s="27"/>
      <c r="T58" s="18"/>
      <c r="U58" s="27"/>
      <c r="V58" s="27"/>
      <c r="W58" s="30"/>
      <c r="X58" s="27">
        <v>3</v>
      </c>
      <c r="Y58" s="27" t="s">
        <v>657</v>
      </c>
      <c r="Z58" s="27">
        <v>3</v>
      </c>
      <c r="AA58" s="27">
        <v>8</v>
      </c>
      <c r="AB58" s="27"/>
      <c r="AC58" s="273">
        <v>62819643</v>
      </c>
      <c r="AD58" s="27">
        <v>11926957254.628792</v>
      </c>
      <c r="AE58" s="228">
        <v>5.2670301116087273E-3</v>
      </c>
      <c r="AF58" s="27">
        <v>2968738930.2496524</v>
      </c>
      <c r="AG58" s="226">
        <v>2.1160379701935347E-2</v>
      </c>
      <c r="AH58" s="226">
        <v>0.12340212445172734</v>
      </c>
      <c r="AI58" s="27">
        <v>340700000</v>
      </c>
      <c r="AJ58" s="226">
        <v>0.18438404167889638</v>
      </c>
      <c r="AK58" s="27">
        <v>299570712.700598</v>
      </c>
      <c r="AL58" s="226">
        <v>0.20969888021992411</v>
      </c>
      <c r="AM58" s="27" t="s">
        <v>2842</v>
      </c>
      <c r="AN58" s="271" t="s">
        <v>2842</v>
      </c>
      <c r="AO58" s="27">
        <v>2856673</v>
      </c>
      <c r="AP58" s="27" t="s">
        <v>2842</v>
      </c>
      <c r="AQ58" s="27">
        <v>76.978512195121951</v>
      </c>
      <c r="AR58" s="27">
        <v>14.8</v>
      </c>
      <c r="AS58" s="29" t="s">
        <v>2842</v>
      </c>
      <c r="AT58" s="270">
        <v>33</v>
      </c>
      <c r="AU58" s="464" t="s">
        <v>2842</v>
      </c>
      <c r="AV58" s="29">
        <v>0.11205761285367399</v>
      </c>
      <c r="AW58" s="29">
        <v>-0.19131423887818599</v>
      </c>
      <c r="AX58" s="29">
        <v>-0.27142752356988198</v>
      </c>
      <c r="AY58" s="29">
        <v>0.23225209582522999</v>
      </c>
      <c r="AZ58" s="60">
        <v>-0.48857776519914198</v>
      </c>
    </row>
    <row r="59" spans="1:52" s="29" customFormat="1" ht="15" customHeight="1">
      <c r="A59" s="35" t="s">
        <v>38</v>
      </c>
      <c r="B59" s="27">
        <v>2010</v>
      </c>
      <c r="C59" s="27" t="s">
        <v>33</v>
      </c>
      <c r="D59" s="39" t="s">
        <v>34</v>
      </c>
      <c r="E59" s="27" t="s">
        <v>19</v>
      </c>
      <c r="F59" s="41" t="s">
        <v>641</v>
      </c>
      <c r="G59" s="43">
        <v>269300</v>
      </c>
      <c r="H59" s="43"/>
      <c r="I59" s="43"/>
      <c r="J59" s="43"/>
      <c r="K59" s="27" t="s">
        <v>567</v>
      </c>
      <c r="L59" s="28"/>
      <c r="M59" s="27"/>
      <c r="N59" s="27" t="s">
        <v>636</v>
      </c>
      <c r="O59" s="18"/>
      <c r="P59" s="213"/>
      <c r="Q59" s="213"/>
      <c r="R59" s="27"/>
      <c r="S59" s="27"/>
      <c r="T59" s="18"/>
      <c r="U59" s="27"/>
      <c r="V59" s="27"/>
      <c r="W59" s="30"/>
      <c r="X59" s="27"/>
      <c r="Y59" s="27"/>
      <c r="Z59" s="27"/>
      <c r="AA59" s="27"/>
      <c r="AB59" s="27"/>
      <c r="AC59" s="273">
        <v>62819643</v>
      </c>
      <c r="AD59" s="27">
        <v>11926957254.628792</v>
      </c>
      <c r="AE59" s="228">
        <v>5.2670301116087273E-3</v>
      </c>
      <c r="AF59" s="27">
        <v>2968738930.2496524</v>
      </c>
      <c r="AG59" s="226">
        <v>2.1160379701935347E-2</v>
      </c>
      <c r="AH59" s="226">
        <v>0.12340212445172734</v>
      </c>
      <c r="AI59" s="27">
        <v>340700000</v>
      </c>
      <c r="AJ59" s="226">
        <v>0.18438404167889638</v>
      </c>
      <c r="AK59" s="27">
        <v>299570712.700598</v>
      </c>
      <c r="AL59" s="226">
        <v>0.20969888021992411</v>
      </c>
      <c r="AM59" s="27" t="s">
        <v>2842</v>
      </c>
      <c r="AN59" s="271" t="s">
        <v>2842</v>
      </c>
      <c r="AO59" s="27">
        <v>2856673</v>
      </c>
      <c r="AP59" s="27" t="s">
        <v>2842</v>
      </c>
      <c r="AQ59" s="27">
        <v>76.978512195121951</v>
      </c>
      <c r="AR59" s="27">
        <v>14.8</v>
      </c>
      <c r="AS59" s="29" t="s">
        <v>2842</v>
      </c>
      <c r="AT59" s="270">
        <v>33</v>
      </c>
      <c r="AU59" s="464" t="s">
        <v>2842</v>
      </c>
      <c r="AV59" s="29">
        <v>0.11205761285367399</v>
      </c>
      <c r="AW59" s="29">
        <v>-0.19131423887818599</v>
      </c>
      <c r="AX59" s="29">
        <v>-0.27142752356988198</v>
      </c>
      <c r="AY59" s="29">
        <v>0.23225209582522999</v>
      </c>
      <c r="AZ59" s="60">
        <v>-0.48857776519914198</v>
      </c>
    </row>
    <row r="60" spans="1:52" s="287" customFormat="1" ht="15" customHeight="1">
      <c r="A60" s="172" t="s">
        <v>38</v>
      </c>
      <c r="B60" s="284">
        <v>2010</v>
      </c>
      <c r="C60" s="284" t="s">
        <v>33</v>
      </c>
      <c r="D60" s="314" t="s">
        <v>34</v>
      </c>
      <c r="E60" s="284" t="s">
        <v>19</v>
      </c>
      <c r="F60" s="315" t="s">
        <v>658</v>
      </c>
      <c r="G60" s="303">
        <v>3000</v>
      </c>
      <c r="H60" s="303"/>
      <c r="I60" s="303"/>
      <c r="J60" s="303"/>
      <c r="K60" s="284" t="s">
        <v>567</v>
      </c>
      <c r="L60" s="304"/>
      <c r="M60" s="284"/>
      <c r="N60" s="284" t="s">
        <v>636</v>
      </c>
      <c r="O60" s="305"/>
      <c r="P60" s="306"/>
      <c r="Q60" s="306"/>
      <c r="R60" s="284"/>
      <c r="S60" s="284"/>
      <c r="T60" s="305"/>
      <c r="U60" s="284"/>
      <c r="V60" s="284"/>
      <c r="W60" s="307"/>
      <c r="X60" s="284"/>
      <c r="Y60" s="284"/>
      <c r="Z60" s="284"/>
      <c r="AA60" s="284"/>
      <c r="AB60" s="284"/>
      <c r="AC60" s="308">
        <v>62819643</v>
      </c>
      <c r="AD60" s="284">
        <v>11926957254.628792</v>
      </c>
      <c r="AE60" s="309">
        <v>5.2670301116087273E-3</v>
      </c>
      <c r="AF60" s="284">
        <v>2968738930.2496524</v>
      </c>
      <c r="AG60" s="310">
        <v>2.1160379701935347E-2</v>
      </c>
      <c r="AH60" s="310">
        <v>0.12340212445172734</v>
      </c>
      <c r="AI60" s="284">
        <v>340700000</v>
      </c>
      <c r="AJ60" s="310">
        <v>0.18438404167889638</v>
      </c>
      <c r="AK60" s="284">
        <v>299570712.700598</v>
      </c>
      <c r="AL60" s="310">
        <v>0.20969888021992411</v>
      </c>
      <c r="AM60" s="284" t="s">
        <v>2842</v>
      </c>
      <c r="AN60" s="311" t="s">
        <v>2842</v>
      </c>
      <c r="AO60" s="284">
        <v>2856673</v>
      </c>
      <c r="AP60" s="284" t="s">
        <v>2842</v>
      </c>
      <c r="AQ60" s="284">
        <v>76.978512195121951</v>
      </c>
      <c r="AR60" s="284">
        <v>14.8</v>
      </c>
      <c r="AS60" s="287" t="s">
        <v>2842</v>
      </c>
      <c r="AT60" s="312">
        <v>33</v>
      </c>
      <c r="AU60" s="465" t="s">
        <v>2842</v>
      </c>
      <c r="AV60" s="287">
        <v>0.11205761285367399</v>
      </c>
      <c r="AW60" s="287">
        <v>-0.19131423887818599</v>
      </c>
      <c r="AX60" s="287">
        <v>-0.27142752356988198</v>
      </c>
      <c r="AY60" s="287">
        <v>0.23225209582522999</v>
      </c>
      <c r="AZ60" s="313">
        <v>-0.48857776519914198</v>
      </c>
    </row>
    <row r="61" spans="1:52" ht="15" customHeight="1">
      <c r="A61" s="35" t="s">
        <v>41</v>
      </c>
      <c r="B61" s="27">
        <v>2011</v>
      </c>
      <c r="C61" s="27" t="s">
        <v>33</v>
      </c>
      <c r="D61" s="39" t="s">
        <v>34</v>
      </c>
      <c r="E61" s="27" t="s">
        <v>36</v>
      </c>
      <c r="F61" s="41" t="s">
        <v>659</v>
      </c>
      <c r="G61" s="43"/>
      <c r="H61" s="43"/>
      <c r="I61" s="43"/>
      <c r="J61" s="43"/>
      <c r="K61" s="27"/>
      <c r="L61" s="28"/>
      <c r="M61" s="27"/>
      <c r="N61" s="27"/>
      <c r="O61" s="18">
        <f>O62+O63</f>
        <v>673969009.50999999</v>
      </c>
      <c r="P61" s="213">
        <v>87672150.568453237</v>
      </c>
      <c r="Q61" s="213">
        <v>87847635.425623387</v>
      </c>
      <c r="R61" s="27" t="s">
        <v>619</v>
      </c>
      <c r="S61" s="27"/>
      <c r="T61" s="42"/>
      <c r="U61" s="29" t="s">
        <v>660</v>
      </c>
      <c r="V61" s="27" t="s">
        <v>620</v>
      </c>
      <c r="W61" s="30">
        <v>104.67</v>
      </c>
      <c r="X61" s="27">
        <v>67</v>
      </c>
      <c r="Y61" s="27" t="s">
        <v>661</v>
      </c>
      <c r="Z61" s="27">
        <v>63</v>
      </c>
      <c r="AA61" s="27" t="s">
        <v>663</v>
      </c>
      <c r="AB61" s="27" t="s">
        <v>664</v>
      </c>
      <c r="AC61" s="273">
        <v>87672150.568453237</v>
      </c>
      <c r="AD61" s="27">
        <v>12890866742.653254</v>
      </c>
      <c r="AE61" s="228">
        <v>6.8011059549909041E-3</v>
      </c>
      <c r="AF61" s="27">
        <v>3353687891.7686706</v>
      </c>
      <c r="AG61" s="226">
        <v>2.614201243462063E-2</v>
      </c>
      <c r="AH61" s="226">
        <v>0.14704227926925179</v>
      </c>
      <c r="AI61" s="27">
        <v>350750000</v>
      </c>
      <c r="AJ61" s="226">
        <v>0.24995623825645968</v>
      </c>
      <c r="AK61" s="27">
        <v>372544344.83195704</v>
      </c>
      <c r="AL61" s="226">
        <v>0.2353334624043196</v>
      </c>
      <c r="AM61" s="27" t="s">
        <v>2842</v>
      </c>
      <c r="AN61" s="271" t="s">
        <v>2842</v>
      </c>
      <c r="AO61" s="27">
        <v>2829337</v>
      </c>
      <c r="AP61" s="27" t="s">
        <v>2842</v>
      </c>
      <c r="AQ61" s="27">
        <v>77.163219512195127</v>
      </c>
      <c r="AR61" s="27">
        <v>14.2</v>
      </c>
      <c r="AS61" s="29" t="s">
        <v>2842</v>
      </c>
      <c r="AT61" s="270">
        <v>33</v>
      </c>
      <c r="AU61" s="464" t="s">
        <v>2842</v>
      </c>
      <c r="AV61" s="29">
        <v>6.5167090365740102E-2</v>
      </c>
      <c r="AW61" s="29">
        <v>-0.29043318113751998</v>
      </c>
      <c r="AX61" s="29">
        <v>-0.20149568880232799</v>
      </c>
      <c r="AY61" s="29">
        <v>0.23524327870851999</v>
      </c>
      <c r="AZ61" s="60">
        <v>-0.64690618884304496</v>
      </c>
    </row>
    <row r="62" spans="1:52" ht="15" customHeight="1">
      <c r="A62" s="35" t="s">
        <v>41</v>
      </c>
      <c r="B62" s="27">
        <v>2011</v>
      </c>
      <c r="C62" s="27" t="s">
        <v>33</v>
      </c>
      <c r="D62" s="39" t="s">
        <v>34</v>
      </c>
      <c r="E62" s="27" t="s">
        <v>98</v>
      </c>
      <c r="F62" s="41" t="s">
        <v>98</v>
      </c>
      <c r="G62" s="43">
        <f>894500*7.33</f>
        <v>6556685</v>
      </c>
      <c r="H62" s="43">
        <f>894500*7.33</f>
        <v>6556685</v>
      </c>
      <c r="I62" s="43"/>
      <c r="J62" s="43"/>
      <c r="K62" s="27" t="s">
        <v>603</v>
      </c>
      <c r="L62" s="28">
        <f>510.34/7.33</f>
        <v>69.623465211459745</v>
      </c>
      <c r="M62" s="27" t="s">
        <v>626</v>
      </c>
      <c r="N62" s="27" t="s">
        <v>665</v>
      </c>
      <c r="O62" s="18">
        <f>G62*L62</f>
        <v>456499129.99999994</v>
      </c>
      <c r="P62" s="213">
        <v>78907738.607050732</v>
      </c>
      <c r="Q62" s="213">
        <v>78947148.17999427</v>
      </c>
      <c r="R62" s="27"/>
      <c r="S62" s="27"/>
      <c r="T62" s="42"/>
      <c r="U62" s="27"/>
      <c r="V62" s="27"/>
      <c r="W62" s="30"/>
      <c r="X62" s="27">
        <v>9</v>
      </c>
      <c r="Y62" s="27" t="s">
        <v>666</v>
      </c>
      <c r="Z62" s="27">
        <v>7</v>
      </c>
      <c r="AA62" s="27" t="s">
        <v>663</v>
      </c>
      <c r="AB62" s="27"/>
      <c r="AC62" s="273">
        <v>87672150.568453237</v>
      </c>
      <c r="AD62" s="27">
        <v>12890866742.653254</v>
      </c>
      <c r="AE62" s="228">
        <v>6.8011059549909041E-3</v>
      </c>
      <c r="AF62" s="27">
        <v>3353687891.7686706</v>
      </c>
      <c r="AG62" s="226">
        <v>2.614201243462063E-2</v>
      </c>
      <c r="AH62" s="226">
        <v>0.14704227926925179</v>
      </c>
      <c r="AI62" s="27">
        <v>350750000</v>
      </c>
      <c r="AJ62" s="226">
        <v>0.24995623825645968</v>
      </c>
      <c r="AK62" s="27">
        <v>372544344.83195704</v>
      </c>
      <c r="AL62" s="226">
        <v>0.2353334624043196</v>
      </c>
      <c r="AM62" s="27" t="s">
        <v>2842</v>
      </c>
      <c r="AN62" s="271" t="s">
        <v>2842</v>
      </c>
      <c r="AO62" s="27">
        <v>2829337</v>
      </c>
      <c r="AP62" s="27" t="s">
        <v>2842</v>
      </c>
      <c r="AQ62" s="27">
        <v>77.163219512195127</v>
      </c>
      <c r="AR62" s="27">
        <v>14.2</v>
      </c>
      <c r="AS62" s="29" t="s">
        <v>2842</v>
      </c>
      <c r="AT62" s="270">
        <v>33</v>
      </c>
      <c r="AU62" s="464" t="s">
        <v>2842</v>
      </c>
      <c r="AV62" s="29">
        <v>6.5167090365740102E-2</v>
      </c>
      <c r="AW62" s="29">
        <v>-0.29043318113751998</v>
      </c>
      <c r="AX62" s="29">
        <v>-0.20149568880232799</v>
      </c>
      <c r="AY62" s="29">
        <v>0.23524327870851999</v>
      </c>
      <c r="AZ62" s="60">
        <v>-0.64690618884304496</v>
      </c>
    </row>
    <row r="63" spans="1:52" ht="15" customHeight="1">
      <c r="A63" s="35" t="s">
        <v>41</v>
      </c>
      <c r="B63" s="27">
        <v>2011</v>
      </c>
      <c r="C63" s="27" t="s">
        <v>33</v>
      </c>
      <c r="D63" s="39" t="s">
        <v>34</v>
      </c>
      <c r="E63" s="27" t="s">
        <v>19</v>
      </c>
      <c r="F63" s="41" t="s">
        <v>559</v>
      </c>
      <c r="G63" s="43"/>
      <c r="H63" s="43"/>
      <c r="I63" s="43"/>
      <c r="J63" s="43"/>
      <c r="K63" s="27"/>
      <c r="L63" s="28"/>
      <c r="M63" s="27"/>
      <c r="N63" s="27"/>
      <c r="O63" s="18">
        <v>217469879.50999999</v>
      </c>
      <c r="P63" s="213">
        <v>8764411.9614025038</v>
      </c>
      <c r="Q63" s="213">
        <v>8900487.2456291206</v>
      </c>
      <c r="R63" s="27"/>
      <c r="S63" s="27"/>
      <c r="T63" s="18"/>
      <c r="U63" s="27"/>
      <c r="V63" s="27"/>
      <c r="W63" s="45"/>
      <c r="X63" s="27">
        <v>58</v>
      </c>
      <c r="Y63" s="27" t="s">
        <v>649</v>
      </c>
      <c r="Z63" s="27">
        <v>56</v>
      </c>
      <c r="AA63" s="27" t="s">
        <v>667</v>
      </c>
      <c r="AB63" s="27"/>
      <c r="AC63" s="273">
        <v>87672150.568453237</v>
      </c>
      <c r="AD63" s="27">
        <v>12890866742.653254</v>
      </c>
      <c r="AE63" s="228">
        <v>6.8011059549909041E-3</v>
      </c>
      <c r="AF63" s="27">
        <v>3353687891.7686706</v>
      </c>
      <c r="AG63" s="226">
        <v>2.614201243462063E-2</v>
      </c>
      <c r="AH63" s="226">
        <v>0.14704227926925179</v>
      </c>
      <c r="AI63" s="27">
        <v>350750000</v>
      </c>
      <c r="AJ63" s="226">
        <v>0.24995623825645968</v>
      </c>
      <c r="AK63" s="27">
        <v>372544344.83195704</v>
      </c>
      <c r="AL63" s="226">
        <v>0.2353334624043196</v>
      </c>
      <c r="AM63" s="27" t="s">
        <v>2842</v>
      </c>
      <c r="AN63" s="271" t="s">
        <v>2842</v>
      </c>
      <c r="AO63" s="27">
        <v>2829337</v>
      </c>
      <c r="AP63" s="27" t="s">
        <v>2842</v>
      </c>
      <c r="AQ63" s="27">
        <v>77.163219512195127</v>
      </c>
      <c r="AR63" s="27">
        <v>14.2</v>
      </c>
      <c r="AS63" s="29" t="s">
        <v>2842</v>
      </c>
      <c r="AT63" s="270">
        <v>33</v>
      </c>
      <c r="AU63" s="464" t="s">
        <v>2842</v>
      </c>
      <c r="AV63" s="29">
        <v>6.5167090365740102E-2</v>
      </c>
      <c r="AW63" s="29">
        <v>-0.29043318113751998</v>
      </c>
      <c r="AX63" s="29">
        <v>-0.20149568880232799</v>
      </c>
      <c r="AY63" s="29">
        <v>0.23524327870851999</v>
      </c>
      <c r="AZ63" s="60">
        <v>-0.64690618884304496</v>
      </c>
    </row>
    <row r="64" spans="1:52" ht="15" customHeight="1">
      <c r="A64" s="35" t="s">
        <v>41</v>
      </c>
      <c r="B64" s="27">
        <v>2011</v>
      </c>
      <c r="C64" s="27" t="s">
        <v>33</v>
      </c>
      <c r="D64" s="39" t="s">
        <v>34</v>
      </c>
      <c r="E64" s="27" t="s">
        <v>19</v>
      </c>
      <c r="F64" s="41" t="s">
        <v>668</v>
      </c>
      <c r="G64" s="43"/>
      <c r="H64" s="43"/>
      <c r="I64" s="43"/>
      <c r="J64" s="43"/>
      <c r="K64" s="27"/>
      <c r="L64" s="28"/>
      <c r="M64" s="27"/>
      <c r="N64" s="27"/>
      <c r="O64" s="18"/>
      <c r="P64" s="213"/>
      <c r="Q64" s="213"/>
      <c r="R64" s="27"/>
      <c r="S64" s="27"/>
      <c r="T64" s="18"/>
      <c r="U64" s="27"/>
      <c r="V64" s="27"/>
      <c r="W64" s="45"/>
      <c r="X64" s="27"/>
      <c r="Y64" s="27"/>
      <c r="Z64" s="27"/>
      <c r="AA64" s="27"/>
      <c r="AB64" s="27"/>
      <c r="AC64" s="273">
        <v>87672150.568453237</v>
      </c>
      <c r="AD64" s="27">
        <v>12890866742.653254</v>
      </c>
      <c r="AE64" s="228">
        <v>6.8011059549909041E-3</v>
      </c>
      <c r="AF64" s="27">
        <v>3353687891.7686706</v>
      </c>
      <c r="AG64" s="226">
        <v>2.614201243462063E-2</v>
      </c>
      <c r="AH64" s="226">
        <v>0.14704227926925179</v>
      </c>
      <c r="AI64" s="27">
        <v>350750000</v>
      </c>
      <c r="AJ64" s="226">
        <v>0.24995623825645968</v>
      </c>
      <c r="AK64" s="27">
        <v>372544344.83195704</v>
      </c>
      <c r="AL64" s="226">
        <v>0.2353334624043196</v>
      </c>
      <c r="AM64" s="27" t="s">
        <v>2842</v>
      </c>
      <c r="AN64" s="271" t="s">
        <v>2842</v>
      </c>
      <c r="AO64" s="27">
        <v>2829337</v>
      </c>
      <c r="AP64" s="27" t="s">
        <v>2842</v>
      </c>
      <c r="AQ64" s="27">
        <v>77.163219512195127</v>
      </c>
      <c r="AR64" s="27">
        <v>14.2</v>
      </c>
      <c r="AS64" s="29" t="s">
        <v>2842</v>
      </c>
      <c r="AT64" s="270">
        <v>33</v>
      </c>
      <c r="AU64" s="464" t="s">
        <v>2842</v>
      </c>
      <c r="AV64" s="29">
        <v>6.5167090365740102E-2</v>
      </c>
      <c r="AW64" s="29">
        <v>-0.29043318113751998</v>
      </c>
      <c r="AX64" s="29">
        <v>-0.20149568880232799</v>
      </c>
      <c r="AY64" s="29">
        <v>0.23524327870851999</v>
      </c>
      <c r="AZ64" s="60">
        <v>-0.64690618884304496</v>
      </c>
    </row>
    <row r="65" spans="1:52" ht="15" customHeight="1">
      <c r="A65" s="35" t="s">
        <v>41</v>
      </c>
      <c r="B65" s="27">
        <v>2011</v>
      </c>
      <c r="C65" s="27" t="s">
        <v>33</v>
      </c>
      <c r="D65" s="39" t="s">
        <v>34</v>
      </c>
      <c r="E65" s="27" t="s">
        <v>19</v>
      </c>
      <c r="F65" s="41" t="s">
        <v>571</v>
      </c>
      <c r="G65" s="43"/>
      <c r="H65" s="43"/>
      <c r="I65" s="43"/>
      <c r="J65" s="43"/>
      <c r="K65" s="27"/>
      <c r="L65" s="28"/>
      <c r="M65" s="27"/>
      <c r="N65" s="27"/>
      <c r="O65" s="18">
        <v>143000000</v>
      </c>
      <c r="P65" s="213"/>
      <c r="Q65" s="213"/>
      <c r="R65" s="27"/>
      <c r="S65" s="27"/>
      <c r="T65" s="42"/>
      <c r="U65" s="27"/>
      <c r="V65" s="27"/>
      <c r="W65" s="45"/>
      <c r="X65" s="27"/>
      <c r="Y65" s="27"/>
      <c r="Z65" s="27"/>
      <c r="AA65" s="27"/>
      <c r="AB65" s="27" t="s">
        <v>669</v>
      </c>
      <c r="AC65" s="273">
        <v>87672150.568453237</v>
      </c>
      <c r="AD65" s="27">
        <v>12890866742.653254</v>
      </c>
      <c r="AE65" s="228">
        <v>6.8011059549909041E-3</v>
      </c>
      <c r="AF65" s="27">
        <v>3353687891.7686706</v>
      </c>
      <c r="AG65" s="226">
        <v>2.614201243462063E-2</v>
      </c>
      <c r="AH65" s="226">
        <v>0.14704227926925179</v>
      </c>
      <c r="AI65" s="27">
        <v>350750000</v>
      </c>
      <c r="AJ65" s="226">
        <v>0.24995623825645968</v>
      </c>
      <c r="AK65" s="27">
        <v>372544344.83195704</v>
      </c>
      <c r="AL65" s="226">
        <v>0.2353334624043196</v>
      </c>
      <c r="AM65" s="27" t="s">
        <v>2842</v>
      </c>
      <c r="AN65" s="271" t="s">
        <v>2842</v>
      </c>
      <c r="AO65" s="27">
        <v>2829337</v>
      </c>
      <c r="AP65" s="27" t="s">
        <v>2842</v>
      </c>
      <c r="AQ65" s="27">
        <v>77.163219512195127</v>
      </c>
      <c r="AR65" s="27">
        <v>14.2</v>
      </c>
      <c r="AS65" s="29" t="s">
        <v>2842</v>
      </c>
      <c r="AT65" s="270">
        <v>33</v>
      </c>
      <c r="AU65" s="464" t="s">
        <v>2842</v>
      </c>
      <c r="AV65" s="29">
        <v>6.5167090365740102E-2</v>
      </c>
      <c r="AW65" s="29">
        <v>-0.29043318113751998</v>
      </c>
      <c r="AX65" s="29">
        <v>-0.20149568880232799</v>
      </c>
      <c r="AY65" s="29">
        <v>0.23524327870851999</v>
      </c>
      <c r="AZ65" s="60">
        <v>-0.64690618884304496</v>
      </c>
    </row>
    <row r="66" spans="1:52" ht="15" customHeight="1">
      <c r="A66" s="35" t="s">
        <v>41</v>
      </c>
      <c r="B66" s="27">
        <v>2011</v>
      </c>
      <c r="C66" s="27" t="s">
        <v>33</v>
      </c>
      <c r="D66" s="39" t="s">
        <v>34</v>
      </c>
      <c r="E66" s="27" t="s">
        <v>19</v>
      </c>
      <c r="F66" s="41" t="s">
        <v>576</v>
      </c>
      <c r="G66" s="43"/>
      <c r="H66" s="43"/>
      <c r="I66" s="43"/>
      <c r="J66" s="43"/>
      <c r="K66" s="27"/>
      <c r="L66" s="28"/>
      <c r="M66" s="27"/>
      <c r="N66" s="27"/>
      <c r="O66" s="18"/>
      <c r="P66" s="213"/>
      <c r="Q66" s="213"/>
      <c r="R66" s="27"/>
      <c r="S66" s="27"/>
      <c r="T66" s="27"/>
      <c r="U66" s="27"/>
      <c r="V66" s="27"/>
      <c r="W66" s="30"/>
      <c r="X66" s="27"/>
      <c r="Y66" s="27"/>
      <c r="Z66" s="27"/>
      <c r="AA66" s="27"/>
      <c r="AB66" s="27"/>
      <c r="AC66" s="273">
        <v>87672150.568453237</v>
      </c>
      <c r="AD66" s="27">
        <v>12890866742.653254</v>
      </c>
      <c r="AE66" s="228">
        <v>6.8011059549909041E-3</v>
      </c>
      <c r="AF66" s="27">
        <v>3353687891.7686706</v>
      </c>
      <c r="AG66" s="226">
        <v>2.614201243462063E-2</v>
      </c>
      <c r="AH66" s="226">
        <v>0.14704227926925179</v>
      </c>
      <c r="AI66" s="27">
        <v>350750000</v>
      </c>
      <c r="AJ66" s="226">
        <v>0.24995623825645968</v>
      </c>
      <c r="AK66" s="27">
        <v>372544344.83195704</v>
      </c>
      <c r="AL66" s="226">
        <v>0.2353334624043196</v>
      </c>
      <c r="AM66" s="27" t="s">
        <v>2842</v>
      </c>
      <c r="AN66" s="271" t="s">
        <v>2842</v>
      </c>
      <c r="AO66" s="27">
        <v>2829337</v>
      </c>
      <c r="AP66" s="27" t="s">
        <v>2842</v>
      </c>
      <c r="AQ66" s="27">
        <v>77.163219512195127</v>
      </c>
      <c r="AR66" s="27">
        <v>14.2</v>
      </c>
      <c r="AS66" s="29" t="s">
        <v>2842</v>
      </c>
      <c r="AT66" s="270">
        <v>33</v>
      </c>
      <c r="AU66" s="464" t="s">
        <v>2842</v>
      </c>
      <c r="AV66" s="29">
        <v>6.5167090365740102E-2</v>
      </c>
      <c r="AW66" s="29">
        <v>-0.29043318113751998</v>
      </c>
      <c r="AX66" s="29">
        <v>-0.20149568880232799</v>
      </c>
      <c r="AY66" s="29">
        <v>0.23524327870851999</v>
      </c>
      <c r="AZ66" s="60">
        <v>-0.64690618884304496</v>
      </c>
    </row>
    <row r="67" spans="1:52" ht="15" customHeight="1">
      <c r="A67" s="35" t="s">
        <v>41</v>
      </c>
      <c r="B67" s="27">
        <v>2011</v>
      </c>
      <c r="C67" s="27" t="s">
        <v>33</v>
      </c>
      <c r="D67" s="39" t="s">
        <v>34</v>
      </c>
      <c r="E67" s="27" t="s">
        <v>19</v>
      </c>
      <c r="F67" s="41" t="s">
        <v>653</v>
      </c>
      <c r="G67" s="43"/>
      <c r="H67" s="43"/>
      <c r="I67" s="43"/>
      <c r="J67" s="43"/>
      <c r="K67" s="27"/>
      <c r="L67" s="28"/>
      <c r="M67" s="27"/>
      <c r="N67" s="27"/>
      <c r="O67" s="18"/>
      <c r="P67" s="213"/>
      <c r="Q67" s="213"/>
      <c r="R67" s="27"/>
      <c r="S67" s="27"/>
      <c r="T67" s="18"/>
      <c r="U67" s="27"/>
      <c r="V67" s="27"/>
      <c r="W67" s="30"/>
      <c r="X67" s="27"/>
      <c r="Y67" s="27"/>
      <c r="Z67" s="27"/>
      <c r="AA67" s="27"/>
      <c r="AB67" s="27"/>
      <c r="AC67" s="273">
        <v>87672150.568453237</v>
      </c>
      <c r="AD67" s="27">
        <v>12890866742.653254</v>
      </c>
      <c r="AE67" s="228">
        <v>6.8011059549909041E-3</v>
      </c>
      <c r="AF67" s="27">
        <v>3353687891.7686706</v>
      </c>
      <c r="AG67" s="226">
        <v>2.614201243462063E-2</v>
      </c>
      <c r="AH67" s="226">
        <v>0.14704227926925179</v>
      </c>
      <c r="AI67" s="27">
        <v>350750000</v>
      </c>
      <c r="AJ67" s="226">
        <v>0.24995623825645968</v>
      </c>
      <c r="AK67" s="27">
        <v>372544344.83195704</v>
      </c>
      <c r="AL67" s="226">
        <v>0.2353334624043196</v>
      </c>
      <c r="AM67" s="27" t="s">
        <v>2842</v>
      </c>
      <c r="AN67" s="271" t="s">
        <v>2842</v>
      </c>
      <c r="AO67" s="27">
        <v>2829337</v>
      </c>
      <c r="AP67" s="27" t="s">
        <v>2842</v>
      </c>
      <c r="AQ67" s="27">
        <v>77.163219512195127</v>
      </c>
      <c r="AR67" s="27">
        <v>14.2</v>
      </c>
      <c r="AS67" s="29" t="s">
        <v>2842</v>
      </c>
      <c r="AT67" s="270">
        <v>33</v>
      </c>
      <c r="AU67" s="464" t="s">
        <v>2842</v>
      </c>
      <c r="AV67" s="29">
        <v>6.5167090365740102E-2</v>
      </c>
      <c r="AW67" s="29">
        <v>-0.29043318113751998</v>
      </c>
      <c r="AX67" s="29">
        <v>-0.20149568880232799</v>
      </c>
      <c r="AY67" s="29">
        <v>0.23524327870851999</v>
      </c>
      <c r="AZ67" s="60">
        <v>-0.64690618884304496</v>
      </c>
    </row>
    <row r="68" spans="1:52" s="287" customFormat="1" ht="15" customHeight="1">
      <c r="A68" s="172" t="s">
        <v>41</v>
      </c>
      <c r="B68" s="284">
        <v>2011</v>
      </c>
      <c r="C68" s="284" t="s">
        <v>33</v>
      </c>
      <c r="D68" s="314" t="s">
        <v>34</v>
      </c>
      <c r="E68" s="284" t="s">
        <v>19</v>
      </c>
      <c r="F68" s="315" t="s">
        <v>638</v>
      </c>
      <c r="G68" s="303"/>
      <c r="H68" s="303"/>
      <c r="I68" s="303"/>
      <c r="J68" s="303"/>
      <c r="K68" s="284"/>
      <c r="L68" s="304"/>
      <c r="M68" s="284"/>
      <c r="N68" s="284"/>
      <c r="O68" s="305"/>
      <c r="P68" s="306"/>
      <c r="Q68" s="306"/>
      <c r="R68" s="284"/>
      <c r="S68" s="284"/>
      <c r="T68" s="305"/>
      <c r="U68" s="284"/>
      <c r="V68" s="284"/>
      <c r="W68" s="307"/>
      <c r="X68" s="284"/>
      <c r="Y68" s="284"/>
      <c r="Z68" s="284"/>
      <c r="AA68" s="284"/>
      <c r="AB68" s="284"/>
      <c r="AC68" s="308">
        <v>87672150.568453237</v>
      </c>
      <c r="AD68" s="284">
        <v>12890866742.653254</v>
      </c>
      <c r="AE68" s="309">
        <v>6.8011059549909041E-3</v>
      </c>
      <c r="AF68" s="284">
        <v>3353687891.7686706</v>
      </c>
      <c r="AG68" s="310">
        <v>2.614201243462063E-2</v>
      </c>
      <c r="AH68" s="310">
        <v>0.14704227926925179</v>
      </c>
      <c r="AI68" s="284">
        <v>350750000</v>
      </c>
      <c r="AJ68" s="310">
        <v>0.24995623825645968</v>
      </c>
      <c r="AK68" s="284">
        <v>372544344.83195704</v>
      </c>
      <c r="AL68" s="310">
        <v>0.2353334624043196</v>
      </c>
      <c r="AM68" s="284" t="s">
        <v>2842</v>
      </c>
      <c r="AN68" s="311" t="s">
        <v>2842</v>
      </c>
      <c r="AO68" s="284">
        <v>2829337</v>
      </c>
      <c r="AP68" s="284" t="s">
        <v>2842</v>
      </c>
      <c r="AQ68" s="284">
        <v>77.163219512195127</v>
      </c>
      <c r="AR68" s="284">
        <v>14.2</v>
      </c>
      <c r="AS68" s="287" t="s">
        <v>2842</v>
      </c>
      <c r="AT68" s="312">
        <v>33</v>
      </c>
      <c r="AU68" s="465" t="s">
        <v>2842</v>
      </c>
      <c r="AV68" s="287">
        <v>6.5167090365740102E-2</v>
      </c>
      <c r="AW68" s="287">
        <v>-0.29043318113751998</v>
      </c>
      <c r="AX68" s="287">
        <v>-0.20149568880232799</v>
      </c>
      <c r="AY68" s="287">
        <v>0.23524327870851999</v>
      </c>
      <c r="AZ68" s="313">
        <v>-0.64690618884304496</v>
      </c>
    </row>
    <row r="69" spans="1:52" ht="15" customHeight="1">
      <c r="A69" s="59" t="s">
        <v>44</v>
      </c>
      <c r="B69" s="27">
        <v>2012</v>
      </c>
      <c r="C69" s="27" t="s">
        <v>33</v>
      </c>
      <c r="D69" s="27" t="s">
        <v>34</v>
      </c>
      <c r="E69" s="27" t="s">
        <v>36</v>
      </c>
      <c r="F69" s="27" t="s">
        <v>659</v>
      </c>
      <c r="G69" s="176"/>
      <c r="H69" s="176"/>
      <c r="I69" s="27"/>
      <c r="J69" s="176"/>
      <c r="K69" s="27"/>
      <c r="L69" s="28"/>
      <c r="M69" s="27"/>
      <c r="N69" s="27"/>
      <c r="O69" s="18">
        <f>SUM(O70:O71)</f>
        <v>633200000</v>
      </c>
      <c r="P69" s="243">
        <v>92136623.819999993</v>
      </c>
      <c r="Q69" s="243">
        <v>92418128.930000007</v>
      </c>
      <c r="R69" s="27" t="s">
        <v>619</v>
      </c>
      <c r="S69" s="27"/>
      <c r="T69" s="18"/>
      <c r="U69" s="27" t="s">
        <v>670</v>
      </c>
      <c r="V69" s="27" t="s">
        <v>671</v>
      </c>
      <c r="W69" s="30">
        <v>106.57</v>
      </c>
      <c r="X69" s="27">
        <v>78</v>
      </c>
      <c r="Y69" s="27" t="s">
        <v>672</v>
      </c>
      <c r="Z69" s="27">
        <v>74</v>
      </c>
      <c r="AA69" s="27"/>
      <c r="AB69" s="27" t="s">
        <v>673</v>
      </c>
      <c r="AC69" s="273">
        <v>92136623.819999993</v>
      </c>
      <c r="AD69" s="27">
        <v>12344529628.061665</v>
      </c>
      <c r="AE69" s="228">
        <v>7.4637614065548863E-3</v>
      </c>
      <c r="AF69" s="27">
        <v>3209083922.1109104</v>
      </c>
      <c r="AG69" s="226">
        <v>2.8711191747018333E-2</v>
      </c>
      <c r="AH69" s="226">
        <v>0.17996263931166945</v>
      </c>
      <c r="AI69" s="27">
        <v>341620000</v>
      </c>
      <c r="AJ69" s="226">
        <v>0.26970500503483402</v>
      </c>
      <c r="AK69" s="27">
        <v>350975090.94868237</v>
      </c>
      <c r="AL69" s="226">
        <v>0.26251613346963049</v>
      </c>
      <c r="AM69" s="27" t="s">
        <v>2842</v>
      </c>
      <c r="AN69" s="271" t="s">
        <v>2842</v>
      </c>
      <c r="AO69" s="27">
        <v>2801681</v>
      </c>
      <c r="AP69" s="27">
        <v>14.3</v>
      </c>
      <c r="AQ69" s="27">
        <v>77.350463414634149</v>
      </c>
      <c r="AR69" s="27">
        <v>13.8</v>
      </c>
      <c r="AS69" s="29" t="s">
        <v>2842</v>
      </c>
      <c r="AT69" s="270">
        <v>33</v>
      </c>
      <c r="AU69" s="464" t="s">
        <v>2842</v>
      </c>
      <c r="AV69" s="29">
        <v>9.0010047163042693E-3</v>
      </c>
      <c r="AW69" s="29">
        <v>-0.158012773720207</v>
      </c>
      <c r="AX69" s="29">
        <v>-0.28033541860251798</v>
      </c>
      <c r="AY69" s="29">
        <v>0.16802785689462801</v>
      </c>
      <c r="AZ69" s="60">
        <v>-0.72284815498795696</v>
      </c>
    </row>
    <row r="70" spans="1:52" ht="15" customHeight="1">
      <c r="A70" s="59" t="s">
        <v>44</v>
      </c>
      <c r="B70" s="27">
        <v>2012</v>
      </c>
      <c r="C70" s="27" t="s">
        <v>33</v>
      </c>
      <c r="D70" s="27" t="s">
        <v>34</v>
      </c>
      <c r="E70" s="27" t="s">
        <v>98</v>
      </c>
      <c r="F70" s="27" t="s">
        <v>98</v>
      </c>
      <c r="G70" s="176"/>
      <c r="H70" s="176"/>
      <c r="I70" s="18">
        <v>1029300</v>
      </c>
      <c r="J70" s="176"/>
      <c r="K70" s="27" t="s">
        <v>567</v>
      </c>
      <c r="L70" s="28"/>
      <c r="M70" s="27"/>
      <c r="N70" s="27" t="s">
        <v>674</v>
      </c>
      <c r="O70" s="18">
        <v>484000000</v>
      </c>
      <c r="P70" s="244"/>
      <c r="Q70" s="244"/>
      <c r="R70" s="27"/>
      <c r="S70" s="27"/>
      <c r="T70" s="18"/>
      <c r="U70" s="27"/>
      <c r="V70" s="27"/>
      <c r="W70" s="30"/>
      <c r="X70" s="27"/>
      <c r="Y70" s="27"/>
      <c r="Z70" s="27"/>
      <c r="AA70" s="27"/>
      <c r="AB70" s="27"/>
      <c r="AC70" s="273">
        <v>92136623.819999993</v>
      </c>
      <c r="AD70" s="27">
        <v>12344529628.061665</v>
      </c>
      <c r="AE70" s="228">
        <v>7.4637614065548863E-3</v>
      </c>
      <c r="AF70" s="27">
        <v>3209083922.1109104</v>
      </c>
      <c r="AG70" s="226">
        <v>2.8711191747018333E-2</v>
      </c>
      <c r="AH70" s="226">
        <v>0.17996263931166945</v>
      </c>
      <c r="AI70" s="27">
        <v>341620000</v>
      </c>
      <c r="AJ70" s="226">
        <v>0.26970500503483402</v>
      </c>
      <c r="AK70" s="27">
        <v>350975090.94868237</v>
      </c>
      <c r="AL70" s="226">
        <v>0.26251613346963049</v>
      </c>
      <c r="AM70" s="27" t="s">
        <v>2842</v>
      </c>
      <c r="AN70" s="271" t="s">
        <v>2842</v>
      </c>
      <c r="AO70" s="27">
        <v>2801681</v>
      </c>
      <c r="AP70" s="27">
        <v>14.3</v>
      </c>
      <c r="AQ70" s="27">
        <v>77.350463414634149</v>
      </c>
      <c r="AR70" s="27">
        <v>13.8</v>
      </c>
      <c r="AS70" s="29" t="s">
        <v>2842</v>
      </c>
      <c r="AT70" s="270">
        <v>33</v>
      </c>
      <c r="AU70" s="464" t="s">
        <v>2842</v>
      </c>
      <c r="AV70" s="29">
        <v>9.0010047163042693E-3</v>
      </c>
      <c r="AW70" s="29">
        <v>-0.158012773720207</v>
      </c>
      <c r="AX70" s="29">
        <v>-0.28033541860251798</v>
      </c>
      <c r="AY70" s="29">
        <v>0.16802785689462801</v>
      </c>
      <c r="AZ70" s="60">
        <v>-0.72284815498795696</v>
      </c>
    </row>
    <row r="71" spans="1:52" ht="15" customHeight="1">
      <c r="A71" s="171" t="s">
        <v>44</v>
      </c>
      <c r="B71" s="27">
        <v>2012</v>
      </c>
      <c r="C71" s="27" t="s">
        <v>33</v>
      </c>
      <c r="D71" s="27" t="s">
        <v>34</v>
      </c>
      <c r="E71" s="27" t="s">
        <v>19</v>
      </c>
      <c r="F71" s="27" t="s">
        <v>559</v>
      </c>
      <c r="G71" s="176"/>
      <c r="H71" s="176"/>
      <c r="I71" s="27"/>
      <c r="J71" s="176"/>
      <c r="K71" s="27"/>
      <c r="L71" s="28"/>
      <c r="M71" s="27"/>
      <c r="N71" s="27"/>
      <c r="O71" s="18">
        <v>149200000</v>
      </c>
      <c r="P71" s="244"/>
      <c r="Q71" s="244"/>
      <c r="R71" s="27"/>
      <c r="S71" s="27"/>
      <c r="T71" s="18"/>
      <c r="U71" s="27"/>
      <c r="V71" s="27"/>
      <c r="W71" s="30"/>
      <c r="X71" s="27"/>
      <c r="Y71" s="27"/>
      <c r="Z71" s="27"/>
      <c r="AA71" s="27"/>
      <c r="AB71" s="27"/>
      <c r="AC71" s="273">
        <v>92136623.819999993</v>
      </c>
      <c r="AD71" s="27">
        <v>12344529628.061665</v>
      </c>
      <c r="AE71" s="228">
        <v>7.4637614065548863E-3</v>
      </c>
      <c r="AF71" s="27">
        <v>3209083922.1109104</v>
      </c>
      <c r="AG71" s="226">
        <v>2.8711191747018333E-2</v>
      </c>
      <c r="AH71" s="226">
        <v>0.17996263931166945</v>
      </c>
      <c r="AI71" s="27">
        <v>341620000</v>
      </c>
      <c r="AJ71" s="226">
        <v>0.26970500503483402</v>
      </c>
      <c r="AK71" s="27">
        <v>350975090.94868237</v>
      </c>
      <c r="AL71" s="226">
        <v>0.26251613346963049</v>
      </c>
      <c r="AM71" s="27" t="s">
        <v>2842</v>
      </c>
      <c r="AN71" s="271" t="s">
        <v>2842</v>
      </c>
      <c r="AO71" s="27">
        <v>2801681</v>
      </c>
      <c r="AP71" s="27">
        <v>14.3</v>
      </c>
      <c r="AQ71" s="27">
        <v>77.350463414634149</v>
      </c>
      <c r="AR71" s="27">
        <v>13.8</v>
      </c>
      <c r="AS71" s="29" t="s">
        <v>2842</v>
      </c>
      <c r="AT71" s="270">
        <v>33</v>
      </c>
      <c r="AU71" s="464" t="s">
        <v>2842</v>
      </c>
      <c r="AV71" s="29">
        <v>9.0010047163042693E-3</v>
      </c>
      <c r="AW71" s="29">
        <v>-0.158012773720207</v>
      </c>
      <c r="AX71" s="29">
        <v>-0.28033541860251798</v>
      </c>
      <c r="AY71" s="29">
        <v>0.16802785689462801</v>
      </c>
      <c r="AZ71" s="60">
        <v>-0.72284815498795696</v>
      </c>
    </row>
    <row r="72" spans="1:52" ht="15" customHeight="1">
      <c r="A72" s="171" t="s">
        <v>44</v>
      </c>
      <c r="B72" s="27">
        <v>2012</v>
      </c>
      <c r="C72" s="27" t="s">
        <v>33</v>
      </c>
      <c r="D72" s="27" t="s">
        <v>34</v>
      </c>
      <c r="E72" s="27" t="s">
        <v>19</v>
      </c>
      <c r="F72" s="27" t="s">
        <v>675</v>
      </c>
      <c r="G72" s="176"/>
      <c r="H72" s="176"/>
      <c r="I72" s="18">
        <v>360000</v>
      </c>
      <c r="J72" s="176"/>
      <c r="K72" s="27" t="s">
        <v>567</v>
      </c>
      <c r="L72" s="28"/>
      <c r="M72" s="27"/>
      <c r="N72" s="27" t="s">
        <v>674</v>
      </c>
      <c r="O72" s="18">
        <v>92000000</v>
      </c>
      <c r="P72" s="244"/>
      <c r="Q72" s="244"/>
      <c r="R72" s="27"/>
      <c r="S72" s="27"/>
      <c r="T72" s="18"/>
      <c r="U72" s="27"/>
      <c r="V72" s="27"/>
      <c r="W72" s="30"/>
      <c r="X72" s="27"/>
      <c r="Y72" s="27"/>
      <c r="Z72" s="27"/>
      <c r="AA72" s="27"/>
      <c r="AB72" s="27"/>
      <c r="AC72" s="273">
        <v>92136623.819999993</v>
      </c>
      <c r="AD72" s="27">
        <v>12344529628.061665</v>
      </c>
      <c r="AE72" s="228">
        <v>7.4637614065548863E-3</v>
      </c>
      <c r="AF72" s="27">
        <v>3209083922.1109104</v>
      </c>
      <c r="AG72" s="226">
        <v>2.8711191747018333E-2</v>
      </c>
      <c r="AH72" s="226">
        <v>0.17996263931166945</v>
      </c>
      <c r="AI72" s="27">
        <v>341620000</v>
      </c>
      <c r="AJ72" s="226">
        <v>0.26970500503483402</v>
      </c>
      <c r="AK72" s="27">
        <v>350975090.94868237</v>
      </c>
      <c r="AL72" s="226">
        <v>0.26251613346963049</v>
      </c>
      <c r="AM72" s="27" t="s">
        <v>2842</v>
      </c>
      <c r="AN72" s="271" t="s">
        <v>2842</v>
      </c>
      <c r="AO72" s="27">
        <v>2801681</v>
      </c>
      <c r="AP72" s="27">
        <v>14.3</v>
      </c>
      <c r="AQ72" s="27">
        <v>77.350463414634149</v>
      </c>
      <c r="AR72" s="27">
        <v>13.8</v>
      </c>
      <c r="AS72" s="29" t="s">
        <v>2842</v>
      </c>
      <c r="AT72" s="270">
        <v>33</v>
      </c>
      <c r="AU72" s="464" t="s">
        <v>2842</v>
      </c>
      <c r="AV72" s="29">
        <v>9.0010047163042693E-3</v>
      </c>
      <c r="AW72" s="29">
        <v>-0.158012773720207</v>
      </c>
      <c r="AX72" s="29">
        <v>-0.28033541860251798</v>
      </c>
      <c r="AY72" s="29">
        <v>0.16802785689462801</v>
      </c>
      <c r="AZ72" s="60">
        <v>-0.72284815498795696</v>
      </c>
    </row>
    <row r="73" spans="1:52" ht="15" customHeight="1">
      <c r="A73" s="171" t="s">
        <v>44</v>
      </c>
      <c r="B73" s="27">
        <v>2012</v>
      </c>
      <c r="C73" s="27" t="s">
        <v>33</v>
      </c>
      <c r="D73" s="27" t="s">
        <v>34</v>
      </c>
      <c r="E73" s="27" t="s">
        <v>19</v>
      </c>
      <c r="F73" s="27" t="s">
        <v>576</v>
      </c>
      <c r="G73" s="176"/>
      <c r="H73" s="176"/>
      <c r="I73" s="18">
        <v>480000</v>
      </c>
      <c r="J73" s="176"/>
      <c r="K73" s="27" t="s">
        <v>567</v>
      </c>
      <c r="L73" s="28"/>
      <c r="M73" s="27"/>
      <c r="N73" s="27" t="s">
        <v>674</v>
      </c>
      <c r="O73" s="27"/>
      <c r="P73" s="244"/>
      <c r="Q73" s="244"/>
      <c r="R73" s="27"/>
      <c r="S73" s="27"/>
      <c r="T73" s="18"/>
      <c r="U73" s="27"/>
      <c r="V73" s="27"/>
      <c r="W73" s="30"/>
      <c r="X73" s="27"/>
      <c r="Y73" s="27"/>
      <c r="Z73" s="27"/>
      <c r="AA73" s="27"/>
      <c r="AB73" s="27"/>
      <c r="AC73" s="273">
        <v>92136623.819999993</v>
      </c>
      <c r="AD73" s="27">
        <v>12344529628.061665</v>
      </c>
      <c r="AE73" s="228">
        <v>7.4637614065548863E-3</v>
      </c>
      <c r="AF73" s="27">
        <v>3209083922.1109104</v>
      </c>
      <c r="AG73" s="226">
        <v>2.8711191747018333E-2</v>
      </c>
      <c r="AH73" s="226">
        <v>0.17996263931166945</v>
      </c>
      <c r="AI73" s="27">
        <v>341620000</v>
      </c>
      <c r="AJ73" s="226">
        <v>0.26970500503483402</v>
      </c>
      <c r="AK73" s="27">
        <v>350975090.94868237</v>
      </c>
      <c r="AL73" s="226">
        <v>0.26251613346963049</v>
      </c>
      <c r="AM73" s="27" t="s">
        <v>2842</v>
      </c>
      <c r="AN73" s="271" t="s">
        <v>2842</v>
      </c>
      <c r="AO73" s="27">
        <v>2801681</v>
      </c>
      <c r="AP73" s="27">
        <v>14.3</v>
      </c>
      <c r="AQ73" s="27">
        <v>77.350463414634149</v>
      </c>
      <c r="AR73" s="27">
        <v>13.8</v>
      </c>
      <c r="AS73" s="29" t="s">
        <v>2842</v>
      </c>
      <c r="AT73" s="270">
        <v>33</v>
      </c>
      <c r="AU73" s="464" t="s">
        <v>2842</v>
      </c>
      <c r="AV73" s="29">
        <v>9.0010047163042693E-3</v>
      </c>
      <c r="AW73" s="29">
        <v>-0.158012773720207</v>
      </c>
      <c r="AX73" s="29">
        <v>-0.28033541860251798</v>
      </c>
      <c r="AY73" s="29">
        <v>0.16802785689462801</v>
      </c>
      <c r="AZ73" s="60">
        <v>-0.72284815498795696</v>
      </c>
    </row>
    <row r="74" spans="1:52" ht="15" customHeight="1">
      <c r="A74" s="171" t="s">
        <v>44</v>
      </c>
      <c r="B74" s="27">
        <v>2012</v>
      </c>
      <c r="C74" s="27" t="s">
        <v>33</v>
      </c>
      <c r="D74" s="27" t="s">
        <v>34</v>
      </c>
      <c r="E74" s="27" t="s">
        <v>19</v>
      </c>
      <c r="F74" s="27" t="s">
        <v>676</v>
      </c>
      <c r="G74" s="176"/>
      <c r="H74" s="176"/>
      <c r="I74" s="18">
        <v>75000</v>
      </c>
      <c r="J74" s="176"/>
      <c r="K74" s="27" t="s">
        <v>567</v>
      </c>
      <c r="L74" s="28"/>
      <c r="M74" s="27"/>
      <c r="N74" s="27" t="s">
        <v>674</v>
      </c>
      <c r="O74" s="27"/>
      <c r="P74" s="244"/>
      <c r="Q74" s="244"/>
      <c r="R74" s="27"/>
      <c r="S74" s="27"/>
      <c r="T74" s="18"/>
      <c r="U74" s="27"/>
      <c r="V74" s="27"/>
      <c r="W74" s="30"/>
      <c r="X74" s="27"/>
      <c r="Y74" s="27"/>
      <c r="Z74" s="27"/>
      <c r="AA74" s="27"/>
      <c r="AB74" s="27"/>
      <c r="AC74" s="273">
        <v>92136623.819999993</v>
      </c>
      <c r="AD74" s="27">
        <v>12344529628.061665</v>
      </c>
      <c r="AE74" s="228">
        <v>7.4637614065548863E-3</v>
      </c>
      <c r="AF74" s="27">
        <v>3209083922.1109104</v>
      </c>
      <c r="AG74" s="226">
        <v>2.8711191747018333E-2</v>
      </c>
      <c r="AH74" s="226">
        <v>0.17996263931166945</v>
      </c>
      <c r="AI74" s="27">
        <v>341620000</v>
      </c>
      <c r="AJ74" s="226">
        <v>0.26970500503483402</v>
      </c>
      <c r="AK74" s="27">
        <v>350975090.94868237</v>
      </c>
      <c r="AL74" s="226">
        <v>0.26251613346963049</v>
      </c>
      <c r="AM74" s="27" t="s">
        <v>2842</v>
      </c>
      <c r="AN74" s="271" t="s">
        <v>2842</v>
      </c>
      <c r="AO74" s="27">
        <v>2801681</v>
      </c>
      <c r="AP74" s="27">
        <v>14.3</v>
      </c>
      <c r="AQ74" s="27">
        <v>77.350463414634149</v>
      </c>
      <c r="AR74" s="27">
        <v>13.8</v>
      </c>
      <c r="AS74" s="29" t="s">
        <v>2842</v>
      </c>
      <c r="AT74" s="270">
        <v>33</v>
      </c>
      <c r="AU74" s="464" t="s">
        <v>2842</v>
      </c>
      <c r="AV74" s="29">
        <v>9.0010047163042693E-3</v>
      </c>
      <c r="AW74" s="29">
        <v>-0.158012773720207</v>
      </c>
      <c r="AX74" s="29">
        <v>-0.28033541860251798</v>
      </c>
      <c r="AY74" s="29">
        <v>0.16802785689462801</v>
      </c>
      <c r="AZ74" s="60">
        <v>-0.72284815498795696</v>
      </c>
    </row>
    <row r="75" spans="1:52" ht="15" customHeight="1">
      <c r="A75" s="171" t="s">
        <v>44</v>
      </c>
      <c r="B75" s="27">
        <v>2012</v>
      </c>
      <c r="C75" s="27" t="s">
        <v>33</v>
      </c>
      <c r="D75" s="27" t="s">
        <v>34</v>
      </c>
      <c r="E75" s="27" t="s">
        <v>19</v>
      </c>
      <c r="F75" s="27" t="s">
        <v>573</v>
      </c>
      <c r="G75" s="176"/>
      <c r="H75" s="176"/>
      <c r="I75" s="18">
        <v>1000</v>
      </c>
      <c r="J75" s="176"/>
      <c r="K75" s="27" t="s">
        <v>567</v>
      </c>
      <c r="L75" s="28"/>
      <c r="M75" s="27"/>
      <c r="N75" s="27" t="s">
        <v>674</v>
      </c>
      <c r="O75" s="27"/>
      <c r="P75" s="244"/>
      <c r="Q75" s="244"/>
      <c r="R75" s="27"/>
      <c r="S75" s="27"/>
      <c r="T75" s="18"/>
      <c r="U75" s="27"/>
      <c r="V75" s="27"/>
      <c r="W75" s="30"/>
      <c r="X75" s="27"/>
      <c r="Y75" s="27"/>
      <c r="Z75" s="27"/>
      <c r="AA75" s="27"/>
      <c r="AB75" s="27"/>
      <c r="AC75" s="273">
        <v>92136623.819999993</v>
      </c>
      <c r="AD75" s="27">
        <v>12344529628.061665</v>
      </c>
      <c r="AE75" s="228">
        <v>7.4637614065548863E-3</v>
      </c>
      <c r="AF75" s="27">
        <v>3209083922.1109104</v>
      </c>
      <c r="AG75" s="226">
        <v>2.8711191747018333E-2</v>
      </c>
      <c r="AH75" s="226">
        <v>0.17996263931166945</v>
      </c>
      <c r="AI75" s="27">
        <v>341620000</v>
      </c>
      <c r="AJ75" s="226">
        <v>0.26970500503483402</v>
      </c>
      <c r="AK75" s="27">
        <v>350975090.94868237</v>
      </c>
      <c r="AL75" s="226">
        <v>0.26251613346963049</v>
      </c>
      <c r="AM75" s="27" t="s">
        <v>2842</v>
      </c>
      <c r="AN75" s="271" t="s">
        <v>2842</v>
      </c>
      <c r="AO75" s="27">
        <v>2801681</v>
      </c>
      <c r="AP75" s="27">
        <v>14.3</v>
      </c>
      <c r="AQ75" s="27">
        <v>77.350463414634149</v>
      </c>
      <c r="AR75" s="27">
        <v>13.8</v>
      </c>
      <c r="AS75" s="29" t="s">
        <v>2842</v>
      </c>
      <c r="AT75" s="270">
        <v>33</v>
      </c>
      <c r="AU75" s="464" t="s">
        <v>2842</v>
      </c>
      <c r="AV75" s="29">
        <v>9.0010047163042693E-3</v>
      </c>
      <c r="AW75" s="29">
        <v>-0.158012773720207</v>
      </c>
      <c r="AX75" s="29">
        <v>-0.28033541860251798</v>
      </c>
      <c r="AY75" s="29">
        <v>0.16802785689462801</v>
      </c>
      <c r="AZ75" s="60">
        <v>-0.72284815498795696</v>
      </c>
    </row>
    <row r="76" spans="1:52" ht="15" customHeight="1">
      <c r="A76" s="171" t="s">
        <v>44</v>
      </c>
      <c r="B76" s="27">
        <v>2012</v>
      </c>
      <c r="C76" s="27" t="s">
        <v>33</v>
      </c>
      <c r="D76" s="27" t="s">
        <v>34</v>
      </c>
      <c r="E76" s="27" t="s">
        <v>19</v>
      </c>
      <c r="F76" s="27" t="s">
        <v>653</v>
      </c>
      <c r="G76" s="176"/>
      <c r="H76" s="176"/>
      <c r="I76" s="18">
        <v>2727000</v>
      </c>
      <c r="J76" s="176"/>
      <c r="K76" s="27" t="s">
        <v>599</v>
      </c>
      <c r="L76" s="28"/>
      <c r="M76" s="27"/>
      <c r="N76" s="27" t="s">
        <v>674</v>
      </c>
      <c r="O76" s="27"/>
      <c r="P76" s="244"/>
      <c r="Q76" s="244"/>
      <c r="R76" s="27"/>
      <c r="S76" s="27"/>
      <c r="T76" s="18"/>
      <c r="U76" s="27"/>
      <c r="V76" s="27"/>
      <c r="W76" s="30"/>
      <c r="X76" s="27"/>
      <c r="Y76" s="27"/>
      <c r="Z76" s="27"/>
      <c r="AA76" s="27"/>
      <c r="AB76" s="27"/>
      <c r="AC76" s="273">
        <v>92136623.819999993</v>
      </c>
      <c r="AD76" s="27">
        <v>12344529628.061665</v>
      </c>
      <c r="AE76" s="228">
        <v>7.4637614065548863E-3</v>
      </c>
      <c r="AF76" s="27">
        <v>3209083922.1109104</v>
      </c>
      <c r="AG76" s="226">
        <v>2.8711191747018333E-2</v>
      </c>
      <c r="AH76" s="226">
        <v>0.17996263931166945</v>
      </c>
      <c r="AI76" s="27">
        <v>341620000</v>
      </c>
      <c r="AJ76" s="226">
        <v>0.26970500503483402</v>
      </c>
      <c r="AK76" s="27">
        <v>350975090.94868237</v>
      </c>
      <c r="AL76" s="226">
        <v>0.26251613346963049</v>
      </c>
      <c r="AM76" s="27" t="s">
        <v>2842</v>
      </c>
      <c r="AN76" s="271" t="s">
        <v>2842</v>
      </c>
      <c r="AO76" s="27">
        <v>2801681</v>
      </c>
      <c r="AP76" s="27">
        <v>14.3</v>
      </c>
      <c r="AQ76" s="27">
        <v>77.350463414634149</v>
      </c>
      <c r="AR76" s="27">
        <v>13.8</v>
      </c>
      <c r="AS76" s="29" t="s">
        <v>2842</v>
      </c>
      <c r="AT76" s="270">
        <v>33</v>
      </c>
      <c r="AU76" s="464" t="s">
        <v>2842</v>
      </c>
      <c r="AV76" s="29">
        <v>9.0010047163042693E-3</v>
      </c>
      <c r="AW76" s="29">
        <v>-0.158012773720207</v>
      </c>
      <c r="AX76" s="29">
        <v>-0.28033541860251798</v>
      </c>
      <c r="AY76" s="29">
        <v>0.16802785689462801</v>
      </c>
      <c r="AZ76" s="60">
        <v>-0.72284815498795696</v>
      </c>
    </row>
    <row r="77" spans="1:52" ht="15" customHeight="1">
      <c r="A77" s="171" t="s">
        <v>44</v>
      </c>
      <c r="B77" s="27">
        <v>2012</v>
      </c>
      <c r="C77" s="27" t="s">
        <v>33</v>
      </c>
      <c r="D77" s="27" t="s">
        <v>34</v>
      </c>
      <c r="E77" s="27" t="s">
        <v>19</v>
      </c>
      <c r="F77" s="27" t="s">
        <v>677</v>
      </c>
      <c r="G77" s="176"/>
      <c r="H77" s="176"/>
      <c r="I77" s="18">
        <v>961000</v>
      </c>
      <c r="J77" s="176"/>
      <c r="K77" s="27" t="s">
        <v>567</v>
      </c>
      <c r="L77" s="28"/>
      <c r="M77" s="27"/>
      <c r="N77" s="27" t="s">
        <v>674</v>
      </c>
      <c r="O77" s="27"/>
      <c r="P77" s="244"/>
      <c r="Q77" s="244"/>
      <c r="R77" s="27"/>
      <c r="S77" s="27"/>
      <c r="T77" s="18"/>
      <c r="U77" s="27"/>
      <c r="V77" s="27"/>
      <c r="W77" s="30"/>
      <c r="X77" s="27"/>
      <c r="Y77" s="27"/>
      <c r="Z77" s="27"/>
      <c r="AA77" s="27"/>
      <c r="AB77" s="27"/>
      <c r="AC77" s="273">
        <v>92136623.819999993</v>
      </c>
      <c r="AD77" s="27">
        <v>12344529628.061665</v>
      </c>
      <c r="AE77" s="228">
        <v>7.4637614065548863E-3</v>
      </c>
      <c r="AF77" s="27">
        <v>3209083922.1109104</v>
      </c>
      <c r="AG77" s="226">
        <v>2.8711191747018333E-2</v>
      </c>
      <c r="AH77" s="226">
        <v>0.17996263931166945</v>
      </c>
      <c r="AI77" s="27">
        <v>341620000</v>
      </c>
      <c r="AJ77" s="226">
        <v>0.26970500503483402</v>
      </c>
      <c r="AK77" s="27">
        <v>350975090.94868237</v>
      </c>
      <c r="AL77" s="226">
        <v>0.26251613346963049</v>
      </c>
      <c r="AM77" s="27" t="s">
        <v>2842</v>
      </c>
      <c r="AN77" s="271" t="s">
        <v>2842</v>
      </c>
      <c r="AO77" s="27">
        <v>2801681</v>
      </c>
      <c r="AP77" s="27">
        <v>14.3</v>
      </c>
      <c r="AQ77" s="27">
        <v>77.350463414634149</v>
      </c>
      <c r="AR77" s="27">
        <v>13.8</v>
      </c>
      <c r="AS77" s="29" t="s">
        <v>2842</v>
      </c>
      <c r="AT77" s="270">
        <v>33</v>
      </c>
      <c r="AU77" s="464" t="s">
        <v>2842</v>
      </c>
      <c r="AV77" s="29">
        <v>9.0010047163042693E-3</v>
      </c>
      <c r="AW77" s="29">
        <v>-0.158012773720207</v>
      </c>
      <c r="AX77" s="29">
        <v>-0.28033541860251798</v>
      </c>
      <c r="AY77" s="29">
        <v>0.16802785689462801</v>
      </c>
      <c r="AZ77" s="60">
        <v>-0.72284815498795696</v>
      </c>
    </row>
    <row r="78" spans="1:52" s="232" customFormat="1" ht="15" customHeight="1" thickBot="1">
      <c r="A78" s="316" t="s">
        <v>44</v>
      </c>
      <c r="B78" s="230">
        <v>2012</v>
      </c>
      <c r="C78" s="230" t="s">
        <v>33</v>
      </c>
      <c r="D78" s="230" t="s">
        <v>34</v>
      </c>
      <c r="E78" s="230" t="s">
        <v>19</v>
      </c>
      <c r="F78" s="230" t="s">
        <v>579</v>
      </c>
      <c r="G78" s="317"/>
      <c r="H78" s="317"/>
      <c r="I78" s="285">
        <v>91000</v>
      </c>
      <c r="J78" s="317"/>
      <c r="K78" s="230" t="s">
        <v>567</v>
      </c>
      <c r="L78" s="298"/>
      <c r="M78" s="230"/>
      <c r="N78" s="230" t="s">
        <v>674</v>
      </c>
      <c r="O78" s="230"/>
      <c r="P78" s="318"/>
      <c r="Q78" s="318"/>
      <c r="R78" s="230"/>
      <c r="S78" s="230"/>
      <c r="T78" s="285"/>
      <c r="U78" s="230"/>
      <c r="V78" s="230"/>
      <c r="W78" s="300"/>
      <c r="X78" s="230"/>
      <c r="Y78" s="230"/>
      <c r="Z78" s="230"/>
      <c r="AA78" s="230"/>
      <c r="AB78" s="230"/>
      <c r="AC78" s="274">
        <v>92136623.819999993</v>
      </c>
      <c r="AD78" s="230">
        <v>12344529628.061665</v>
      </c>
      <c r="AE78" s="229">
        <v>7.4637614065548863E-3</v>
      </c>
      <c r="AF78" s="230">
        <v>3209083922.1109104</v>
      </c>
      <c r="AG78" s="231">
        <v>2.8711191747018333E-2</v>
      </c>
      <c r="AH78" s="231">
        <v>0.17996263931166945</v>
      </c>
      <c r="AI78" s="230">
        <v>341620000</v>
      </c>
      <c r="AJ78" s="231">
        <v>0.26970500503483402</v>
      </c>
      <c r="AK78" s="230">
        <v>350975090.94868237</v>
      </c>
      <c r="AL78" s="231">
        <v>0.26251613346963049</v>
      </c>
      <c r="AM78" s="230" t="s">
        <v>2842</v>
      </c>
      <c r="AN78" s="275" t="s">
        <v>2842</v>
      </c>
      <c r="AO78" s="230">
        <v>2801681</v>
      </c>
      <c r="AP78" s="230">
        <v>14.3</v>
      </c>
      <c r="AQ78" s="230">
        <v>77.350463414634149</v>
      </c>
      <c r="AR78" s="230">
        <v>13.8</v>
      </c>
      <c r="AS78" s="232" t="s">
        <v>2842</v>
      </c>
      <c r="AT78" s="276">
        <v>33</v>
      </c>
      <c r="AU78" s="466" t="s">
        <v>2842</v>
      </c>
      <c r="AV78" s="232">
        <v>9.0010047163042693E-3</v>
      </c>
      <c r="AW78" s="232">
        <v>-0.158012773720207</v>
      </c>
      <c r="AX78" s="232">
        <v>-0.28033541860251798</v>
      </c>
      <c r="AY78" s="232">
        <v>0.16802785689462801</v>
      </c>
      <c r="AZ78" s="293">
        <v>-0.72284815498795696</v>
      </c>
    </row>
    <row r="79" spans="1:52" s="29" customFormat="1" ht="15" customHeight="1">
      <c r="A79" s="294" t="s">
        <v>47</v>
      </c>
      <c r="B79" s="27">
        <v>2003</v>
      </c>
      <c r="C79" s="27" t="s">
        <v>48</v>
      </c>
      <c r="D79" s="39" t="s">
        <v>34</v>
      </c>
      <c r="E79" s="27" t="s">
        <v>50</v>
      </c>
      <c r="F79" s="41" t="s">
        <v>659</v>
      </c>
      <c r="G79" s="43"/>
      <c r="H79" s="43"/>
      <c r="I79" s="43"/>
      <c r="J79" s="43"/>
      <c r="K79" s="27"/>
      <c r="L79" s="28"/>
      <c r="M79" s="27"/>
      <c r="N79" s="27"/>
      <c r="O79" s="18">
        <f>SUM(O80:O81)</f>
        <v>3997703028.0599999</v>
      </c>
      <c r="P79" s="246">
        <v>622338949.75102043</v>
      </c>
      <c r="Q79" s="246">
        <v>263638775.51020396</v>
      </c>
      <c r="R79" s="27" t="s">
        <v>3745</v>
      </c>
      <c r="S79" s="27" t="s">
        <v>681</v>
      </c>
      <c r="T79" s="18">
        <f>SUM(T80:T81)</f>
        <v>363048976</v>
      </c>
      <c r="U79" s="29" t="s">
        <v>679</v>
      </c>
      <c r="V79" s="27" t="s">
        <v>680</v>
      </c>
      <c r="W79" s="30">
        <v>0.98</v>
      </c>
      <c r="X79" s="53">
        <v>21</v>
      </c>
      <c r="Y79" s="27" t="s">
        <v>682</v>
      </c>
      <c r="Z79" s="27">
        <v>21</v>
      </c>
      <c r="AA79" s="54" t="s">
        <v>683</v>
      </c>
      <c r="AB79" s="27" t="s">
        <v>684</v>
      </c>
      <c r="AC79" s="273">
        <v>622338949.75102043</v>
      </c>
      <c r="AD79" s="27">
        <v>7275766111.2430887</v>
      </c>
      <c r="AE79" s="228">
        <v>8.5535865259513094E-2</v>
      </c>
      <c r="AF79" s="27" t="s">
        <v>2842</v>
      </c>
      <c r="AG79" s="226" t="s">
        <v>2842</v>
      </c>
      <c r="AH79" s="226">
        <v>0.73804780006705173</v>
      </c>
      <c r="AI79" s="27">
        <v>300700000</v>
      </c>
      <c r="AJ79" s="226">
        <v>2.0696340197905569</v>
      </c>
      <c r="AK79" s="27">
        <v>60365428.587760188</v>
      </c>
      <c r="AL79" s="226">
        <v>10.309525904322115</v>
      </c>
      <c r="AM79" s="27">
        <v>239092588.06461477</v>
      </c>
      <c r="AN79" s="271">
        <v>2.6029202945548162</v>
      </c>
      <c r="AO79" s="27">
        <v>8234100</v>
      </c>
      <c r="AP79" s="27" t="s">
        <v>2842</v>
      </c>
      <c r="AQ79" s="27">
        <v>68.003682926829285</v>
      </c>
      <c r="AR79" s="27">
        <v>49.8</v>
      </c>
      <c r="AS79" s="29">
        <v>83.346299999999999</v>
      </c>
      <c r="AT79" s="270">
        <v>29</v>
      </c>
      <c r="AU79" s="464">
        <v>48.093116147257767</v>
      </c>
      <c r="AV79" s="29">
        <v>-1.06133295704847</v>
      </c>
      <c r="AW79" s="29">
        <v>-1.00493522862547</v>
      </c>
      <c r="AX79" s="29">
        <v>-0.80206008572976895</v>
      </c>
      <c r="AY79" s="29">
        <v>-0.59636023494211399</v>
      </c>
      <c r="AZ79" s="60">
        <v>-0.94683881369947598</v>
      </c>
    </row>
    <row r="80" spans="1:52" s="29" customFormat="1" ht="15" customHeight="1">
      <c r="A80" s="35" t="s">
        <v>47</v>
      </c>
      <c r="B80" s="27">
        <v>2003</v>
      </c>
      <c r="C80" s="27" t="s">
        <v>48</v>
      </c>
      <c r="D80" s="39" t="s">
        <v>34</v>
      </c>
      <c r="E80" s="27" t="s">
        <v>552</v>
      </c>
      <c r="F80" s="41" t="s">
        <v>552</v>
      </c>
      <c r="G80" s="43">
        <v>4600000000</v>
      </c>
      <c r="H80" s="43"/>
      <c r="I80" s="43"/>
      <c r="J80" s="43"/>
      <c r="K80" s="27" t="s">
        <v>599</v>
      </c>
      <c r="L80" s="28">
        <v>0.16410100000000002</v>
      </c>
      <c r="M80" s="27" t="s">
        <v>600</v>
      </c>
      <c r="N80" s="27" t="s">
        <v>685</v>
      </c>
      <c r="O80" s="18">
        <f>G80*L80</f>
        <v>754864600.00000012</v>
      </c>
      <c r="P80" s="245"/>
      <c r="Q80" s="246"/>
      <c r="R80" s="27"/>
      <c r="S80" s="27" t="s">
        <v>686</v>
      </c>
      <c r="T80" s="18">
        <f>1052200000*L80</f>
        <v>172667072.20000002</v>
      </c>
      <c r="U80" s="27"/>
      <c r="V80" s="27"/>
      <c r="W80" s="30"/>
      <c r="X80" s="53"/>
      <c r="Y80" s="27"/>
      <c r="Z80" s="27"/>
      <c r="AA80" s="54"/>
      <c r="AB80" s="27"/>
      <c r="AC80" s="273">
        <v>622338949.75102043</v>
      </c>
      <c r="AD80" s="27">
        <v>7275766111.2430887</v>
      </c>
      <c r="AE80" s="228">
        <v>8.5535865259513094E-2</v>
      </c>
      <c r="AF80" s="27" t="s">
        <v>2842</v>
      </c>
      <c r="AG80" s="226" t="s">
        <v>2842</v>
      </c>
      <c r="AH80" s="226">
        <v>0.73804780006705173</v>
      </c>
      <c r="AI80" s="27">
        <v>300700000</v>
      </c>
      <c r="AJ80" s="226">
        <v>2.0696340197905569</v>
      </c>
      <c r="AK80" s="27">
        <v>60365428.587760188</v>
      </c>
      <c r="AL80" s="226">
        <v>10.309525904322115</v>
      </c>
      <c r="AM80" s="27">
        <v>239092588.06461477</v>
      </c>
      <c r="AN80" s="271">
        <v>2.6029202945548162</v>
      </c>
      <c r="AO80" s="27">
        <v>8234100</v>
      </c>
      <c r="AP80" s="27" t="s">
        <v>2842</v>
      </c>
      <c r="AQ80" s="27">
        <v>68.003682926829285</v>
      </c>
      <c r="AR80" s="27">
        <v>49.8</v>
      </c>
      <c r="AS80" s="29">
        <v>83.346299999999999</v>
      </c>
      <c r="AT80" s="270">
        <v>29</v>
      </c>
      <c r="AU80" s="464">
        <v>48.093116147257767</v>
      </c>
      <c r="AV80" s="29">
        <v>-1.06133295704847</v>
      </c>
      <c r="AW80" s="29">
        <v>-1.00493522862547</v>
      </c>
      <c r="AX80" s="29">
        <v>-0.80206008572976895</v>
      </c>
      <c r="AY80" s="29">
        <v>-0.59636023494211399</v>
      </c>
      <c r="AZ80" s="60">
        <v>-0.94683881369947598</v>
      </c>
    </row>
    <row r="81" spans="1:52" s="287" customFormat="1" ht="15" customHeight="1">
      <c r="A81" s="172" t="s">
        <v>47</v>
      </c>
      <c r="B81" s="284">
        <v>2003</v>
      </c>
      <c r="C81" s="284" t="s">
        <v>48</v>
      </c>
      <c r="D81" s="314" t="s">
        <v>34</v>
      </c>
      <c r="E81" s="284" t="s">
        <v>98</v>
      </c>
      <c r="F81" s="315" t="s">
        <v>98</v>
      </c>
      <c r="G81" s="303">
        <v>112420000</v>
      </c>
      <c r="H81" s="319"/>
      <c r="I81" s="319"/>
      <c r="J81" s="319"/>
      <c r="K81" s="284" t="s">
        <v>603</v>
      </c>
      <c r="L81" s="304">
        <v>28.845742999999999</v>
      </c>
      <c r="M81" s="284" t="s">
        <v>626</v>
      </c>
      <c r="N81" s="284" t="s">
        <v>687</v>
      </c>
      <c r="O81" s="305">
        <f>G81*L81</f>
        <v>3242838428.0599999</v>
      </c>
      <c r="P81" s="320"/>
      <c r="Q81" s="320"/>
      <c r="R81" s="284"/>
      <c r="S81" s="284" t="s">
        <v>688</v>
      </c>
      <c r="T81" s="305">
        <f>6600000*L81</f>
        <v>190381903.79999998</v>
      </c>
      <c r="U81" s="284"/>
      <c r="V81" s="284"/>
      <c r="W81" s="307"/>
      <c r="X81" s="302"/>
      <c r="Y81" s="284"/>
      <c r="Z81" s="284"/>
      <c r="AA81" s="321"/>
      <c r="AB81" s="284"/>
      <c r="AC81" s="308">
        <v>622338949.75102043</v>
      </c>
      <c r="AD81" s="284">
        <v>7275766111.2430887</v>
      </c>
      <c r="AE81" s="309">
        <v>8.5535865259513094E-2</v>
      </c>
      <c r="AF81" s="284" t="s">
        <v>2842</v>
      </c>
      <c r="AG81" s="310" t="s">
        <v>2842</v>
      </c>
      <c r="AH81" s="310">
        <v>0.73804780006705173</v>
      </c>
      <c r="AI81" s="284">
        <v>300700000</v>
      </c>
      <c r="AJ81" s="310">
        <v>2.0696340197905569</v>
      </c>
      <c r="AK81" s="284">
        <v>60365428.587760188</v>
      </c>
      <c r="AL81" s="310">
        <v>10.309525904322115</v>
      </c>
      <c r="AM81" s="284">
        <v>239092588.06461477</v>
      </c>
      <c r="AN81" s="311">
        <v>2.6029202945548162</v>
      </c>
      <c r="AO81" s="284">
        <v>8234100</v>
      </c>
      <c r="AP81" s="284" t="s">
        <v>2842</v>
      </c>
      <c r="AQ81" s="284">
        <v>68.003682926829285</v>
      </c>
      <c r="AR81" s="284">
        <v>49.8</v>
      </c>
      <c r="AS81" s="287">
        <v>83.346299999999999</v>
      </c>
      <c r="AT81" s="312">
        <v>29</v>
      </c>
      <c r="AU81" s="465">
        <v>48.093116147257767</v>
      </c>
      <c r="AV81" s="287">
        <v>-1.06133295704847</v>
      </c>
      <c r="AW81" s="287">
        <v>-1.00493522862547</v>
      </c>
      <c r="AX81" s="287">
        <v>-0.80206008572976895</v>
      </c>
      <c r="AY81" s="287">
        <v>-0.59636023494211399</v>
      </c>
      <c r="AZ81" s="313">
        <v>-0.94683881369947598</v>
      </c>
    </row>
    <row r="82" spans="1:52" ht="15" customHeight="1">
      <c r="A82" s="294" t="s">
        <v>52</v>
      </c>
      <c r="B82" s="27">
        <v>2004</v>
      </c>
      <c r="C82" s="27" t="s">
        <v>48</v>
      </c>
      <c r="D82" s="39" t="s">
        <v>34</v>
      </c>
      <c r="E82" s="27" t="s">
        <v>50</v>
      </c>
      <c r="F82" s="41" t="s">
        <v>659</v>
      </c>
      <c r="G82" s="43"/>
      <c r="H82" s="43"/>
      <c r="I82" s="43"/>
      <c r="J82" s="43"/>
      <c r="K82" s="27"/>
      <c r="L82" s="28"/>
      <c r="M82" s="27"/>
      <c r="N82" s="27"/>
      <c r="O82" s="18">
        <f>SUM(O83:O84)</f>
        <v>5093724575.55375</v>
      </c>
      <c r="P82" s="246">
        <v>1099837402.0408163</v>
      </c>
      <c r="Q82" s="246">
        <v>645018367.34693873</v>
      </c>
      <c r="R82" s="27" t="s">
        <v>3745</v>
      </c>
      <c r="S82" s="27" t="s">
        <v>691</v>
      </c>
      <c r="T82" s="18">
        <f>SUM(T83:T84)</f>
        <v>445467623.32500005</v>
      </c>
      <c r="U82" s="29" t="s">
        <v>689</v>
      </c>
      <c r="V82" s="27" t="s">
        <v>690</v>
      </c>
      <c r="W82" s="30">
        <v>0.98</v>
      </c>
      <c r="X82" s="53">
        <v>21</v>
      </c>
      <c r="Y82" s="27" t="s">
        <v>682</v>
      </c>
      <c r="Z82" s="27">
        <v>21</v>
      </c>
      <c r="AA82" s="54" t="s">
        <v>692</v>
      </c>
      <c r="AB82" s="27" t="s">
        <v>693</v>
      </c>
      <c r="AC82" s="273">
        <v>1099837402.0408163</v>
      </c>
      <c r="AD82" s="27">
        <v>8680511918.4935722</v>
      </c>
      <c r="AE82" s="228">
        <v>0.12670190564425646</v>
      </c>
      <c r="AF82" s="27" t="s">
        <v>2842</v>
      </c>
      <c r="AG82" s="226" t="s">
        <v>2842</v>
      </c>
      <c r="AH82" s="226">
        <v>0.71399849198966869</v>
      </c>
      <c r="AI82" s="27">
        <v>175760000</v>
      </c>
      <c r="AJ82" s="226">
        <v>6.2576092514839345</v>
      </c>
      <c r="AK82" s="27">
        <v>89293824.994726837</v>
      </c>
      <c r="AL82" s="226">
        <v>12.317060021852196</v>
      </c>
      <c r="AM82" s="27">
        <v>299274537.20913547</v>
      </c>
      <c r="AN82" s="271">
        <v>3.6750116207589056</v>
      </c>
      <c r="AO82" s="27">
        <v>8306500</v>
      </c>
      <c r="AP82" s="27" t="s">
        <v>2842</v>
      </c>
      <c r="AQ82" s="27">
        <v>68.470195121951221</v>
      </c>
      <c r="AR82" s="27">
        <v>46.7</v>
      </c>
      <c r="AS82" s="29">
        <v>84.283259999999999</v>
      </c>
      <c r="AT82" s="270">
        <v>29</v>
      </c>
      <c r="AU82" s="464">
        <v>48.093116147257767</v>
      </c>
      <c r="AV82" s="29">
        <v>-1.0443625579526301</v>
      </c>
      <c r="AW82" s="29">
        <v>-1.0866114775606099</v>
      </c>
      <c r="AX82" s="29">
        <v>-0.75060073325910404</v>
      </c>
      <c r="AY82" s="29">
        <v>-0.58775702093830895</v>
      </c>
      <c r="AZ82" s="60">
        <v>-1.11152906579656</v>
      </c>
    </row>
    <row r="83" spans="1:52" ht="15" customHeight="1">
      <c r="A83" s="35" t="s">
        <v>52</v>
      </c>
      <c r="B83" s="27">
        <v>2004</v>
      </c>
      <c r="C83" s="27" t="s">
        <v>48</v>
      </c>
      <c r="D83" s="39" t="s">
        <v>34</v>
      </c>
      <c r="E83" s="27" t="s">
        <v>552</v>
      </c>
      <c r="F83" s="41" t="s">
        <v>552</v>
      </c>
      <c r="G83" s="43">
        <v>4500000000</v>
      </c>
      <c r="H83" s="43"/>
      <c r="I83" s="43"/>
      <c r="J83" s="43"/>
      <c r="K83" s="27" t="s">
        <v>599</v>
      </c>
      <c r="L83" s="28">
        <v>0.18254599999999999</v>
      </c>
      <c r="M83" s="27" t="s">
        <v>600</v>
      </c>
      <c r="N83" s="27" t="s">
        <v>685</v>
      </c>
      <c r="O83" s="18">
        <f>G83*L83</f>
        <v>821456999.99999988</v>
      </c>
      <c r="P83" s="245"/>
      <c r="Q83" s="246"/>
      <c r="R83" s="27"/>
      <c r="S83" s="18" t="s">
        <v>694</v>
      </c>
      <c r="T83" s="18">
        <f>1050000000*L83</f>
        <v>191673300</v>
      </c>
      <c r="U83" s="27"/>
      <c r="V83" s="27"/>
      <c r="W83" s="30"/>
      <c r="X83" s="53"/>
      <c r="Y83" s="27"/>
      <c r="Z83" s="27"/>
      <c r="AA83" s="54"/>
      <c r="AB83" s="27"/>
      <c r="AC83" s="273">
        <v>1099837402.0408163</v>
      </c>
      <c r="AD83" s="27">
        <v>8680511918.4935722</v>
      </c>
      <c r="AE83" s="228">
        <v>0.12670190564425646</v>
      </c>
      <c r="AF83" s="27" t="s">
        <v>2842</v>
      </c>
      <c r="AG83" s="226" t="s">
        <v>2842</v>
      </c>
      <c r="AH83" s="226">
        <v>0.71399849198966869</v>
      </c>
      <c r="AI83" s="27">
        <v>175760000</v>
      </c>
      <c r="AJ83" s="226">
        <v>6.2576092514839345</v>
      </c>
      <c r="AK83" s="27">
        <v>89293824.994726837</v>
      </c>
      <c r="AL83" s="226">
        <v>12.317060021852196</v>
      </c>
      <c r="AM83" s="27">
        <v>299274537.20913547</v>
      </c>
      <c r="AN83" s="271">
        <v>3.6750116207589056</v>
      </c>
      <c r="AO83" s="27">
        <v>8306500</v>
      </c>
      <c r="AP83" s="27" t="s">
        <v>2842</v>
      </c>
      <c r="AQ83" s="27">
        <v>68.470195121951221</v>
      </c>
      <c r="AR83" s="27">
        <v>46.7</v>
      </c>
      <c r="AS83" s="29">
        <v>84.283259999999999</v>
      </c>
      <c r="AT83" s="270">
        <v>29</v>
      </c>
      <c r="AU83" s="464">
        <v>48.093116147257767</v>
      </c>
      <c r="AV83" s="29">
        <v>-1.0443625579526301</v>
      </c>
      <c r="AW83" s="29">
        <v>-1.0866114775606099</v>
      </c>
      <c r="AX83" s="29">
        <v>-0.75060073325910404</v>
      </c>
      <c r="AY83" s="29">
        <v>-0.58775702093830895</v>
      </c>
      <c r="AZ83" s="60">
        <v>-1.11152906579656</v>
      </c>
    </row>
    <row r="84" spans="1:52" s="287" customFormat="1" ht="15" customHeight="1">
      <c r="A84" s="172" t="s">
        <v>52</v>
      </c>
      <c r="B84" s="284">
        <v>2004</v>
      </c>
      <c r="C84" s="284" t="s">
        <v>48</v>
      </c>
      <c r="D84" s="314" t="s">
        <v>34</v>
      </c>
      <c r="E84" s="284" t="s">
        <v>98</v>
      </c>
      <c r="F84" s="315" t="s">
        <v>98</v>
      </c>
      <c r="G84" s="303">
        <v>112785000</v>
      </c>
      <c r="H84" s="303"/>
      <c r="I84" s="303"/>
      <c r="J84" s="303"/>
      <c r="K84" s="284" t="s">
        <v>603</v>
      </c>
      <c r="L84" s="304">
        <v>37.879749750000002</v>
      </c>
      <c r="M84" s="284" t="s">
        <v>626</v>
      </c>
      <c r="N84" s="284" t="s">
        <v>687</v>
      </c>
      <c r="O84" s="305">
        <f>G84*L84</f>
        <v>4272267575.55375</v>
      </c>
      <c r="P84" s="320"/>
      <c r="Q84" s="320"/>
      <c r="R84" s="284"/>
      <c r="S84" s="284" t="s">
        <v>695</v>
      </c>
      <c r="T84" s="305">
        <f>6700000*L84</f>
        <v>253794323.32500002</v>
      </c>
      <c r="U84" s="284"/>
      <c r="V84" s="284"/>
      <c r="W84" s="307"/>
      <c r="X84" s="302"/>
      <c r="Y84" s="284"/>
      <c r="Z84" s="284"/>
      <c r="AA84" s="321"/>
      <c r="AB84" s="284"/>
      <c r="AC84" s="308">
        <v>1099837402.0408163</v>
      </c>
      <c r="AD84" s="284">
        <v>8680511918.4935722</v>
      </c>
      <c r="AE84" s="309">
        <v>0.12670190564425646</v>
      </c>
      <c r="AF84" s="284" t="s">
        <v>2842</v>
      </c>
      <c r="AG84" s="310" t="s">
        <v>2842</v>
      </c>
      <c r="AH84" s="310">
        <v>0.71399849198966869</v>
      </c>
      <c r="AI84" s="284">
        <v>175760000</v>
      </c>
      <c r="AJ84" s="310">
        <v>6.2576092514839345</v>
      </c>
      <c r="AK84" s="284">
        <v>89293824.994726837</v>
      </c>
      <c r="AL84" s="310">
        <v>12.317060021852196</v>
      </c>
      <c r="AM84" s="284">
        <v>299274537.20913547</v>
      </c>
      <c r="AN84" s="311">
        <v>3.6750116207589056</v>
      </c>
      <c r="AO84" s="284">
        <v>8306500</v>
      </c>
      <c r="AP84" s="284" t="s">
        <v>2842</v>
      </c>
      <c r="AQ84" s="284">
        <v>68.470195121951221</v>
      </c>
      <c r="AR84" s="284">
        <v>46.7</v>
      </c>
      <c r="AS84" s="287">
        <v>84.283259999999999</v>
      </c>
      <c r="AT84" s="312">
        <v>29</v>
      </c>
      <c r="AU84" s="465">
        <v>48.093116147257767</v>
      </c>
      <c r="AV84" s="287">
        <v>-1.0443625579526301</v>
      </c>
      <c r="AW84" s="287">
        <v>-1.0866114775606099</v>
      </c>
      <c r="AX84" s="287">
        <v>-0.75060073325910404</v>
      </c>
      <c r="AY84" s="287">
        <v>-0.58775702093830895</v>
      </c>
      <c r="AZ84" s="313">
        <v>-1.11152906579656</v>
      </c>
    </row>
    <row r="85" spans="1:52" s="29" customFormat="1" ht="15" customHeight="1">
      <c r="A85" s="294" t="s">
        <v>55</v>
      </c>
      <c r="B85" s="27">
        <v>2005</v>
      </c>
      <c r="C85" s="27" t="s">
        <v>48</v>
      </c>
      <c r="D85" s="39" t="s">
        <v>34</v>
      </c>
      <c r="E85" s="27" t="s">
        <v>50</v>
      </c>
      <c r="F85" s="41" t="s">
        <v>659</v>
      </c>
      <c r="G85" s="43"/>
      <c r="H85" s="43"/>
      <c r="I85" s="43"/>
      <c r="J85" s="43"/>
      <c r="K85" s="27"/>
      <c r="L85" s="28"/>
      <c r="M85" s="27"/>
      <c r="N85" s="27"/>
      <c r="O85" s="18">
        <f>SUM(O86:O87)</f>
        <v>10226484962.86375</v>
      </c>
      <c r="P85" s="246">
        <f>66200000+((447200000000/5000)/W85)+T85</f>
        <v>1468619689.6725025</v>
      </c>
      <c r="Q85" s="246">
        <f>62500000+((447200000000/5000)/W85)</f>
        <v>157145502.64550266</v>
      </c>
      <c r="R85" s="27" t="s">
        <v>3745</v>
      </c>
      <c r="S85" s="27" t="s">
        <v>697</v>
      </c>
      <c r="T85" s="18">
        <f>SUM(T86:T87)</f>
        <v>1307774187.027</v>
      </c>
      <c r="U85" s="29" t="s">
        <v>696</v>
      </c>
      <c r="V85" s="27" t="s">
        <v>690</v>
      </c>
      <c r="W85" s="30">
        <v>0.94499999999999995</v>
      </c>
      <c r="X85" s="53">
        <v>22</v>
      </c>
      <c r="Y85" s="27" t="s">
        <v>698</v>
      </c>
      <c r="Z85" s="27">
        <v>22</v>
      </c>
      <c r="AA85" s="54" t="s">
        <v>692</v>
      </c>
      <c r="AB85" s="27" t="s">
        <v>699</v>
      </c>
      <c r="AC85" s="273">
        <v>1475500561.5275025</v>
      </c>
      <c r="AD85" s="27">
        <v>13245421880.834042</v>
      </c>
      <c r="AE85" s="228">
        <v>0.11139702266958618</v>
      </c>
      <c r="AF85" s="27">
        <v>2810546068.8941751</v>
      </c>
      <c r="AG85" s="226">
        <v>0.52498714675331626</v>
      </c>
      <c r="AH85" s="226">
        <v>0.71755001380492767</v>
      </c>
      <c r="AI85" s="27">
        <v>216510000</v>
      </c>
      <c r="AJ85" s="226">
        <v>6.8149303105053001</v>
      </c>
      <c r="AK85" s="27">
        <v>116670316.09710252</v>
      </c>
      <c r="AL85" s="226">
        <v>12.646752069305023</v>
      </c>
      <c r="AM85" s="27">
        <v>394000968.35166556</v>
      </c>
      <c r="AN85" s="271">
        <v>3.7449160790146703</v>
      </c>
      <c r="AO85" s="27">
        <v>8391850</v>
      </c>
      <c r="AP85" s="27" t="s">
        <v>2842</v>
      </c>
      <c r="AQ85" s="27">
        <v>68.93726829268293</v>
      </c>
      <c r="AR85" s="27">
        <v>43.9</v>
      </c>
      <c r="AS85" s="29">
        <v>83.953540000000004</v>
      </c>
      <c r="AT85" s="270">
        <v>29</v>
      </c>
      <c r="AU85" s="464">
        <v>48.093116147257767</v>
      </c>
      <c r="AV85" s="29">
        <v>-1.08231167670484</v>
      </c>
      <c r="AW85" s="29">
        <v>-1.11490753511908</v>
      </c>
      <c r="AX85" s="29">
        <v>-0.68064907347091697</v>
      </c>
      <c r="AY85" s="29">
        <v>-0.54876070503903296</v>
      </c>
      <c r="AZ85" s="60">
        <v>-0.98911060474203205</v>
      </c>
    </row>
    <row r="86" spans="1:52" s="29" customFormat="1" ht="15" customHeight="1">
      <c r="A86" s="35" t="s">
        <v>55</v>
      </c>
      <c r="B86" s="27">
        <v>2005</v>
      </c>
      <c r="C86" s="27" t="s">
        <v>48</v>
      </c>
      <c r="D86" s="39" t="s">
        <v>34</v>
      </c>
      <c r="E86" s="27" t="s">
        <v>552</v>
      </c>
      <c r="F86" s="41" t="s">
        <v>552</v>
      </c>
      <c r="G86" s="43">
        <v>5200000000</v>
      </c>
      <c r="H86" s="43"/>
      <c r="I86" s="43"/>
      <c r="J86" s="43"/>
      <c r="K86" s="27" t="s">
        <v>599</v>
      </c>
      <c r="L86" s="28">
        <v>0.27869799999999995</v>
      </c>
      <c r="M86" s="27" t="s">
        <v>600</v>
      </c>
      <c r="N86" s="27" t="s">
        <v>685</v>
      </c>
      <c r="O86" s="18">
        <f>G86*L86</f>
        <v>1449229599.9999998</v>
      </c>
      <c r="P86" s="245"/>
      <c r="Q86" s="246"/>
      <c r="R86" s="27"/>
      <c r="S86" s="27" t="s">
        <v>700</v>
      </c>
      <c r="T86" s="18">
        <f>1919709000*L86</f>
        <v>535019058.88199991</v>
      </c>
      <c r="U86" s="27"/>
      <c r="V86" s="27"/>
      <c r="W86" s="30"/>
      <c r="X86" s="53"/>
      <c r="Y86" s="27"/>
      <c r="Z86" s="27"/>
      <c r="AA86" s="54"/>
      <c r="AB86" s="27"/>
      <c r="AC86" s="273">
        <v>1475500561.5275025</v>
      </c>
      <c r="AD86" s="27">
        <v>13245421880.834042</v>
      </c>
      <c r="AE86" s="228">
        <v>0.11139702266958618</v>
      </c>
      <c r="AF86" s="27">
        <v>2810546068.8941751</v>
      </c>
      <c r="AG86" s="226">
        <v>0.52498714675331626</v>
      </c>
      <c r="AH86" s="226">
        <v>0.71755001380492767</v>
      </c>
      <c r="AI86" s="27">
        <v>216510000</v>
      </c>
      <c r="AJ86" s="226">
        <v>6.8149303105053001</v>
      </c>
      <c r="AK86" s="27">
        <v>116670316.09710252</v>
      </c>
      <c r="AL86" s="226">
        <v>12.646752069305023</v>
      </c>
      <c r="AM86" s="27">
        <v>394000968.35166556</v>
      </c>
      <c r="AN86" s="271">
        <v>3.7449160790146703</v>
      </c>
      <c r="AO86" s="27">
        <v>8391850</v>
      </c>
      <c r="AP86" s="27" t="s">
        <v>2842</v>
      </c>
      <c r="AQ86" s="27">
        <v>68.93726829268293</v>
      </c>
      <c r="AR86" s="27">
        <v>43.9</v>
      </c>
      <c r="AS86" s="29">
        <v>83.953540000000004</v>
      </c>
      <c r="AT86" s="270">
        <v>29</v>
      </c>
      <c r="AU86" s="464">
        <v>48.093116147257767</v>
      </c>
      <c r="AV86" s="29">
        <v>-1.08231167670484</v>
      </c>
      <c r="AW86" s="29">
        <v>-1.11490753511908</v>
      </c>
      <c r="AX86" s="29">
        <v>-0.68064907347091697</v>
      </c>
      <c r="AY86" s="29">
        <v>-0.54876070503903296</v>
      </c>
      <c r="AZ86" s="60">
        <v>-0.98911060474203205</v>
      </c>
    </row>
    <row r="87" spans="1:52" s="287" customFormat="1" ht="15" customHeight="1">
      <c r="A87" s="172" t="s">
        <v>55</v>
      </c>
      <c r="B87" s="284">
        <v>2005</v>
      </c>
      <c r="C87" s="284" t="s">
        <v>48</v>
      </c>
      <c r="D87" s="314" t="s">
        <v>34</v>
      </c>
      <c r="E87" s="284" t="s">
        <v>98</v>
      </c>
      <c r="F87" s="315" t="s">
        <v>98</v>
      </c>
      <c r="G87" s="303">
        <v>162425000</v>
      </c>
      <c r="H87" s="303"/>
      <c r="I87" s="303"/>
      <c r="J87" s="303"/>
      <c r="K87" s="284" t="s">
        <v>603</v>
      </c>
      <c r="L87" s="304">
        <v>54.038820149999999</v>
      </c>
      <c r="M87" s="284" t="s">
        <v>626</v>
      </c>
      <c r="N87" s="284" t="s">
        <v>687</v>
      </c>
      <c r="O87" s="305">
        <f>G87*L87</f>
        <v>8777255362.8637505</v>
      </c>
      <c r="P87" s="320"/>
      <c r="Q87" s="320"/>
      <c r="R87" s="284"/>
      <c r="S87" s="284" t="s">
        <v>701</v>
      </c>
      <c r="T87" s="305">
        <f>14300000*L87</f>
        <v>772755128.14499998</v>
      </c>
      <c r="U87" s="284"/>
      <c r="V87" s="284"/>
      <c r="W87" s="307"/>
      <c r="X87" s="302"/>
      <c r="Y87" s="284"/>
      <c r="Z87" s="284"/>
      <c r="AA87" s="321"/>
      <c r="AB87" s="284"/>
      <c r="AC87" s="308">
        <v>1475500561.5275025</v>
      </c>
      <c r="AD87" s="284">
        <v>13245421880.834042</v>
      </c>
      <c r="AE87" s="309">
        <v>0.11139702266958618</v>
      </c>
      <c r="AF87" s="284">
        <v>2810546068.8941751</v>
      </c>
      <c r="AG87" s="310">
        <v>0.52498714675331626</v>
      </c>
      <c r="AH87" s="310">
        <v>0.71755001380492767</v>
      </c>
      <c r="AI87" s="284">
        <v>216510000</v>
      </c>
      <c r="AJ87" s="310">
        <v>6.8149303105053001</v>
      </c>
      <c r="AK87" s="284">
        <v>116670316.09710252</v>
      </c>
      <c r="AL87" s="310">
        <v>12.646752069305023</v>
      </c>
      <c r="AM87" s="284">
        <v>394000968.35166556</v>
      </c>
      <c r="AN87" s="311">
        <v>3.7449160790146703</v>
      </c>
      <c r="AO87" s="284">
        <v>8391850</v>
      </c>
      <c r="AP87" s="284" t="s">
        <v>2842</v>
      </c>
      <c r="AQ87" s="284">
        <v>68.93726829268293</v>
      </c>
      <c r="AR87" s="284">
        <v>43.9</v>
      </c>
      <c r="AS87" s="287">
        <v>83.953540000000004</v>
      </c>
      <c r="AT87" s="312">
        <v>29</v>
      </c>
      <c r="AU87" s="465">
        <v>48.093116147257767</v>
      </c>
      <c r="AV87" s="287">
        <v>-1.08231167670484</v>
      </c>
      <c r="AW87" s="287">
        <v>-1.11490753511908</v>
      </c>
      <c r="AX87" s="287">
        <v>-0.68064907347091697</v>
      </c>
      <c r="AY87" s="287">
        <v>-0.54876070503903296</v>
      </c>
      <c r="AZ87" s="313">
        <v>-0.98911060474203205</v>
      </c>
    </row>
    <row r="88" spans="1:52" ht="15" customHeight="1">
      <c r="A88" s="294" t="s">
        <v>58</v>
      </c>
      <c r="B88" s="27">
        <v>2006</v>
      </c>
      <c r="C88" s="27" t="s">
        <v>48</v>
      </c>
      <c r="D88" s="39" t="s">
        <v>34</v>
      </c>
      <c r="E88" s="27" t="s">
        <v>50</v>
      </c>
      <c r="F88" s="41" t="s">
        <v>659</v>
      </c>
      <c r="G88" s="43"/>
      <c r="H88" s="43"/>
      <c r="I88" s="43"/>
      <c r="J88" s="43"/>
      <c r="K88" s="27"/>
      <c r="L88" s="28"/>
      <c r="M88" s="27"/>
      <c r="N88" s="27"/>
      <c r="O88" s="18">
        <f>SUM(O89:O90)</f>
        <v>16795972539.984999</v>
      </c>
      <c r="P88" s="246">
        <v>3510790699.9586</v>
      </c>
      <c r="Q88" s="246">
        <v>1687436394</v>
      </c>
      <c r="R88" s="27" t="s">
        <v>3745</v>
      </c>
      <c r="S88" s="27" t="s">
        <v>703</v>
      </c>
      <c r="T88" s="18">
        <f>SUM(T89:T90)</f>
        <v>1816979853.4586</v>
      </c>
      <c r="U88" s="29" t="s">
        <v>702</v>
      </c>
      <c r="V88" s="27" t="s">
        <v>690</v>
      </c>
      <c r="W88" s="30">
        <v>0.89300000000000002</v>
      </c>
      <c r="X88" s="53">
        <v>25</v>
      </c>
      <c r="Y88" s="27" t="s">
        <v>704</v>
      </c>
      <c r="Z88" s="27">
        <v>25</v>
      </c>
      <c r="AA88" s="54" t="s">
        <v>705</v>
      </c>
      <c r="AB88" s="27" t="s">
        <v>706</v>
      </c>
      <c r="AC88" s="273">
        <v>3510790699.9586</v>
      </c>
      <c r="AD88" s="27">
        <v>20982270733.248421</v>
      </c>
      <c r="AE88" s="228">
        <v>0.16732177106052756</v>
      </c>
      <c r="AF88" s="27">
        <v>3916760477.7754827</v>
      </c>
      <c r="AG88" s="226">
        <v>0.89635062442024727</v>
      </c>
      <c r="AH88" s="226">
        <v>0.80144930911935153</v>
      </c>
      <c r="AI88" s="27">
        <v>206390000</v>
      </c>
      <c r="AJ88" s="226">
        <v>17.010469014771065</v>
      </c>
      <c r="AK88" s="27">
        <v>181325501.90900686</v>
      </c>
      <c r="AL88" s="226">
        <v>19.361814322843525</v>
      </c>
      <c r="AM88" s="27">
        <v>536204026.81523675</v>
      </c>
      <c r="AN88" s="271">
        <v>6.5474903663271737</v>
      </c>
      <c r="AO88" s="27">
        <v>8484550</v>
      </c>
      <c r="AP88" s="27" t="s">
        <v>2842</v>
      </c>
      <c r="AQ88" s="27">
        <v>69.374731707317096</v>
      </c>
      <c r="AR88" s="27">
        <v>41.5</v>
      </c>
      <c r="AS88" s="29">
        <v>83.772009999999995</v>
      </c>
      <c r="AT88" s="270">
        <v>29</v>
      </c>
      <c r="AU88" s="464">
        <v>48.093116147257767</v>
      </c>
      <c r="AV88" s="29">
        <v>-1.2204446980110599</v>
      </c>
      <c r="AW88" s="29">
        <v>-1.0848389073723499</v>
      </c>
      <c r="AX88" s="29">
        <v>-0.67500074406877697</v>
      </c>
      <c r="AY88" s="29">
        <v>-0.49545094100609999</v>
      </c>
      <c r="AZ88" s="60">
        <v>-0.98963096081231505</v>
      </c>
    </row>
    <row r="89" spans="1:52" ht="15" customHeight="1">
      <c r="A89" s="35" t="s">
        <v>58</v>
      </c>
      <c r="B89" s="27">
        <v>2006</v>
      </c>
      <c r="C89" s="27" t="s">
        <v>48</v>
      </c>
      <c r="D89" s="39" t="s">
        <v>34</v>
      </c>
      <c r="E89" s="27" t="s">
        <v>552</v>
      </c>
      <c r="F89" s="41" t="s">
        <v>552</v>
      </c>
      <c r="G89" s="43">
        <v>6100000000</v>
      </c>
      <c r="H89" s="43"/>
      <c r="I89" s="43"/>
      <c r="J89" s="43"/>
      <c r="K89" s="27" t="s">
        <v>599</v>
      </c>
      <c r="L89" s="28">
        <v>0.243474</v>
      </c>
      <c r="M89" s="27" t="s">
        <v>600</v>
      </c>
      <c r="N89" s="27" t="s">
        <v>685</v>
      </c>
      <c r="O89" s="18">
        <f>G89*L89</f>
        <v>1485191400</v>
      </c>
      <c r="P89" s="245"/>
      <c r="Q89" s="246"/>
      <c r="R89" s="27"/>
      <c r="S89" s="27" t="s">
        <v>707</v>
      </c>
      <c r="T89" s="18">
        <f>2395468900*L89</f>
        <v>583234394.95860004</v>
      </c>
      <c r="U89" s="27"/>
      <c r="V89" s="27"/>
      <c r="W89" s="30"/>
      <c r="X89" s="53"/>
      <c r="Y89" s="27"/>
      <c r="Z89" s="27"/>
      <c r="AA89" s="54"/>
      <c r="AB89" s="27"/>
      <c r="AC89" s="273">
        <v>3510790699.9586</v>
      </c>
      <c r="AD89" s="27">
        <v>20982270733.248421</v>
      </c>
      <c r="AE89" s="228">
        <v>0.16732177106052756</v>
      </c>
      <c r="AF89" s="27">
        <v>3916760477.7754827</v>
      </c>
      <c r="AG89" s="226">
        <v>0.89635062442024727</v>
      </c>
      <c r="AH89" s="226">
        <v>0.80144930911935153</v>
      </c>
      <c r="AI89" s="27">
        <v>206390000</v>
      </c>
      <c r="AJ89" s="226">
        <v>17.010469014771065</v>
      </c>
      <c r="AK89" s="27">
        <v>181325501.90900686</v>
      </c>
      <c r="AL89" s="226">
        <v>19.361814322843525</v>
      </c>
      <c r="AM89" s="27">
        <v>536204026.81523675</v>
      </c>
      <c r="AN89" s="271">
        <v>6.5474903663271737</v>
      </c>
      <c r="AO89" s="27">
        <v>8484550</v>
      </c>
      <c r="AP89" s="27" t="s">
        <v>2842</v>
      </c>
      <c r="AQ89" s="27">
        <v>69.374731707317096</v>
      </c>
      <c r="AR89" s="27">
        <v>41.5</v>
      </c>
      <c r="AS89" s="29">
        <v>83.772009999999995</v>
      </c>
      <c r="AT89" s="270">
        <v>29</v>
      </c>
      <c r="AU89" s="464">
        <v>48.093116147257767</v>
      </c>
      <c r="AV89" s="29">
        <v>-1.2204446980110599</v>
      </c>
      <c r="AW89" s="29">
        <v>-1.0848389073723499</v>
      </c>
      <c r="AX89" s="29">
        <v>-0.67500074406877697</v>
      </c>
      <c r="AY89" s="29">
        <v>-0.49545094100609999</v>
      </c>
      <c r="AZ89" s="60">
        <v>-0.98963096081231505</v>
      </c>
    </row>
    <row r="90" spans="1:52" s="287" customFormat="1" ht="15" customHeight="1">
      <c r="A90" s="172" t="s">
        <v>58</v>
      </c>
      <c r="B90" s="284">
        <v>2006</v>
      </c>
      <c r="C90" s="284" t="s">
        <v>48</v>
      </c>
      <c r="D90" s="314" t="s">
        <v>34</v>
      </c>
      <c r="E90" s="284" t="s">
        <v>98</v>
      </c>
      <c r="F90" s="315" t="s">
        <v>98</v>
      </c>
      <c r="G90" s="303">
        <v>235790000</v>
      </c>
      <c r="H90" s="303"/>
      <c r="I90" s="303"/>
      <c r="J90" s="303"/>
      <c r="K90" s="284" t="s">
        <v>603</v>
      </c>
      <c r="L90" s="304">
        <v>64.933971499999998</v>
      </c>
      <c r="M90" s="284" t="s">
        <v>626</v>
      </c>
      <c r="N90" s="284" t="s">
        <v>687</v>
      </c>
      <c r="O90" s="305">
        <f>G90*L90</f>
        <v>15310781139.984999</v>
      </c>
      <c r="P90" s="320"/>
      <c r="Q90" s="320"/>
      <c r="R90" s="284"/>
      <c r="S90" s="284" t="s">
        <v>708</v>
      </c>
      <c r="T90" s="305">
        <f>19000000*L90</f>
        <v>1233745458.5</v>
      </c>
      <c r="U90" s="284"/>
      <c r="V90" s="284"/>
      <c r="W90" s="307"/>
      <c r="X90" s="302"/>
      <c r="Y90" s="284"/>
      <c r="Z90" s="284"/>
      <c r="AA90" s="321"/>
      <c r="AB90" s="284"/>
      <c r="AC90" s="308">
        <v>3510790699.9586</v>
      </c>
      <c r="AD90" s="284">
        <v>20982270733.248421</v>
      </c>
      <c r="AE90" s="309">
        <v>0.16732177106052756</v>
      </c>
      <c r="AF90" s="284">
        <v>3916760477.7754827</v>
      </c>
      <c r="AG90" s="310">
        <v>0.89635062442024727</v>
      </c>
      <c r="AH90" s="310">
        <v>0.80144930911935153</v>
      </c>
      <c r="AI90" s="284">
        <v>206390000</v>
      </c>
      <c r="AJ90" s="310">
        <v>17.010469014771065</v>
      </c>
      <c r="AK90" s="284">
        <v>181325501.90900686</v>
      </c>
      <c r="AL90" s="310">
        <v>19.361814322843525</v>
      </c>
      <c r="AM90" s="284">
        <v>536204026.81523675</v>
      </c>
      <c r="AN90" s="311">
        <v>6.5474903663271737</v>
      </c>
      <c r="AO90" s="284">
        <v>8484550</v>
      </c>
      <c r="AP90" s="284" t="s">
        <v>2842</v>
      </c>
      <c r="AQ90" s="284">
        <v>69.374731707317096</v>
      </c>
      <c r="AR90" s="284">
        <v>41.5</v>
      </c>
      <c r="AS90" s="287">
        <v>83.772009999999995</v>
      </c>
      <c r="AT90" s="312">
        <v>29</v>
      </c>
      <c r="AU90" s="465">
        <v>48.093116147257767</v>
      </c>
      <c r="AV90" s="287">
        <v>-1.2204446980110599</v>
      </c>
      <c r="AW90" s="287">
        <v>-1.0848389073723499</v>
      </c>
      <c r="AX90" s="287">
        <v>-0.67500074406877697</v>
      </c>
      <c r="AY90" s="287">
        <v>-0.49545094100609999</v>
      </c>
      <c r="AZ90" s="313">
        <v>-0.98963096081231505</v>
      </c>
    </row>
    <row r="91" spans="1:52" s="29" customFormat="1" ht="15" customHeight="1">
      <c r="A91" s="294" t="s">
        <v>61</v>
      </c>
      <c r="B91" s="27">
        <v>2007</v>
      </c>
      <c r="C91" s="27" t="s">
        <v>48</v>
      </c>
      <c r="D91" s="39" t="s">
        <v>34</v>
      </c>
      <c r="E91" s="27" t="s">
        <v>50</v>
      </c>
      <c r="F91" s="41" t="s">
        <v>659</v>
      </c>
      <c r="G91" s="43"/>
      <c r="H91" s="43"/>
      <c r="I91" s="43"/>
      <c r="J91" s="43"/>
      <c r="K91" s="27"/>
      <c r="L91" s="28"/>
      <c r="M91" s="27"/>
      <c r="N91" s="27"/>
      <c r="O91" s="18">
        <f>SUM(O92:O93)</f>
        <v>24669210601.398998</v>
      </c>
      <c r="P91" s="246">
        <v>5563486877.5584002</v>
      </c>
      <c r="Q91" s="246">
        <v>2818365735</v>
      </c>
      <c r="R91" s="27" t="s">
        <v>3745</v>
      </c>
      <c r="S91" s="27" t="s">
        <v>709</v>
      </c>
      <c r="T91" s="18">
        <f>SUM(T92:T93)</f>
        <v>2727736601.1259003</v>
      </c>
      <c r="U91" s="29" t="s">
        <v>702</v>
      </c>
      <c r="V91" s="27" t="s">
        <v>690</v>
      </c>
      <c r="W91" s="30">
        <v>0.85799999999999998</v>
      </c>
      <c r="X91" s="53">
        <v>25</v>
      </c>
      <c r="Y91" s="27" t="s">
        <v>710</v>
      </c>
      <c r="Z91" s="27">
        <v>25</v>
      </c>
      <c r="AA91" s="54" t="s">
        <v>711</v>
      </c>
      <c r="AB91" s="27" t="s">
        <v>712</v>
      </c>
      <c r="AC91" s="273">
        <v>5563486877.5584002</v>
      </c>
      <c r="AD91" s="27">
        <v>33050343782.775902</v>
      </c>
      <c r="AE91" s="228">
        <v>0.16833370672706274</v>
      </c>
      <c r="AF91" s="27">
        <v>9024065866.4491329</v>
      </c>
      <c r="AG91" s="226">
        <v>0.61651665223799712</v>
      </c>
      <c r="AH91" s="226">
        <v>0.78556756529472016</v>
      </c>
      <c r="AI91" s="27">
        <v>225210000</v>
      </c>
      <c r="AJ91" s="226">
        <v>24.703551696453978</v>
      </c>
      <c r="AK91" s="27">
        <v>323977276.85513765</v>
      </c>
      <c r="AL91" s="226">
        <v>17.172460153883087</v>
      </c>
      <c r="AM91" s="27">
        <v>842545803.98554945</v>
      </c>
      <c r="AN91" s="271">
        <v>6.6031862614959032</v>
      </c>
      <c r="AO91" s="27">
        <v>8581300</v>
      </c>
      <c r="AP91" s="27">
        <v>15.8</v>
      </c>
      <c r="AQ91" s="27">
        <v>69.756</v>
      </c>
      <c r="AR91" s="27">
        <v>39.299999999999997</v>
      </c>
      <c r="AS91" s="29">
        <v>83.458410000000001</v>
      </c>
      <c r="AT91" s="270">
        <v>29</v>
      </c>
      <c r="AU91" s="464">
        <v>48.093116147257767</v>
      </c>
      <c r="AV91" s="29">
        <v>-1.1761588258531499</v>
      </c>
      <c r="AW91" s="29">
        <v>-0.646004170107213</v>
      </c>
      <c r="AX91" s="29">
        <v>-0.765335682556191</v>
      </c>
      <c r="AY91" s="29">
        <v>-0.440990286727518</v>
      </c>
      <c r="AZ91" s="60">
        <v>-1.0177770519759499</v>
      </c>
    </row>
    <row r="92" spans="1:52" s="29" customFormat="1" ht="15" customHeight="1">
      <c r="A92" s="35" t="s">
        <v>61</v>
      </c>
      <c r="B92" s="27">
        <v>2007</v>
      </c>
      <c r="C92" s="27" t="s">
        <v>48</v>
      </c>
      <c r="D92" s="39" t="s">
        <v>34</v>
      </c>
      <c r="E92" s="27" t="s">
        <v>552</v>
      </c>
      <c r="F92" s="41" t="s">
        <v>552</v>
      </c>
      <c r="G92" s="43">
        <v>9800000000</v>
      </c>
      <c r="H92" s="43"/>
      <c r="I92" s="43"/>
      <c r="J92" s="43"/>
      <c r="K92" s="27" t="s">
        <v>599</v>
      </c>
      <c r="L92" s="28">
        <v>0.22764700000000004</v>
      </c>
      <c r="M92" s="27" t="s">
        <v>600</v>
      </c>
      <c r="N92" s="27" t="s">
        <v>685</v>
      </c>
      <c r="O92" s="18">
        <f>G92*L92</f>
        <v>2230940600.0000005</v>
      </c>
      <c r="P92" s="245"/>
      <c r="Q92" s="246"/>
      <c r="R92" s="27"/>
      <c r="S92" s="27" t="s">
        <v>713</v>
      </c>
      <c r="T92" s="18">
        <f>2423507200*L92</f>
        <v>551704143.55840015</v>
      </c>
      <c r="U92" s="27"/>
      <c r="V92" s="27"/>
      <c r="W92" s="30"/>
      <c r="X92" s="53"/>
      <c r="Y92" s="27"/>
      <c r="Z92" s="27"/>
      <c r="AA92" s="54"/>
      <c r="AB92" s="27"/>
      <c r="AC92" s="273">
        <v>5563486877.5584002</v>
      </c>
      <c r="AD92" s="27">
        <v>33050343782.775902</v>
      </c>
      <c r="AE92" s="228">
        <v>0.16833370672706274</v>
      </c>
      <c r="AF92" s="27">
        <v>9024065866.4491329</v>
      </c>
      <c r="AG92" s="226">
        <v>0.61651665223799712</v>
      </c>
      <c r="AH92" s="226">
        <v>0.78556756529472016</v>
      </c>
      <c r="AI92" s="27">
        <v>225210000</v>
      </c>
      <c r="AJ92" s="226">
        <v>24.703551696453978</v>
      </c>
      <c r="AK92" s="27">
        <v>323977276.85513765</v>
      </c>
      <c r="AL92" s="226">
        <v>17.172460153883087</v>
      </c>
      <c r="AM92" s="27">
        <v>842545803.98554945</v>
      </c>
      <c r="AN92" s="271">
        <v>6.6031862614959032</v>
      </c>
      <c r="AO92" s="27">
        <v>8581300</v>
      </c>
      <c r="AP92" s="27">
        <v>15.8</v>
      </c>
      <c r="AQ92" s="27">
        <v>69.756</v>
      </c>
      <c r="AR92" s="27">
        <v>39.299999999999997</v>
      </c>
      <c r="AS92" s="29">
        <v>83.458410000000001</v>
      </c>
      <c r="AT92" s="270">
        <v>29</v>
      </c>
      <c r="AU92" s="464">
        <v>48.093116147257767</v>
      </c>
      <c r="AV92" s="29">
        <v>-1.1761588258531499</v>
      </c>
      <c r="AW92" s="29">
        <v>-0.646004170107213</v>
      </c>
      <c r="AX92" s="29">
        <v>-0.765335682556191</v>
      </c>
      <c r="AY92" s="29">
        <v>-0.440990286727518</v>
      </c>
      <c r="AZ92" s="60">
        <v>-1.0177770519759499</v>
      </c>
    </row>
    <row r="93" spans="1:52" s="287" customFormat="1" ht="15" customHeight="1">
      <c r="A93" s="172" t="s">
        <v>61</v>
      </c>
      <c r="B93" s="284">
        <v>2007</v>
      </c>
      <c r="C93" s="284" t="s">
        <v>48</v>
      </c>
      <c r="D93" s="314" t="s">
        <v>34</v>
      </c>
      <c r="E93" s="284" t="s">
        <v>98</v>
      </c>
      <c r="F93" s="315" t="s">
        <v>98</v>
      </c>
      <c r="G93" s="303">
        <v>312440000</v>
      </c>
      <c r="H93" s="303"/>
      <c r="I93" s="303"/>
      <c r="J93" s="303"/>
      <c r="K93" s="284" t="s">
        <v>603</v>
      </c>
      <c r="L93" s="304">
        <v>71.816252724999998</v>
      </c>
      <c r="M93" s="284" t="s">
        <v>626</v>
      </c>
      <c r="N93" s="284" t="s">
        <v>687</v>
      </c>
      <c r="O93" s="305">
        <f>G93*L93</f>
        <v>22438270001.398998</v>
      </c>
      <c r="P93" s="320"/>
      <c r="Q93" s="320"/>
      <c r="R93" s="284"/>
      <c r="S93" s="284" t="s">
        <v>714</v>
      </c>
      <c r="T93" s="305">
        <f>30300000*L93</f>
        <v>2176032457.5675001</v>
      </c>
      <c r="U93" s="284"/>
      <c r="V93" s="284"/>
      <c r="W93" s="307"/>
      <c r="X93" s="302"/>
      <c r="Y93" s="284"/>
      <c r="Z93" s="284"/>
      <c r="AA93" s="321"/>
      <c r="AB93" s="284"/>
      <c r="AC93" s="308">
        <v>5563486877.5584002</v>
      </c>
      <c r="AD93" s="284">
        <v>33050343782.775902</v>
      </c>
      <c r="AE93" s="309">
        <v>0.16833370672706274</v>
      </c>
      <c r="AF93" s="284">
        <v>9024065866.4491329</v>
      </c>
      <c r="AG93" s="310">
        <v>0.61651665223799712</v>
      </c>
      <c r="AH93" s="310">
        <v>0.78556756529472016</v>
      </c>
      <c r="AI93" s="284">
        <v>225210000</v>
      </c>
      <c r="AJ93" s="310">
        <v>24.703551696453978</v>
      </c>
      <c r="AK93" s="284">
        <v>323977276.85513765</v>
      </c>
      <c r="AL93" s="310">
        <v>17.172460153883087</v>
      </c>
      <c r="AM93" s="284">
        <v>842545803.98554945</v>
      </c>
      <c r="AN93" s="311">
        <v>6.6031862614959032</v>
      </c>
      <c r="AO93" s="284">
        <v>8581300</v>
      </c>
      <c r="AP93" s="284">
        <v>15.8</v>
      </c>
      <c r="AQ93" s="284">
        <v>69.756</v>
      </c>
      <c r="AR93" s="284">
        <v>39.299999999999997</v>
      </c>
      <c r="AS93" s="287">
        <v>83.458410000000001</v>
      </c>
      <c r="AT93" s="312">
        <v>29</v>
      </c>
      <c r="AU93" s="465">
        <v>48.093116147257767</v>
      </c>
      <c r="AV93" s="287">
        <v>-1.1761588258531499</v>
      </c>
      <c r="AW93" s="287">
        <v>-0.646004170107213</v>
      </c>
      <c r="AX93" s="287">
        <v>-0.765335682556191</v>
      </c>
      <c r="AY93" s="287">
        <v>-0.440990286727518</v>
      </c>
      <c r="AZ93" s="313">
        <v>-1.0177770519759499</v>
      </c>
    </row>
    <row r="94" spans="1:52" ht="15" customHeight="1">
      <c r="A94" s="294" t="s">
        <v>64</v>
      </c>
      <c r="B94" s="27">
        <v>2008</v>
      </c>
      <c r="C94" s="27" t="s">
        <v>48</v>
      </c>
      <c r="D94" s="39" t="s">
        <v>34</v>
      </c>
      <c r="E94" s="27" t="s">
        <v>50</v>
      </c>
      <c r="F94" s="41" t="s">
        <v>659</v>
      </c>
      <c r="G94" s="43"/>
      <c r="H94" s="43"/>
      <c r="I94" s="43"/>
      <c r="J94" s="43"/>
      <c r="K94" s="27"/>
      <c r="L94" s="28"/>
      <c r="M94" s="27"/>
      <c r="N94" s="27"/>
      <c r="O94" s="18">
        <f>SUM(O95:O96)</f>
        <v>36968547850</v>
      </c>
      <c r="P94" s="246">
        <v>19134087707.225998</v>
      </c>
      <c r="Q94" s="246">
        <v>3822950670</v>
      </c>
      <c r="R94" s="27" t="s">
        <v>3745</v>
      </c>
      <c r="S94" s="27" t="s">
        <v>715</v>
      </c>
      <c r="T94" s="18">
        <f>SUM(T95:T96)</f>
        <v>15463469853.226</v>
      </c>
      <c r="U94" s="29" t="s">
        <v>702</v>
      </c>
      <c r="V94" s="27" t="s">
        <v>690</v>
      </c>
      <c r="W94" s="30">
        <v>0.82099999999999995</v>
      </c>
      <c r="X94" s="53">
        <v>26</v>
      </c>
      <c r="Y94" s="27" t="s">
        <v>716</v>
      </c>
      <c r="Z94" s="27">
        <v>26</v>
      </c>
      <c r="AA94" s="54" t="s">
        <v>717</v>
      </c>
      <c r="AB94" s="27" t="s">
        <v>718</v>
      </c>
      <c r="AC94" s="273">
        <v>19134087707.225998</v>
      </c>
      <c r="AD94" s="27">
        <v>48852482960.077896</v>
      </c>
      <c r="AE94" s="228">
        <v>0.39167073089943694</v>
      </c>
      <c r="AF94" s="27">
        <v>13069504766.309639</v>
      </c>
      <c r="AG94" s="226">
        <v>1.464025458451153</v>
      </c>
      <c r="AH94" s="226">
        <v>0.92680790700704307</v>
      </c>
      <c r="AI94" s="27">
        <v>235100000</v>
      </c>
      <c r="AJ94" s="226">
        <v>81.387017044772435</v>
      </c>
      <c r="AK94" s="27">
        <v>402874451.49826282</v>
      </c>
      <c r="AL94" s="226">
        <v>47.493921831150175</v>
      </c>
      <c r="AM94" s="27">
        <v>1192454912.3174293</v>
      </c>
      <c r="AN94" s="271">
        <v>16.045963255785171</v>
      </c>
      <c r="AO94" s="27">
        <v>8763400</v>
      </c>
      <c r="AP94" s="27">
        <v>13.2</v>
      </c>
      <c r="AQ94" s="27">
        <v>70.062926829268307</v>
      </c>
      <c r="AR94" s="27">
        <v>37.200000000000003</v>
      </c>
      <c r="AS94" s="29">
        <v>83.98751</v>
      </c>
      <c r="AT94" s="270">
        <v>29</v>
      </c>
      <c r="AU94" s="464">
        <v>48.093116147257767</v>
      </c>
      <c r="AV94" s="29">
        <v>-1.27822417198566</v>
      </c>
      <c r="AW94" s="29">
        <v>-0.330871761407457</v>
      </c>
      <c r="AX94" s="29">
        <v>-0.76347305820546196</v>
      </c>
      <c r="AY94" s="29">
        <v>-0.34868577278742402</v>
      </c>
      <c r="AZ94" s="60">
        <v>-1.0413134474119401</v>
      </c>
    </row>
    <row r="95" spans="1:52" ht="15" customHeight="1">
      <c r="A95" s="35" t="s">
        <v>64</v>
      </c>
      <c r="B95" s="27">
        <v>2008</v>
      </c>
      <c r="C95" s="27" t="s">
        <v>48</v>
      </c>
      <c r="D95" s="39" t="s">
        <v>34</v>
      </c>
      <c r="E95" s="27" t="s">
        <v>552</v>
      </c>
      <c r="F95" s="41" t="s">
        <v>552</v>
      </c>
      <c r="G95" s="43">
        <v>14800000000</v>
      </c>
      <c r="H95" s="43"/>
      <c r="I95" s="43"/>
      <c r="J95" s="43"/>
      <c r="K95" s="27" t="s">
        <v>599</v>
      </c>
      <c r="L95" s="28">
        <v>0.32879700000000006</v>
      </c>
      <c r="M95" s="27" t="s">
        <v>600</v>
      </c>
      <c r="N95" s="27" t="s">
        <v>685</v>
      </c>
      <c r="O95" s="18">
        <f>G95*L95</f>
        <v>4866195600.000001</v>
      </c>
      <c r="P95" s="245"/>
      <c r="Q95" s="246"/>
      <c r="R95" s="27"/>
      <c r="S95" s="27" t="s">
        <v>719</v>
      </c>
      <c r="T95" s="18">
        <f>2139058000*L95</f>
        <v>703315853.22600019</v>
      </c>
      <c r="U95" s="27"/>
      <c r="V95" s="27"/>
      <c r="W95" s="30"/>
      <c r="X95" s="53"/>
      <c r="Y95" s="27"/>
      <c r="Z95" s="27"/>
      <c r="AA95" s="54"/>
      <c r="AB95" s="27"/>
      <c r="AC95" s="273">
        <v>19134087707.225998</v>
      </c>
      <c r="AD95" s="27">
        <v>48852482960.077896</v>
      </c>
      <c r="AE95" s="228">
        <v>0.39167073089943694</v>
      </c>
      <c r="AF95" s="27">
        <v>13069504766.309639</v>
      </c>
      <c r="AG95" s="226">
        <v>1.464025458451153</v>
      </c>
      <c r="AH95" s="226">
        <v>0.92680790700704307</v>
      </c>
      <c r="AI95" s="27">
        <v>235100000</v>
      </c>
      <c r="AJ95" s="226">
        <v>81.387017044772435</v>
      </c>
      <c r="AK95" s="27">
        <v>402874451.49826282</v>
      </c>
      <c r="AL95" s="226">
        <v>47.493921831150175</v>
      </c>
      <c r="AM95" s="27">
        <v>1192454912.3174293</v>
      </c>
      <c r="AN95" s="271">
        <v>16.045963255785171</v>
      </c>
      <c r="AO95" s="27">
        <v>8763400</v>
      </c>
      <c r="AP95" s="27">
        <v>13.2</v>
      </c>
      <c r="AQ95" s="27">
        <v>70.062926829268307</v>
      </c>
      <c r="AR95" s="27">
        <v>37.200000000000003</v>
      </c>
      <c r="AS95" s="29">
        <v>83.98751</v>
      </c>
      <c r="AT95" s="270">
        <v>29</v>
      </c>
      <c r="AU95" s="464">
        <v>48.093116147257767</v>
      </c>
      <c r="AV95" s="29">
        <v>-1.27822417198566</v>
      </c>
      <c r="AW95" s="29">
        <v>-0.330871761407457</v>
      </c>
      <c r="AX95" s="29">
        <v>-0.76347305820546196</v>
      </c>
      <c r="AY95" s="29">
        <v>-0.34868577278742402</v>
      </c>
      <c r="AZ95" s="60">
        <v>-1.0413134474119401</v>
      </c>
    </row>
    <row r="96" spans="1:52" s="287" customFormat="1" ht="15" customHeight="1">
      <c r="A96" s="172" t="s">
        <v>64</v>
      </c>
      <c r="B96" s="284">
        <v>2008</v>
      </c>
      <c r="C96" s="284" t="s">
        <v>48</v>
      </c>
      <c r="D96" s="314" t="s">
        <v>34</v>
      </c>
      <c r="E96" s="284" t="s">
        <v>98</v>
      </c>
      <c r="F96" s="315" t="s">
        <v>98</v>
      </c>
      <c r="G96" s="303">
        <v>326675000</v>
      </c>
      <c r="H96" s="303"/>
      <c r="I96" s="303"/>
      <c r="J96" s="303"/>
      <c r="K96" s="284" t="s">
        <v>603</v>
      </c>
      <c r="L96" s="304">
        <v>98.27</v>
      </c>
      <c r="M96" s="284" t="s">
        <v>626</v>
      </c>
      <c r="N96" s="284" t="s">
        <v>687</v>
      </c>
      <c r="O96" s="305">
        <f>G96*L96</f>
        <v>32102352250</v>
      </c>
      <c r="P96" s="320"/>
      <c r="Q96" s="320"/>
      <c r="R96" s="284"/>
      <c r="S96" s="284" t="s">
        <v>720</v>
      </c>
      <c r="T96" s="305">
        <f>150200000*L96</f>
        <v>14760154000</v>
      </c>
      <c r="U96" s="284"/>
      <c r="V96" s="284"/>
      <c r="W96" s="307"/>
      <c r="X96" s="302"/>
      <c r="Y96" s="284"/>
      <c r="Z96" s="284"/>
      <c r="AA96" s="321"/>
      <c r="AB96" s="284"/>
      <c r="AC96" s="308">
        <v>19134087707.225998</v>
      </c>
      <c r="AD96" s="284">
        <v>48852482960.077896</v>
      </c>
      <c r="AE96" s="309">
        <v>0.39167073089943694</v>
      </c>
      <c r="AF96" s="284">
        <v>13069504766.309639</v>
      </c>
      <c r="AG96" s="310">
        <v>1.464025458451153</v>
      </c>
      <c r="AH96" s="310">
        <v>0.92680790700704307</v>
      </c>
      <c r="AI96" s="284">
        <v>235100000</v>
      </c>
      <c r="AJ96" s="310">
        <v>81.387017044772435</v>
      </c>
      <c r="AK96" s="284">
        <v>402874451.49826282</v>
      </c>
      <c r="AL96" s="310">
        <v>47.493921831150175</v>
      </c>
      <c r="AM96" s="284">
        <v>1192454912.3174293</v>
      </c>
      <c r="AN96" s="311">
        <v>16.045963255785171</v>
      </c>
      <c r="AO96" s="284">
        <v>8763400</v>
      </c>
      <c r="AP96" s="284">
        <v>13.2</v>
      </c>
      <c r="AQ96" s="284">
        <v>70.062926829268307</v>
      </c>
      <c r="AR96" s="284">
        <v>37.200000000000003</v>
      </c>
      <c r="AS96" s="287">
        <v>83.98751</v>
      </c>
      <c r="AT96" s="312">
        <v>29</v>
      </c>
      <c r="AU96" s="465">
        <v>48.093116147257767</v>
      </c>
      <c r="AV96" s="287">
        <v>-1.27822417198566</v>
      </c>
      <c r="AW96" s="287">
        <v>-0.330871761407457</v>
      </c>
      <c r="AX96" s="287">
        <v>-0.76347305820546196</v>
      </c>
      <c r="AY96" s="287">
        <v>-0.34868577278742402</v>
      </c>
      <c r="AZ96" s="313">
        <v>-1.0413134474119401</v>
      </c>
    </row>
    <row r="97" spans="1:52" s="29" customFormat="1" ht="15" customHeight="1">
      <c r="A97" s="294" t="s">
        <v>67</v>
      </c>
      <c r="B97" s="27">
        <v>2009</v>
      </c>
      <c r="C97" s="27" t="s">
        <v>48</v>
      </c>
      <c r="D97" s="39" t="s">
        <v>34</v>
      </c>
      <c r="E97" s="27" t="s">
        <v>30</v>
      </c>
      <c r="F97" s="41" t="s">
        <v>659</v>
      </c>
      <c r="G97" s="43"/>
      <c r="H97" s="43"/>
      <c r="I97" s="43"/>
      <c r="J97" s="43"/>
      <c r="K97" s="27"/>
      <c r="L97" s="28"/>
      <c r="M97" s="27"/>
      <c r="N97" s="27"/>
      <c r="O97" s="18">
        <f>O98+O101</f>
        <v>25121419965.22678</v>
      </c>
      <c r="P97" s="246">
        <v>14160319906.428267</v>
      </c>
      <c r="Q97" s="246">
        <v>1706355915.317559</v>
      </c>
      <c r="R97" s="27" t="s">
        <v>3745</v>
      </c>
      <c r="S97" s="27" t="s">
        <v>722</v>
      </c>
      <c r="T97" s="18">
        <f>T98+T101</f>
        <v>12525823317.62826</v>
      </c>
      <c r="U97" s="29" t="s">
        <v>721</v>
      </c>
      <c r="V97" s="27" t="s">
        <v>690</v>
      </c>
      <c r="W97" s="30">
        <v>0.80300000000000005</v>
      </c>
      <c r="X97" s="53">
        <v>30</v>
      </c>
      <c r="Y97" s="27" t="s">
        <v>723</v>
      </c>
      <c r="Z97" s="27">
        <v>30</v>
      </c>
      <c r="AA97" s="54" t="s">
        <v>724</v>
      </c>
      <c r="AB97" s="27" t="s">
        <v>725</v>
      </c>
      <c r="AC97" s="273">
        <v>14160319906.428267</v>
      </c>
      <c r="AD97" s="27">
        <v>44291490420.502617</v>
      </c>
      <c r="AE97" s="228">
        <v>0.31970746010103618</v>
      </c>
      <c r="AF97" s="27">
        <v>11881635220.204031</v>
      </c>
      <c r="AG97" s="226">
        <v>1.1917820774660262</v>
      </c>
      <c r="AH97" s="226">
        <v>0.85867240369561892</v>
      </c>
      <c r="AI97" s="27">
        <v>231770000</v>
      </c>
      <c r="AJ97" s="226">
        <v>61.096431403668582</v>
      </c>
      <c r="AK97" s="27">
        <v>593049645.62253702</v>
      </c>
      <c r="AL97" s="226">
        <v>23.877123965842475</v>
      </c>
      <c r="AM97" s="27">
        <v>1428094954.7773077</v>
      </c>
      <c r="AN97" s="271">
        <v>9.9155310779992067</v>
      </c>
      <c r="AO97" s="27">
        <v>8947243</v>
      </c>
      <c r="AP97" s="27">
        <v>10.9</v>
      </c>
      <c r="AQ97" s="27">
        <v>70.292658536585378</v>
      </c>
      <c r="AR97" s="27">
        <v>35.4</v>
      </c>
      <c r="AS97" s="29">
        <v>85.518900000000002</v>
      </c>
      <c r="AT97" s="270">
        <v>29</v>
      </c>
      <c r="AU97" s="464">
        <v>48.093116147257767</v>
      </c>
      <c r="AV97" s="29">
        <v>-1.2105021934254301</v>
      </c>
      <c r="AW97" s="29">
        <v>-0.29472612189219599</v>
      </c>
      <c r="AX97" s="29">
        <v>-0.62995240665947005</v>
      </c>
      <c r="AY97" s="29">
        <v>-0.29879621133696899</v>
      </c>
      <c r="AZ97" s="60">
        <v>-1.1100440172816699</v>
      </c>
    </row>
    <row r="98" spans="1:52" s="29" customFormat="1" ht="15" customHeight="1">
      <c r="A98" s="35" t="s">
        <v>67</v>
      </c>
      <c r="B98" s="27">
        <v>2009</v>
      </c>
      <c r="C98" s="27" t="s">
        <v>48</v>
      </c>
      <c r="D98" s="39" t="s">
        <v>34</v>
      </c>
      <c r="E98" s="27" t="s">
        <v>50</v>
      </c>
      <c r="F98" s="41" t="s">
        <v>597</v>
      </c>
      <c r="G98" s="43"/>
      <c r="H98" s="43"/>
      <c r="I98" s="43"/>
      <c r="J98" s="43"/>
      <c r="K98" s="27"/>
      <c r="L98" s="28"/>
      <c r="M98" s="27"/>
      <c r="N98" s="27"/>
      <c r="O98" s="18">
        <f>SUM(O99:O100)</f>
        <v>25111003200</v>
      </c>
      <c r="P98" s="246"/>
      <c r="Q98" s="246"/>
      <c r="R98" s="27"/>
      <c r="S98" s="27" t="s">
        <v>726</v>
      </c>
      <c r="T98" s="18">
        <f>SUM(T99:T100)</f>
        <v>12524581772.5788</v>
      </c>
      <c r="U98" s="27"/>
      <c r="V98" s="27"/>
      <c r="W98" s="30"/>
      <c r="X98" s="53"/>
      <c r="Y98" s="27"/>
      <c r="Z98" s="27"/>
      <c r="AA98" s="54"/>
      <c r="AB98" s="27"/>
      <c r="AC98" s="273">
        <v>14160319906.428267</v>
      </c>
      <c r="AD98" s="27">
        <v>44291490420.502617</v>
      </c>
      <c r="AE98" s="228">
        <v>0.31970746010103618</v>
      </c>
      <c r="AF98" s="27">
        <v>11881635220.204031</v>
      </c>
      <c r="AG98" s="226">
        <v>1.1917820774660262</v>
      </c>
      <c r="AH98" s="226">
        <v>0.85867240369561892</v>
      </c>
      <c r="AI98" s="27">
        <v>231770000</v>
      </c>
      <c r="AJ98" s="226">
        <v>61.096431403668582</v>
      </c>
      <c r="AK98" s="27">
        <v>593049645.62253702</v>
      </c>
      <c r="AL98" s="226">
        <v>23.877123965842475</v>
      </c>
      <c r="AM98" s="27">
        <v>1428094954.7773077</v>
      </c>
      <c r="AN98" s="271">
        <v>9.9155310779992067</v>
      </c>
      <c r="AO98" s="27">
        <v>8947243</v>
      </c>
      <c r="AP98" s="27">
        <v>10.9</v>
      </c>
      <c r="AQ98" s="27">
        <v>70.292658536585378</v>
      </c>
      <c r="AR98" s="27">
        <v>35.4</v>
      </c>
      <c r="AS98" s="29">
        <v>85.518900000000002</v>
      </c>
      <c r="AT98" s="270">
        <v>29</v>
      </c>
      <c r="AU98" s="464">
        <v>48.093116147257767</v>
      </c>
      <c r="AV98" s="29">
        <v>-1.2105021934254301</v>
      </c>
      <c r="AW98" s="29">
        <v>-0.29472612189219599</v>
      </c>
      <c r="AX98" s="29">
        <v>-0.62995240665947005</v>
      </c>
      <c r="AY98" s="29">
        <v>-0.29879621133696899</v>
      </c>
      <c r="AZ98" s="60">
        <v>-1.1100440172816699</v>
      </c>
    </row>
    <row r="99" spans="1:52" s="29" customFormat="1" ht="15" customHeight="1">
      <c r="A99" s="35" t="s">
        <v>67</v>
      </c>
      <c r="B99" s="27">
        <v>2009</v>
      </c>
      <c r="C99" s="27" t="s">
        <v>48</v>
      </c>
      <c r="D99" s="39" t="s">
        <v>34</v>
      </c>
      <c r="E99" s="27" t="s">
        <v>552</v>
      </c>
      <c r="F99" s="41" t="s">
        <v>552</v>
      </c>
      <c r="G99" s="43">
        <v>14800000000</v>
      </c>
      <c r="H99" s="43"/>
      <c r="I99" s="43"/>
      <c r="J99" s="43"/>
      <c r="K99" s="27" t="s">
        <v>599</v>
      </c>
      <c r="L99" s="28">
        <v>0.14422800000000002</v>
      </c>
      <c r="M99" s="27" t="s">
        <v>600</v>
      </c>
      <c r="N99" s="27" t="s">
        <v>685</v>
      </c>
      <c r="O99" s="18">
        <f>G99*L99</f>
        <v>2134574400.0000002</v>
      </c>
      <c r="P99" s="245"/>
      <c r="Q99" s="246"/>
      <c r="R99" s="27"/>
      <c r="S99" s="27" t="s">
        <v>727</v>
      </c>
      <c r="T99" s="18">
        <f>3938027100*L99</f>
        <v>567973772.57880008</v>
      </c>
      <c r="U99" s="27"/>
      <c r="V99" s="27"/>
      <c r="W99" s="30"/>
      <c r="X99" s="53"/>
      <c r="Y99" s="27"/>
      <c r="Z99" s="27"/>
      <c r="AA99" s="54"/>
      <c r="AB99" s="27"/>
      <c r="AC99" s="273">
        <v>14160319906.428267</v>
      </c>
      <c r="AD99" s="27">
        <v>44291490420.502617</v>
      </c>
      <c r="AE99" s="228">
        <v>0.31970746010103618</v>
      </c>
      <c r="AF99" s="27">
        <v>11881635220.204031</v>
      </c>
      <c r="AG99" s="226">
        <v>1.1917820774660262</v>
      </c>
      <c r="AH99" s="226">
        <v>0.85867240369561892</v>
      </c>
      <c r="AI99" s="27">
        <v>231770000</v>
      </c>
      <c r="AJ99" s="226">
        <v>61.096431403668582</v>
      </c>
      <c r="AK99" s="27">
        <v>593049645.62253702</v>
      </c>
      <c r="AL99" s="226">
        <v>23.877123965842475</v>
      </c>
      <c r="AM99" s="27">
        <v>1428094954.7773077</v>
      </c>
      <c r="AN99" s="271">
        <v>9.9155310779992067</v>
      </c>
      <c r="AO99" s="27">
        <v>8947243</v>
      </c>
      <c r="AP99" s="27">
        <v>10.9</v>
      </c>
      <c r="AQ99" s="27">
        <v>70.292658536585378</v>
      </c>
      <c r="AR99" s="27">
        <v>35.4</v>
      </c>
      <c r="AS99" s="29">
        <v>85.518900000000002</v>
      </c>
      <c r="AT99" s="270">
        <v>29</v>
      </c>
      <c r="AU99" s="464">
        <v>48.093116147257767</v>
      </c>
      <c r="AV99" s="29">
        <v>-1.2105021934254301</v>
      </c>
      <c r="AW99" s="29">
        <v>-0.29472612189219599</v>
      </c>
      <c r="AX99" s="29">
        <v>-0.62995240665947005</v>
      </c>
      <c r="AY99" s="29">
        <v>-0.29879621133696899</v>
      </c>
      <c r="AZ99" s="60">
        <v>-1.1100440172816699</v>
      </c>
    </row>
    <row r="100" spans="1:52" s="29" customFormat="1" ht="15" customHeight="1">
      <c r="A100" s="35" t="s">
        <v>67</v>
      </c>
      <c r="B100" s="27">
        <v>2009</v>
      </c>
      <c r="C100" s="27" t="s">
        <v>48</v>
      </c>
      <c r="D100" s="39" t="s">
        <v>34</v>
      </c>
      <c r="E100" s="27" t="s">
        <v>98</v>
      </c>
      <c r="F100" s="41" t="s">
        <v>98</v>
      </c>
      <c r="G100" s="43">
        <v>370110000</v>
      </c>
      <c r="H100" s="43"/>
      <c r="I100" s="43"/>
      <c r="J100" s="43"/>
      <c r="K100" s="27" t="s">
        <v>603</v>
      </c>
      <c r="L100" s="28">
        <v>62.08</v>
      </c>
      <c r="M100" s="27" t="s">
        <v>626</v>
      </c>
      <c r="N100" s="27" t="s">
        <v>687</v>
      </c>
      <c r="O100" s="18">
        <f>G100*L100</f>
        <v>22976428800</v>
      </c>
      <c r="P100" s="246"/>
      <c r="Q100" s="246"/>
      <c r="R100" s="27"/>
      <c r="S100" s="27" t="s">
        <v>728</v>
      </c>
      <c r="T100" s="18">
        <f>192600000*L100</f>
        <v>11956608000</v>
      </c>
      <c r="U100" s="27"/>
      <c r="V100" s="27"/>
      <c r="W100" s="30"/>
      <c r="X100" s="53"/>
      <c r="Y100" s="27"/>
      <c r="Z100" s="27"/>
      <c r="AA100" s="54"/>
      <c r="AB100" s="27"/>
      <c r="AC100" s="273">
        <v>14160319906.428267</v>
      </c>
      <c r="AD100" s="27">
        <v>44291490420.502617</v>
      </c>
      <c r="AE100" s="228">
        <v>0.31970746010103618</v>
      </c>
      <c r="AF100" s="27">
        <v>11881635220.204031</v>
      </c>
      <c r="AG100" s="226">
        <v>1.1917820774660262</v>
      </c>
      <c r="AH100" s="226">
        <v>0.85867240369561892</v>
      </c>
      <c r="AI100" s="27">
        <v>231770000</v>
      </c>
      <c r="AJ100" s="226">
        <v>61.096431403668582</v>
      </c>
      <c r="AK100" s="27">
        <v>593049645.62253702</v>
      </c>
      <c r="AL100" s="226">
        <v>23.877123965842475</v>
      </c>
      <c r="AM100" s="27">
        <v>1428094954.7773077</v>
      </c>
      <c r="AN100" s="271">
        <v>9.9155310779992067</v>
      </c>
      <c r="AO100" s="27">
        <v>8947243</v>
      </c>
      <c r="AP100" s="27">
        <v>10.9</v>
      </c>
      <c r="AQ100" s="27">
        <v>70.292658536585378</v>
      </c>
      <c r="AR100" s="27">
        <v>35.4</v>
      </c>
      <c r="AS100" s="29">
        <v>85.518900000000002</v>
      </c>
      <c r="AT100" s="270">
        <v>29</v>
      </c>
      <c r="AU100" s="464">
        <v>48.093116147257767</v>
      </c>
      <c r="AV100" s="29">
        <v>-1.2105021934254301</v>
      </c>
      <c r="AW100" s="29">
        <v>-0.29472612189219599</v>
      </c>
      <c r="AX100" s="29">
        <v>-0.62995240665947005</v>
      </c>
      <c r="AY100" s="29">
        <v>-0.29879621133696899</v>
      </c>
      <c r="AZ100" s="60">
        <v>-1.1100440172816699</v>
      </c>
    </row>
    <row r="101" spans="1:52" s="29" customFormat="1" ht="15" customHeight="1">
      <c r="A101" s="35" t="s">
        <v>67</v>
      </c>
      <c r="B101" s="27">
        <v>2009</v>
      </c>
      <c r="C101" s="27" t="s">
        <v>48</v>
      </c>
      <c r="D101" s="39" t="s">
        <v>34</v>
      </c>
      <c r="E101" s="27" t="s">
        <v>19</v>
      </c>
      <c r="F101" s="41" t="s">
        <v>559</v>
      </c>
      <c r="G101" s="43"/>
      <c r="H101" s="43"/>
      <c r="I101" s="43"/>
      <c r="J101" s="43"/>
      <c r="K101" s="27"/>
      <c r="L101" s="28"/>
      <c r="M101" s="27"/>
      <c r="N101" s="27"/>
      <c r="O101" s="18">
        <f>SUM(O102:O102)</f>
        <v>10416765.226779317</v>
      </c>
      <c r="P101" s="246"/>
      <c r="Q101" s="246"/>
      <c r="R101" s="27"/>
      <c r="S101" s="27" t="s">
        <v>729</v>
      </c>
      <c r="T101" s="18">
        <f>SUM(T102:T102)</f>
        <v>1241545.049459148</v>
      </c>
      <c r="U101" s="27"/>
      <c r="V101" s="27"/>
      <c r="W101" s="30"/>
      <c r="X101" s="53"/>
      <c r="Y101" s="27"/>
      <c r="Z101" s="27"/>
      <c r="AA101" s="54"/>
      <c r="AB101" s="27"/>
      <c r="AC101" s="273">
        <v>14160319906.428267</v>
      </c>
      <c r="AD101" s="27">
        <v>44291490420.502617</v>
      </c>
      <c r="AE101" s="228">
        <v>0.31970746010103618</v>
      </c>
      <c r="AF101" s="27">
        <v>11881635220.204031</v>
      </c>
      <c r="AG101" s="226">
        <v>1.1917820774660262</v>
      </c>
      <c r="AH101" s="226">
        <v>0.85867240369561892</v>
      </c>
      <c r="AI101" s="27">
        <v>231770000</v>
      </c>
      <c r="AJ101" s="226">
        <v>61.096431403668582</v>
      </c>
      <c r="AK101" s="27">
        <v>593049645.62253702</v>
      </c>
      <c r="AL101" s="226">
        <v>23.877123965842475</v>
      </c>
      <c r="AM101" s="27">
        <v>1428094954.7773077</v>
      </c>
      <c r="AN101" s="271">
        <v>9.9155310779992067</v>
      </c>
      <c r="AO101" s="27">
        <v>8947243</v>
      </c>
      <c r="AP101" s="27">
        <v>10.9</v>
      </c>
      <c r="AQ101" s="27">
        <v>70.292658536585378</v>
      </c>
      <c r="AR101" s="27">
        <v>35.4</v>
      </c>
      <c r="AS101" s="29">
        <v>85.518900000000002</v>
      </c>
      <c r="AT101" s="270">
        <v>29</v>
      </c>
      <c r="AU101" s="464">
        <v>48.093116147257767</v>
      </c>
      <c r="AV101" s="29">
        <v>-1.2105021934254301</v>
      </c>
      <c r="AW101" s="29">
        <v>-0.29472612189219599</v>
      </c>
      <c r="AX101" s="29">
        <v>-0.62995240665947005</v>
      </c>
      <c r="AY101" s="29">
        <v>-0.29879621133696899</v>
      </c>
      <c r="AZ101" s="60">
        <v>-1.1100440172816699</v>
      </c>
    </row>
    <row r="102" spans="1:52" s="287" customFormat="1" ht="15" customHeight="1">
      <c r="A102" s="172" t="s">
        <v>67</v>
      </c>
      <c r="B102" s="284">
        <v>2009</v>
      </c>
      <c r="C102" s="284" t="s">
        <v>48</v>
      </c>
      <c r="D102" s="314" t="s">
        <v>34</v>
      </c>
      <c r="E102" s="284" t="s">
        <v>19</v>
      </c>
      <c r="F102" s="315" t="s">
        <v>730</v>
      </c>
      <c r="G102" s="303">
        <f>333*32.150743126506</f>
        <v>10706.197461126498</v>
      </c>
      <c r="H102" s="303"/>
      <c r="I102" s="303"/>
      <c r="J102" s="303"/>
      <c r="K102" s="284" t="s">
        <v>731</v>
      </c>
      <c r="L102" s="304">
        <v>972.96591666666995</v>
      </c>
      <c r="M102" s="284" t="s">
        <v>732</v>
      </c>
      <c r="N102" s="322" t="s">
        <v>733</v>
      </c>
      <c r="O102" s="305">
        <f>G102*L102</f>
        <v>10416765.226779317</v>
      </c>
      <c r="P102" s="320"/>
      <c r="Q102" s="320"/>
      <c r="R102" s="284"/>
      <c r="S102" s="284" t="s">
        <v>734</v>
      </c>
      <c r="T102" s="305">
        <v>1241545.049459148</v>
      </c>
      <c r="U102" s="284"/>
      <c r="V102" s="284"/>
      <c r="W102" s="307"/>
      <c r="X102" s="302"/>
      <c r="Y102" s="284"/>
      <c r="Z102" s="284"/>
      <c r="AA102" s="321"/>
      <c r="AB102" s="284"/>
      <c r="AC102" s="308">
        <v>14160319906.428267</v>
      </c>
      <c r="AD102" s="284">
        <v>44291490420.502617</v>
      </c>
      <c r="AE102" s="309">
        <v>0.31970746010103618</v>
      </c>
      <c r="AF102" s="284">
        <v>11881635220.204031</v>
      </c>
      <c r="AG102" s="310">
        <v>1.1917820774660262</v>
      </c>
      <c r="AH102" s="310">
        <v>0.85867240369561892</v>
      </c>
      <c r="AI102" s="284">
        <v>231770000</v>
      </c>
      <c r="AJ102" s="310">
        <v>61.096431403668582</v>
      </c>
      <c r="AK102" s="284">
        <v>593049645.62253702</v>
      </c>
      <c r="AL102" s="310">
        <v>23.877123965842475</v>
      </c>
      <c r="AM102" s="284">
        <v>1428094954.7773077</v>
      </c>
      <c r="AN102" s="311">
        <v>9.9155310779992067</v>
      </c>
      <c r="AO102" s="284">
        <v>8947243</v>
      </c>
      <c r="AP102" s="284">
        <v>10.9</v>
      </c>
      <c r="AQ102" s="284">
        <v>70.292658536585378</v>
      </c>
      <c r="AR102" s="284">
        <v>35.4</v>
      </c>
      <c r="AS102" s="287">
        <v>85.518900000000002</v>
      </c>
      <c r="AT102" s="312">
        <v>29</v>
      </c>
      <c r="AU102" s="465">
        <v>48.093116147257767</v>
      </c>
      <c r="AV102" s="287">
        <v>-1.2105021934254301</v>
      </c>
      <c r="AW102" s="287">
        <v>-0.29472612189219599</v>
      </c>
      <c r="AX102" s="287">
        <v>-0.62995240665947005</v>
      </c>
      <c r="AY102" s="287">
        <v>-0.29879621133696899</v>
      </c>
      <c r="AZ102" s="313">
        <v>-1.1100440172816699</v>
      </c>
    </row>
    <row r="103" spans="1:52" ht="15" customHeight="1">
      <c r="A103" s="294" t="s">
        <v>70</v>
      </c>
      <c r="B103" s="27">
        <v>2010</v>
      </c>
      <c r="C103" s="27" t="s">
        <v>48</v>
      </c>
      <c r="D103" s="39" t="s">
        <v>34</v>
      </c>
      <c r="E103" s="27" t="s">
        <v>30</v>
      </c>
      <c r="F103" s="41" t="s">
        <v>659</v>
      </c>
      <c r="G103" s="43"/>
      <c r="H103" s="43"/>
      <c r="I103" s="43"/>
      <c r="J103" s="43"/>
      <c r="K103" s="27"/>
      <c r="L103" s="28"/>
      <c r="M103" s="27"/>
      <c r="N103" s="27"/>
      <c r="O103" s="18">
        <f>O104+O107</f>
        <v>32393445472.50486</v>
      </c>
      <c r="P103" s="246">
        <v>19732689646.414902</v>
      </c>
      <c r="Q103" s="246">
        <v>1985246699.8754668</v>
      </c>
      <c r="R103" s="27" t="s">
        <v>3745</v>
      </c>
      <c r="S103" s="27" t="s">
        <v>736</v>
      </c>
      <c r="T103" s="18">
        <f>T104+T107</f>
        <v>17742682049.192646</v>
      </c>
      <c r="U103" s="29" t="s">
        <v>721</v>
      </c>
      <c r="V103" s="27" t="s">
        <v>690</v>
      </c>
      <c r="W103" s="30">
        <v>0.80300000000000005</v>
      </c>
      <c r="X103" s="53">
        <v>31</v>
      </c>
      <c r="Y103" s="27" t="s">
        <v>737</v>
      </c>
      <c r="Z103" s="27">
        <v>31</v>
      </c>
      <c r="AA103" s="54" t="s">
        <v>738</v>
      </c>
      <c r="AB103" s="27" t="s">
        <v>725</v>
      </c>
      <c r="AC103" s="273">
        <v>19732689646.414902</v>
      </c>
      <c r="AD103" s="27">
        <v>52902703376.105644</v>
      </c>
      <c r="AE103" s="228">
        <v>0.37299964627757543</v>
      </c>
      <c r="AF103" s="27">
        <v>13279107574.436277</v>
      </c>
      <c r="AG103" s="226">
        <v>1.4859951646451355</v>
      </c>
      <c r="AH103" s="226">
        <v>0.87627407067802265</v>
      </c>
      <c r="AI103" s="27">
        <v>159110000</v>
      </c>
      <c r="AJ103" s="226">
        <v>124.01916690600781</v>
      </c>
      <c r="AK103" s="27">
        <v>617914538.43278909</v>
      </c>
      <c r="AL103" s="226">
        <v>31.934334635437999</v>
      </c>
      <c r="AM103" s="27">
        <v>1471023150.6166687</v>
      </c>
      <c r="AN103" s="271">
        <v>13.414261793325785</v>
      </c>
      <c r="AO103" s="27">
        <v>9054332</v>
      </c>
      <c r="AP103" s="27">
        <v>9.1</v>
      </c>
      <c r="AQ103" s="27">
        <v>70.450292682926829</v>
      </c>
      <c r="AR103" s="27">
        <v>33.799999999999997</v>
      </c>
      <c r="AS103" s="29">
        <v>84.726050000000001</v>
      </c>
      <c r="AT103" s="270">
        <v>29</v>
      </c>
      <c r="AU103" s="464">
        <v>48.093116147257767</v>
      </c>
      <c r="AV103" s="29">
        <v>-1.2560356657365599</v>
      </c>
      <c r="AW103" s="29">
        <v>-0.25327806107414602</v>
      </c>
      <c r="AX103" s="29">
        <v>-0.79394637716512195</v>
      </c>
      <c r="AY103" s="29">
        <v>-0.36834713846671502</v>
      </c>
      <c r="AZ103" s="60">
        <v>-1.1790171369459901</v>
      </c>
    </row>
    <row r="104" spans="1:52" ht="15" customHeight="1">
      <c r="A104" s="35" t="s">
        <v>70</v>
      </c>
      <c r="B104" s="27">
        <v>2010</v>
      </c>
      <c r="C104" s="27" t="s">
        <v>48</v>
      </c>
      <c r="D104" s="39" t="s">
        <v>34</v>
      </c>
      <c r="E104" s="27" t="s">
        <v>50</v>
      </c>
      <c r="F104" s="41" t="s">
        <v>597</v>
      </c>
      <c r="G104" s="43"/>
      <c r="H104" s="43"/>
      <c r="I104" s="43"/>
      <c r="J104" s="43"/>
      <c r="K104" s="27"/>
      <c r="L104" s="28"/>
      <c r="M104" s="27"/>
      <c r="N104" s="27"/>
      <c r="O104" s="18">
        <f>SUM(O105:O106)</f>
        <v>32317663228.760803</v>
      </c>
      <c r="P104" s="246"/>
      <c r="Q104" s="246"/>
      <c r="R104" s="27"/>
      <c r="S104" s="27" t="s">
        <v>739</v>
      </c>
      <c r="T104" s="18">
        <f>SUM(T105:T106)</f>
        <v>17733196887.557014</v>
      </c>
      <c r="U104" s="27"/>
      <c r="V104" s="27"/>
      <c r="W104" s="30"/>
      <c r="X104" s="53"/>
      <c r="Y104" s="27"/>
      <c r="Z104" s="27"/>
      <c r="AA104" s="54"/>
      <c r="AB104" s="27"/>
      <c r="AC104" s="273">
        <v>19732689646.414902</v>
      </c>
      <c r="AD104" s="27">
        <v>52902703376.105644</v>
      </c>
      <c r="AE104" s="228">
        <v>0.37299964627757543</v>
      </c>
      <c r="AF104" s="27">
        <v>13279107574.436277</v>
      </c>
      <c r="AG104" s="226">
        <v>1.4859951646451355</v>
      </c>
      <c r="AH104" s="226">
        <v>0.87627407067802265</v>
      </c>
      <c r="AI104" s="27">
        <v>159110000</v>
      </c>
      <c r="AJ104" s="226">
        <v>124.01916690600781</v>
      </c>
      <c r="AK104" s="27">
        <v>617914538.43278909</v>
      </c>
      <c r="AL104" s="226">
        <v>31.934334635437999</v>
      </c>
      <c r="AM104" s="27">
        <v>1471023150.6166687</v>
      </c>
      <c r="AN104" s="271">
        <v>13.414261793325785</v>
      </c>
      <c r="AO104" s="27">
        <v>9054332</v>
      </c>
      <c r="AP104" s="27">
        <v>9.1</v>
      </c>
      <c r="AQ104" s="27">
        <v>70.450292682926829</v>
      </c>
      <c r="AR104" s="27">
        <v>33.799999999999997</v>
      </c>
      <c r="AS104" s="29">
        <v>84.726050000000001</v>
      </c>
      <c r="AT104" s="270">
        <v>29</v>
      </c>
      <c r="AU104" s="464">
        <v>48.093116147257767</v>
      </c>
      <c r="AV104" s="29">
        <v>-1.2560356657365599</v>
      </c>
      <c r="AW104" s="29">
        <v>-0.25327806107414602</v>
      </c>
      <c r="AX104" s="29">
        <v>-0.79394637716512195</v>
      </c>
      <c r="AY104" s="29">
        <v>-0.36834713846671502</v>
      </c>
      <c r="AZ104" s="60">
        <v>-1.1790171369459901</v>
      </c>
    </row>
    <row r="105" spans="1:52" ht="15" customHeight="1">
      <c r="A105" s="35" t="s">
        <v>70</v>
      </c>
      <c r="B105" s="27">
        <v>2010</v>
      </c>
      <c r="C105" s="27" t="s">
        <v>48</v>
      </c>
      <c r="D105" s="39" t="s">
        <v>34</v>
      </c>
      <c r="E105" s="27" t="s">
        <v>552</v>
      </c>
      <c r="F105" s="41" t="s">
        <v>552</v>
      </c>
      <c r="G105" s="43">
        <v>15100000000</v>
      </c>
      <c r="H105" s="43"/>
      <c r="I105" s="43"/>
      <c r="J105" s="43"/>
      <c r="K105" s="27" t="s">
        <v>599</v>
      </c>
      <c r="L105" s="28">
        <v>0.1741077336927683</v>
      </c>
      <c r="M105" s="27" t="s">
        <v>600</v>
      </c>
      <c r="N105" s="27" t="s">
        <v>685</v>
      </c>
      <c r="O105" s="18">
        <f>G105*L105</f>
        <v>2629026778.7608013</v>
      </c>
      <c r="P105" s="245"/>
      <c r="Q105" s="246"/>
      <c r="R105" s="27"/>
      <c r="S105" s="27" t="s">
        <v>740</v>
      </c>
      <c r="T105" s="18">
        <f>3484870400*L105</f>
        <v>606742887.55701089</v>
      </c>
      <c r="U105" s="27"/>
      <c r="V105" s="27"/>
      <c r="W105" s="30"/>
      <c r="X105" s="53"/>
      <c r="Y105" s="27"/>
      <c r="Z105" s="27"/>
      <c r="AA105" s="54"/>
      <c r="AB105" s="27"/>
      <c r="AC105" s="273">
        <v>19732689646.414902</v>
      </c>
      <c r="AD105" s="27">
        <v>52902703376.105644</v>
      </c>
      <c r="AE105" s="228">
        <v>0.37299964627757543</v>
      </c>
      <c r="AF105" s="27">
        <v>13279107574.436277</v>
      </c>
      <c r="AG105" s="226">
        <v>1.4859951646451355</v>
      </c>
      <c r="AH105" s="226">
        <v>0.87627407067802265</v>
      </c>
      <c r="AI105" s="27">
        <v>159110000</v>
      </c>
      <c r="AJ105" s="226">
        <v>124.01916690600781</v>
      </c>
      <c r="AK105" s="27">
        <v>617914538.43278909</v>
      </c>
      <c r="AL105" s="226">
        <v>31.934334635437999</v>
      </c>
      <c r="AM105" s="27">
        <v>1471023150.6166687</v>
      </c>
      <c r="AN105" s="271">
        <v>13.414261793325785</v>
      </c>
      <c r="AO105" s="27">
        <v>9054332</v>
      </c>
      <c r="AP105" s="27">
        <v>9.1</v>
      </c>
      <c r="AQ105" s="27">
        <v>70.450292682926829</v>
      </c>
      <c r="AR105" s="27">
        <v>33.799999999999997</v>
      </c>
      <c r="AS105" s="29">
        <v>84.726050000000001</v>
      </c>
      <c r="AT105" s="270">
        <v>29</v>
      </c>
      <c r="AU105" s="464">
        <v>48.093116147257767</v>
      </c>
      <c r="AV105" s="29">
        <v>-1.2560356657365599</v>
      </c>
      <c r="AW105" s="29">
        <v>-0.25327806107414602</v>
      </c>
      <c r="AX105" s="29">
        <v>-0.79394637716512195</v>
      </c>
      <c r="AY105" s="29">
        <v>-0.36834713846671502</v>
      </c>
      <c r="AZ105" s="60">
        <v>-1.1790171369459901</v>
      </c>
    </row>
    <row r="106" spans="1:52" ht="15" customHeight="1">
      <c r="A106" s="35" t="s">
        <v>70</v>
      </c>
      <c r="B106" s="27">
        <v>2010</v>
      </c>
      <c r="C106" s="27" t="s">
        <v>48</v>
      </c>
      <c r="D106" s="39" t="s">
        <v>34</v>
      </c>
      <c r="E106" s="27" t="s">
        <v>98</v>
      </c>
      <c r="F106" s="41" t="s">
        <v>98</v>
      </c>
      <c r="G106" s="43">
        <v>373395000</v>
      </c>
      <c r="H106" s="43"/>
      <c r="I106" s="43"/>
      <c r="J106" s="43"/>
      <c r="K106" s="27" t="s">
        <v>603</v>
      </c>
      <c r="L106" s="28">
        <v>79.510000000000005</v>
      </c>
      <c r="M106" s="27" t="s">
        <v>626</v>
      </c>
      <c r="N106" s="27" t="s">
        <v>687</v>
      </c>
      <c r="O106" s="18">
        <f>G106*L106</f>
        <v>29688636450.000004</v>
      </c>
      <c r="P106" s="246"/>
      <c r="Q106" s="246"/>
      <c r="R106" s="27"/>
      <c r="S106" s="27" t="s">
        <v>741</v>
      </c>
      <c r="T106" s="18">
        <f>215400000*L106</f>
        <v>17126454000.000002</v>
      </c>
      <c r="U106" s="27"/>
      <c r="V106" s="27"/>
      <c r="W106" s="30"/>
      <c r="X106" s="53"/>
      <c r="Y106" s="27"/>
      <c r="Z106" s="27"/>
      <c r="AA106" s="54"/>
      <c r="AB106" s="27"/>
      <c r="AC106" s="273">
        <v>19732689646.414902</v>
      </c>
      <c r="AD106" s="27">
        <v>52902703376.105644</v>
      </c>
      <c r="AE106" s="228">
        <v>0.37299964627757543</v>
      </c>
      <c r="AF106" s="27">
        <v>13279107574.436277</v>
      </c>
      <c r="AG106" s="226">
        <v>1.4859951646451355</v>
      </c>
      <c r="AH106" s="226">
        <v>0.87627407067802265</v>
      </c>
      <c r="AI106" s="27">
        <v>159110000</v>
      </c>
      <c r="AJ106" s="226">
        <v>124.01916690600781</v>
      </c>
      <c r="AK106" s="27">
        <v>617914538.43278909</v>
      </c>
      <c r="AL106" s="226">
        <v>31.934334635437999</v>
      </c>
      <c r="AM106" s="27">
        <v>1471023150.6166687</v>
      </c>
      <c r="AN106" s="271">
        <v>13.414261793325785</v>
      </c>
      <c r="AO106" s="27">
        <v>9054332</v>
      </c>
      <c r="AP106" s="27">
        <v>9.1</v>
      </c>
      <c r="AQ106" s="27">
        <v>70.450292682926829</v>
      </c>
      <c r="AR106" s="27">
        <v>33.799999999999997</v>
      </c>
      <c r="AS106" s="29">
        <v>84.726050000000001</v>
      </c>
      <c r="AT106" s="270">
        <v>29</v>
      </c>
      <c r="AU106" s="464">
        <v>48.093116147257767</v>
      </c>
      <c r="AV106" s="29">
        <v>-1.2560356657365599</v>
      </c>
      <c r="AW106" s="29">
        <v>-0.25327806107414602</v>
      </c>
      <c r="AX106" s="29">
        <v>-0.79394637716512195</v>
      </c>
      <c r="AY106" s="29">
        <v>-0.36834713846671502</v>
      </c>
      <c r="AZ106" s="60">
        <v>-1.1790171369459901</v>
      </c>
    </row>
    <row r="107" spans="1:52" ht="15" customHeight="1">
      <c r="A107" s="35" t="s">
        <v>70</v>
      </c>
      <c r="B107" s="27">
        <v>2010</v>
      </c>
      <c r="C107" s="27" t="s">
        <v>48</v>
      </c>
      <c r="D107" s="39" t="s">
        <v>34</v>
      </c>
      <c r="E107" s="27" t="s">
        <v>19</v>
      </c>
      <c r="F107" s="41" t="s">
        <v>559</v>
      </c>
      <c r="G107" s="43"/>
      <c r="H107" s="43"/>
      <c r="I107" s="43"/>
      <c r="J107" s="43"/>
      <c r="K107" s="27"/>
      <c r="L107" s="28"/>
      <c r="M107" s="27"/>
      <c r="N107" s="27"/>
      <c r="O107" s="18">
        <f>SUM(O108:O109)</f>
        <v>75782243.744054854</v>
      </c>
      <c r="P107" s="246"/>
      <c r="Q107" s="246"/>
      <c r="R107" s="27"/>
      <c r="S107" s="27" t="s">
        <v>742</v>
      </c>
      <c r="T107" s="18">
        <f>SUM(T108:T109)</f>
        <v>9485161.6356334239</v>
      </c>
      <c r="U107" s="27"/>
      <c r="V107" s="27"/>
      <c r="W107" s="30"/>
      <c r="X107" s="53"/>
      <c r="Y107" s="27"/>
      <c r="Z107" s="27"/>
      <c r="AA107" s="54"/>
      <c r="AB107" s="27"/>
      <c r="AC107" s="273">
        <v>19732689646.414902</v>
      </c>
      <c r="AD107" s="27">
        <v>52902703376.105644</v>
      </c>
      <c r="AE107" s="228">
        <v>0.37299964627757543</v>
      </c>
      <c r="AF107" s="27">
        <v>13279107574.436277</v>
      </c>
      <c r="AG107" s="226">
        <v>1.4859951646451355</v>
      </c>
      <c r="AH107" s="226">
        <v>0.87627407067802265</v>
      </c>
      <c r="AI107" s="27">
        <v>159110000</v>
      </c>
      <c r="AJ107" s="226">
        <v>124.01916690600781</v>
      </c>
      <c r="AK107" s="27">
        <v>617914538.43278909</v>
      </c>
      <c r="AL107" s="226">
        <v>31.934334635437999</v>
      </c>
      <c r="AM107" s="27">
        <v>1471023150.6166687</v>
      </c>
      <c r="AN107" s="271">
        <v>13.414261793325785</v>
      </c>
      <c r="AO107" s="27">
        <v>9054332</v>
      </c>
      <c r="AP107" s="27">
        <v>9.1</v>
      </c>
      <c r="AQ107" s="27">
        <v>70.450292682926829</v>
      </c>
      <c r="AR107" s="27">
        <v>33.799999999999997</v>
      </c>
      <c r="AS107" s="29">
        <v>84.726050000000001</v>
      </c>
      <c r="AT107" s="270">
        <v>29</v>
      </c>
      <c r="AU107" s="464">
        <v>48.093116147257767</v>
      </c>
      <c r="AV107" s="29">
        <v>-1.2560356657365599</v>
      </c>
      <c r="AW107" s="29">
        <v>-0.25327806107414602</v>
      </c>
      <c r="AX107" s="29">
        <v>-0.79394637716512195</v>
      </c>
      <c r="AY107" s="29">
        <v>-0.36834713846671502</v>
      </c>
      <c r="AZ107" s="60">
        <v>-1.1790171369459901</v>
      </c>
    </row>
    <row r="108" spans="1:52" ht="15" customHeight="1">
      <c r="A108" s="35" t="s">
        <v>70</v>
      </c>
      <c r="B108" s="27">
        <v>2010</v>
      </c>
      <c r="C108" s="27" t="s">
        <v>48</v>
      </c>
      <c r="D108" s="39" t="s">
        <v>34</v>
      </c>
      <c r="E108" s="27" t="s">
        <v>19</v>
      </c>
      <c r="F108" s="41" t="s">
        <v>730</v>
      </c>
      <c r="G108" s="43">
        <f>1900*32.150743126506</f>
        <v>61086.411940361402</v>
      </c>
      <c r="H108" s="43"/>
      <c r="I108" s="43"/>
      <c r="J108" s="43"/>
      <c r="K108" s="27" t="s">
        <v>731</v>
      </c>
      <c r="L108" s="28">
        <v>1224.66425</v>
      </c>
      <c r="M108" s="27" t="s">
        <v>732</v>
      </c>
      <c r="N108" s="55" t="s">
        <v>733</v>
      </c>
      <c r="O108" s="18">
        <f>G108*L108</f>
        <v>74810344.864133745</v>
      </c>
      <c r="P108" s="246"/>
      <c r="Q108" s="246"/>
      <c r="R108" s="27"/>
      <c r="S108" s="27" t="s">
        <v>743</v>
      </c>
      <c r="T108" s="18">
        <v>9376335.6606334411</v>
      </c>
      <c r="U108" s="27"/>
      <c r="V108" s="27"/>
      <c r="W108" s="30"/>
      <c r="X108" s="53"/>
      <c r="Y108" s="27"/>
      <c r="Z108" s="27"/>
      <c r="AA108" s="54"/>
      <c r="AB108" s="27"/>
      <c r="AC108" s="273">
        <v>19732689646.414902</v>
      </c>
      <c r="AD108" s="27">
        <v>52902703376.105644</v>
      </c>
      <c r="AE108" s="228">
        <v>0.37299964627757543</v>
      </c>
      <c r="AF108" s="27">
        <v>13279107574.436277</v>
      </c>
      <c r="AG108" s="226">
        <v>1.4859951646451355</v>
      </c>
      <c r="AH108" s="226">
        <v>0.87627407067802265</v>
      </c>
      <c r="AI108" s="27">
        <v>159110000</v>
      </c>
      <c r="AJ108" s="226">
        <v>124.01916690600781</v>
      </c>
      <c r="AK108" s="27">
        <v>617914538.43278909</v>
      </c>
      <c r="AL108" s="226">
        <v>31.934334635437999</v>
      </c>
      <c r="AM108" s="27">
        <v>1471023150.6166687</v>
      </c>
      <c r="AN108" s="271">
        <v>13.414261793325785</v>
      </c>
      <c r="AO108" s="27">
        <v>9054332</v>
      </c>
      <c r="AP108" s="27">
        <v>9.1</v>
      </c>
      <c r="AQ108" s="27">
        <v>70.450292682926829</v>
      </c>
      <c r="AR108" s="27">
        <v>33.799999999999997</v>
      </c>
      <c r="AS108" s="29">
        <v>84.726050000000001</v>
      </c>
      <c r="AT108" s="270">
        <v>29</v>
      </c>
      <c r="AU108" s="464">
        <v>48.093116147257767</v>
      </c>
      <c r="AV108" s="29">
        <v>-1.2560356657365599</v>
      </c>
      <c r="AW108" s="29">
        <v>-0.25327806107414602</v>
      </c>
      <c r="AX108" s="29">
        <v>-0.79394637716512195</v>
      </c>
      <c r="AY108" s="29">
        <v>-0.36834713846671502</v>
      </c>
      <c r="AZ108" s="60">
        <v>-1.1790171369459901</v>
      </c>
    </row>
    <row r="109" spans="1:52" s="287" customFormat="1" ht="15" customHeight="1">
      <c r="A109" s="172" t="s">
        <v>70</v>
      </c>
      <c r="B109" s="284">
        <v>2010</v>
      </c>
      <c r="C109" s="284" t="s">
        <v>48</v>
      </c>
      <c r="D109" s="314" t="s">
        <v>34</v>
      </c>
      <c r="E109" s="284" t="s">
        <v>19</v>
      </c>
      <c r="F109" s="315" t="s">
        <v>735</v>
      </c>
      <c r="G109" s="303">
        <f>1500*32.150743126506</f>
        <v>48226.114689759001</v>
      </c>
      <c r="H109" s="303"/>
      <c r="I109" s="303"/>
      <c r="J109" s="303"/>
      <c r="K109" s="284" t="s">
        <v>731</v>
      </c>
      <c r="L109" s="304">
        <f>20.15295833333/1</f>
        <v>20.152958333330002</v>
      </c>
      <c r="M109" s="284" t="s">
        <v>732</v>
      </c>
      <c r="N109" s="284" t="s">
        <v>744</v>
      </c>
      <c r="O109" s="305">
        <f>G109*L109</f>
        <v>971898.87992110709</v>
      </c>
      <c r="P109" s="320"/>
      <c r="Q109" s="320"/>
      <c r="R109" s="284"/>
      <c r="S109" s="284" t="s">
        <v>745</v>
      </c>
      <c r="T109" s="305">
        <v>108825.97499998201</v>
      </c>
      <c r="U109" s="284"/>
      <c r="V109" s="284"/>
      <c r="W109" s="307"/>
      <c r="X109" s="302"/>
      <c r="Y109" s="284"/>
      <c r="Z109" s="284"/>
      <c r="AA109" s="321"/>
      <c r="AB109" s="284"/>
      <c r="AC109" s="308">
        <v>19732689646.414902</v>
      </c>
      <c r="AD109" s="284">
        <v>52902703376.105644</v>
      </c>
      <c r="AE109" s="309">
        <v>0.37299964627757543</v>
      </c>
      <c r="AF109" s="284">
        <v>13279107574.436277</v>
      </c>
      <c r="AG109" s="310">
        <v>1.4859951646451355</v>
      </c>
      <c r="AH109" s="310">
        <v>0.87627407067802265</v>
      </c>
      <c r="AI109" s="284">
        <v>159110000</v>
      </c>
      <c r="AJ109" s="310">
        <v>124.01916690600781</v>
      </c>
      <c r="AK109" s="284">
        <v>617914538.43278909</v>
      </c>
      <c r="AL109" s="310">
        <v>31.934334635437999</v>
      </c>
      <c r="AM109" s="284">
        <v>1471023150.6166687</v>
      </c>
      <c r="AN109" s="311">
        <v>13.414261793325785</v>
      </c>
      <c r="AO109" s="284">
        <v>9054332</v>
      </c>
      <c r="AP109" s="284">
        <v>9.1</v>
      </c>
      <c r="AQ109" s="284">
        <v>70.450292682926829</v>
      </c>
      <c r="AR109" s="284">
        <v>33.799999999999997</v>
      </c>
      <c r="AS109" s="287">
        <v>84.726050000000001</v>
      </c>
      <c r="AT109" s="312">
        <v>29</v>
      </c>
      <c r="AU109" s="465">
        <v>48.093116147257767</v>
      </c>
      <c r="AV109" s="287">
        <v>-1.2560356657365599</v>
      </c>
      <c r="AW109" s="287">
        <v>-0.25327806107414602</v>
      </c>
      <c r="AX109" s="287">
        <v>-0.79394637716512195</v>
      </c>
      <c r="AY109" s="287">
        <v>-0.36834713846671502</v>
      </c>
      <c r="AZ109" s="313">
        <v>-1.1790171369459901</v>
      </c>
    </row>
    <row r="110" spans="1:52" s="29" customFormat="1" ht="15" customHeight="1">
      <c r="A110" s="294" t="s">
        <v>73</v>
      </c>
      <c r="B110" s="27">
        <v>2011</v>
      </c>
      <c r="C110" s="27" t="s">
        <v>48</v>
      </c>
      <c r="D110" s="39" t="s">
        <v>34</v>
      </c>
      <c r="E110" s="27" t="s">
        <v>30</v>
      </c>
      <c r="F110" s="41" t="s">
        <v>659</v>
      </c>
      <c r="G110" s="43"/>
      <c r="H110" s="43"/>
      <c r="I110" s="43"/>
      <c r="J110" s="43"/>
      <c r="K110" s="27"/>
      <c r="L110" s="28"/>
      <c r="M110" s="27"/>
      <c r="N110" s="27"/>
      <c r="O110" s="18">
        <f>O111+O114</f>
        <v>40062322533.943047</v>
      </c>
      <c r="P110" s="246">
        <f>23795722532+T114</f>
        <v>23901723060.05368</v>
      </c>
      <c r="Q110" s="246">
        <f>23789422532+T114</f>
        <v>23895423060.05368</v>
      </c>
      <c r="R110" s="27" t="s">
        <v>3693</v>
      </c>
      <c r="S110" s="27" t="s">
        <v>747</v>
      </c>
      <c r="T110" s="18">
        <f>T111+T114</f>
        <v>20860320528.05368</v>
      </c>
      <c r="U110" s="29" t="s">
        <v>746</v>
      </c>
      <c r="V110" s="27" t="s">
        <v>690</v>
      </c>
      <c r="W110" s="30">
        <v>0.79</v>
      </c>
      <c r="X110" s="53">
        <v>31</v>
      </c>
      <c r="Y110" s="27" t="s">
        <v>748</v>
      </c>
      <c r="Z110" s="27">
        <v>31</v>
      </c>
      <c r="AA110" s="54" t="s">
        <v>749</v>
      </c>
      <c r="AB110" s="27" t="s">
        <v>750</v>
      </c>
      <c r="AC110" s="273">
        <v>23901723059.816406</v>
      </c>
      <c r="AD110" s="27">
        <v>65951627200.202614</v>
      </c>
      <c r="AE110" s="228">
        <v>0.36241293921771467</v>
      </c>
      <c r="AF110" s="27">
        <v>18478986425.22477</v>
      </c>
      <c r="AG110" s="226">
        <v>1.2934542246965084</v>
      </c>
      <c r="AH110" s="226">
        <v>0.87974208303451218</v>
      </c>
      <c r="AI110" s="27">
        <v>286410000</v>
      </c>
      <c r="AJ110" s="226">
        <v>83.452823085145099</v>
      </c>
      <c r="AK110" s="27">
        <v>712928960.36469805</v>
      </c>
      <c r="AL110" s="226">
        <v>33.526093606282323</v>
      </c>
      <c r="AM110" s="27">
        <v>1606344212.7390146</v>
      </c>
      <c r="AN110" s="271">
        <v>14.879577409539781</v>
      </c>
      <c r="AO110" s="27">
        <v>9173082</v>
      </c>
      <c r="AP110" s="27">
        <v>7.6</v>
      </c>
      <c r="AQ110" s="27">
        <v>70.551292682926842</v>
      </c>
      <c r="AR110" s="27">
        <v>32.4</v>
      </c>
      <c r="AS110" s="29">
        <v>87.268079999999998</v>
      </c>
      <c r="AT110" s="270">
        <v>29</v>
      </c>
      <c r="AU110" s="464">
        <v>48.093116147257767</v>
      </c>
      <c r="AV110" s="29">
        <v>-1.2659435619088599</v>
      </c>
      <c r="AW110" s="29">
        <v>-0.52623108297866805</v>
      </c>
      <c r="AX110" s="29">
        <v>-0.75540487024948</v>
      </c>
      <c r="AY110" s="29">
        <v>-0.36687326629287698</v>
      </c>
      <c r="AZ110" s="60">
        <v>-1.1177505725186601</v>
      </c>
    </row>
    <row r="111" spans="1:52" s="29" customFormat="1" ht="15" customHeight="1">
      <c r="A111" s="35" t="s">
        <v>73</v>
      </c>
      <c r="B111" s="27">
        <v>2011</v>
      </c>
      <c r="C111" s="27" t="s">
        <v>48</v>
      </c>
      <c r="D111" s="39" t="s">
        <v>34</v>
      </c>
      <c r="E111" s="27" t="s">
        <v>50</v>
      </c>
      <c r="F111" s="41" t="s">
        <v>597</v>
      </c>
      <c r="G111" s="43"/>
      <c r="H111" s="43"/>
      <c r="I111" s="43"/>
      <c r="J111" s="43"/>
      <c r="K111" s="27"/>
      <c r="L111" s="28"/>
      <c r="M111" s="27"/>
      <c r="N111" s="27"/>
      <c r="O111" s="18">
        <f>SUM(O112:O113)</f>
        <v>39971393256.34037</v>
      </c>
      <c r="P111" s="246"/>
      <c r="Q111" s="246"/>
      <c r="R111" s="27"/>
      <c r="S111" s="27" t="s">
        <v>751</v>
      </c>
      <c r="T111" s="18">
        <f>SUM(T112:T113)</f>
        <v>20754320000</v>
      </c>
      <c r="U111" s="27"/>
      <c r="V111" s="27"/>
      <c r="W111" s="30"/>
      <c r="X111" s="53"/>
      <c r="Y111" s="27"/>
      <c r="Z111" s="27"/>
      <c r="AA111" s="54"/>
      <c r="AB111" s="27"/>
      <c r="AC111" s="273">
        <v>23901723059.816406</v>
      </c>
      <c r="AD111" s="27">
        <v>65951627200.202614</v>
      </c>
      <c r="AE111" s="228">
        <v>0.36241293921771467</v>
      </c>
      <c r="AF111" s="27">
        <v>18478986425.22477</v>
      </c>
      <c r="AG111" s="226">
        <v>1.2934542246965084</v>
      </c>
      <c r="AH111" s="226">
        <v>0.87974208303451218</v>
      </c>
      <c r="AI111" s="27">
        <v>286410000</v>
      </c>
      <c r="AJ111" s="226">
        <v>83.452823085145099</v>
      </c>
      <c r="AK111" s="27">
        <v>712928960.36469805</v>
      </c>
      <c r="AL111" s="226">
        <v>33.526093606282323</v>
      </c>
      <c r="AM111" s="27">
        <v>1606344212.7390146</v>
      </c>
      <c r="AN111" s="271">
        <v>14.879577409539781</v>
      </c>
      <c r="AO111" s="27">
        <v>9173082</v>
      </c>
      <c r="AP111" s="27">
        <v>7.6</v>
      </c>
      <c r="AQ111" s="27">
        <v>70.551292682926842</v>
      </c>
      <c r="AR111" s="27">
        <v>32.4</v>
      </c>
      <c r="AS111" s="29">
        <v>87.268079999999998</v>
      </c>
      <c r="AT111" s="270">
        <v>29</v>
      </c>
      <c r="AU111" s="464">
        <v>48.093116147257767</v>
      </c>
      <c r="AV111" s="29">
        <v>-1.2659435619088599</v>
      </c>
      <c r="AW111" s="29">
        <v>-0.52623108297866805</v>
      </c>
      <c r="AX111" s="29">
        <v>-0.75540487024948</v>
      </c>
      <c r="AY111" s="29">
        <v>-0.36687326629287698</v>
      </c>
      <c r="AZ111" s="60">
        <v>-1.1177505725186601</v>
      </c>
    </row>
    <row r="112" spans="1:52" s="29" customFormat="1" ht="15" customHeight="1">
      <c r="A112" s="35" t="s">
        <v>73</v>
      </c>
      <c r="B112" s="27">
        <v>2011</v>
      </c>
      <c r="C112" s="27" t="s">
        <v>48</v>
      </c>
      <c r="D112" s="39" t="s">
        <v>34</v>
      </c>
      <c r="E112" s="27" t="s">
        <v>552</v>
      </c>
      <c r="F112" s="41" t="s">
        <v>552</v>
      </c>
      <c r="G112" s="43">
        <v>14800000000</v>
      </c>
      <c r="H112" s="43"/>
      <c r="I112" s="43"/>
      <c r="J112" s="43"/>
      <c r="K112" s="27" t="s">
        <v>599</v>
      </c>
      <c r="L112" s="28">
        <v>0.1804744092121873</v>
      </c>
      <c r="M112" s="27" t="s">
        <v>600</v>
      </c>
      <c r="N112" s="27" t="s">
        <v>752</v>
      </c>
      <c r="O112" s="18">
        <f>G112*L112</f>
        <v>2671021256.3403721</v>
      </c>
      <c r="P112" s="245"/>
      <c r="Q112" s="246"/>
      <c r="R112" s="42"/>
      <c r="S112" s="27" t="s">
        <v>753</v>
      </c>
      <c r="T112" s="18">
        <v>616000000</v>
      </c>
      <c r="U112" s="27"/>
      <c r="V112" s="42"/>
      <c r="W112" s="30"/>
      <c r="X112" s="53"/>
      <c r="Y112" s="27"/>
      <c r="Z112" s="27"/>
      <c r="AA112" s="54"/>
      <c r="AB112" s="27"/>
      <c r="AC112" s="273">
        <v>23901723059.816406</v>
      </c>
      <c r="AD112" s="27">
        <v>65951627200.202614</v>
      </c>
      <c r="AE112" s="228">
        <v>0.36241293921771467</v>
      </c>
      <c r="AF112" s="27">
        <v>18478986425.22477</v>
      </c>
      <c r="AG112" s="226">
        <v>1.2934542246965084</v>
      </c>
      <c r="AH112" s="226">
        <v>0.87974208303451218</v>
      </c>
      <c r="AI112" s="27">
        <v>286410000</v>
      </c>
      <c r="AJ112" s="226">
        <v>83.452823085145099</v>
      </c>
      <c r="AK112" s="27">
        <v>712928960.36469805</v>
      </c>
      <c r="AL112" s="226">
        <v>33.526093606282323</v>
      </c>
      <c r="AM112" s="27">
        <v>1606344212.7390146</v>
      </c>
      <c r="AN112" s="271">
        <v>14.879577409539781</v>
      </c>
      <c r="AO112" s="27">
        <v>9173082</v>
      </c>
      <c r="AP112" s="27">
        <v>7.6</v>
      </c>
      <c r="AQ112" s="27">
        <v>70.551292682926842</v>
      </c>
      <c r="AR112" s="27">
        <v>32.4</v>
      </c>
      <c r="AS112" s="29">
        <v>87.268079999999998</v>
      </c>
      <c r="AT112" s="270">
        <v>29</v>
      </c>
      <c r="AU112" s="464">
        <v>48.093116147257767</v>
      </c>
      <c r="AV112" s="29">
        <v>-1.2659435619088599</v>
      </c>
      <c r="AW112" s="29">
        <v>-0.52623108297866805</v>
      </c>
      <c r="AX112" s="29">
        <v>-0.75540487024948</v>
      </c>
      <c r="AY112" s="29">
        <v>-0.36687326629287698</v>
      </c>
      <c r="AZ112" s="60">
        <v>-1.1177505725186601</v>
      </c>
    </row>
    <row r="113" spans="1:52" s="29" customFormat="1" ht="15" customHeight="1">
      <c r="A113" s="35" t="s">
        <v>73</v>
      </c>
      <c r="B113" s="27">
        <v>2011</v>
      </c>
      <c r="C113" s="27" t="s">
        <v>48</v>
      </c>
      <c r="D113" s="39" t="s">
        <v>34</v>
      </c>
      <c r="E113" s="27" t="s">
        <v>98</v>
      </c>
      <c r="F113" s="41" t="s">
        <v>98</v>
      </c>
      <c r="G113" s="43">
        <v>335435000</v>
      </c>
      <c r="H113" s="43"/>
      <c r="I113" s="43"/>
      <c r="J113" s="43"/>
      <c r="K113" s="27" t="s">
        <v>603</v>
      </c>
      <c r="L113" s="28">
        <v>111.2</v>
      </c>
      <c r="M113" s="27" t="s">
        <v>626</v>
      </c>
      <c r="N113" s="27" t="s">
        <v>752</v>
      </c>
      <c r="O113" s="18">
        <f>G113*L113</f>
        <v>37300372000</v>
      </c>
      <c r="P113" s="246"/>
      <c r="Q113" s="246"/>
      <c r="R113" s="42"/>
      <c r="S113" s="27" t="s">
        <v>754</v>
      </c>
      <c r="T113" s="18">
        <v>20138320000</v>
      </c>
      <c r="U113" s="27"/>
      <c r="V113" s="42"/>
      <c r="W113" s="30"/>
      <c r="X113" s="53"/>
      <c r="Y113" s="27"/>
      <c r="Z113" s="27"/>
      <c r="AA113" s="54"/>
      <c r="AB113" s="27"/>
      <c r="AC113" s="273">
        <v>23901723059.816406</v>
      </c>
      <c r="AD113" s="27">
        <v>65951627200.202614</v>
      </c>
      <c r="AE113" s="228">
        <v>0.36241293921771467</v>
      </c>
      <c r="AF113" s="27">
        <v>18478986425.22477</v>
      </c>
      <c r="AG113" s="226">
        <v>1.2934542246965084</v>
      </c>
      <c r="AH113" s="226">
        <v>0.87974208303451218</v>
      </c>
      <c r="AI113" s="27">
        <v>286410000</v>
      </c>
      <c r="AJ113" s="226">
        <v>83.452823085145099</v>
      </c>
      <c r="AK113" s="27">
        <v>712928960.36469805</v>
      </c>
      <c r="AL113" s="226">
        <v>33.526093606282323</v>
      </c>
      <c r="AM113" s="27">
        <v>1606344212.7390146</v>
      </c>
      <c r="AN113" s="271">
        <v>14.879577409539781</v>
      </c>
      <c r="AO113" s="27">
        <v>9173082</v>
      </c>
      <c r="AP113" s="27">
        <v>7.6</v>
      </c>
      <c r="AQ113" s="27">
        <v>70.551292682926842</v>
      </c>
      <c r="AR113" s="27">
        <v>32.4</v>
      </c>
      <c r="AS113" s="29">
        <v>87.268079999999998</v>
      </c>
      <c r="AT113" s="270">
        <v>29</v>
      </c>
      <c r="AU113" s="464">
        <v>48.093116147257767</v>
      </c>
      <c r="AV113" s="29">
        <v>-1.2659435619088599</v>
      </c>
      <c r="AW113" s="29">
        <v>-0.52623108297866805</v>
      </c>
      <c r="AX113" s="29">
        <v>-0.75540487024948</v>
      </c>
      <c r="AY113" s="29">
        <v>-0.36687326629287698</v>
      </c>
      <c r="AZ113" s="60">
        <v>-1.1177505725186601</v>
      </c>
    </row>
    <row r="114" spans="1:52" s="29" customFormat="1" ht="15" customHeight="1">
      <c r="A114" s="35" t="s">
        <v>73</v>
      </c>
      <c r="B114" s="27">
        <v>2011</v>
      </c>
      <c r="C114" s="27" t="s">
        <v>48</v>
      </c>
      <c r="D114" s="39" t="s">
        <v>34</v>
      </c>
      <c r="E114" s="27" t="s">
        <v>19</v>
      </c>
      <c r="F114" s="41" t="s">
        <v>559</v>
      </c>
      <c r="G114" s="43"/>
      <c r="H114" s="43"/>
      <c r="I114" s="43"/>
      <c r="J114" s="43"/>
      <c r="K114" s="27"/>
      <c r="L114" s="28"/>
      <c r="M114" s="27"/>
      <c r="N114" s="27"/>
      <c r="O114" s="18">
        <f>SUM(O115:O116)</f>
        <v>90929277.602674365</v>
      </c>
      <c r="P114" s="246"/>
      <c r="Q114" s="246"/>
      <c r="R114" s="27"/>
      <c r="S114" s="27" t="s">
        <v>755</v>
      </c>
      <c r="T114" s="18">
        <f>SUM(T115:T116)</f>
        <v>106000528.05368179</v>
      </c>
      <c r="U114" s="27"/>
      <c r="V114" s="27"/>
      <c r="W114" s="30"/>
      <c r="X114" s="53"/>
      <c r="Y114" s="27"/>
      <c r="Z114" s="27"/>
      <c r="AA114" s="54"/>
      <c r="AB114" s="27"/>
      <c r="AC114" s="273">
        <v>23901723059.816406</v>
      </c>
      <c r="AD114" s="27">
        <v>65951627200.202614</v>
      </c>
      <c r="AE114" s="228">
        <v>0.36241293921771467</v>
      </c>
      <c r="AF114" s="27">
        <v>18478986425.22477</v>
      </c>
      <c r="AG114" s="226">
        <v>1.2934542246965084</v>
      </c>
      <c r="AH114" s="226">
        <v>0.87974208303451218</v>
      </c>
      <c r="AI114" s="27">
        <v>286410000</v>
      </c>
      <c r="AJ114" s="226">
        <v>83.452823085145099</v>
      </c>
      <c r="AK114" s="27">
        <v>712928960.36469805</v>
      </c>
      <c r="AL114" s="226">
        <v>33.526093606282323</v>
      </c>
      <c r="AM114" s="27">
        <v>1606344212.7390146</v>
      </c>
      <c r="AN114" s="271">
        <v>14.879577409539781</v>
      </c>
      <c r="AO114" s="27">
        <v>9173082</v>
      </c>
      <c r="AP114" s="27">
        <v>7.6</v>
      </c>
      <c r="AQ114" s="27">
        <v>70.551292682926842</v>
      </c>
      <c r="AR114" s="27">
        <v>32.4</v>
      </c>
      <c r="AS114" s="29">
        <v>87.268079999999998</v>
      </c>
      <c r="AT114" s="270">
        <v>29</v>
      </c>
      <c r="AU114" s="464">
        <v>48.093116147257767</v>
      </c>
      <c r="AV114" s="29">
        <v>-1.2659435619088599</v>
      </c>
      <c r="AW114" s="29">
        <v>-0.52623108297866805</v>
      </c>
      <c r="AX114" s="29">
        <v>-0.75540487024948</v>
      </c>
      <c r="AY114" s="29">
        <v>-0.36687326629287698</v>
      </c>
      <c r="AZ114" s="60">
        <v>-1.1177505725186601</v>
      </c>
    </row>
    <row r="115" spans="1:52" s="29" customFormat="1" ht="15" customHeight="1">
      <c r="A115" s="35" t="s">
        <v>73</v>
      </c>
      <c r="B115" s="27">
        <v>2011</v>
      </c>
      <c r="C115" s="27" t="s">
        <v>48</v>
      </c>
      <c r="D115" s="39" t="s">
        <v>34</v>
      </c>
      <c r="E115" s="27" t="s">
        <v>19</v>
      </c>
      <c r="F115" s="41" t="s">
        <v>730</v>
      </c>
      <c r="G115" s="43">
        <f>1775*32.150743126506</f>
        <v>57067.569049548154</v>
      </c>
      <c r="H115" s="43"/>
      <c r="I115" s="43"/>
      <c r="J115" s="43"/>
      <c r="K115" s="27" t="s">
        <v>731</v>
      </c>
      <c r="L115" s="28">
        <v>1569.2108333333299</v>
      </c>
      <c r="M115" s="27" t="s">
        <v>732</v>
      </c>
      <c r="N115" s="55" t="s">
        <v>733</v>
      </c>
      <c r="O115" s="18">
        <f>G115*L115</f>
        <v>89551047.584548801</v>
      </c>
      <c r="P115" s="246"/>
      <c r="Q115" s="246"/>
      <c r="R115" s="27"/>
      <c r="S115" s="27" t="s">
        <v>756</v>
      </c>
      <c r="T115" s="18">
        <v>105840001.48038979</v>
      </c>
      <c r="U115" s="27"/>
      <c r="V115" s="27"/>
      <c r="W115" s="30"/>
      <c r="X115" s="53"/>
      <c r="Y115" s="27"/>
      <c r="Z115" s="27"/>
      <c r="AA115" s="54"/>
      <c r="AB115" s="27"/>
      <c r="AC115" s="273">
        <v>23901723059.816406</v>
      </c>
      <c r="AD115" s="27">
        <v>65951627200.202614</v>
      </c>
      <c r="AE115" s="228">
        <v>0.36241293921771467</v>
      </c>
      <c r="AF115" s="27">
        <v>18478986425.22477</v>
      </c>
      <c r="AG115" s="226">
        <v>1.2934542246965084</v>
      </c>
      <c r="AH115" s="226">
        <v>0.87974208303451218</v>
      </c>
      <c r="AI115" s="27">
        <v>286410000</v>
      </c>
      <c r="AJ115" s="226">
        <v>83.452823085145099</v>
      </c>
      <c r="AK115" s="27">
        <v>712928960.36469805</v>
      </c>
      <c r="AL115" s="226">
        <v>33.526093606282323</v>
      </c>
      <c r="AM115" s="27">
        <v>1606344212.7390146</v>
      </c>
      <c r="AN115" s="271">
        <v>14.879577409539781</v>
      </c>
      <c r="AO115" s="27">
        <v>9173082</v>
      </c>
      <c r="AP115" s="27">
        <v>7.6</v>
      </c>
      <c r="AQ115" s="27">
        <v>70.551292682926842</v>
      </c>
      <c r="AR115" s="27">
        <v>32.4</v>
      </c>
      <c r="AS115" s="29">
        <v>87.268079999999998</v>
      </c>
      <c r="AT115" s="270">
        <v>29</v>
      </c>
      <c r="AU115" s="464">
        <v>48.093116147257767</v>
      </c>
      <c r="AV115" s="29">
        <v>-1.2659435619088599</v>
      </c>
      <c r="AW115" s="29">
        <v>-0.52623108297866805</v>
      </c>
      <c r="AX115" s="29">
        <v>-0.75540487024948</v>
      </c>
      <c r="AY115" s="29">
        <v>-0.36687326629287698</v>
      </c>
      <c r="AZ115" s="60">
        <v>-1.1177505725186601</v>
      </c>
    </row>
    <row r="116" spans="1:52" s="287" customFormat="1" ht="15" customHeight="1">
      <c r="A116" s="172" t="s">
        <v>73</v>
      </c>
      <c r="B116" s="284">
        <v>2011</v>
      </c>
      <c r="C116" s="284" t="s">
        <v>48</v>
      </c>
      <c r="D116" s="314" t="s">
        <v>34</v>
      </c>
      <c r="E116" s="284" t="s">
        <v>19</v>
      </c>
      <c r="F116" s="315" t="s">
        <v>735</v>
      </c>
      <c r="G116" s="303">
        <f>1217*32.150743126506</f>
        <v>39127.454384957804</v>
      </c>
      <c r="H116" s="303"/>
      <c r="I116" s="303"/>
      <c r="J116" s="303"/>
      <c r="K116" s="284" t="s">
        <v>731</v>
      </c>
      <c r="L116" s="304">
        <f>35.22411666667/1</f>
        <v>35.22411666667</v>
      </c>
      <c r="M116" s="284" t="s">
        <v>732</v>
      </c>
      <c r="N116" s="284" t="s">
        <v>744</v>
      </c>
      <c r="O116" s="305">
        <f>G116*L116</f>
        <v>1378230.0181255622</v>
      </c>
      <c r="P116" s="320"/>
      <c r="Q116" s="320"/>
      <c r="R116" s="284"/>
      <c r="S116" s="284" t="s">
        <v>757</v>
      </c>
      <c r="T116" s="305">
        <v>160526.57329200301</v>
      </c>
      <c r="U116" s="284"/>
      <c r="V116" s="284"/>
      <c r="W116" s="307"/>
      <c r="X116" s="302"/>
      <c r="Y116" s="284"/>
      <c r="Z116" s="284"/>
      <c r="AA116" s="321"/>
      <c r="AB116" s="284"/>
      <c r="AC116" s="308">
        <v>23901723059.816406</v>
      </c>
      <c r="AD116" s="284">
        <v>65951627200.202614</v>
      </c>
      <c r="AE116" s="309">
        <v>0.36241293921771467</v>
      </c>
      <c r="AF116" s="284">
        <v>18478986425.22477</v>
      </c>
      <c r="AG116" s="310">
        <v>1.2934542246965084</v>
      </c>
      <c r="AH116" s="310">
        <v>0.87974208303451218</v>
      </c>
      <c r="AI116" s="284">
        <v>286410000</v>
      </c>
      <c r="AJ116" s="310">
        <v>83.452823085145099</v>
      </c>
      <c r="AK116" s="284">
        <v>712928960.36469805</v>
      </c>
      <c r="AL116" s="310">
        <v>33.526093606282323</v>
      </c>
      <c r="AM116" s="284">
        <v>1606344212.7390146</v>
      </c>
      <c r="AN116" s="311">
        <v>14.879577409539781</v>
      </c>
      <c r="AO116" s="284">
        <v>9173082</v>
      </c>
      <c r="AP116" s="284">
        <v>7.6</v>
      </c>
      <c r="AQ116" s="284">
        <v>70.551292682926842</v>
      </c>
      <c r="AR116" s="284">
        <v>32.4</v>
      </c>
      <c r="AS116" s="287">
        <v>87.268079999999998</v>
      </c>
      <c r="AT116" s="312">
        <v>29</v>
      </c>
      <c r="AU116" s="465">
        <v>48.093116147257767</v>
      </c>
      <c r="AV116" s="287">
        <v>-1.2659435619088599</v>
      </c>
      <c r="AW116" s="287">
        <v>-0.52623108297866805</v>
      </c>
      <c r="AX116" s="287">
        <v>-0.75540487024948</v>
      </c>
      <c r="AY116" s="287">
        <v>-0.36687326629287698</v>
      </c>
      <c r="AZ116" s="313">
        <v>-1.1177505725186601</v>
      </c>
    </row>
    <row r="117" spans="1:52" ht="15" customHeight="1">
      <c r="A117" s="35" t="s">
        <v>76</v>
      </c>
      <c r="B117" s="27">
        <v>2012</v>
      </c>
      <c r="C117" s="27" t="s">
        <v>48</v>
      </c>
      <c r="D117" s="39" t="s">
        <v>34</v>
      </c>
      <c r="E117" s="27" t="s">
        <v>30</v>
      </c>
      <c r="F117" s="41" t="s">
        <v>659</v>
      </c>
      <c r="G117" s="43"/>
      <c r="H117" s="43"/>
      <c r="I117" s="43"/>
      <c r="J117" s="43"/>
      <c r="K117" s="27"/>
      <c r="L117" s="28"/>
      <c r="M117" s="27"/>
      <c r="N117" s="27"/>
      <c r="O117" s="18">
        <f>O118+O121</f>
        <v>38643272028.813194</v>
      </c>
      <c r="P117" s="213">
        <f>21817488036.4+T121</f>
        <v>21826952015.597061</v>
      </c>
      <c r="Q117" s="213">
        <f>21810988036.4+T121</f>
        <v>21820452015.597061</v>
      </c>
      <c r="R117" s="27" t="s">
        <v>3693</v>
      </c>
      <c r="S117" s="27" t="s">
        <v>758</v>
      </c>
      <c r="T117" s="18">
        <f>T118+T121</f>
        <v>18694605180.19706</v>
      </c>
      <c r="U117" s="29" t="s">
        <v>702</v>
      </c>
      <c r="V117" s="27" t="s">
        <v>690</v>
      </c>
      <c r="W117" s="30">
        <v>0.79</v>
      </c>
      <c r="X117" s="53">
        <v>26</v>
      </c>
      <c r="Y117" s="27" t="s">
        <v>759</v>
      </c>
      <c r="Z117" s="27">
        <v>26</v>
      </c>
      <c r="AA117" s="54" t="s">
        <v>760</v>
      </c>
      <c r="AB117" s="27" t="s">
        <v>761</v>
      </c>
      <c r="AC117" s="273">
        <v>21826952015.575878</v>
      </c>
      <c r="AD117" s="27">
        <v>68730906313.64563</v>
      </c>
      <c r="AE117" s="228">
        <v>0.31757113627995942</v>
      </c>
      <c r="AF117" s="27">
        <v>19404109470.468433</v>
      </c>
      <c r="AG117" s="226">
        <v>1.1248623415980428</v>
      </c>
      <c r="AH117" s="226">
        <v>0.82394745302117356</v>
      </c>
      <c r="AI117" s="27">
        <v>337610000</v>
      </c>
      <c r="AJ117" s="226">
        <v>64.651378856005095</v>
      </c>
      <c r="AK117" s="27">
        <v>843595977.5967406</v>
      </c>
      <c r="AL117" s="226">
        <v>25.873703283599216</v>
      </c>
      <c r="AM117" s="27" t="s">
        <v>2842</v>
      </c>
      <c r="AN117" s="271" t="s">
        <v>2842</v>
      </c>
      <c r="AO117" s="27">
        <v>9295784</v>
      </c>
      <c r="AP117" s="27">
        <v>6</v>
      </c>
      <c r="AQ117" s="27">
        <v>70.624951219512212</v>
      </c>
      <c r="AR117" s="27">
        <v>31.1</v>
      </c>
      <c r="AS117" s="29">
        <v>89.278999999999996</v>
      </c>
      <c r="AT117" s="270">
        <v>29</v>
      </c>
      <c r="AU117" s="464">
        <v>48.093116147257767</v>
      </c>
      <c r="AV117" s="29">
        <v>-1.2614219475900701</v>
      </c>
      <c r="AW117" s="29">
        <v>-0.68701515765162102</v>
      </c>
      <c r="AX117" s="29">
        <v>-0.77809627870641895</v>
      </c>
      <c r="AY117" s="29">
        <v>-0.46929324870817302</v>
      </c>
      <c r="AZ117" s="60">
        <v>-1.0737569533471101</v>
      </c>
    </row>
    <row r="118" spans="1:52" ht="15" customHeight="1">
      <c r="A118" s="35" t="s">
        <v>76</v>
      </c>
      <c r="B118" s="27">
        <v>2012</v>
      </c>
      <c r="C118" s="27" t="s">
        <v>48</v>
      </c>
      <c r="D118" s="39" t="s">
        <v>34</v>
      </c>
      <c r="E118" s="27" t="s">
        <v>50</v>
      </c>
      <c r="F118" s="41" t="s">
        <v>597</v>
      </c>
      <c r="G118" s="43"/>
      <c r="H118" s="43"/>
      <c r="I118" s="43"/>
      <c r="J118" s="43"/>
      <c r="K118" s="27"/>
      <c r="L118" s="28"/>
      <c r="M118" s="27"/>
      <c r="N118" s="27"/>
      <c r="O118" s="18">
        <f>SUM(O119:O120)</f>
        <v>38558722363.32077</v>
      </c>
      <c r="P118" s="246"/>
      <c r="Q118" s="246"/>
      <c r="R118" s="27"/>
      <c r="S118" s="27" t="s">
        <v>762</v>
      </c>
      <c r="T118" s="18">
        <v>18685141201</v>
      </c>
      <c r="U118" s="27"/>
      <c r="V118" s="27"/>
      <c r="W118" s="30"/>
      <c r="X118" s="53"/>
      <c r="Y118" s="27"/>
      <c r="Z118" s="27"/>
      <c r="AA118" s="54"/>
      <c r="AB118" s="27"/>
      <c r="AC118" s="273">
        <v>21826952015.575878</v>
      </c>
      <c r="AD118" s="27">
        <v>68730906313.64563</v>
      </c>
      <c r="AE118" s="228">
        <v>0.31757113627995942</v>
      </c>
      <c r="AF118" s="27">
        <v>19404109470.468433</v>
      </c>
      <c r="AG118" s="226">
        <v>1.1248623415980428</v>
      </c>
      <c r="AH118" s="226">
        <v>0.82394745302117356</v>
      </c>
      <c r="AI118" s="27">
        <v>337610000</v>
      </c>
      <c r="AJ118" s="226">
        <v>64.651378856005095</v>
      </c>
      <c r="AK118" s="27">
        <v>843595977.5967406</v>
      </c>
      <c r="AL118" s="226">
        <v>25.873703283599216</v>
      </c>
      <c r="AM118" s="27" t="s">
        <v>2842</v>
      </c>
      <c r="AN118" s="271" t="s">
        <v>2842</v>
      </c>
      <c r="AO118" s="27">
        <v>9295784</v>
      </c>
      <c r="AP118" s="27">
        <v>6</v>
      </c>
      <c r="AQ118" s="27">
        <v>70.624951219512212</v>
      </c>
      <c r="AR118" s="27">
        <v>31.1</v>
      </c>
      <c r="AS118" s="29">
        <v>89.278999999999996</v>
      </c>
      <c r="AT118" s="270">
        <v>29</v>
      </c>
      <c r="AU118" s="464">
        <v>48.093116147257767</v>
      </c>
      <c r="AV118" s="29">
        <v>-1.2614219475900701</v>
      </c>
      <c r="AW118" s="29">
        <v>-0.68701515765162102</v>
      </c>
      <c r="AX118" s="29">
        <v>-0.77809627870641895</v>
      </c>
      <c r="AY118" s="29">
        <v>-0.46929324870817302</v>
      </c>
      <c r="AZ118" s="60">
        <v>-1.0737569533471101</v>
      </c>
    </row>
    <row r="119" spans="1:52" ht="15" customHeight="1">
      <c r="A119" s="35" t="s">
        <v>76</v>
      </c>
      <c r="B119" s="27">
        <v>2012</v>
      </c>
      <c r="C119" s="27" t="s">
        <v>48</v>
      </c>
      <c r="D119" s="39" t="s">
        <v>34</v>
      </c>
      <c r="E119" s="27" t="s">
        <v>552</v>
      </c>
      <c r="F119" s="41" t="s">
        <v>552</v>
      </c>
      <c r="G119" s="43">
        <v>15600000000</v>
      </c>
      <c r="H119" s="43"/>
      <c r="I119" s="43"/>
      <c r="J119" s="43"/>
      <c r="K119" s="27" t="s">
        <v>599</v>
      </c>
      <c r="L119" s="28">
        <v>0.18234125405902388</v>
      </c>
      <c r="M119" s="27" t="s">
        <v>600</v>
      </c>
      <c r="N119" s="27" t="s">
        <v>763</v>
      </c>
      <c r="O119" s="18">
        <f>G119*L119</f>
        <v>2844523563.3207726</v>
      </c>
      <c r="P119" s="245"/>
      <c r="Q119" s="214"/>
      <c r="R119" s="18"/>
      <c r="S119" s="27" t="s">
        <v>764</v>
      </c>
      <c r="T119" s="18">
        <v>641773201</v>
      </c>
      <c r="U119" s="27"/>
      <c r="V119" s="18"/>
      <c r="W119" s="30"/>
      <c r="X119" s="53"/>
      <c r="Y119" s="27"/>
      <c r="Z119" s="27"/>
      <c r="AA119" s="54"/>
      <c r="AB119" s="27"/>
      <c r="AC119" s="273">
        <v>21826952015.575878</v>
      </c>
      <c r="AD119" s="27">
        <v>68730906313.64563</v>
      </c>
      <c r="AE119" s="228">
        <v>0.31757113627995942</v>
      </c>
      <c r="AF119" s="27">
        <v>19404109470.468433</v>
      </c>
      <c r="AG119" s="226">
        <v>1.1248623415980428</v>
      </c>
      <c r="AH119" s="226">
        <v>0.82394745302117356</v>
      </c>
      <c r="AI119" s="27">
        <v>337610000</v>
      </c>
      <c r="AJ119" s="226">
        <v>64.651378856005095</v>
      </c>
      <c r="AK119" s="27">
        <v>843595977.5967406</v>
      </c>
      <c r="AL119" s="226">
        <v>25.873703283599216</v>
      </c>
      <c r="AM119" s="27" t="s">
        <v>2842</v>
      </c>
      <c r="AN119" s="271" t="s">
        <v>2842</v>
      </c>
      <c r="AO119" s="27">
        <v>9295784</v>
      </c>
      <c r="AP119" s="27">
        <v>6</v>
      </c>
      <c r="AQ119" s="27">
        <v>70.624951219512212</v>
      </c>
      <c r="AR119" s="27">
        <v>31.1</v>
      </c>
      <c r="AS119" s="29">
        <v>89.278999999999996</v>
      </c>
      <c r="AT119" s="270">
        <v>29</v>
      </c>
      <c r="AU119" s="464">
        <v>48.093116147257767</v>
      </c>
      <c r="AV119" s="29">
        <v>-1.2614219475900701</v>
      </c>
      <c r="AW119" s="29">
        <v>-0.68701515765162102</v>
      </c>
      <c r="AX119" s="29">
        <v>-0.77809627870641895</v>
      </c>
      <c r="AY119" s="29">
        <v>-0.46929324870817302</v>
      </c>
      <c r="AZ119" s="60">
        <v>-1.0737569533471101</v>
      </c>
    </row>
    <row r="120" spans="1:52" ht="15" customHeight="1">
      <c r="A120" s="35" t="s">
        <v>76</v>
      </c>
      <c r="B120" s="27">
        <v>2012</v>
      </c>
      <c r="C120" s="27" t="s">
        <v>48</v>
      </c>
      <c r="D120" s="39" t="s">
        <v>34</v>
      </c>
      <c r="E120" s="27" t="s">
        <v>98</v>
      </c>
      <c r="F120" s="41" t="s">
        <v>98</v>
      </c>
      <c r="G120" s="43">
        <v>318280000</v>
      </c>
      <c r="H120" s="43"/>
      <c r="I120" s="43"/>
      <c r="J120" s="43"/>
      <c r="K120" s="27" t="s">
        <v>603</v>
      </c>
      <c r="L120" s="28">
        <v>112.21</v>
      </c>
      <c r="M120" s="27" t="s">
        <v>626</v>
      </c>
      <c r="N120" s="27" t="s">
        <v>763</v>
      </c>
      <c r="O120" s="18">
        <f>G120*L120</f>
        <v>35714198800</v>
      </c>
      <c r="P120" s="214"/>
      <c r="Q120" s="214"/>
      <c r="R120" s="18"/>
      <c r="S120" s="27" t="s">
        <v>765</v>
      </c>
      <c r="T120" s="18">
        <v>18043368000</v>
      </c>
      <c r="U120" s="27"/>
      <c r="V120" s="18"/>
      <c r="W120" s="30"/>
      <c r="X120" s="53"/>
      <c r="Y120" s="27"/>
      <c r="Z120" s="27"/>
      <c r="AA120" s="54"/>
      <c r="AB120" s="27"/>
      <c r="AC120" s="273">
        <v>21826952015.575878</v>
      </c>
      <c r="AD120" s="27">
        <v>68730906313.64563</v>
      </c>
      <c r="AE120" s="228">
        <v>0.31757113627995942</v>
      </c>
      <c r="AF120" s="27">
        <v>19404109470.468433</v>
      </c>
      <c r="AG120" s="226">
        <v>1.1248623415980428</v>
      </c>
      <c r="AH120" s="226">
        <v>0.82394745302117356</v>
      </c>
      <c r="AI120" s="27">
        <v>337610000</v>
      </c>
      <c r="AJ120" s="226">
        <v>64.651378856005095</v>
      </c>
      <c r="AK120" s="27">
        <v>843595977.5967406</v>
      </c>
      <c r="AL120" s="226">
        <v>25.873703283599216</v>
      </c>
      <c r="AM120" s="27" t="s">
        <v>2842</v>
      </c>
      <c r="AN120" s="271" t="s">
        <v>2842</v>
      </c>
      <c r="AO120" s="27">
        <v>9295784</v>
      </c>
      <c r="AP120" s="27">
        <v>6</v>
      </c>
      <c r="AQ120" s="27">
        <v>70.624951219512212</v>
      </c>
      <c r="AR120" s="27">
        <v>31.1</v>
      </c>
      <c r="AS120" s="29">
        <v>89.278999999999996</v>
      </c>
      <c r="AT120" s="270">
        <v>29</v>
      </c>
      <c r="AU120" s="464">
        <v>48.093116147257767</v>
      </c>
      <c r="AV120" s="29">
        <v>-1.2614219475900701</v>
      </c>
      <c r="AW120" s="29">
        <v>-0.68701515765162102</v>
      </c>
      <c r="AX120" s="29">
        <v>-0.77809627870641895</v>
      </c>
      <c r="AY120" s="29">
        <v>-0.46929324870817302</v>
      </c>
      <c r="AZ120" s="60">
        <v>-1.0737569533471101</v>
      </c>
    </row>
    <row r="121" spans="1:52" ht="15" customHeight="1">
      <c r="A121" s="35" t="s">
        <v>76</v>
      </c>
      <c r="B121" s="27">
        <v>2012</v>
      </c>
      <c r="C121" s="27" t="s">
        <v>48</v>
      </c>
      <c r="D121" s="39" t="s">
        <v>34</v>
      </c>
      <c r="E121" s="27" t="s">
        <v>19</v>
      </c>
      <c r="F121" s="41" t="s">
        <v>559</v>
      </c>
      <c r="G121" s="43"/>
      <c r="H121" s="43"/>
      <c r="I121" s="43"/>
      <c r="J121" s="43"/>
      <c r="K121" s="27"/>
      <c r="L121" s="28"/>
      <c r="M121" s="27"/>
      <c r="N121" s="27"/>
      <c r="O121" s="18">
        <f>SUM(O122:O123)</f>
        <v>84549665.492422342</v>
      </c>
      <c r="P121" s="214"/>
      <c r="Q121" s="214"/>
      <c r="R121" s="18"/>
      <c r="S121" s="27" t="s">
        <v>766</v>
      </c>
      <c r="T121" s="18">
        <f>SUM(T122:T123)</f>
        <v>9463979.1970597226</v>
      </c>
      <c r="U121" s="27"/>
      <c r="V121" s="18"/>
      <c r="W121" s="30"/>
      <c r="X121" s="53"/>
      <c r="Y121" s="27"/>
      <c r="Z121" s="27"/>
      <c r="AA121" s="54"/>
      <c r="AB121" s="27"/>
      <c r="AC121" s="273">
        <v>21826952015.575878</v>
      </c>
      <c r="AD121" s="27">
        <v>68730906313.64563</v>
      </c>
      <c r="AE121" s="228">
        <v>0.31757113627995942</v>
      </c>
      <c r="AF121" s="27">
        <v>19404109470.468433</v>
      </c>
      <c r="AG121" s="226">
        <v>1.1248623415980428</v>
      </c>
      <c r="AH121" s="226">
        <v>0.82394745302117356</v>
      </c>
      <c r="AI121" s="27">
        <v>337610000</v>
      </c>
      <c r="AJ121" s="226">
        <v>64.651378856005095</v>
      </c>
      <c r="AK121" s="27">
        <v>843595977.5967406</v>
      </c>
      <c r="AL121" s="226">
        <v>25.873703283599216</v>
      </c>
      <c r="AM121" s="27" t="s">
        <v>2842</v>
      </c>
      <c r="AN121" s="271" t="s">
        <v>2842</v>
      </c>
      <c r="AO121" s="27">
        <v>9295784</v>
      </c>
      <c r="AP121" s="27">
        <v>6</v>
      </c>
      <c r="AQ121" s="27">
        <v>70.624951219512212</v>
      </c>
      <c r="AR121" s="27">
        <v>31.1</v>
      </c>
      <c r="AS121" s="29">
        <v>89.278999999999996</v>
      </c>
      <c r="AT121" s="270">
        <v>29</v>
      </c>
      <c r="AU121" s="464">
        <v>48.093116147257767</v>
      </c>
      <c r="AV121" s="29">
        <v>-1.2614219475900701</v>
      </c>
      <c r="AW121" s="29">
        <v>-0.68701515765162102</v>
      </c>
      <c r="AX121" s="29">
        <v>-0.77809627870641895</v>
      </c>
      <c r="AY121" s="29">
        <v>-0.46929324870817302</v>
      </c>
      <c r="AZ121" s="60">
        <v>-1.0737569533471101</v>
      </c>
    </row>
    <row r="122" spans="1:52" ht="15" customHeight="1">
      <c r="A122" s="35" t="s">
        <v>76</v>
      </c>
      <c r="B122" s="27">
        <v>2012</v>
      </c>
      <c r="C122" s="27" t="s">
        <v>48</v>
      </c>
      <c r="D122" s="39" t="s">
        <v>34</v>
      </c>
      <c r="E122" s="27" t="s">
        <v>19</v>
      </c>
      <c r="F122" s="41" t="s">
        <v>730</v>
      </c>
      <c r="G122" s="43">
        <f>1563*32.150743126506</f>
        <v>50251.611506728877</v>
      </c>
      <c r="H122" s="43"/>
      <c r="I122" s="43"/>
      <c r="J122" s="43"/>
      <c r="K122" s="27" t="s">
        <v>731</v>
      </c>
      <c r="L122" s="28">
        <v>1669.51766666667</v>
      </c>
      <c r="M122" s="27" t="s">
        <v>732</v>
      </c>
      <c r="N122" s="55" t="s">
        <v>733</v>
      </c>
      <c r="O122" s="18">
        <f>G122*L122</f>
        <v>83895953.188953981</v>
      </c>
      <c r="P122" s="214"/>
      <c r="Q122" s="214"/>
      <c r="R122" s="18"/>
      <c r="S122" s="27" t="s">
        <v>767</v>
      </c>
      <c r="T122" s="18">
        <v>9282344.3151817229</v>
      </c>
      <c r="U122" s="27"/>
      <c r="V122" s="18"/>
      <c r="W122" s="30"/>
      <c r="X122" s="53"/>
      <c r="Y122" s="27"/>
      <c r="Z122" s="27"/>
      <c r="AA122" s="54"/>
      <c r="AB122" s="27"/>
      <c r="AC122" s="273">
        <v>21826952015.575878</v>
      </c>
      <c r="AD122" s="27">
        <v>68730906313.64563</v>
      </c>
      <c r="AE122" s="228">
        <v>0.31757113627995942</v>
      </c>
      <c r="AF122" s="27">
        <v>19404109470.468433</v>
      </c>
      <c r="AG122" s="226">
        <v>1.1248623415980428</v>
      </c>
      <c r="AH122" s="226">
        <v>0.82394745302117356</v>
      </c>
      <c r="AI122" s="27">
        <v>337610000</v>
      </c>
      <c r="AJ122" s="226">
        <v>64.651378856005095</v>
      </c>
      <c r="AK122" s="27">
        <v>843595977.5967406</v>
      </c>
      <c r="AL122" s="226">
        <v>25.873703283599216</v>
      </c>
      <c r="AM122" s="27" t="s">
        <v>2842</v>
      </c>
      <c r="AN122" s="271" t="s">
        <v>2842</v>
      </c>
      <c r="AO122" s="27">
        <v>9295784</v>
      </c>
      <c r="AP122" s="27">
        <v>6</v>
      </c>
      <c r="AQ122" s="27">
        <v>70.624951219512212</v>
      </c>
      <c r="AR122" s="27">
        <v>31.1</v>
      </c>
      <c r="AS122" s="29">
        <v>89.278999999999996</v>
      </c>
      <c r="AT122" s="270">
        <v>29</v>
      </c>
      <c r="AU122" s="464">
        <v>48.093116147257767</v>
      </c>
      <c r="AV122" s="29">
        <v>-1.2614219475900701</v>
      </c>
      <c r="AW122" s="29">
        <v>-0.68701515765162102</v>
      </c>
      <c r="AX122" s="29">
        <v>-0.77809627870641895</v>
      </c>
      <c r="AY122" s="29">
        <v>-0.46929324870817302</v>
      </c>
      <c r="AZ122" s="60">
        <v>-1.0737569533471101</v>
      </c>
    </row>
    <row r="123" spans="1:52" s="232" customFormat="1" ht="15" customHeight="1" thickBot="1">
      <c r="A123" s="295" t="s">
        <v>76</v>
      </c>
      <c r="B123" s="230">
        <v>2012</v>
      </c>
      <c r="C123" s="230" t="s">
        <v>48</v>
      </c>
      <c r="D123" s="323" t="s">
        <v>34</v>
      </c>
      <c r="E123" s="230" t="s">
        <v>19</v>
      </c>
      <c r="F123" s="324" t="s">
        <v>735</v>
      </c>
      <c r="G123" s="297">
        <f>653*32.150743126506</f>
        <v>20994.435261608418</v>
      </c>
      <c r="H123" s="297"/>
      <c r="I123" s="297"/>
      <c r="J123" s="297"/>
      <c r="K123" s="230" t="s">
        <v>731</v>
      </c>
      <c r="L123" s="298">
        <f>31.13740833333/1</f>
        <v>31.137408333330001</v>
      </c>
      <c r="M123" s="230" t="s">
        <v>732</v>
      </c>
      <c r="N123" s="230" t="s">
        <v>744</v>
      </c>
      <c r="O123" s="285">
        <f>G123*L123</f>
        <v>653712.30346836313</v>
      </c>
      <c r="P123" s="325"/>
      <c r="Q123" s="325"/>
      <c r="R123" s="230"/>
      <c r="S123" s="230" t="s">
        <v>768</v>
      </c>
      <c r="T123" s="285">
        <v>181634.881877999</v>
      </c>
      <c r="U123" s="230"/>
      <c r="V123" s="230"/>
      <c r="W123" s="300"/>
      <c r="X123" s="296"/>
      <c r="Y123" s="230"/>
      <c r="Z123" s="230"/>
      <c r="AA123" s="326"/>
      <c r="AB123" s="230"/>
      <c r="AC123" s="274">
        <v>21826952015.575878</v>
      </c>
      <c r="AD123" s="230">
        <v>68730906313.64563</v>
      </c>
      <c r="AE123" s="229">
        <v>0.31757113627995942</v>
      </c>
      <c r="AF123" s="230">
        <v>19404109470.468433</v>
      </c>
      <c r="AG123" s="231">
        <v>1.1248623415980428</v>
      </c>
      <c r="AH123" s="231">
        <v>0.82394745302117356</v>
      </c>
      <c r="AI123" s="230">
        <v>337610000</v>
      </c>
      <c r="AJ123" s="231">
        <v>64.651378856005095</v>
      </c>
      <c r="AK123" s="230">
        <v>843595977.5967406</v>
      </c>
      <c r="AL123" s="231">
        <v>25.873703283599216</v>
      </c>
      <c r="AM123" s="230" t="s">
        <v>2842</v>
      </c>
      <c r="AN123" s="275" t="s">
        <v>2842</v>
      </c>
      <c r="AO123" s="230">
        <v>9295784</v>
      </c>
      <c r="AP123" s="230">
        <v>6</v>
      </c>
      <c r="AQ123" s="230">
        <v>70.624951219512212</v>
      </c>
      <c r="AR123" s="230">
        <v>31.1</v>
      </c>
      <c r="AS123" s="232">
        <v>89.278999999999996</v>
      </c>
      <c r="AT123" s="276">
        <v>29</v>
      </c>
      <c r="AU123" s="466">
        <v>48.093116147257767</v>
      </c>
      <c r="AV123" s="232">
        <v>-1.2614219475900701</v>
      </c>
      <c r="AW123" s="232">
        <v>-0.68701515765162102</v>
      </c>
      <c r="AX123" s="232">
        <v>-0.77809627870641895</v>
      </c>
      <c r="AY123" s="232">
        <v>-0.46929324870817302</v>
      </c>
      <c r="AZ123" s="293">
        <v>-1.0737569533471101</v>
      </c>
    </row>
    <row r="124" spans="1:52" s="66" customFormat="1" ht="15" customHeight="1">
      <c r="A124" s="82" t="s">
        <v>79</v>
      </c>
      <c r="B124" s="77">
        <v>2008</v>
      </c>
      <c r="C124" s="77" t="s">
        <v>93</v>
      </c>
      <c r="D124" s="77" t="s">
        <v>81</v>
      </c>
      <c r="E124" s="77" t="s">
        <v>19</v>
      </c>
      <c r="F124" s="327" t="s">
        <v>730</v>
      </c>
      <c r="G124" s="182"/>
      <c r="H124" s="182">
        <v>30700</v>
      </c>
      <c r="I124" s="182"/>
      <c r="J124" s="182"/>
      <c r="K124" s="77" t="s">
        <v>731</v>
      </c>
      <c r="L124" s="83">
        <v>836</v>
      </c>
      <c r="M124" s="77" t="s">
        <v>732</v>
      </c>
      <c r="N124" s="77" t="s">
        <v>770</v>
      </c>
      <c r="O124" s="84">
        <f>H124*L124</f>
        <v>25665200</v>
      </c>
      <c r="P124" s="248">
        <f>1677550568/439.16</f>
        <v>3819907.477912378</v>
      </c>
      <c r="Q124" s="248">
        <v>3534509.260861645</v>
      </c>
      <c r="R124" s="77" t="s">
        <v>619</v>
      </c>
      <c r="S124" s="77"/>
      <c r="T124" s="84"/>
      <c r="U124" s="77" t="s">
        <v>771</v>
      </c>
      <c r="V124" s="77"/>
      <c r="W124" s="85">
        <v>439.16</v>
      </c>
      <c r="Y124" s="77" t="s">
        <v>772</v>
      </c>
      <c r="Z124" s="77">
        <v>1</v>
      </c>
      <c r="AA124" s="77"/>
      <c r="AB124" s="77" t="s">
        <v>774</v>
      </c>
      <c r="AC124" s="328">
        <v>3746160.96432199</v>
      </c>
      <c r="AD124" s="77">
        <v>8350710389.3123074</v>
      </c>
      <c r="AE124" s="233">
        <v>4.4860386597965729E-4</v>
      </c>
      <c r="AF124" s="77">
        <v>1485257349.843087</v>
      </c>
      <c r="AG124" s="234">
        <v>2.5222302146612912E-3</v>
      </c>
      <c r="AH124" s="234">
        <v>2.7001832381436221E-3</v>
      </c>
      <c r="AI124" s="77">
        <v>1001160000</v>
      </c>
      <c r="AJ124" s="234">
        <v>3.7418204525969776E-3</v>
      </c>
      <c r="AK124" s="77">
        <v>422968823.80475426</v>
      </c>
      <c r="AL124" s="234">
        <v>8.8568252634412779E-3</v>
      </c>
      <c r="AM124" s="77" t="s">
        <v>2842</v>
      </c>
      <c r="AN124" s="329" t="s">
        <v>2842</v>
      </c>
      <c r="AO124" s="77">
        <v>14659646</v>
      </c>
      <c r="AP124" s="77" t="s">
        <v>2842</v>
      </c>
      <c r="AQ124" s="77">
        <v>54.094195121951223</v>
      </c>
      <c r="AR124" s="77">
        <v>76</v>
      </c>
      <c r="AS124" s="66">
        <v>61.005960000000002</v>
      </c>
      <c r="AT124" s="330">
        <v>38</v>
      </c>
      <c r="AU124" s="467" t="s">
        <v>2842</v>
      </c>
      <c r="AV124" s="66">
        <v>-0.32039984365782598</v>
      </c>
      <c r="AW124" s="66">
        <v>9.6509614616367798E-2</v>
      </c>
      <c r="AX124" s="66">
        <v>-0.46605870146327699</v>
      </c>
      <c r="AY124" s="66">
        <v>-0.174582172741268</v>
      </c>
      <c r="AZ124" s="331">
        <v>-0.32813469454549499</v>
      </c>
    </row>
    <row r="125" spans="1:52" s="238" customFormat="1" ht="15" customHeight="1">
      <c r="A125" s="333" t="s">
        <v>84</v>
      </c>
      <c r="B125" s="236">
        <v>2009</v>
      </c>
      <c r="C125" s="236" t="s">
        <v>93</v>
      </c>
      <c r="D125" s="236" t="s">
        <v>81</v>
      </c>
      <c r="E125" s="236" t="s">
        <v>19</v>
      </c>
      <c r="F125" s="334" t="s">
        <v>730</v>
      </c>
      <c r="G125" s="335"/>
      <c r="H125" s="335">
        <f>99500+65601+54430.62+153543</f>
        <v>373074.62</v>
      </c>
      <c r="I125" s="335"/>
      <c r="J125" s="335"/>
      <c r="K125" s="236" t="s">
        <v>731</v>
      </c>
      <c r="L125" s="336">
        <v>936</v>
      </c>
      <c r="M125" s="236" t="s">
        <v>732</v>
      </c>
      <c r="N125" s="236" t="s">
        <v>775</v>
      </c>
      <c r="O125" s="337">
        <f>H125*L125</f>
        <v>349197844.31999999</v>
      </c>
      <c r="P125" s="338">
        <v>23106501.168264665</v>
      </c>
      <c r="Q125" s="338">
        <v>27534866.675304484</v>
      </c>
      <c r="R125" s="236" t="s">
        <v>619</v>
      </c>
      <c r="S125" s="236"/>
      <c r="T125" s="337"/>
      <c r="U125" s="236" t="s">
        <v>771</v>
      </c>
      <c r="V125" s="236"/>
      <c r="W125" s="339">
        <v>463.08</v>
      </c>
      <c r="Y125" s="236" t="s">
        <v>776</v>
      </c>
      <c r="Z125" s="236">
        <v>4</v>
      </c>
      <c r="AA125" s="236"/>
      <c r="AB125" s="236"/>
      <c r="AC125" s="340">
        <v>22698094.711444009</v>
      </c>
      <c r="AD125" s="236">
        <v>8348156389.0769367</v>
      </c>
      <c r="AE125" s="235">
        <v>2.7189350143395864E-3</v>
      </c>
      <c r="AF125" s="236">
        <v>1508678822.6339839</v>
      </c>
      <c r="AG125" s="237">
        <v>1.5045014466243838E-2</v>
      </c>
      <c r="AH125" s="237">
        <v>5.68320098853439E-3</v>
      </c>
      <c r="AI125" s="236">
        <v>1082820000</v>
      </c>
      <c r="AJ125" s="237">
        <v>2.0962020198596266E-2</v>
      </c>
      <c r="AK125" s="236">
        <v>300129643.42697871</v>
      </c>
      <c r="AL125" s="237">
        <v>7.5627633619490958E-2</v>
      </c>
      <c r="AM125" s="236" t="s">
        <v>2842</v>
      </c>
      <c r="AN125" s="341" t="s">
        <v>2842</v>
      </c>
      <c r="AO125" s="236">
        <v>15094967</v>
      </c>
      <c r="AP125" s="236">
        <v>46.7</v>
      </c>
      <c r="AQ125" s="236">
        <v>54.55768292682928</v>
      </c>
      <c r="AR125" s="236">
        <v>72.8</v>
      </c>
      <c r="AS125" s="238">
        <v>63.94896</v>
      </c>
      <c r="AT125" s="342">
        <v>38</v>
      </c>
      <c r="AU125" s="468" t="s">
        <v>2842</v>
      </c>
      <c r="AV125" s="238">
        <v>-0.31541443073540698</v>
      </c>
      <c r="AW125" s="238">
        <v>1.49903608102732E-2</v>
      </c>
      <c r="AX125" s="238">
        <v>-0.58295663304072698</v>
      </c>
      <c r="AY125" s="238">
        <v>-8.8949113075699707E-2</v>
      </c>
      <c r="AZ125" s="343">
        <v>-0.38107729593023998</v>
      </c>
    </row>
    <row r="126" spans="1:52" s="29" customFormat="1" ht="15" customHeight="1">
      <c r="A126" s="332" t="s">
        <v>86</v>
      </c>
      <c r="B126" s="27">
        <v>2010</v>
      </c>
      <c r="C126" s="27" t="s">
        <v>93</v>
      </c>
      <c r="D126" s="27" t="s">
        <v>81</v>
      </c>
      <c r="E126" s="27" t="s">
        <v>19</v>
      </c>
      <c r="F126" s="41" t="s">
        <v>659</v>
      </c>
      <c r="G126" s="43"/>
      <c r="H126" s="43"/>
      <c r="I126" s="43"/>
      <c r="J126" s="43"/>
      <c r="K126" s="27"/>
      <c r="L126" s="28"/>
      <c r="M126" s="27"/>
      <c r="N126" s="27"/>
      <c r="O126" s="18">
        <f>SUM(O127:O131)</f>
        <v>830659887.8585</v>
      </c>
      <c r="P126" s="213">
        <v>47170416</v>
      </c>
      <c r="Q126" s="213">
        <v>46949862</v>
      </c>
      <c r="R126" s="27" t="s">
        <v>619</v>
      </c>
      <c r="S126" s="27"/>
      <c r="T126" s="18"/>
      <c r="U126" s="27" t="s">
        <v>777</v>
      </c>
      <c r="V126" s="27" t="s">
        <v>778</v>
      </c>
      <c r="W126" s="30">
        <v>486.41</v>
      </c>
      <c r="X126" s="27">
        <v>9</v>
      </c>
      <c r="Y126" s="27" t="s">
        <v>779</v>
      </c>
      <c r="Z126" s="27">
        <v>9</v>
      </c>
      <c r="AA126" s="27">
        <v>19</v>
      </c>
      <c r="AB126" s="27" t="s">
        <v>781</v>
      </c>
      <c r="AC126" s="273">
        <v>47170416</v>
      </c>
      <c r="AD126" s="27">
        <v>9209288383.0871105</v>
      </c>
      <c r="AE126" s="228">
        <v>5.1220478757760075E-3</v>
      </c>
      <c r="AF126" s="27">
        <v>1587128759.9412327</v>
      </c>
      <c r="AG126" s="226">
        <v>2.972059809548571E-2</v>
      </c>
      <c r="AH126" s="226">
        <v>1.4297768607115346E-2</v>
      </c>
      <c r="AI126" s="27">
        <v>1062339999.9999999</v>
      </c>
      <c r="AJ126" s="226">
        <v>4.4402372121919539E-2</v>
      </c>
      <c r="AK126" s="27">
        <v>375387427.53501678</v>
      </c>
      <c r="AL126" s="226">
        <v>0.12565795372994976</v>
      </c>
      <c r="AM126" s="27">
        <v>353716794.71947789</v>
      </c>
      <c r="AN126" s="271">
        <v>0.13335644986099524</v>
      </c>
      <c r="AO126" s="27">
        <v>15540284</v>
      </c>
      <c r="AP126" s="27" t="s">
        <v>2842</v>
      </c>
      <c r="AQ126" s="27">
        <v>55.006756097560981</v>
      </c>
      <c r="AR126" s="27">
        <v>70</v>
      </c>
      <c r="AS126" s="29">
        <v>60.47345</v>
      </c>
      <c r="AT126" s="270">
        <v>38</v>
      </c>
      <c r="AU126" s="464" t="s">
        <v>2842</v>
      </c>
      <c r="AV126" s="29">
        <v>-0.27747271998626299</v>
      </c>
      <c r="AW126" s="29">
        <v>-0.147422711271252</v>
      </c>
      <c r="AX126" s="29">
        <v>-0.56076503759166096</v>
      </c>
      <c r="AY126" s="29">
        <v>-0.13907055862802301</v>
      </c>
      <c r="AZ126" s="60">
        <v>-0.38862232467318197</v>
      </c>
    </row>
    <row r="127" spans="1:52" s="29" customFormat="1" ht="15" customHeight="1">
      <c r="A127" s="59" t="s">
        <v>86</v>
      </c>
      <c r="B127" s="27">
        <v>2010</v>
      </c>
      <c r="C127" s="27" t="s">
        <v>93</v>
      </c>
      <c r="D127" s="27" t="s">
        <v>81</v>
      </c>
      <c r="E127" s="27" t="s">
        <v>19</v>
      </c>
      <c r="F127" s="41" t="s">
        <v>730</v>
      </c>
      <c r="G127" s="43">
        <f>22939*32.150743126506</f>
        <v>737505.89657892112</v>
      </c>
      <c r="H127" s="43">
        <v>677802</v>
      </c>
      <c r="I127" s="43"/>
      <c r="J127" s="43"/>
      <c r="K127" s="27" t="s">
        <v>731</v>
      </c>
      <c r="L127" s="28">
        <v>1224.66425</v>
      </c>
      <c r="M127" s="27" t="s">
        <v>732</v>
      </c>
      <c r="N127" s="27" t="s">
        <v>782</v>
      </c>
      <c r="O127" s="18">
        <f>H127*L127</f>
        <v>830079877.97850001</v>
      </c>
      <c r="P127" s="213">
        <v>47058992.602948129</v>
      </c>
      <c r="Q127" s="213">
        <v>46838542.653317161</v>
      </c>
      <c r="R127" s="27"/>
      <c r="S127" s="27"/>
      <c r="T127" s="18"/>
      <c r="U127" s="27"/>
      <c r="V127" s="27"/>
      <c r="W127" s="30"/>
      <c r="Y127" s="27"/>
      <c r="Z127" s="27"/>
      <c r="AA127" s="27"/>
      <c r="AB127" s="29" t="s">
        <v>783</v>
      </c>
      <c r="AC127" s="273">
        <v>47170416</v>
      </c>
      <c r="AD127" s="27">
        <v>9209288383.0871105</v>
      </c>
      <c r="AE127" s="228">
        <v>5.1220478757760075E-3</v>
      </c>
      <c r="AF127" s="27">
        <v>1587128759.9412327</v>
      </c>
      <c r="AG127" s="226">
        <v>2.972059809548571E-2</v>
      </c>
      <c r="AH127" s="226">
        <v>1.4297768607115346E-2</v>
      </c>
      <c r="AI127" s="27">
        <v>1062339999.9999999</v>
      </c>
      <c r="AJ127" s="226">
        <v>4.4402372121919539E-2</v>
      </c>
      <c r="AK127" s="27">
        <v>375387427.53501678</v>
      </c>
      <c r="AL127" s="226">
        <v>0.12565795372994976</v>
      </c>
      <c r="AM127" s="27">
        <v>353716794.71947789</v>
      </c>
      <c r="AN127" s="271">
        <v>0.13335644986099524</v>
      </c>
      <c r="AO127" s="27">
        <v>15540284</v>
      </c>
      <c r="AP127" s="27" t="s">
        <v>2842</v>
      </c>
      <c r="AQ127" s="27">
        <v>55.006756097560981</v>
      </c>
      <c r="AR127" s="27">
        <v>70</v>
      </c>
      <c r="AS127" s="29">
        <v>60.47345</v>
      </c>
      <c r="AT127" s="270">
        <v>38</v>
      </c>
      <c r="AU127" s="464" t="s">
        <v>2842</v>
      </c>
      <c r="AV127" s="29">
        <v>-0.27747271998626299</v>
      </c>
      <c r="AW127" s="29">
        <v>-0.147422711271252</v>
      </c>
      <c r="AX127" s="29">
        <v>-0.56076503759166096</v>
      </c>
      <c r="AY127" s="29">
        <v>-0.13907055862802301</v>
      </c>
      <c r="AZ127" s="60">
        <v>-0.38862232467318197</v>
      </c>
    </row>
    <row r="128" spans="1:52" s="29" customFormat="1" ht="15" customHeight="1">
      <c r="A128" s="59" t="s">
        <v>86</v>
      </c>
      <c r="B128" s="27">
        <v>2010</v>
      </c>
      <c r="C128" s="27" t="s">
        <v>93</v>
      </c>
      <c r="D128" s="27" t="s">
        <v>81</v>
      </c>
      <c r="E128" s="27" t="s">
        <v>19</v>
      </c>
      <c r="F128" s="41" t="s">
        <v>784</v>
      </c>
      <c r="G128" s="43"/>
      <c r="H128" s="197">
        <v>60167</v>
      </c>
      <c r="I128" s="197"/>
      <c r="J128" s="197"/>
      <c r="K128" s="27" t="s">
        <v>567</v>
      </c>
      <c r="L128" s="28">
        <v>9.64</v>
      </c>
      <c r="M128" s="27" t="s">
        <v>568</v>
      </c>
      <c r="N128" s="27" t="s">
        <v>785</v>
      </c>
      <c r="O128" s="18">
        <f>H128*L128</f>
        <v>580009.88</v>
      </c>
      <c r="P128" s="213">
        <v>104904.98345017577</v>
      </c>
      <c r="Q128" s="213">
        <v>104904.98345017577</v>
      </c>
      <c r="R128" s="27"/>
      <c r="S128" s="27"/>
      <c r="T128" s="18"/>
      <c r="U128" s="27"/>
      <c r="V128" s="27"/>
      <c r="W128" s="30"/>
      <c r="Y128" s="27"/>
      <c r="Z128" s="27"/>
      <c r="AA128" s="27"/>
      <c r="AB128" s="27" t="s">
        <v>786</v>
      </c>
      <c r="AC128" s="273">
        <v>47170416</v>
      </c>
      <c r="AD128" s="27">
        <v>9209288383.0871105</v>
      </c>
      <c r="AE128" s="228">
        <v>5.1220478757760075E-3</v>
      </c>
      <c r="AF128" s="27">
        <v>1587128759.9412327</v>
      </c>
      <c r="AG128" s="226">
        <v>2.972059809548571E-2</v>
      </c>
      <c r="AH128" s="226">
        <v>1.4297768607115346E-2</v>
      </c>
      <c r="AI128" s="27">
        <v>1062339999.9999999</v>
      </c>
      <c r="AJ128" s="226">
        <v>4.4402372121919539E-2</v>
      </c>
      <c r="AK128" s="27">
        <v>375387427.53501678</v>
      </c>
      <c r="AL128" s="226">
        <v>0.12565795372994976</v>
      </c>
      <c r="AM128" s="27">
        <v>353716794.71947789</v>
      </c>
      <c r="AN128" s="271">
        <v>0.13335644986099524</v>
      </c>
      <c r="AO128" s="27">
        <v>15540284</v>
      </c>
      <c r="AP128" s="27" t="s">
        <v>2842</v>
      </c>
      <c r="AQ128" s="27">
        <v>55.006756097560981</v>
      </c>
      <c r="AR128" s="27">
        <v>70</v>
      </c>
      <c r="AS128" s="29">
        <v>60.47345</v>
      </c>
      <c r="AT128" s="270">
        <v>38</v>
      </c>
      <c r="AU128" s="464" t="s">
        <v>2842</v>
      </c>
      <c r="AV128" s="29">
        <v>-0.27747271998626299</v>
      </c>
      <c r="AW128" s="29">
        <v>-0.147422711271252</v>
      </c>
      <c r="AX128" s="29">
        <v>-0.56076503759166096</v>
      </c>
      <c r="AY128" s="29">
        <v>-0.13907055862802301</v>
      </c>
      <c r="AZ128" s="60">
        <v>-0.38862232467318197</v>
      </c>
    </row>
    <row r="129" spans="1:52" s="29" customFormat="1" ht="15" customHeight="1">
      <c r="A129" s="59" t="s">
        <v>86</v>
      </c>
      <c r="B129" s="27">
        <v>2010</v>
      </c>
      <c r="C129" s="27" t="s">
        <v>93</v>
      </c>
      <c r="D129" s="27" t="s">
        <v>81</v>
      </c>
      <c r="E129" s="27" t="s">
        <v>19</v>
      </c>
      <c r="F129" s="41" t="s">
        <v>787</v>
      </c>
      <c r="G129" s="43">
        <v>57355</v>
      </c>
      <c r="H129" s="43"/>
      <c r="I129" s="43"/>
      <c r="J129" s="43"/>
      <c r="K129" s="27" t="s">
        <v>567</v>
      </c>
      <c r="L129" s="28"/>
      <c r="M129" s="27"/>
      <c r="N129" s="27" t="s">
        <v>788</v>
      </c>
      <c r="O129" s="18"/>
      <c r="P129" s="244"/>
      <c r="Q129" s="244"/>
      <c r="R129" s="27"/>
      <c r="S129" s="27"/>
      <c r="T129" s="18"/>
      <c r="U129" s="27"/>
      <c r="V129" s="27"/>
      <c r="W129" s="30"/>
      <c r="Y129" s="27"/>
      <c r="Z129" s="27"/>
      <c r="AA129" s="27"/>
      <c r="AB129" s="27"/>
      <c r="AC129" s="273">
        <v>47170416</v>
      </c>
      <c r="AD129" s="27">
        <v>9209288383.0871105</v>
      </c>
      <c r="AE129" s="228">
        <v>5.1220478757760075E-3</v>
      </c>
      <c r="AF129" s="27">
        <v>1587128759.9412327</v>
      </c>
      <c r="AG129" s="226">
        <v>2.972059809548571E-2</v>
      </c>
      <c r="AH129" s="226">
        <v>1.4297768607115346E-2</v>
      </c>
      <c r="AI129" s="27">
        <v>1062339999.9999999</v>
      </c>
      <c r="AJ129" s="226">
        <v>4.4402372121919539E-2</v>
      </c>
      <c r="AK129" s="27">
        <v>375387427.53501678</v>
      </c>
      <c r="AL129" s="226">
        <v>0.12565795372994976</v>
      </c>
      <c r="AM129" s="27">
        <v>353716794.71947789</v>
      </c>
      <c r="AN129" s="271">
        <v>0.13335644986099524</v>
      </c>
      <c r="AO129" s="27">
        <v>15540284</v>
      </c>
      <c r="AP129" s="27" t="s">
        <v>2842</v>
      </c>
      <c r="AQ129" s="27">
        <v>55.006756097560981</v>
      </c>
      <c r="AR129" s="27">
        <v>70</v>
      </c>
      <c r="AS129" s="29">
        <v>60.47345</v>
      </c>
      <c r="AT129" s="270">
        <v>38</v>
      </c>
      <c r="AU129" s="464" t="s">
        <v>2842</v>
      </c>
      <c r="AV129" s="29">
        <v>-0.27747271998626299</v>
      </c>
      <c r="AW129" s="29">
        <v>-0.147422711271252</v>
      </c>
      <c r="AX129" s="29">
        <v>-0.56076503759166096</v>
      </c>
      <c r="AY129" s="29">
        <v>-0.13907055862802301</v>
      </c>
      <c r="AZ129" s="60">
        <v>-0.38862232467318197</v>
      </c>
    </row>
    <row r="130" spans="1:52" s="29" customFormat="1" ht="15" customHeight="1">
      <c r="A130" s="59" t="s">
        <v>86</v>
      </c>
      <c r="B130" s="27">
        <v>2010</v>
      </c>
      <c r="C130" s="27" t="s">
        <v>93</v>
      </c>
      <c r="D130" s="27" t="s">
        <v>81</v>
      </c>
      <c r="E130" s="27" t="s">
        <v>19</v>
      </c>
      <c r="F130" s="41" t="s">
        <v>789</v>
      </c>
      <c r="G130" s="43">
        <v>25800</v>
      </c>
      <c r="H130" s="43"/>
      <c r="I130" s="43"/>
      <c r="J130" s="43"/>
      <c r="K130" s="27" t="s">
        <v>567</v>
      </c>
      <c r="L130" s="28"/>
      <c r="M130" s="27"/>
      <c r="N130" s="27" t="s">
        <v>788</v>
      </c>
      <c r="O130" s="18"/>
      <c r="P130" s="244"/>
      <c r="Q130" s="244"/>
      <c r="R130" s="27"/>
      <c r="S130" s="27"/>
      <c r="T130" s="18"/>
      <c r="U130" s="27"/>
      <c r="V130" s="27"/>
      <c r="W130" s="30"/>
      <c r="Y130" s="27"/>
      <c r="Z130" s="27"/>
      <c r="AA130" s="27"/>
      <c r="AB130" s="27"/>
      <c r="AC130" s="273">
        <v>47170416</v>
      </c>
      <c r="AD130" s="27">
        <v>9209288383.0871105</v>
      </c>
      <c r="AE130" s="228">
        <v>5.1220478757760075E-3</v>
      </c>
      <c r="AF130" s="27">
        <v>1587128759.9412327</v>
      </c>
      <c r="AG130" s="226">
        <v>2.972059809548571E-2</v>
      </c>
      <c r="AH130" s="226">
        <v>1.4297768607115346E-2</v>
      </c>
      <c r="AI130" s="27">
        <v>1062339999.9999999</v>
      </c>
      <c r="AJ130" s="226">
        <v>4.4402372121919539E-2</v>
      </c>
      <c r="AK130" s="27">
        <v>375387427.53501678</v>
      </c>
      <c r="AL130" s="226">
        <v>0.12565795372994976</v>
      </c>
      <c r="AM130" s="27">
        <v>353716794.71947789</v>
      </c>
      <c r="AN130" s="271">
        <v>0.13335644986099524</v>
      </c>
      <c r="AO130" s="27">
        <v>15540284</v>
      </c>
      <c r="AP130" s="27" t="s">
        <v>2842</v>
      </c>
      <c r="AQ130" s="27">
        <v>55.006756097560981</v>
      </c>
      <c r="AR130" s="27">
        <v>70</v>
      </c>
      <c r="AS130" s="29">
        <v>60.47345</v>
      </c>
      <c r="AT130" s="270">
        <v>38</v>
      </c>
      <c r="AU130" s="464" t="s">
        <v>2842</v>
      </c>
      <c r="AV130" s="29">
        <v>-0.27747271998626299</v>
      </c>
      <c r="AW130" s="29">
        <v>-0.147422711271252</v>
      </c>
      <c r="AX130" s="29">
        <v>-0.56076503759166096</v>
      </c>
      <c r="AY130" s="29">
        <v>-0.13907055862802301</v>
      </c>
      <c r="AZ130" s="60">
        <v>-0.38862232467318197</v>
      </c>
    </row>
    <row r="131" spans="1:52" s="287" customFormat="1" ht="15" customHeight="1">
      <c r="A131" s="344" t="s">
        <v>86</v>
      </c>
      <c r="B131" s="284">
        <v>2010</v>
      </c>
      <c r="C131" s="284" t="s">
        <v>93</v>
      </c>
      <c r="D131" s="284" t="s">
        <v>81</v>
      </c>
      <c r="E131" s="284" t="s">
        <v>19</v>
      </c>
      <c r="F131" s="315" t="s">
        <v>790</v>
      </c>
      <c r="G131" s="303"/>
      <c r="H131" s="303">
        <v>0</v>
      </c>
      <c r="I131" s="303"/>
      <c r="J131" s="303"/>
      <c r="K131" s="284" t="s">
        <v>567</v>
      </c>
      <c r="L131" s="304"/>
      <c r="M131" s="284"/>
      <c r="N131" s="305"/>
      <c r="O131" s="284"/>
      <c r="P131" s="306">
        <v>6518.4309533109927</v>
      </c>
      <c r="Q131" s="306">
        <v>6414.3418104068578</v>
      </c>
      <c r="R131" s="284"/>
      <c r="S131" s="284"/>
      <c r="T131" s="305"/>
      <c r="U131" s="284"/>
      <c r="V131" s="284"/>
      <c r="W131" s="345"/>
      <c r="X131" s="284"/>
      <c r="Y131" s="284"/>
      <c r="Z131" s="284"/>
      <c r="AB131" s="284" t="s">
        <v>791</v>
      </c>
      <c r="AC131" s="308">
        <v>47170416</v>
      </c>
      <c r="AD131" s="284">
        <v>9209288383.0871105</v>
      </c>
      <c r="AE131" s="309">
        <v>5.1220478757760075E-3</v>
      </c>
      <c r="AF131" s="284">
        <v>1587128759.9412327</v>
      </c>
      <c r="AG131" s="310">
        <v>2.972059809548571E-2</v>
      </c>
      <c r="AH131" s="310">
        <v>1.4297768607115346E-2</v>
      </c>
      <c r="AI131" s="284">
        <v>1062339999.9999999</v>
      </c>
      <c r="AJ131" s="310">
        <v>4.4402372121919539E-2</v>
      </c>
      <c r="AK131" s="284">
        <v>375387427.53501678</v>
      </c>
      <c r="AL131" s="310">
        <v>0.12565795372994976</v>
      </c>
      <c r="AM131" s="284">
        <v>353716794.71947789</v>
      </c>
      <c r="AN131" s="311">
        <v>0.13335644986099524</v>
      </c>
      <c r="AO131" s="284">
        <v>15540284</v>
      </c>
      <c r="AP131" s="284" t="s">
        <v>2842</v>
      </c>
      <c r="AQ131" s="284">
        <v>55.006756097560981</v>
      </c>
      <c r="AR131" s="284">
        <v>70</v>
      </c>
      <c r="AS131" s="287">
        <v>60.47345</v>
      </c>
      <c r="AT131" s="312">
        <v>38</v>
      </c>
      <c r="AU131" s="465" t="s">
        <v>2842</v>
      </c>
      <c r="AV131" s="287">
        <v>-0.27747271998626299</v>
      </c>
      <c r="AW131" s="287">
        <v>-0.147422711271252</v>
      </c>
      <c r="AX131" s="287">
        <v>-0.56076503759166096</v>
      </c>
      <c r="AY131" s="287">
        <v>-0.13907055862802301</v>
      </c>
      <c r="AZ131" s="313">
        <v>-0.38862232467318197</v>
      </c>
    </row>
    <row r="132" spans="1:52" ht="15" customHeight="1">
      <c r="A132" s="59" t="s">
        <v>89</v>
      </c>
      <c r="B132" s="27">
        <v>2011</v>
      </c>
      <c r="C132" s="27" t="s">
        <v>93</v>
      </c>
      <c r="D132" s="27" t="s">
        <v>81</v>
      </c>
      <c r="E132" s="27" t="s">
        <v>19</v>
      </c>
      <c r="F132" s="41" t="s">
        <v>659</v>
      </c>
      <c r="G132" s="43"/>
      <c r="H132" s="43"/>
      <c r="I132" s="43"/>
      <c r="J132" s="43"/>
      <c r="K132" s="27"/>
      <c r="L132" s="28"/>
      <c r="M132" s="27"/>
      <c r="N132" s="27"/>
      <c r="O132" s="18">
        <f>SUM(O133:O137)</f>
        <v>1574992826.7458298</v>
      </c>
      <c r="P132" s="213">
        <v>236414921.89335009</v>
      </c>
      <c r="Q132" s="213">
        <v>238824617.91727158</v>
      </c>
      <c r="R132" s="27" t="s">
        <v>3746</v>
      </c>
      <c r="S132" s="18" t="s">
        <v>792</v>
      </c>
      <c r="T132" s="61">
        <f>645892142/W132</f>
        <v>1399519.2780221447</v>
      </c>
      <c r="U132" s="27" t="s">
        <v>777</v>
      </c>
      <c r="V132" s="27" t="s">
        <v>778</v>
      </c>
      <c r="W132" s="30">
        <v>461.51</v>
      </c>
      <c r="X132" s="27">
        <v>18</v>
      </c>
      <c r="Y132" s="27" t="s">
        <v>793</v>
      </c>
      <c r="Z132" s="27">
        <v>18</v>
      </c>
      <c r="AA132" s="27" t="s">
        <v>795</v>
      </c>
      <c r="AB132" s="27" t="s">
        <v>796</v>
      </c>
      <c r="AC132" s="273">
        <v>236414921.89335009</v>
      </c>
      <c r="AD132" s="27">
        <v>10395757480.230143</v>
      </c>
      <c r="AE132" s="228">
        <v>2.2741481065035034E-2</v>
      </c>
      <c r="AF132" s="27">
        <v>4236375130.7685852</v>
      </c>
      <c r="AG132" s="226">
        <v>5.5805946025950369E-2</v>
      </c>
      <c r="AH132" s="226">
        <v>1.2846262838665887E-2</v>
      </c>
      <c r="AI132" s="27">
        <v>995120000</v>
      </c>
      <c r="AJ132" s="226">
        <v>0.23757428440122808</v>
      </c>
      <c r="AK132" s="27">
        <v>327744892.20584983</v>
      </c>
      <c r="AL132" s="226">
        <v>0.72133823444870881</v>
      </c>
      <c r="AM132" s="27">
        <v>356263648.423235</v>
      </c>
      <c r="AN132" s="271">
        <v>0.66359541013988965</v>
      </c>
      <c r="AO132" s="27">
        <v>15995313</v>
      </c>
      <c r="AP132" s="27" t="s">
        <v>2842</v>
      </c>
      <c r="AQ132" s="27">
        <v>55.440487804878053</v>
      </c>
      <c r="AR132" s="27">
        <v>67.7</v>
      </c>
      <c r="AS132" s="29">
        <v>65.402839999999998</v>
      </c>
      <c r="AT132" s="270">
        <v>38</v>
      </c>
      <c r="AU132" s="464" t="s">
        <v>2842</v>
      </c>
      <c r="AV132" s="29">
        <v>-0.31756973387542697</v>
      </c>
      <c r="AW132" s="29">
        <v>-0.58153952411309695</v>
      </c>
      <c r="AX132" s="29">
        <v>-0.54611704938971195</v>
      </c>
      <c r="AY132" s="29">
        <v>-0.158104704864233</v>
      </c>
      <c r="AZ132" s="60">
        <v>-0.38715664218622903</v>
      </c>
    </row>
    <row r="133" spans="1:52" ht="15" customHeight="1">
      <c r="A133" s="59" t="s">
        <v>89</v>
      </c>
      <c r="B133" s="27">
        <v>2011</v>
      </c>
      <c r="C133" s="27" t="s">
        <v>93</v>
      </c>
      <c r="D133" s="27" t="s">
        <v>81</v>
      </c>
      <c r="E133" s="27" t="s">
        <v>19</v>
      </c>
      <c r="F133" s="41" t="s">
        <v>730</v>
      </c>
      <c r="G133" s="43">
        <f>31774*32.150743126506</f>
        <v>1021557.7121016016</v>
      </c>
      <c r="H133" s="43">
        <v>1003435</v>
      </c>
      <c r="I133" s="43"/>
      <c r="J133" s="43"/>
      <c r="K133" s="27" t="s">
        <v>731</v>
      </c>
      <c r="L133" s="28">
        <v>1569.2108333333299</v>
      </c>
      <c r="M133" s="27" t="s">
        <v>732</v>
      </c>
      <c r="N133" s="27" t="s">
        <v>782</v>
      </c>
      <c r="O133" s="18">
        <f>H133*L133</f>
        <v>1574601072.5458298</v>
      </c>
      <c r="P133" s="214">
        <v>234778154.99989167</v>
      </c>
      <c r="Q133" s="214">
        <v>237381624.65602046</v>
      </c>
      <c r="R133" s="27"/>
      <c r="S133" s="27"/>
      <c r="T133" s="18"/>
      <c r="U133" s="27"/>
      <c r="V133" s="27"/>
      <c r="W133" s="30"/>
      <c r="X133" s="29"/>
      <c r="Y133" s="27"/>
      <c r="Z133" s="27"/>
      <c r="AA133" s="27"/>
      <c r="AB133" s="29" t="s">
        <v>797</v>
      </c>
      <c r="AC133" s="273">
        <v>236414921.89335009</v>
      </c>
      <c r="AD133" s="27">
        <v>10395757480.230143</v>
      </c>
      <c r="AE133" s="228">
        <v>2.2741481065035034E-2</v>
      </c>
      <c r="AF133" s="27">
        <v>4236375130.7685852</v>
      </c>
      <c r="AG133" s="226">
        <v>5.5805946025950369E-2</v>
      </c>
      <c r="AH133" s="226">
        <v>1.2846262838665887E-2</v>
      </c>
      <c r="AI133" s="27">
        <v>995120000</v>
      </c>
      <c r="AJ133" s="226">
        <v>0.23757428440122808</v>
      </c>
      <c r="AK133" s="27">
        <v>327744892.20584983</v>
      </c>
      <c r="AL133" s="226">
        <v>0.72133823444870881</v>
      </c>
      <c r="AM133" s="27">
        <v>356263648.423235</v>
      </c>
      <c r="AN133" s="271">
        <v>0.66359541013988965</v>
      </c>
      <c r="AO133" s="27">
        <v>15995313</v>
      </c>
      <c r="AP133" s="27" t="s">
        <v>2842</v>
      </c>
      <c r="AQ133" s="27">
        <v>55.440487804878053</v>
      </c>
      <c r="AR133" s="27">
        <v>67.7</v>
      </c>
      <c r="AS133" s="29">
        <v>65.402839999999998</v>
      </c>
      <c r="AT133" s="270">
        <v>38</v>
      </c>
      <c r="AU133" s="464" t="s">
        <v>2842</v>
      </c>
      <c r="AV133" s="29">
        <v>-0.31756973387542697</v>
      </c>
      <c r="AW133" s="29">
        <v>-0.58153952411309695</v>
      </c>
      <c r="AX133" s="29">
        <v>-0.54611704938971195</v>
      </c>
      <c r="AY133" s="29">
        <v>-0.158104704864233</v>
      </c>
      <c r="AZ133" s="60">
        <v>-0.38715664218622903</v>
      </c>
    </row>
    <row r="134" spans="1:52" ht="15" customHeight="1">
      <c r="A134" s="59" t="s">
        <v>89</v>
      </c>
      <c r="B134" s="27">
        <v>2011</v>
      </c>
      <c r="C134" s="27" t="s">
        <v>93</v>
      </c>
      <c r="D134" s="27" t="s">
        <v>81</v>
      </c>
      <c r="E134" s="27" t="s">
        <v>19</v>
      </c>
      <c r="F134" s="41" t="s">
        <v>784</v>
      </c>
      <c r="G134" s="43"/>
      <c r="H134" s="43">
        <v>49715</v>
      </c>
      <c r="I134" s="43"/>
      <c r="J134" s="43"/>
      <c r="K134" s="27"/>
      <c r="L134" s="28">
        <v>7.88</v>
      </c>
      <c r="M134" s="27" t="s">
        <v>568</v>
      </c>
      <c r="N134" s="27" t="s">
        <v>785</v>
      </c>
      <c r="O134" s="18">
        <f>H134*L134</f>
        <v>391754.2</v>
      </c>
      <c r="P134" s="244"/>
      <c r="Q134" s="244"/>
      <c r="R134" s="27"/>
      <c r="S134" s="27"/>
      <c r="T134" s="18"/>
      <c r="U134" s="27"/>
      <c r="V134" s="27"/>
      <c r="W134" s="30"/>
      <c r="X134" s="29"/>
      <c r="Y134" s="27"/>
      <c r="Z134" s="27"/>
      <c r="AA134" s="27"/>
      <c r="AB134" s="27"/>
      <c r="AC134" s="273">
        <v>236414921.89335009</v>
      </c>
      <c r="AD134" s="27">
        <v>10395757480.230143</v>
      </c>
      <c r="AE134" s="228">
        <v>2.2741481065035034E-2</v>
      </c>
      <c r="AF134" s="27">
        <v>4236375130.7685852</v>
      </c>
      <c r="AG134" s="226">
        <v>5.5805946025950369E-2</v>
      </c>
      <c r="AH134" s="226">
        <v>1.2846262838665887E-2</v>
      </c>
      <c r="AI134" s="27">
        <v>995120000</v>
      </c>
      <c r="AJ134" s="226">
        <v>0.23757428440122808</v>
      </c>
      <c r="AK134" s="27">
        <v>327744892.20584983</v>
      </c>
      <c r="AL134" s="226">
        <v>0.72133823444870881</v>
      </c>
      <c r="AM134" s="27">
        <v>356263648.423235</v>
      </c>
      <c r="AN134" s="271">
        <v>0.66359541013988965</v>
      </c>
      <c r="AO134" s="27">
        <v>15995313</v>
      </c>
      <c r="AP134" s="27" t="s">
        <v>2842</v>
      </c>
      <c r="AQ134" s="27">
        <v>55.440487804878053</v>
      </c>
      <c r="AR134" s="27">
        <v>67.7</v>
      </c>
      <c r="AS134" s="29">
        <v>65.402839999999998</v>
      </c>
      <c r="AT134" s="270">
        <v>38</v>
      </c>
      <c r="AU134" s="464" t="s">
        <v>2842</v>
      </c>
      <c r="AV134" s="29">
        <v>-0.31756973387542697</v>
      </c>
      <c r="AW134" s="29">
        <v>-0.58153952411309695</v>
      </c>
      <c r="AX134" s="29">
        <v>-0.54611704938971195</v>
      </c>
      <c r="AY134" s="29">
        <v>-0.158104704864233</v>
      </c>
      <c r="AZ134" s="60">
        <v>-0.38715664218622903</v>
      </c>
    </row>
    <row r="135" spans="1:52" ht="15" customHeight="1">
      <c r="A135" s="59" t="s">
        <v>89</v>
      </c>
      <c r="B135" s="27">
        <v>2011</v>
      </c>
      <c r="C135" s="27" t="s">
        <v>93</v>
      </c>
      <c r="D135" s="27" t="s">
        <v>81</v>
      </c>
      <c r="E135" s="27" t="s">
        <v>19</v>
      </c>
      <c r="F135" s="41" t="s">
        <v>787</v>
      </c>
      <c r="G135" s="43">
        <v>49715</v>
      </c>
      <c r="H135" s="43"/>
      <c r="I135" s="43"/>
      <c r="J135" s="43"/>
      <c r="K135" s="27" t="s">
        <v>567</v>
      </c>
      <c r="L135" s="28"/>
      <c r="M135" s="27"/>
      <c r="N135" s="27" t="s">
        <v>788</v>
      </c>
      <c r="O135" s="18"/>
      <c r="P135" s="244"/>
      <c r="Q135" s="244"/>
      <c r="R135" s="27"/>
      <c r="S135" s="27"/>
      <c r="T135" s="18"/>
      <c r="U135" s="27"/>
      <c r="V135" s="27"/>
      <c r="W135" s="30"/>
      <c r="X135" s="29"/>
      <c r="Y135" s="27"/>
      <c r="Z135" s="27"/>
      <c r="AA135" s="27"/>
      <c r="AB135" s="27"/>
      <c r="AC135" s="273">
        <v>236414921.89335009</v>
      </c>
      <c r="AD135" s="27">
        <v>10395757480.230143</v>
      </c>
      <c r="AE135" s="228">
        <v>2.2741481065035034E-2</v>
      </c>
      <c r="AF135" s="27">
        <v>4236375130.7685852</v>
      </c>
      <c r="AG135" s="226">
        <v>5.5805946025950369E-2</v>
      </c>
      <c r="AH135" s="226">
        <v>1.2846262838665887E-2</v>
      </c>
      <c r="AI135" s="27">
        <v>995120000</v>
      </c>
      <c r="AJ135" s="226">
        <v>0.23757428440122808</v>
      </c>
      <c r="AK135" s="27">
        <v>327744892.20584983</v>
      </c>
      <c r="AL135" s="226">
        <v>0.72133823444870881</v>
      </c>
      <c r="AM135" s="27">
        <v>356263648.423235</v>
      </c>
      <c r="AN135" s="271">
        <v>0.66359541013988965</v>
      </c>
      <c r="AO135" s="27">
        <v>15995313</v>
      </c>
      <c r="AP135" s="27" t="s">
        <v>2842</v>
      </c>
      <c r="AQ135" s="27">
        <v>55.440487804878053</v>
      </c>
      <c r="AR135" s="27">
        <v>67.7</v>
      </c>
      <c r="AS135" s="29">
        <v>65.402839999999998</v>
      </c>
      <c r="AT135" s="270">
        <v>38</v>
      </c>
      <c r="AU135" s="464" t="s">
        <v>2842</v>
      </c>
      <c r="AV135" s="29">
        <v>-0.31756973387542697</v>
      </c>
      <c r="AW135" s="29">
        <v>-0.58153952411309695</v>
      </c>
      <c r="AX135" s="29">
        <v>-0.54611704938971195</v>
      </c>
      <c r="AY135" s="29">
        <v>-0.158104704864233</v>
      </c>
      <c r="AZ135" s="60">
        <v>-0.38715664218622903</v>
      </c>
    </row>
    <row r="136" spans="1:52" ht="15" customHeight="1">
      <c r="A136" s="59" t="s">
        <v>89</v>
      </c>
      <c r="B136" s="27">
        <v>2011</v>
      </c>
      <c r="C136" s="27" t="s">
        <v>93</v>
      </c>
      <c r="D136" s="27" t="s">
        <v>81</v>
      </c>
      <c r="E136" s="27" t="s">
        <v>19</v>
      </c>
      <c r="F136" s="41" t="s">
        <v>789</v>
      </c>
      <c r="G136" s="43">
        <v>22400</v>
      </c>
      <c r="H136" s="43"/>
      <c r="I136" s="43"/>
      <c r="J136" s="43"/>
      <c r="K136" s="27" t="s">
        <v>567</v>
      </c>
      <c r="L136" s="28"/>
      <c r="M136" s="27"/>
      <c r="N136" s="27" t="s">
        <v>788</v>
      </c>
      <c r="O136" s="18"/>
      <c r="P136" s="244"/>
      <c r="Q136" s="244"/>
      <c r="R136" s="27"/>
      <c r="S136" s="27"/>
      <c r="T136" s="18"/>
      <c r="U136" s="27"/>
      <c r="V136" s="27"/>
      <c r="W136" s="30"/>
      <c r="X136" s="29"/>
      <c r="Y136" s="27"/>
      <c r="Z136" s="27"/>
      <c r="AA136" s="27"/>
      <c r="AB136" s="27"/>
      <c r="AC136" s="273">
        <v>236414921.89335009</v>
      </c>
      <c r="AD136" s="27">
        <v>10395757480.230143</v>
      </c>
      <c r="AE136" s="228">
        <v>2.2741481065035034E-2</v>
      </c>
      <c r="AF136" s="27">
        <v>4236375130.7685852</v>
      </c>
      <c r="AG136" s="226">
        <v>5.5805946025950369E-2</v>
      </c>
      <c r="AH136" s="226">
        <v>1.2846262838665887E-2</v>
      </c>
      <c r="AI136" s="27">
        <v>995120000</v>
      </c>
      <c r="AJ136" s="226">
        <v>0.23757428440122808</v>
      </c>
      <c r="AK136" s="27">
        <v>327744892.20584983</v>
      </c>
      <c r="AL136" s="226">
        <v>0.72133823444870881</v>
      </c>
      <c r="AM136" s="27">
        <v>356263648.423235</v>
      </c>
      <c r="AN136" s="271">
        <v>0.66359541013988965</v>
      </c>
      <c r="AO136" s="27">
        <v>15995313</v>
      </c>
      <c r="AP136" s="27" t="s">
        <v>2842</v>
      </c>
      <c r="AQ136" s="27">
        <v>55.440487804878053</v>
      </c>
      <c r="AR136" s="27">
        <v>67.7</v>
      </c>
      <c r="AS136" s="29">
        <v>65.402839999999998</v>
      </c>
      <c r="AT136" s="270">
        <v>38</v>
      </c>
      <c r="AU136" s="464" t="s">
        <v>2842</v>
      </c>
      <c r="AV136" s="29">
        <v>-0.31756973387542697</v>
      </c>
      <c r="AW136" s="29">
        <v>-0.58153952411309695</v>
      </c>
      <c r="AX136" s="29">
        <v>-0.54611704938971195</v>
      </c>
      <c r="AY136" s="29">
        <v>-0.158104704864233</v>
      </c>
      <c r="AZ136" s="60">
        <v>-0.38715664218622903</v>
      </c>
    </row>
    <row r="137" spans="1:52" s="287" customFormat="1" ht="15" customHeight="1">
      <c r="A137" s="344" t="s">
        <v>89</v>
      </c>
      <c r="B137" s="284">
        <v>2011</v>
      </c>
      <c r="C137" s="284" t="s">
        <v>93</v>
      </c>
      <c r="D137" s="284" t="s">
        <v>81</v>
      </c>
      <c r="E137" s="284" t="s">
        <v>19</v>
      </c>
      <c r="F137" s="315" t="s">
        <v>790</v>
      </c>
      <c r="G137" s="303"/>
      <c r="H137" s="303">
        <v>0</v>
      </c>
      <c r="I137" s="303"/>
      <c r="J137" s="303"/>
      <c r="K137" s="284" t="s">
        <v>567</v>
      </c>
      <c r="L137" s="304"/>
      <c r="M137" s="284"/>
      <c r="N137" s="284"/>
      <c r="O137" s="305"/>
      <c r="P137" s="346">
        <v>1449364.1459556674</v>
      </c>
      <c r="Q137" s="346">
        <v>1442993.2612511106</v>
      </c>
      <c r="R137" s="284"/>
      <c r="S137" s="284"/>
      <c r="T137" s="305"/>
      <c r="U137" s="284"/>
      <c r="V137" s="284"/>
      <c r="W137" s="307"/>
      <c r="Y137" s="284"/>
      <c r="Z137" s="284"/>
      <c r="AA137" s="284"/>
      <c r="AB137" s="284" t="s">
        <v>798</v>
      </c>
      <c r="AC137" s="308">
        <v>236414921.89335009</v>
      </c>
      <c r="AD137" s="284">
        <v>10395757480.230143</v>
      </c>
      <c r="AE137" s="309">
        <v>2.2741481065035034E-2</v>
      </c>
      <c r="AF137" s="284">
        <v>4236375130.7685852</v>
      </c>
      <c r="AG137" s="310">
        <v>5.5805946025950369E-2</v>
      </c>
      <c r="AH137" s="310">
        <v>1.2846262838665887E-2</v>
      </c>
      <c r="AI137" s="284">
        <v>995120000</v>
      </c>
      <c r="AJ137" s="310">
        <v>0.23757428440122808</v>
      </c>
      <c r="AK137" s="284">
        <v>327744892.20584983</v>
      </c>
      <c r="AL137" s="310">
        <v>0.72133823444870881</v>
      </c>
      <c r="AM137" s="284">
        <v>356263648.423235</v>
      </c>
      <c r="AN137" s="311">
        <v>0.66359541013988965</v>
      </c>
      <c r="AO137" s="284">
        <v>15995313</v>
      </c>
      <c r="AP137" s="284" t="s">
        <v>2842</v>
      </c>
      <c r="AQ137" s="284">
        <v>55.440487804878053</v>
      </c>
      <c r="AR137" s="284">
        <v>67.7</v>
      </c>
      <c r="AS137" s="287">
        <v>65.402839999999998</v>
      </c>
      <c r="AT137" s="312">
        <v>38</v>
      </c>
      <c r="AU137" s="465" t="s">
        <v>2842</v>
      </c>
      <c r="AV137" s="287">
        <v>-0.31756973387542697</v>
      </c>
      <c r="AW137" s="287">
        <v>-0.58153952411309695</v>
      </c>
      <c r="AX137" s="287">
        <v>-0.54611704938971195</v>
      </c>
      <c r="AY137" s="287">
        <v>-0.158104704864233</v>
      </c>
      <c r="AZ137" s="313">
        <v>-0.38715664218622903</v>
      </c>
    </row>
    <row r="138" spans="1:52" s="242" customFormat="1" ht="15" customHeight="1" thickBot="1">
      <c r="A138" s="348" t="s">
        <v>92</v>
      </c>
      <c r="B138" s="240">
        <v>2012</v>
      </c>
      <c r="C138" s="240" t="s">
        <v>93</v>
      </c>
      <c r="D138" s="240" t="s">
        <v>81</v>
      </c>
      <c r="E138" s="240" t="s">
        <v>19</v>
      </c>
      <c r="F138" s="349" t="s">
        <v>730</v>
      </c>
      <c r="G138" s="350"/>
      <c r="H138" s="350">
        <f>29120.87*32.150743126506</f>
        <v>936257.61099037481</v>
      </c>
      <c r="I138" s="350"/>
      <c r="J138" s="350"/>
      <c r="K138" s="240" t="s">
        <v>731</v>
      </c>
      <c r="L138" s="351">
        <v>1668.85</v>
      </c>
      <c r="M138" s="240" t="s">
        <v>732</v>
      </c>
      <c r="N138" s="240" t="s">
        <v>799</v>
      </c>
      <c r="O138" s="351">
        <v>1591231109.1400001</v>
      </c>
      <c r="P138" s="352">
        <v>366304044.26999998</v>
      </c>
      <c r="Q138" s="352">
        <v>371460985.86000001</v>
      </c>
      <c r="R138" s="240" t="s">
        <v>619</v>
      </c>
      <c r="S138" s="240"/>
      <c r="T138" s="353"/>
      <c r="U138" s="240"/>
      <c r="V138" s="240" t="s">
        <v>778</v>
      </c>
      <c r="W138" s="354">
        <v>503</v>
      </c>
      <c r="X138" s="240">
        <v>26</v>
      </c>
      <c r="Y138" s="240" t="s">
        <v>800</v>
      </c>
      <c r="Z138" s="240">
        <v>26</v>
      </c>
      <c r="AA138" s="240"/>
      <c r="AB138" s="240" t="s">
        <v>3670</v>
      </c>
      <c r="AC138" s="355">
        <v>366304044.26999998</v>
      </c>
      <c r="AD138" s="240">
        <v>10726305449.611792</v>
      </c>
      <c r="AE138" s="239">
        <v>3.4150066487548827E-2</v>
      </c>
      <c r="AF138" s="240">
        <v>2156094658.426466</v>
      </c>
      <c r="AG138" s="241">
        <v>0.16989237593925094</v>
      </c>
      <c r="AH138" s="241" t="s">
        <v>2842</v>
      </c>
      <c r="AI138" s="240">
        <v>1158540000</v>
      </c>
      <c r="AJ138" s="241">
        <v>0.3161772957947071</v>
      </c>
      <c r="AK138" s="240">
        <v>359497143.76498324</v>
      </c>
      <c r="AL138" s="241">
        <v>1.0189345051082428</v>
      </c>
      <c r="AM138" s="240" t="s">
        <v>2842</v>
      </c>
      <c r="AN138" s="356" t="s">
        <v>2842</v>
      </c>
      <c r="AO138" s="240">
        <v>16460141</v>
      </c>
      <c r="AP138" s="240" t="s">
        <v>2842</v>
      </c>
      <c r="AQ138" s="240">
        <v>55.86202439024391</v>
      </c>
      <c r="AR138" s="240">
        <v>65.7</v>
      </c>
      <c r="AS138" s="242">
        <v>66.759569999999997</v>
      </c>
      <c r="AT138" s="357">
        <v>38</v>
      </c>
      <c r="AU138" s="469" t="s">
        <v>2842</v>
      </c>
      <c r="AV138" s="242">
        <v>-0.34532467437041098</v>
      </c>
      <c r="AW138" s="242">
        <v>-0.616862403726255</v>
      </c>
      <c r="AX138" s="242">
        <v>-0.63266125667306905</v>
      </c>
      <c r="AY138" s="242">
        <v>-0.11938249105543799</v>
      </c>
      <c r="AZ138" s="358">
        <v>-0.51926766111056399</v>
      </c>
    </row>
    <row r="139" spans="1:52" s="29" customFormat="1" ht="15" customHeight="1">
      <c r="A139" s="347" t="s">
        <v>95</v>
      </c>
      <c r="B139" s="27">
        <v>2001</v>
      </c>
      <c r="C139" s="27" t="s">
        <v>96</v>
      </c>
      <c r="D139" s="27" t="s">
        <v>81</v>
      </c>
      <c r="E139" s="27" t="s">
        <v>50</v>
      </c>
      <c r="F139" s="41" t="s">
        <v>659</v>
      </c>
      <c r="G139" s="43"/>
      <c r="H139" s="43"/>
      <c r="I139" s="43"/>
      <c r="J139" s="43"/>
      <c r="K139" s="27"/>
      <c r="L139" s="28"/>
      <c r="M139" s="27"/>
      <c r="N139" s="27"/>
      <c r="O139" s="18">
        <f>SUM(O140:O141)</f>
        <v>1128787165.5095637</v>
      </c>
      <c r="P139" s="213">
        <v>731900794.85081637</v>
      </c>
      <c r="Q139" s="213">
        <v>143175130</v>
      </c>
      <c r="R139" s="27" t="s">
        <v>3745</v>
      </c>
      <c r="S139" s="27" t="s">
        <v>804</v>
      </c>
      <c r="T139" s="18">
        <v>583993394.85081637</v>
      </c>
      <c r="U139" s="29" t="s">
        <v>721</v>
      </c>
      <c r="V139" s="27" t="s">
        <v>802</v>
      </c>
      <c r="W139" s="30" t="s">
        <v>803</v>
      </c>
      <c r="X139" s="27">
        <v>5</v>
      </c>
      <c r="Y139" s="27" t="s">
        <v>805</v>
      </c>
      <c r="Z139" s="27">
        <v>4</v>
      </c>
      <c r="AA139" s="27">
        <v>23</v>
      </c>
      <c r="AB139" s="27" t="s">
        <v>807</v>
      </c>
      <c r="AC139" s="273">
        <v>731900794.85081637</v>
      </c>
      <c r="AD139" s="27">
        <v>9633109256.7360611</v>
      </c>
      <c r="AE139" s="228">
        <v>7.5977628338329745E-2</v>
      </c>
      <c r="AF139" s="27" t="s">
        <v>2842</v>
      </c>
      <c r="AG139" s="226" t="s">
        <v>2842</v>
      </c>
      <c r="AH139" s="226" t="s">
        <v>2842</v>
      </c>
      <c r="AI139" s="27">
        <v>457760000</v>
      </c>
      <c r="AJ139" s="226">
        <v>1.5988745081501581</v>
      </c>
      <c r="AK139" s="27">
        <v>108777000.57508942</v>
      </c>
      <c r="AL139" s="226">
        <v>6.7284517037733611</v>
      </c>
      <c r="AM139" s="27">
        <v>251419335.04618284</v>
      </c>
      <c r="AN139" s="271">
        <v>2.9110760105875495</v>
      </c>
      <c r="AO139" s="27">
        <v>16350440</v>
      </c>
      <c r="AP139" s="27">
        <v>40.200000000000003</v>
      </c>
      <c r="AQ139" s="27">
        <v>51.75719512195122</v>
      </c>
      <c r="AR139" s="27">
        <v>89.8</v>
      </c>
      <c r="AS139" s="29" t="s">
        <v>2842</v>
      </c>
      <c r="AT139" s="270">
        <v>27</v>
      </c>
      <c r="AU139" s="464">
        <v>34.155175303167042</v>
      </c>
      <c r="AV139" s="29" t="s">
        <v>2842</v>
      </c>
      <c r="AW139" s="29" t="s">
        <v>2842</v>
      </c>
      <c r="AX139" s="29" t="s">
        <v>2842</v>
      </c>
      <c r="AY139" s="29" t="s">
        <v>2842</v>
      </c>
      <c r="AZ139" s="60" t="s">
        <v>2842</v>
      </c>
    </row>
    <row r="140" spans="1:52" s="29" customFormat="1" ht="15" customHeight="1">
      <c r="A140" s="63" t="s">
        <v>95</v>
      </c>
      <c r="B140" s="27">
        <v>2001</v>
      </c>
      <c r="C140" s="27" t="s">
        <v>96</v>
      </c>
      <c r="D140" s="27" t="s">
        <v>81</v>
      </c>
      <c r="E140" s="27" t="s">
        <v>552</v>
      </c>
      <c r="F140" s="41" t="s">
        <v>552</v>
      </c>
      <c r="G140" s="43">
        <f>63000000000*0.0283168</f>
        <v>1783958400</v>
      </c>
      <c r="H140" s="43"/>
      <c r="I140" s="43"/>
      <c r="J140" s="43"/>
      <c r="K140" s="27" t="s">
        <v>599</v>
      </c>
      <c r="L140" s="28">
        <v>0.12911500000000001</v>
      </c>
      <c r="M140" s="27" t="s">
        <v>600</v>
      </c>
      <c r="N140" s="27" t="s">
        <v>808</v>
      </c>
      <c r="O140" s="18">
        <f>G140*L140</f>
        <v>230335788.81600001</v>
      </c>
      <c r="P140" s="245"/>
      <c r="Q140" s="213"/>
      <c r="R140" s="27"/>
      <c r="S140" s="27"/>
      <c r="T140" s="27"/>
      <c r="U140" s="27"/>
      <c r="V140" s="27"/>
      <c r="W140" s="30"/>
      <c r="X140" s="27"/>
      <c r="Y140" s="27"/>
      <c r="Z140" s="27"/>
      <c r="AA140" s="27"/>
      <c r="AB140" s="27"/>
      <c r="AC140" s="273">
        <v>731900794.85081637</v>
      </c>
      <c r="AD140" s="27">
        <v>9633109256.7360611</v>
      </c>
      <c r="AE140" s="228">
        <v>7.5977628338329745E-2</v>
      </c>
      <c r="AF140" s="27" t="s">
        <v>2842</v>
      </c>
      <c r="AG140" s="226" t="s">
        <v>2842</v>
      </c>
      <c r="AH140" s="226" t="s">
        <v>2842</v>
      </c>
      <c r="AI140" s="27">
        <v>457760000</v>
      </c>
      <c r="AJ140" s="226">
        <v>1.5988745081501581</v>
      </c>
      <c r="AK140" s="27">
        <v>108777000.57508942</v>
      </c>
      <c r="AL140" s="226">
        <v>6.7284517037733611</v>
      </c>
      <c r="AM140" s="27">
        <v>251419335.04618284</v>
      </c>
      <c r="AN140" s="271">
        <v>2.9110760105875495</v>
      </c>
      <c r="AO140" s="27">
        <v>16350440</v>
      </c>
      <c r="AP140" s="27">
        <v>40.200000000000003</v>
      </c>
      <c r="AQ140" s="27">
        <v>51.75719512195122</v>
      </c>
      <c r="AR140" s="27">
        <v>89.8</v>
      </c>
      <c r="AS140" s="29" t="s">
        <v>2842</v>
      </c>
      <c r="AT140" s="270">
        <v>27</v>
      </c>
      <c r="AU140" s="464">
        <v>34.155175303167042</v>
      </c>
      <c r="AV140" s="29" t="s">
        <v>2842</v>
      </c>
      <c r="AW140" s="29" t="s">
        <v>2842</v>
      </c>
      <c r="AX140" s="29" t="s">
        <v>2842</v>
      </c>
      <c r="AY140" s="29" t="s">
        <v>2842</v>
      </c>
      <c r="AZ140" s="60" t="s">
        <v>2842</v>
      </c>
    </row>
    <row r="141" spans="1:52" s="287" customFormat="1" ht="15" customHeight="1">
      <c r="A141" s="359" t="s">
        <v>95</v>
      </c>
      <c r="B141" s="284">
        <v>2001</v>
      </c>
      <c r="C141" s="284" t="s">
        <v>96</v>
      </c>
      <c r="D141" s="284" t="s">
        <v>81</v>
      </c>
      <c r="E141" s="284" t="s">
        <v>98</v>
      </c>
      <c r="F141" s="315" t="s">
        <v>98</v>
      </c>
      <c r="G141" s="303"/>
      <c r="H141" s="303">
        <f>((39400000/365)*184)+((37400000/365)*181)</f>
        <v>38408219.17808219</v>
      </c>
      <c r="I141" s="303"/>
      <c r="J141" s="303"/>
      <c r="K141" s="284" t="s">
        <v>603</v>
      </c>
      <c r="L141" s="304">
        <f>((23.05/365)*184)+((23.74/365)*181)</f>
        <v>23.392164383561646</v>
      </c>
      <c r="M141" s="284" t="s">
        <v>626</v>
      </c>
      <c r="N141" s="284" t="s">
        <v>809</v>
      </c>
      <c r="O141" s="305">
        <f>H141*L141</f>
        <v>898451376.69356358</v>
      </c>
      <c r="P141" s="306"/>
      <c r="Q141" s="306"/>
      <c r="R141" s="284"/>
      <c r="S141" s="284"/>
      <c r="T141" s="284"/>
      <c r="U141" s="284"/>
      <c r="V141" s="284"/>
      <c r="W141" s="307"/>
      <c r="X141" s="284"/>
      <c r="Y141" s="284"/>
      <c r="Z141" s="284"/>
      <c r="AA141" s="284" t="s">
        <v>810</v>
      </c>
      <c r="AB141" s="284"/>
      <c r="AC141" s="308">
        <v>731900794.85081637</v>
      </c>
      <c r="AD141" s="284">
        <v>9633109256.7360611</v>
      </c>
      <c r="AE141" s="309">
        <v>7.5977628338329745E-2</v>
      </c>
      <c r="AF141" s="284" t="s">
        <v>2842</v>
      </c>
      <c r="AG141" s="310" t="s">
        <v>2842</v>
      </c>
      <c r="AH141" s="310" t="s">
        <v>2842</v>
      </c>
      <c r="AI141" s="284">
        <v>457760000</v>
      </c>
      <c r="AJ141" s="310">
        <v>1.5988745081501581</v>
      </c>
      <c r="AK141" s="284">
        <v>108777000.57508942</v>
      </c>
      <c r="AL141" s="310">
        <v>6.7284517037733611</v>
      </c>
      <c r="AM141" s="284">
        <v>251419335.04618284</v>
      </c>
      <c r="AN141" s="311">
        <v>2.9110760105875495</v>
      </c>
      <c r="AO141" s="284">
        <v>16350440</v>
      </c>
      <c r="AP141" s="284">
        <v>40.200000000000003</v>
      </c>
      <c r="AQ141" s="284">
        <v>51.75719512195122</v>
      </c>
      <c r="AR141" s="284">
        <v>89.8</v>
      </c>
      <c r="AS141" s="287" t="s">
        <v>2842</v>
      </c>
      <c r="AT141" s="312">
        <v>27</v>
      </c>
      <c r="AU141" s="465">
        <v>34.155175303167042</v>
      </c>
      <c r="AV141" s="287" t="s">
        <v>2842</v>
      </c>
      <c r="AW141" s="287" t="s">
        <v>2842</v>
      </c>
      <c r="AX141" s="287" t="s">
        <v>2842</v>
      </c>
      <c r="AY141" s="287" t="s">
        <v>2842</v>
      </c>
      <c r="AZ141" s="313" t="s">
        <v>2842</v>
      </c>
    </row>
    <row r="142" spans="1:52" ht="15" customHeight="1">
      <c r="A142" s="347" t="s">
        <v>100</v>
      </c>
      <c r="B142" s="27">
        <v>2002</v>
      </c>
      <c r="C142" s="27" t="s">
        <v>96</v>
      </c>
      <c r="D142" s="27" t="s">
        <v>81</v>
      </c>
      <c r="E142" s="27" t="s">
        <v>50</v>
      </c>
      <c r="F142" s="41" t="s">
        <v>659</v>
      </c>
      <c r="G142" s="43"/>
      <c r="H142" s="43"/>
      <c r="I142" s="43"/>
      <c r="J142" s="43"/>
      <c r="K142" s="27"/>
      <c r="L142" s="28"/>
      <c r="M142" s="27"/>
      <c r="N142" s="27"/>
      <c r="O142" s="18">
        <f>SUM(O143:O144)</f>
        <v>606431056.06825197</v>
      </c>
      <c r="P142" s="213">
        <v>338323283.56164378</v>
      </c>
      <c r="Q142" s="213">
        <v>49056250</v>
      </c>
      <c r="R142" s="27" t="s">
        <v>3745</v>
      </c>
      <c r="S142" s="27" t="s">
        <v>811</v>
      </c>
      <c r="T142" s="18">
        <v>290931423.56164378</v>
      </c>
      <c r="U142" s="29" t="s">
        <v>721</v>
      </c>
      <c r="V142" s="27" t="s">
        <v>802</v>
      </c>
      <c r="W142" s="30" t="s">
        <v>803</v>
      </c>
      <c r="X142" s="27">
        <v>5</v>
      </c>
      <c r="Y142" s="27" t="s">
        <v>805</v>
      </c>
      <c r="Z142" s="27">
        <v>4</v>
      </c>
      <c r="AA142" s="27">
        <v>23</v>
      </c>
      <c r="AB142" s="27" t="s">
        <v>812</v>
      </c>
      <c r="AC142" s="273">
        <v>338323283.56164378</v>
      </c>
      <c r="AD142" s="27">
        <v>10879778327.819414</v>
      </c>
      <c r="AE142" s="228">
        <v>3.1096523602558768E-2</v>
      </c>
      <c r="AF142" s="27">
        <v>0</v>
      </c>
      <c r="AG142" s="226" t="s">
        <v>2842</v>
      </c>
      <c r="AH142" s="226" t="s">
        <v>2842</v>
      </c>
      <c r="AI142" s="27">
        <v>605850000</v>
      </c>
      <c r="AJ142" s="226">
        <v>0.55842747142303173</v>
      </c>
      <c r="AK142" s="27">
        <v>140390779.536277</v>
      </c>
      <c r="AL142" s="226">
        <v>2.4098682597187304</v>
      </c>
      <c r="AM142" s="27" t="s">
        <v>2842</v>
      </c>
      <c r="AN142" s="271" t="s">
        <v>2842</v>
      </c>
      <c r="AO142" s="27">
        <v>16782044</v>
      </c>
      <c r="AP142" s="27" t="s">
        <v>2842</v>
      </c>
      <c r="AQ142" s="27">
        <v>51.655268292682933</v>
      </c>
      <c r="AR142" s="27">
        <v>86.7</v>
      </c>
      <c r="AS142" s="29" t="s">
        <v>2842</v>
      </c>
      <c r="AT142" s="270">
        <v>27</v>
      </c>
      <c r="AU142" s="464">
        <v>34.155175303167042</v>
      </c>
      <c r="AV142" s="29">
        <v>-1.17189450149964</v>
      </c>
      <c r="AW142" s="29">
        <v>-0.72211372928394602</v>
      </c>
      <c r="AX142" s="29">
        <v>-0.81811574150029898</v>
      </c>
      <c r="AY142" s="29">
        <v>-0.88629562661994599</v>
      </c>
      <c r="AZ142" s="60">
        <v>-1.08671016605835</v>
      </c>
    </row>
    <row r="143" spans="1:52" ht="15" customHeight="1">
      <c r="A143" s="63" t="s">
        <v>100</v>
      </c>
      <c r="B143" s="27">
        <v>2002</v>
      </c>
      <c r="C143" s="27" t="s">
        <v>96</v>
      </c>
      <c r="D143" s="27" t="s">
        <v>81</v>
      </c>
      <c r="E143" s="27" t="s">
        <v>552</v>
      </c>
      <c r="F143" s="41" t="s">
        <v>552</v>
      </c>
      <c r="G143" s="43">
        <f>57000000000*0.0283168</f>
        <v>1614057600</v>
      </c>
      <c r="H143" s="43"/>
      <c r="I143" s="43"/>
      <c r="J143" s="43"/>
      <c r="K143" s="27" t="s">
        <v>599</v>
      </c>
      <c r="L143" s="28">
        <v>9.8412999999999987E-2</v>
      </c>
      <c r="M143" s="27" t="s">
        <v>600</v>
      </c>
      <c r="N143" s="27" t="s">
        <v>808</v>
      </c>
      <c r="O143" s="18">
        <f>G143*L143</f>
        <v>158844250.58879998</v>
      </c>
      <c r="P143" s="245"/>
      <c r="Q143" s="213"/>
      <c r="R143" s="27"/>
      <c r="S143" s="27"/>
      <c r="T143" s="27"/>
      <c r="U143" s="27"/>
      <c r="V143" s="27"/>
      <c r="W143" s="30"/>
      <c r="X143" s="27"/>
      <c r="Y143" s="27"/>
      <c r="Z143" s="27"/>
      <c r="AA143" s="27"/>
      <c r="AB143" s="27"/>
      <c r="AC143" s="273">
        <v>338323283.56164378</v>
      </c>
      <c r="AD143" s="27">
        <v>10879778327.819414</v>
      </c>
      <c r="AE143" s="228">
        <v>3.1096523602558768E-2</v>
      </c>
      <c r="AF143" s="27">
        <v>0</v>
      </c>
      <c r="AG143" s="226" t="s">
        <v>2842</v>
      </c>
      <c r="AH143" s="226" t="s">
        <v>2842</v>
      </c>
      <c r="AI143" s="27">
        <v>605850000</v>
      </c>
      <c r="AJ143" s="226">
        <v>0.55842747142303173</v>
      </c>
      <c r="AK143" s="27">
        <v>140390779.536277</v>
      </c>
      <c r="AL143" s="226">
        <v>2.4098682597187304</v>
      </c>
      <c r="AM143" s="27" t="s">
        <v>2842</v>
      </c>
      <c r="AN143" s="271" t="s">
        <v>2842</v>
      </c>
      <c r="AO143" s="27">
        <v>16782044</v>
      </c>
      <c r="AP143" s="27" t="s">
        <v>2842</v>
      </c>
      <c r="AQ143" s="27">
        <v>51.655268292682933</v>
      </c>
      <c r="AR143" s="27">
        <v>86.7</v>
      </c>
      <c r="AS143" s="29" t="s">
        <v>2842</v>
      </c>
      <c r="AT143" s="270">
        <v>27</v>
      </c>
      <c r="AU143" s="464">
        <v>34.155175303167042</v>
      </c>
      <c r="AV143" s="29">
        <v>-1.17189450149964</v>
      </c>
      <c r="AW143" s="29">
        <v>-0.72211372928394602</v>
      </c>
      <c r="AX143" s="29">
        <v>-0.81811574150029898</v>
      </c>
      <c r="AY143" s="29">
        <v>-0.88629562661994599</v>
      </c>
      <c r="AZ143" s="60">
        <v>-1.08671016605835</v>
      </c>
    </row>
    <row r="144" spans="1:52" s="287" customFormat="1" ht="15" customHeight="1">
      <c r="A144" s="359" t="s">
        <v>100</v>
      </c>
      <c r="B144" s="284">
        <v>2002</v>
      </c>
      <c r="C144" s="284" t="s">
        <v>96</v>
      </c>
      <c r="D144" s="284" t="s">
        <v>81</v>
      </c>
      <c r="E144" s="284" t="s">
        <v>98</v>
      </c>
      <c r="F144" s="315" t="s">
        <v>98</v>
      </c>
      <c r="G144" s="303"/>
      <c r="H144" s="303">
        <f>(37400000/365)*184</f>
        <v>18853698.630136985</v>
      </c>
      <c r="I144" s="303"/>
      <c r="J144" s="303"/>
      <c r="K144" s="284" t="s">
        <v>603</v>
      </c>
      <c r="L144" s="304">
        <v>23.74</v>
      </c>
      <c r="M144" s="284" t="s">
        <v>626</v>
      </c>
      <c r="N144" s="284" t="s">
        <v>809</v>
      </c>
      <c r="O144" s="305">
        <f>H144*L144</f>
        <v>447586805.47945201</v>
      </c>
      <c r="P144" s="306"/>
      <c r="Q144" s="306"/>
      <c r="R144" s="284"/>
      <c r="S144" s="284"/>
      <c r="T144" s="284"/>
      <c r="U144" s="284"/>
      <c r="V144" s="284"/>
      <c r="W144" s="307"/>
      <c r="X144" s="284"/>
      <c r="Y144" s="284"/>
      <c r="Z144" s="284"/>
      <c r="AA144" s="284" t="s">
        <v>810</v>
      </c>
      <c r="AB144" s="284"/>
      <c r="AC144" s="308">
        <v>338323283.56164378</v>
      </c>
      <c r="AD144" s="284">
        <v>10879778327.819414</v>
      </c>
      <c r="AE144" s="309">
        <v>3.1096523602558768E-2</v>
      </c>
      <c r="AF144" s="284">
        <v>0</v>
      </c>
      <c r="AG144" s="310" t="s">
        <v>2842</v>
      </c>
      <c r="AH144" s="310" t="s">
        <v>2842</v>
      </c>
      <c r="AI144" s="284">
        <v>605850000</v>
      </c>
      <c r="AJ144" s="310">
        <v>0.55842747142303173</v>
      </c>
      <c r="AK144" s="284">
        <v>140390779.536277</v>
      </c>
      <c r="AL144" s="310">
        <v>2.4098682597187304</v>
      </c>
      <c r="AM144" s="284" t="s">
        <v>2842</v>
      </c>
      <c r="AN144" s="311" t="s">
        <v>2842</v>
      </c>
      <c r="AO144" s="284">
        <v>16782044</v>
      </c>
      <c r="AP144" s="284" t="s">
        <v>2842</v>
      </c>
      <c r="AQ144" s="284">
        <v>51.655268292682933</v>
      </c>
      <c r="AR144" s="284">
        <v>86.7</v>
      </c>
      <c r="AS144" s="287" t="s">
        <v>2842</v>
      </c>
      <c r="AT144" s="312">
        <v>27</v>
      </c>
      <c r="AU144" s="465">
        <v>34.155175303167042</v>
      </c>
      <c r="AV144" s="287">
        <v>-1.17189450149964</v>
      </c>
      <c r="AW144" s="287">
        <v>-0.72211372928394602</v>
      </c>
      <c r="AX144" s="287">
        <v>-0.81811574150029898</v>
      </c>
      <c r="AY144" s="287">
        <v>-0.88629562661994599</v>
      </c>
      <c r="AZ144" s="313">
        <v>-1.08671016605835</v>
      </c>
    </row>
    <row r="145" spans="1:52" s="29" customFormat="1" ht="15" customHeight="1">
      <c r="A145" s="347" t="s">
        <v>101</v>
      </c>
      <c r="B145" s="27">
        <v>2003</v>
      </c>
      <c r="C145" s="27" t="s">
        <v>96</v>
      </c>
      <c r="D145" s="27" t="s">
        <v>81</v>
      </c>
      <c r="E145" s="27" t="s">
        <v>50</v>
      </c>
      <c r="F145" s="41" t="s">
        <v>659</v>
      </c>
      <c r="G145" s="43"/>
      <c r="H145" s="43"/>
      <c r="I145" s="43"/>
      <c r="J145" s="43"/>
      <c r="K145" s="27"/>
      <c r="L145" s="28"/>
      <c r="M145" s="27"/>
      <c r="N145" s="27"/>
      <c r="O145" s="18">
        <f>SUM(O146:O147)</f>
        <v>1211753205.4304001</v>
      </c>
      <c r="P145" s="213">
        <v>753768010</v>
      </c>
      <c r="Q145" s="213">
        <v>120983440</v>
      </c>
      <c r="R145" s="27" t="s">
        <v>3745</v>
      </c>
      <c r="S145" s="27" t="s">
        <v>813</v>
      </c>
      <c r="T145" s="18">
        <v>627556800</v>
      </c>
      <c r="U145" s="29" t="s">
        <v>702</v>
      </c>
      <c r="V145" s="27" t="s">
        <v>802</v>
      </c>
      <c r="W145" s="30" t="s">
        <v>803</v>
      </c>
      <c r="X145" s="27">
        <v>5</v>
      </c>
      <c r="Y145" s="27" t="s">
        <v>805</v>
      </c>
      <c r="Z145" s="27">
        <v>4</v>
      </c>
      <c r="AA145" s="27">
        <v>23</v>
      </c>
      <c r="AB145" s="27" t="s">
        <v>815</v>
      </c>
      <c r="AC145" s="273">
        <v>753768010</v>
      </c>
      <c r="AD145" s="27">
        <v>13621738512.258066</v>
      </c>
      <c r="AE145" s="228">
        <v>5.533566874167286E-2</v>
      </c>
      <c r="AF145" s="27" t="s">
        <v>2842</v>
      </c>
      <c r="AG145" s="226" t="s">
        <v>2842</v>
      </c>
      <c r="AH145" s="226" t="s">
        <v>2842</v>
      </c>
      <c r="AI145" s="27">
        <v>885980000</v>
      </c>
      <c r="AJ145" s="226">
        <v>0.85077316643716561</v>
      </c>
      <c r="AK145" s="27">
        <v>181403561.09573346</v>
      </c>
      <c r="AL145" s="226">
        <v>4.1551996302994754</v>
      </c>
      <c r="AM145" s="27">
        <v>449762562.1977368</v>
      </c>
      <c r="AN145" s="271">
        <v>1.6759243061867122</v>
      </c>
      <c r="AO145" s="27">
        <v>17223277</v>
      </c>
      <c r="AP145" s="27" t="s">
        <v>2842</v>
      </c>
      <c r="AQ145" s="27">
        <v>51.639048780487812</v>
      </c>
      <c r="AR145" s="27">
        <v>83.6</v>
      </c>
      <c r="AS145" s="29" t="s">
        <v>2842</v>
      </c>
      <c r="AT145" s="270">
        <v>27</v>
      </c>
      <c r="AU145" s="464">
        <v>34.155175303167042</v>
      </c>
      <c r="AV145" s="29">
        <v>-1.1150972263310801</v>
      </c>
      <c r="AW145" s="29">
        <v>-0.47007963485950599</v>
      </c>
      <c r="AX145" s="29">
        <v>-0.65344354487143197</v>
      </c>
      <c r="AY145" s="29">
        <v>-0.83103053297366403</v>
      </c>
      <c r="AZ145" s="60">
        <v>-0.86248062128245095</v>
      </c>
    </row>
    <row r="146" spans="1:52" s="29" customFormat="1" ht="15" customHeight="1">
      <c r="A146" s="63" t="s">
        <v>101</v>
      </c>
      <c r="B146" s="27">
        <v>2003</v>
      </c>
      <c r="C146" s="27" t="s">
        <v>96</v>
      </c>
      <c r="D146" s="27" t="s">
        <v>81</v>
      </c>
      <c r="E146" s="27" t="s">
        <v>552</v>
      </c>
      <c r="F146" s="41" t="s">
        <v>552</v>
      </c>
      <c r="G146" s="43">
        <f>53000000000*0.0283168</f>
        <v>1500790400</v>
      </c>
      <c r="H146" s="43"/>
      <c r="I146" s="43"/>
      <c r="J146" s="43"/>
      <c r="K146" s="27" t="s">
        <v>599</v>
      </c>
      <c r="L146" s="28">
        <v>0.16410100000000002</v>
      </c>
      <c r="M146" s="27" t="s">
        <v>600</v>
      </c>
      <c r="N146" s="27" t="s">
        <v>816</v>
      </c>
      <c r="O146" s="18">
        <f>G146*L146</f>
        <v>246281205.43040004</v>
      </c>
      <c r="P146" s="245"/>
      <c r="Q146" s="213"/>
      <c r="R146" s="27"/>
      <c r="S146" s="27"/>
      <c r="T146" s="27"/>
      <c r="U146" s="27"/>
      <c r="V146" s="27"/>
      <c r="W146" s="30"/>
      <c r="X146" s="27"/>
      <c r="Y146" s="27"/>
      <c r="Z146" s="27"/>
      <c r="AA146" s="27"/>
      <c r="AB146" s="27"/>
      <c r="AC146" s="273">
        <v>753768010</v>
      </c>
      <c r="AD146" s="27">
        <v>13621738512.258066</v>
      </c>
      <c r="AE146" s="228">
        <v>5.533566874167286E-2</v>
      </c>
      <c r="AF146" s="27" t="s">
        <v>2842</v>
      </c>
      <c r="AG146" s="226" t="s">
        <v>2842</v>
      </c>
      <c r="AH146" s="226" t="s">
        <v>2842</v>
      </c>
      <c r="AI146" s="27">
        <v>885980000</v>
      </c>
      <c r="AJ146" s="226">
        <v>0.85077316643716561</v>
      </c>
      <c r="AK146" s="27">
        <v>181403561.09573346</v>
      </c>
      <c r="AL146" s="226">
        <v>4.1551996302994754</v>
      </c>
      <c r="AM146" s="27">
        <v>449762562.1977368</v>
      </c>
      <c r="AN146" s="271">
        <v>1.6759243061867122</v>
      </c>
      <c r="AO146" s="27">
        <v>17223277</v>
      </c>
      <c r="AP146" s="27" t="s">
        <v>2842</v>
      </c>
      <c r="AQ146" s="27">
        <v>51.639048780487812</v>
      </c>
      <c r="AR146" s="27">
        <v>83.6</v>
      </c>
      <c r="AS146" s="29" t="s">
        <v>2842</v>
      </c>
      <c r="AT146" s="270">
        <v>27</v>
      </c>
      <c r="AU146" s="464">
        <v>34.155175303167042</v>
      </c>
      <c r="AV146" s="29">
        <v>-1.1150972263310801</v>
      </c>
      <c r="AW146" s="29">
        <v>-0.47007963485950599</v>
      </c>
      <c r="AX146" s="29">
        <v>-0.65344354487143197</v>
      </c>
      <c r="AY146" s="29">
        <v>-0.83103053297366403</v>
      </c>
      <c r="AZ146" s="60">
        <v>-0.86248062128245095</v>
      </c>
    </row>
    <row r="147" spans="1:52" s="287" customFormat="1" ht="15" customHeight="1">
      <c r="A147" s="359" t="s">
        <v>101</v>
      </c>
      <c r="B147" s="284">
        <v>2003</v>
      </c>
      <c r="C147" s="284" t="s">
        <v>96</v>
      </c>
      <c r="D147" s="284" t="s">
        <v>81</v>
      </c>
      <c r="E147" s="284" t="s">
        <v>98</v>
      </c>
      <c r="F147" s="315" t="s">
        <v>98</v>
      </c>
      <c r="G147" s="303"/>
      <c r="H147" s="303">
        <v>35600000</v>
      </c>
      <c r="I147" s="303"/>
      <c r="J147" s="303"/>
      <c r="K147" s="284" t="s">
        <v>603</v>
      </c>
      <c r="L147" s="304">
        <v>27.12</v>
      </c>
      <c r="M147" s="284" t="s">
        <v>626</v>
      </c>
      <c r="N147" s="284" t="s">
        <v>817</v>
      </c>
      <c r="O147" s="305">
        <f>H147*L147</f>
        <v>965472000</v>
      </c>
      <c r="P147" s="306"/>
      <c r="Q147" s="306"/>
      <c r="R147" s="284"/>
      <c r="S147" s="284"/>
      <c r="T147" s="284"/>
      <c r="U147" s="284"/>
      <c r="V147" s="284"/>
      <c r="W147" s="307"/>
      <c r="X147" s="284"/>
      <c r="Y147" s="284"/>
      <c r="Z147" s="284"/>
      <c r="AA147" s="284" t="s">
        <v>810</v>
      </c>
      <c r="AB147" s="284"/>
      <c r="AC147" s="308">
        <v>753768010</v>
      </c>
      <c r="AD147" s="284">
        <v>13621738512.258066</v>
      </c>
      <c r="AE147" s="309">
        <v>5.533566874167286E-2</v>
      </c>
      <c r="AF147" s="284" t="s">
        <v>2842</v>
      </c>
      <c r="AG147" s="310" t="s">
        <v>2842</v>
      </c>
      <c r="AH147" s="310" t="s">
        <v>2842</v>
      </c>
      <c r="AI147" s="284">
        <v>885980000</v>
      </c>
      <c r="AJ147" s="310">
        <v>0.85077316643716561</v>
      </c>
      <c r="AK147" s="284">
        <v>181403561.09573346</v>
      </c>
      <c r="AL147" s="310">
        <v>4.1551996302994754</v>
      </c>
      <c r="AM147" s="284">
        <v>449762562.1977368</v>
      </c>
      <c r="AN147" s="311">
        <v>1.6759243061867122</v>
      </c>
      <c r="AO147" s="284">
        <v>17223277</v>
      </c>
      <c r="AP147" s="284" t="s">
        <v>2842</v>
      </c>
      <c r="AQ147" s="284">
        <v>51.639048780487812</v>
      </c>
      <c r="AR147" s="284">
        <v>83.6</v>
      </c>
      <c r="AS147" s="287" t="s">
        <v>2842</v>
      </c>
      <c r="AT147" s="312">
        <v>27</v>
      </c>
      <c r="AU147" s="465">
        <v>34.155175303167042</v>
      </c>
      <c r="AV147" s="287">
        <v>-1.1150972263310801</v>
      </c>
      <c r="AW147" s="287">
        <v>-0.47007963485950599</v>
      </c>
      <c r="AX147" s="287">
        <v>-0.65344354487143197</v>
      </c>
      <c r="AY147" s="287">
        <v>-0.83103053297366403</v>
      </c>
      <c r="AZ147" s="313">
        <v>-0.86248062128245095</v>
      </c>
    </row>
    <row r="148" spans="1:52" ht="15" customHeight="1">
      <c r="A148" s="347" t="s">
        <v>102</v>
      </c>
      <c r="B148" s="27">
        <v>2004</v>
      </c>
      <c r="C148" s="27" t="s">
        <v>96</v>
      </c>
      <c r="D148" s="27" t="s">
        <v>81</v>
      </c>
      <c r="E148" s="27" t="s">
        <v>50</v>
      </c>
      <c r="F148" s="41" t="s">
        <v>659</v>
      </c>
      <c r="G148" s="43"/>
      <c r="H148" s="43"/>
      <c r="I148" s="43"/>
      <c r="J148" s="43"/>
      <c r="K148" s="27"/>
      <c r="L148" s="28"/>
      <c r="M148" s="27"/>
      <c r="N148" s="27"/>
      <c r="O148" s="18">
        <f>SUM(O149:O150)</f>
        <v>1525801114.368</v>
      </c>
      <c r="P148" s="213">
        <v>954798250</v>
      </c>
      <c r="Q148" s="213">
        <v>172493250</v>
      </c>
      <c r="R148" s="27" t="s">
        <v>3745</v>
      </c>
      <c r="S148" s="27" t="s">
        <v>818</v>
      </c>
      <c r="T148" s="18">
        <v>790175100</v>
      </c>
      <c r="U148" s="29" t="s">
        <v>702</v>
      </c>
      <c r="V148" s="27" t="s">
        <v>802</v>
      </c>
      <c r="W148" s="30" t="s">
        <v>803</v>
      </c>
      <c r="X148" s="27">
        <v>5</v>
      </c>
      <c r="Y148" s="27" t="s">
        <v>805</v>
      </c>
      <c r="Z148" s="27">
        <v>4</v>
      </c>
      <c r="AA148" s="27">
        <v>23</v>
      </c>
      <c r="AB148" s="27" t="s">
        <v>819</v>
      </c>
      <c r="AC148" s="273">
        <v>954798250</v>
      </c>
      <c r="AD148" s="27">
        <v>15775356736.764538</v>
      </c>
      <c r="AE148" s="228">
        <v>6.0524669326484294E-2</v>
      </c>
      <c r="AF148" s="27" t="s">
        <v>2842</v>
      </c>
      <c r="AG148" s="226" t="s">
        <v>2842</v>
      </c>
      <c r="AH148" s="226" t="s">
        <v>2842</v>
      </c>
      <c r="AI148" s="27">
        <v>790660000</v>
      </c>
      <c r="AJ148" s="226">
        <v>1.2075965016568437</v>
      </c>
      <c r="AK148" s="27">
        <v>178204471.96488181</v>
      </c>
      <c r="AL148" s="226">
        <v>5.3578804138437057</v>
      </c>
      <c r="AM148" s="27">
        <v>525305181.51319599</v>
      </c>
      <c r="AN148" s="271">
        <v>1.8176067619390404</v>
      </c>
      <c r="AO148" s="27">
        <v>17674960</v>
      </c>
      <c r="AP148" s="27" t="s">
        <v>2842</v>
      </c>
      <c r="AQ148" s="27">
        <v>51.716487804878049</v>
      </c>
      <c r="AR148" s="27">
        <v>80.7</v>
      </c>
      <c r="AS148" s="29" t="s">
        <v>2842</v>
      </c>
      <c r="AT148" s="270">
        <v>27</v>
      </c>
      <c r="AU148" s="464">
        <v>34.155175303167042</v>
      </c>
      <c r="AV148" s="29">
        <v>-0.98623903413653502</v>
      </c>
      <c r="AW148" s="29">
        <v>-0.39775625190285202</v>
      </c>
      <c r="AX148" s="29">
        <v>-0.69789056431586705</v>
      </c>
      <c r="AY148" s="29">
        <v>-0.67993853266652604</v>
      </c>
      <c r="AZ148" s="60">
        <v>-1.0729613994724601</v>
      </c>
    </row>
    <row r="149" spans="1:52" ht="15" customHeight="1">
      <c r="A149" s="63" t="s">
        <v>102</v>
      </c>
      <c r="B149" s="27">
        <v>2004</v>
      </c>
      <c r="C149" s="27" t="s">
        <v>96</v>
      </c>
      <c r="D149" s="27" t="s">
        <v>81</v>
      </c>
      <c r="E149" s="27" t="s">
        <v>552</v>
      </c>
      <c r="F149" s="41" t="s">
        <v>552</v>
      </c>
      <c r="G149" s="43">
        <f>60000000000*0.0283168</f>
        <v>1699008000</v>
      </c>
      <c r="H149" s="43"/>
      <c r="I149" s="43"/>
      <c r="J149" s="43"/>
      <c r="K149" s="27" t="s">
        <v>599</v>
      </c>
      <c r="L149" s="28">
        <v>0.18254599999999999</v>
      </c>
      <c r="M149" s="27" t="s">
        <v>600</v>
      </c>
      <c r="N149" s="27" t="s">
        <v>816</v>
      </c>
      <c r="O149" s="18">
        <f>G149*L149</f>
        <v>310147114.36799997</v>
      </c>
      <c r="P149" s="245"/>
      <c r="Q149" s="213"/>
      <c r="R149" s="27"/>
      <c r="S149" s="27"/>
      <c r="T149" s="27"/>
      <c r="U149" s="27"/>
      <c r="V149" s="27"/>
      <c r="W149" s="30"/>
      <c r="X149" s="27"/>
      <c r="Y149" s="27"/>
      <c r="Z149" s="27"/>
      <c r="AA149" s="27"/>
      <c r="AB149" s="27"/>
      <c r="AC149" s="273">
        <v>954798250</v>
      </c>
      <c r="AD149" s="27">
        <v>15775356736.764538</v>
      </c>
      <c r="AE149" s="228">
        <v>6.0524669326484294E-2</v>
      </c>
      <c r="AF149" s="27" t="s">
        <v>2842</v>
      </c>
      <c r="AG149" s="226" t="s">
        <v>2842</v>
      </c>
      <c r="AH149" s="226" t="s">
        <v>2842</v>
      </c>
      <c r="AI149" s="27">
        <v>790660000</v>
      </c>
      <c r="AJ149" s="226">
        <v>1.2075965016568437</v>
      </c>
      <c r="AK149" s="27">
        <v>178204471.96488181</v>
      </c>
      <c r="AL149" s="226">
        <v>5.3578804138437057</v>
      </c>
      <c r="AM149" s="27">
        <v>525305181.51319599</v>
      </c>
      <c r="AN149" s="271">
        <v>1.8176067619390404</v>
      </c>
      <c r="AO149" s="27">
        <v>17674960</v>
      </c>
      <c r="AP149" s="27" t="s">
        <v>2842</v>
      </c>
      <c r="AQ149" s="27">
        <v>51.716487804878049</v>
      </c>
      <c r="AR149" s="27">
        <v>80.7</v>
      </c>
      <c r="AS149" s="29" t="s">
        <v>2842</v>
      </c>
      <c r="AT149" s="270">
        <v>27</v>
      </c>
      <c r="AU149" s="464">
        <v>34.155175303167042</v>
      </c>
      <c r="AV149" s="29">
        <v>-0.98623903413653502</v>
      </c>
      <c r="AW149" s="29">
        <v>-0.39775625190285202</v>
      </c>
      <c r="AX149" s="29">
        <v>-0.69789056431586705</v>
      </c>
      <c r="AY149" s="29">
        <v>-0.67993853266652604</v>
      </c>
      <c r="AZ149" s="60">
        <v>-1.0729613994724601</v>
      </c>
    </row>
    <row r="150" spans="1:52" s="287" customFormat="1" ht="15" customHeight="1">
      <c r="A150" s="359" t="s">
        <v>102</v>
      </c>
      <c r="B150" s="284">
        <v>2004</v>
      </c>
      <c r="C150" s="284" t="s">
        <v>96</v>
      </c>
      <c r="D150" s="284" t="s">
        <v>81</v>
      </c>
      <c r="E150" s="284" t="s">
        <v>98</v>
      </c>
      <c r="F150" s="315" t="s">
        <v>98</v>
      </c>
      <c r="G150" s="303"/>
      <c r="H150" s="303">
        <v>32600000</v>
      </c>
      <c r="I150" s="303"/>
      <c r="J150" s="303"/>
      <c r="K150" s="284" t="s">
        <v>603</v>
      </c>
      <c r="L150" s="304">
        <v>37.29</v>
      </c>
      <c r="M150" s="284" t="s">
        <v>626</v>
      </c>
      <c r="N150" s="284" t="s">
        <v>817</v>
      </c>
      <c r="O150" s="305">
        <f>H150*L150</f>
        <v>1215654000</v>
      </c>
      <c r="P150" s="306"/>
      <c r="Q150" s="306"/>
      <c r="R150" s="284"/>
      <c r="S150" s="284"/>
      <c r="T150" s="284"/>
      <c r="U150" s="284"/>
      <c r="V150" s="284"/>
      <c r="W150" s="307"/>
      <c r="X150" s="284"/>
      <c r="Y150" s="284"/>
      <c r="Z150" s="284"/>
      <c r="AA150" s="284" t="s">
        <v>810</v>
      </c>
      <c r="AB150" s="284"/>
      <c r="AC150" s="308">
        <v>954798250</v>
      </c>
      <c r="AD150" s="284">
        <v>15775356736.764538</v>
      </c>
      <c r="AE150" s="309">
        <v>6.0524669326484294E-2</v>
      </c>
      <c r="AF150" s="284" t="s">
        <v>2842</v>
      </c>
      <c r="AG150" s="310" t="s">
        <v>2842</v>
      </c>
      <c r="AH150" s="310" t="s">
        <v>2842</v>
      </c>
      <c r="AI150" s="284">
        <v>790660000</v>
      </c>
      <c r="AJ150" s="310">
        <v>1.2075965016568437</v>
      </c>
      <c r="AK150" s="284">
        <v>178204471.96488181</v>
      </c>
      <c r="AL150" s="310">
        <v>5.3578804138437057</v>
      </c>
      <c r="AM150" s="284">
        <v>525305181.51319599</v>
      </c>
      <c r="AN150" s="311">
        <v>1.8176067619390404</v>
      </c>
      <c r="AO150" s="284">
        <v>17674960</v>
      </c>
      <c r="AP150" s="284" t="s">
        <v>2842</v>
      </c>
      <c r="AQ150" s="284">
        <v>51.716487804878049</v>
      </c>
      <c r="AR150" s="284">
        <v>80.7</v>
      </c>
      <c r="AS150" s="287" t="s">
        <v>2842</v>
      </c>
      <c r="AT150" s="312">
        <v>27</v>
      </c>
      <c r="AU150" s="465">
        <v>34.155175303167042</v>
      </c>
      <c r="AV150" s="287">
        <v>-0.98623903413653502</v>
      </c>
      <c r="AW150" s="287">
        <v>-0.39775625190285202</v>
      </c>
      <c r="AX150" s="287">
        <v>-0.69789056431586705</v>
      </c>
      <c r="AY150" s="287">
        <v>-0.67993853266652604</v>
      </c>
      <c r="AZ150" s="313">
        <v>-1.0729613994724601</v>
      </c>
    </row>
    <row r="151" spans="1:52" s="29" customFormat="1" ht="15" customHeight="1">
      <c r="A151" s="347" t="s">
        <v>103</v>
      </c>
      <c r="B151" s="27">
        <v>2005</v>
      </c>
      <c r="C151" s="27" t="s">
        <v>96</v>
      </c>
      <c r="D151" s="27" t="s">
        <v>81</v>
      </c>
      <c r="E151" s="27" t="s">
        <v>50</v>
      </c>
      <c r="F151" s="41" t="s">
        <v>659</v>
      </c>
      <c r="G151" s="43"/>
      <c r="H151" s="43"/>
      <c r="I151" s="43"/>
      <c r="J151" s="43"/>
      <c r="K151" s="27"/>
      <c r="L151" s="28"/>
      <c r="M151" s="27"/>
      <c r="N151" s="27"/>
      <c r="O151" s="18">
        <f>SUM(O152:O153)</f>
        <v>2027648359.2159998</v>
      </c>
      <c r="P151" s="213">
        <v>1188024922.5</v>
      </c>
      <c r="Q151" s="213">
        <v>204854380</v>
      </c>
      <c r="R151" s="27" t="s">
        <v>3745</v>
      </c>
      <c r="S151" s="27" t="s">
        <v>821</v>
      </c>
      <c r="T151" s="18">
        <v>984541382.5</v>
      </c>
      <c r="U151" s="29" t="s">
        <v>820</v>
      </c>
      <c r="V151" s="27" t="s">
        <v>802</v>
      </c>
      <c r="W151" s="30" t="s">
        <v>803</v>
      </c>
      <c r="X151" s="27">
        <v>13</v>
      </c>
      <c r="Y151" s="27" t="s">
        <v>822</v>
      </c>
      <c r="Z151" s="27">
        <v>10</v>
      </c>
      <c r="AA151" s="27">
        <v>22</v>
      </c>
      <c r="AB151" s="27" t="s">
        <v>823</v>
      </c>
      <c r="AC151" s="273">
        <v>1188024922.5</v>
      </c>
      <c r="AD151" s="27">
        <v>16587857509.442152</v>
      </c>
      <c r="AE151" s="228">
        <v>7.1620154792368551E-2</v>
      </c>
      <c r="AF151" s="27">
        <v>3034582652.7773471</v>
      </c>
      <c r="AG151" s="226">
        <v>0.39149532520153357</v>
      </c>
      <c r="AH151" s="226" t="s">
        <v>2842</v>
      </c>
      <c r="AI151" s="27">
        <v>413930000</v>
      </c>
      <c r="AJ151" s="226">
        <v>2.8701107010847244</v>
      </c>
      <c r="AK151" s="27">
        <v>185796424.37716824</v>
      </c>
      <c r="AL151" s="226">
        <v>6.3942292026476242</v>
      </c>
      <c r="AM151" s="27">
        <v>518075283.30639917</v>
      </c>
      <c r="AN151" s="271">
        <v>2.2931511322407179</v>
      </c>
      <c r="AO151" s="27">
        <v>18137734</v>
      </c>
      <c r="AP151" s="27" t="s">
        <v>2842</v>
      </c>
      <c r="AQ151" s="27">
        <v>51.889048780487805</v>
      </c>
      <c r="AR151" s="27">
        <v>78</v>
      </c>
      <c r="AS151" s="29" t="s">
        <v>2842</v>
      </c>
      <c r="AT151" s="270">
        <v>27</v>
      </c>
      <c r="AU151" s="464">
        <v>34.155175303167042</v>
      </c>
      <c r="AV151" s="29">
        <v>-1.0165791068904999</v>
      </c>
      <c r="AW151" s="29">
        <v>-0.176222749066622</v>
      </c>
      <c r="AX151" s="29">
        <v>-0.88054905805443695</v>
      </c>
      <c r="AY151" s="29">
        <v>-0.86135757300024196</v>
      </c>
      <c r="AZ151" s="60">
        <v>-1.16071758946795</v>
      </c>
    </row>
    <row r="152" spans="1:52" s="29" customFormat="1" ht="15" customHeight="1">
      <c r="A152" s="63" t="s">
        <v>103</v>
      </c>
      <c r="B152" s="27">
        <v>2005</v>
      </c>
      <c r="C152" s="27" t="s">
        <v>96</v>
      </c>
      <c r="D152" s="27" t="s">
        <v>81</v>
      </c>
      <c r="E152" s="27" t="s">
        <v>552</v>
      </c>
      <c r="F152" s="41" t="s">
        <v>552</v>
      </c>
      <c r="G152" s="43">
        <f>65000000000*0.0283168</f>
        <v>1840592000</v>
      </c>
      <c r="H152" s="43"/>
      <c r="I152" s="43"/>
      <c r="J152" s="43"/>
      <c r="K152" s="27" t="s">
        <v>599</v>
      </c>
      <c r="L152" s="28">
        <v>0.27869799999999995</v>
      </c>
      <c r="M152" s="27" t="s">
        <v>600</v>
      </c>
      <c r="N152" s="27" t="s">
        <v>816</v>
      </c>
      <c r="O152" s="18">
        <f>G152*L152</f>
        <v>512969309.2159999</v>
      </c>
      <c r="P152" s="245"/>
      <c r="Q152" s="213"/>
      <c r="R152" s="27"/>
      <c r="S152" s="27"/>
      <c r="T152" s="27"/>
      <c r="U152" s="27"/>
      <c r="V152" s="27"/>
      <c r="W152" s="30"/>
      <c r="X152" s="27"/>
      <c r="Y152" s="27"/>
      <c r="Z152" s="27"/>
      <c r="AA152" s="27"/>
      <c r="AB152" s="27"/>
      <c r="AC152" s="273">
        <v>1188024922.5</v>
      </c>
      <c r="AD152" s="27">
        <v>16587857509.442152</v>
      </c>
      <c r="AE152" s="228">
        <v>7.1620154792368551E-2</v>
      </c>
      <c r="AF152" s="27">
        <v>3034582652.7773471</v>
      </c>
      <c r="AG152" s="226">
        <v>0.39149532520153357</v>
      </c>
      <c r="AH152" s="226" t="s">
        <v>2842</v>
      </c>
      <c r="AI152" s="27">
        <v>413930000</v>
      </c>
      <c r="AJ152" s="226">
        <v>2.8701107010847244</v>
      </c>
      <c r="AK152" s="27">
        <v>185796424.37716824</v>
      </c>
      <c r="AL152" s="226">
        <v>6.3942292026476242</v>
      </c>
      <c r="AM152" s="27">
        <v>518075283.30639917</v>
      </c>
      <c r="AN152" s="271">
        <v>2.2931511322407179</v>
      </c>
      <c r="AO152" s="27">
        <v>18137734</v>
      </c>
      <c r="AP152" s="27" t="s">
        <v>2842</v>
      </c>
      <c r="AQ152" s="27">
        <v>51.889048780487805</v>
      </c>
      <c r="AR152" s="27">
        <v>78</v>
      </c>
      <c r="AS152" s="29" t="s">
        <v>2842</v>
      </c>
      <c r="AT152" s="270">
        <v>27</v>
      </c>
      <c r="AU152" s="464">
        <v>34.155175303167042</v>
      </c>
      <c r="AV152" s="29">
        <v>-1.0165791068904999</v>
      </c>
      <c r="AW152" s="29">
        <v>-0.176222749066622</v>
      </c>
      <c r="AX152" s="29">
        <v>-0.88054905805443695</v>
      </c>
      <c r="AY152" s="29">
        <v>-0.86135757300024196</v>
      </c>
      <c r="AZ152" s="60">
        <v>-1.16071758946795</v>
      </c>
    </row>
    <row r="153" spans="1:52" s="287" customFormat="1" ht="15" customHeight="1">
      <c r="A153" s="359" t="s">
        <v>103</v>
      </c>
      <c r="B153" s="284">
        <v>2005</v>
      </c>
      <c r="C153" s="284" t="s">
        <v>96</v>
      </c>
      <c r="D153" s="284" t="s">
        <v>81</v>
      </c>
      <c r="E153" s="284" t="s">
        <v>98</v>
      </c>
      <c r="F153" s="315" t="s">
        <v>98</v>
      </c>
      <c r="G153" s="303"/>
      <c r="H153" s="303">
        <v>30083000</v>
      </c>
      <c r="I153" s="303"/>
      <c r="J153" s="303"/>
      <c r="K153" s="284" t="s">
        <v>603</v>
      </c>
      <c r="L153" s="304">
        <v>50.35</v>
      </c>
      <c r="M153" s="284" t="s">
        <v>626</v>
      </c>
      <c r="N153" s="284" t="s">
        <v>817</v>
      </c>
      <c r="O153" s="305">
        <f>H153*L153</f>
        <v>1514679050</v>
      </c>
      <c r="P153" s="306"/>
      <c r="Q153" s="306"/>
      <c r="R153" s="284"/>
      <c r="S153" s="284"/>
      <c r="T153" s="284"/>
      <c r="U153" s="284"/>
      <c r="V153" s="284"/>
      <c r="W153" s="307"/>
      <c r="X153" s="284"/>
      <c r="Y153" s="284"/>
      <c r="Z153" s="284"/>
      <c r="AA153" s="284" t="s">
        <v>824</v>
      </c>
      <c r="AB153" s="284"/>
      <c r="AC153" s="308">
        <v>1188024922.5</v>
      </c>
      <c r="AD153" s="284">
        <v>16587857509.442152</v>
      </c>
      <c r="AE153" s="309">
        <v>7.1620154792368551E-2</v>
      </c>
      <c r="AF153" s="284">
        <v>3034582652.7773471</v>
      </c>
      <c r="AG153" s="310">
        <v>0.39149532520153357</v>
      </c>
      <c r="AH153" s="310" t="s">
        <v>2842</v>
      </c>
      <c r="AI153" s="284">
        <v>413930000</v>
      </c>
      <c r="AJ153" s="310">
        <v>2.8701107010847244</v>
      </c>
      <c r="AK153" s="284">
        <v>185796424.37716824</v>
      </c>
      <c r="AL153" s="310">
        <v>6.3942292026476242</v>
      </c>
      <c r="AM153" s="284">
        <v>518075283.30639917</v>
      </c>
      <c r="AN153" s="311">
        <v>2.2931511322407179</v>
      </c>
      <c r="AO153" s="284">
        <v>18137734</v>
      </c>
      <c r="AP153" s="284" t="s">
        <v>2842</v>
      </c>
      <c r="AQ153" s="284">
        <v>51.889048780487805</v>
      </c>
      <c r="AR153" s="284">
        <v>78</v>
      </c>
      <c r="AS153" s="287" t="s">
        <v>2842</v>
      </c>
      <c r="AT153" s="312">
        <v>27</v>
      </c>
      <c r="AU153" s="465">
        <v>34.155175303167042</v>
      </c>
      <c r="AV153" s="287">
        <v>-1.0165791068904999</v>
      </c>
      <c r="AW153" s="287">
        <v>-0.176222749066622</v>
      </c>
      <c r="AX153" s="287">
        <v>-0.88054905805443695</v>
      </c>
      <c r="AY153" s="287">
        <v>-0.86135757300024196</v>
      </c>
      <c r="AZ153" s="313">
        <v>-1.16071758946795</v>
      </c>
    </row>
    <row r="154" spans="1:52" ht="15" customHeight="1">
      <c r="A154" s="347" t="s">
        <v>106</v>
      </c>
      <c r="B154" s="27">
        <v>2006</v>
      </c>
      <c r="C154" s="27" t="s">
        <v>96</v>
      </c>
      <c r="D154" s="27" t="s">
        <v>81</v>
      </c>
      <c r="E154" s="27" t="s">
        <v>30</v>
      </c>
      <c r="F154" s="41" t="s">
        <v>659</v>
      </c>
      <c r="G154" s="43"/>
      <c r="H154" s="43"/>
      <c r="I154" s="43"/>
      <c r="J154" s="43"/>
      <c r="K154" s="27"/>
      <c r="L154" s="28"/>
      <c r="M154" s="27"/>
      <c r="N154" s="27"/>
      <c r="O154" s="18">
        <f>O155+O158</f>
        <v>2454548872.1367373</v>
      </c>
      <c r="P154" s="213">
        <f>231191297+T154</f>
        <v>1599006845.6187501</v>
      </c>
      <c r="Q154" s="213">
        <v>238822368</v>
      </c>
      <c r="R154" s="27" t="s">
        <v>3745</v>
      </c>
      <c r="S154" s="27" t="s">
        <v>827</v>
      </c>
      <c r="T154" s="18">
        <v>1367815548.6187501</v>
      </c>
      <c r="U154" s="29" t="s">
        <v>825</v>
      </c>
      <c r="V154" s="27" t="s">
        <v>826</v>
      </c>
      <c r="W154" s="30">
        <v>479.23899999999998</v>
      </c>
      <c r="X154" s="27">
        <v>21</v>
      </c>
      <c r="Y154" s="27" t="s">
        <v>828</v>
      </c>
      <c r="Z154" s="27">
        <v>10</v>
      </c>
      <c r="AA154" s="27" t="s">
        <v>829</v>
      </c>
      <c r="AB154" s="27" t="s">
        <v>830</v>
      </c>
      <c r="AC154" s="273">
        <v>1599006845.6187501</v>
      </c>
      <c r="AD154" s="27">
        <v>17953066391.113693</v>
      </c>
      <c r="AE154" s="228">
        <v>8.906594621686563E-2</v>
      </c>
      <c r="AF154" s="27">
        <v>3153815172.9269423</v>
      </c>
      <c r="AG154" s="226">
        <v>0.50700715100395988</v>
      </c>
      <c r="AH154" s="226" t="s">
        <v>2842</v>
      </c>
      <c r="AI154" s="27">
        <v>1718930000</v>
      </c>
      <c r="AJ154" s="226">
        <v>0.93023383478021215</v>
      </c>
      <c r="AK154" s="27">
        <v>193191173.50677067</v>
      </c>
      <c r="AL154" s="226">
        <v>8.2768110809302087</v>
      </c>
      <c r="AM154" s="27">
        <v>530635192.70886922</v>
      </c>
      <c r="AN154" s="271">
        <v>3.0133825791988857</v>
      </c>
      <c r="AO154" s="27">
        <v>18611937</v>
      </c>
      <c r="AP154" s="27" t="s">
        <v>2842</v>
      </c>
      <c r="AQ154" s="27">
        <v>52.15024390243903</v>
      </c>
      <c r="AR154" s="27">
        <v>75.5</v>
      </c>
      <c r="AS154" s="29" t="s">
        <v>2842</v>
      </c>
      <c r="AT154" s="270">
        <v>27</v>
      </c>
      <c r="AU154" s="464">
        <v>34.155175303167042</v>
      </c>
      <c r="AV154" s="29">
        <v>-1.0252529637096699</v>
      </c>
      <c r="AW154" s="29">
        <v>-0.26351750966880499</v>
      </c>
      <c r="AX154" s="29">
        <v>-0.92944433305378604</v>
      </c>
      <c r="AY154" s="29">
        <v>-0.83400093790035601</v>
      </c>
      <c r="AZ154" s="60">
        <v>-1.0266473517350001</v>
      </c>
    </row>
    <row r="155" spans="1:52" ht="15" customHeight="1">
      <c r="A155" s="63" t="s">
        <v>106</v>
      </c>
      <c r="B155" s="27">
        <v>2006</v>
      </c>
      <c r="C155" s="27" t="s">
        <v>96</v>
      </c>
      <c r="D155" s="27" t="s">
        <v>81</v>
      </c>
      <c r="E155" s="27" t="s">
        <v>50</v>
      </c>
      <c r="F155" s="41" t="s">
        <v>597</v>
      </c>
      <c r="G155" s="43"/>
      <c r="H155" s="43"/>
      <c r="I155" s="43"/>
      <c r="J155" s="43"/>
      <c r="K155" s="27"/>
      <c r="L155" s="28"/>
      <c r="M155" s="27"/>
      <c r="N155" s="27"/>
      <c r="O155" s="18">
        <f>SUM(O156:O157)</f>
        <v>2443535938.7367373</v>
      </c>
      <c r="P155" s="213">
        <f>230970070+T155</f>
        <v>1598785618.6187501</v>
      </c>
      <c r="Q155" s="213">
        <v>238374040</v>
      </c>
      <c r="R155" s="27"/>
      <c r="S155" s="27" t="s">
        <v>827</v>
      </c>
      <c r="T155" s="18">
        <v>1367815548.6187501</v>
      </c>
      <c r="U155" s="27"/>
      <c r="V155" s="27"/>
      <c r="W155" s="30"/>
      <c r="X155" s="27">
        <v>12</v>
      </c>
      <c r="Y155" s="27" t="s">
        <v>831</v>
      </c>
      <c r="Z155" s="27">
        <v>7</v>
      </c>
      <c r="AA155" s="27">
        <v>15</v>
      </c>
      <c r="AB155" s="27"/>
      <c r="AC155" s="273">
        <v>1599006845.6187501</v>
      </c>
      <c r="AD155" s="27">
        <v>17953066391.113693</v>
      </c>
      <c r="AE155" s="228">
        <v>8.906594621686563E-2</v>
      </c>
      <c r="AF155" s="27">
        <v>3153815172.9269423</v>
      </c>
      <c r="AG155" s="226">
        <v>0.50700715100395988</v>
      </c>
      <c r="AH155" s="226" t="s">
        <v>2842</v>
      </c>
      <c r="AI155" s="27">
        <v>1718930000</v>
      </c>
      <c r="AJ155" s="226">
        <v>0.93023383478021215</v>
      </c>
      <c r="AK155" s="27">
        <v>193191173.50677067</v>
      </c>
      <c r="AL155" s="226">
        <v>8.2768110809302087</v>
      </c>
      <c r="AM155" s="27">
        <v>530635192.70886922</v>
      </c>
      <c r="AN155" s="271">
        <v>3.0133825791988857</v>
      </c>
      <c r="AO155" s="27">
        <v>18611937</v>
      </c>
      <c r="AP155" s="27" t="s">
        <v>2842</v>
      </c>
      <c r="AQ155" s="27">
        <v>52.15024390243903</v>
      </c>
      <c r="AR155" s="27">
        <v>75.5</v>
      </c>
      <c r="AS155" s="29" t="s">
        <v>2842</v>
      </c>
      <c r="AT155" s="270">
        <v>27</v>
      </c>
      <c r="AU155" s="464">
        <v>34.155175303167042</v>
      </c>
      <c r="AV155" s="29">
        <v>-1.0252529637096699</v>
      </c>
      <c r="AW155" s="29">
        <v>-0.26351750966880499</v>
      </c>
      <c r="AX155" s="29">
        <v>-0.92944433305378604</v>
      </c>
      <c r="AY155" s="29">
        <v>-0.83400093790035601</v>
      </c>
      <c r="AZ155" s="60">
        <v>-1.0266473517350001</v>
      </c>
    </row>
    <row r="156" spans="1:52" ht="15" customHeight="1">
      <c r="A156" s="63" t="s">
        <v>106</v>
      </c>
      <c r="B156" s="27">
        <v>2006</v>
      </c>
      <c r="C156" s="27" t="s">
        <v>96</v>
      </c>
      <c r="D156" s="27" t="s">
        <v>81</v>
      </c>
      <c r="E156" s="27" t="s">
        <v>552</v>
      </c>
      <c r="F156" s="41" t="s">
        <v>552</v>
      </c>
      <c r="G156" s="43">
        <f>69000000000*0.0283168</f>
        <v>1953859200</v>
      </c>
      <c r="H156" s="43"/>
      <c r="I156" s="43"/>
      <c r="J156" s="43"/>
      <c r="K156" s="27" t="s">
        <v>599</v>
      </c>
      <c r="L156" s="28">
        <v>0.243474</v>
      </c>
      <c r="M156" s="27" t="s">
        <v>600</v>
      </c>
      <c r="N156" s="27" t="s">
        <v>816</v>
      </c>
      <c r="O156" s="18">
        <f>G156*L156</f>
        <v>475713914.86079997</v>
      </c>
      <c r="P156" s="245"/>
      <c r="Q156" s="213"/>
      <c r="R156" s="27"/>
      <c r="S156" s="27"/>
      <c r="T156" s="27"/>
      <c r="U156" s="27"/>
      <c r="V156" s="27"/>
      <c r="W156" s="30"/>
      <c r="X156" s="27"/>
      <c r="Y156" s="27"/>
      <c r="Z156" s="27"/>
      <c r="AA156" s="27"/>
      <c r="AB156" s="27"/>
      <c r="AC156" s="273">
        <v>1599006845.6187501</v>
      </c>
      <c r="AD156" s="27">
        <v>17953066391.113693</v>
      </c>
      <c r="AE156" s="228">
        <v>8.906594621686563E-2</v>
      </c>
      <c r="AF156" s="27">
        <v>3153815172.9269423</v>
      </c>
      <c r="AG156" s="226">
        <v>0.50700715100395988</v>
      </c>
      <c r="AH156" s="226" t="s">
        <v>2842</v>
      </c>
      <c r="AI156" s="27">
        <v>1718930000</v>
      </c>
      <c r="AJ156" s="226">
        <v>0.93023383478021215</v>
      </c>
      <c r="AK156" s="27">
        <v>193191173.50677067</v>
      </c>
      <c r="AL156" s="226">
        <v>8.2768110809302087</v>
      </c>
      <c r="AM156" s="27">
        <v>530635192.70886922</v>
      </c>
      <c r="AN156" s="271">
        <v>3.0133825791988857</v>
      </c>
      <c r="AO156" s="27">
        <v>18611937</v>
      </c>
      <c r="AP156" s="27" t="s">
        <v>2842</v>
      </c>
      <c r="AQ156" s="27">
        <v>52.15024390243903</v>
      </c>
      <c r="AR156" s="27">
        <v>75.5</v>
      </c>
      <c r="AS156" s="29" t="s">
        <v>2842</v>
      </c>
      <c r="AT156" s="270">
        <v>27</v>
      </c>
      <c r="AU156" s="464">
        <v>34.155175303167042</v>
      </c>
      <c r="AV156" s="29">
        <v>-1.0252529637096699</v>
      </c>
      <c r="AW156" s="29">
        <v>-0.26351750966880499</v>
      </c>
      <c r="AX156" s="29">
        <v>-0.92944433305378604</v>
      </c>
      <c r="AY156" s="29">
        <v>-0.83400093790035601</v>
      </c>
      <c r="AZ156" s="60">
        <v>-1.0266473517350001</v>
      </c>
    </row>
    <row r="157" spans="1:52" ht="15" customHeight="1">
      <c r="A157" s="63" t="s">
        <v>106</v>
      </c>
      <c r="B157" s="27">
        <v>2006</v>
      </c>
      <c r="C157" s="27" t="s">
        <v>96</v>
      </c>
      <c r="D157" s="27" t="s">
        <v>81</v>
      </c>
      <c r="E157" s="27" t="s">
        <v>98</v>
      </c>
      <c r="F157" s="41" t="s">
        <v>98</v>
      </c>
      <c r="G157" s="43"/>
      <c r="H157" s="43">
        <v>31910000</v>
      </c>
      <c r="I157" s="43"/>
      <c r="J157" s="43"/>
      <c r="K157" s="27" t="s">
        <v>603</v>
      </c>
      <c r="L157" s="28">
        <f>64.9340625*0.9497</f>
        <v>61.667879156249995</v>
      </c>
      <c r="M157" s="27" t="s">
        <v>626</v>
      </c>
      <c r="N157" s="27" t="s">
        <v>832</v>
      </c>
      <c r="O157" s="18">
        <f>H157*L157</f>
        <v>1967822023.8759375</v>
      </c>
      <c r="P157" s="213"/>
      <c r="Q157" s="213"/>
      <c r="R157" s="27"/>
      <c r="S157" s="27"/>
      <c r="T157" s="27"/>
      <c r="U157" s="27"/>
      <c r="V157" s="27"/>
      <c r="W157" s="30"/>
      <c r="X157" s="27"/>
      <c r="Y157" s="27"/>
      <c r="Z157" s="27"/>
      <c r="AA157" s="27">
        <v>50</v>
      </c>
      <c r="AB157" s="27"/>
      <c r="AC157" s="273">
        <v>1599006845.6187501</v>
      </c>
      <c r="AD157" s="27">
        <v>17953066391.113693</v>
      </c>
      <c r="AE157" s="228">
        <v>8.906594621686563E-2</v>
      </c>
      <c r="AF157" s="27">
        <v>3153815172.9269423</v>
      </c>
      <c r="AG157" s="226">
        <v>0.50700715100395988</v>
      </c>
      <c r="AH157" s="226" t="s">
        <v>2842</v>
      </c>
      <c r="AI157" s="27">
        <v>1718930000</v>
      </c>
      <c r="AJ157" s="226">
        <v>0.93023383478021215</v>
      </c>
      <c r="AK157" s="27">
        <v>193191173.50677067</v>
      </c>
      <c r="AL157" s="226">
        <v>8.2768110809302087</v>
      </c>
      <c r="AM157" s="27">
        <v>530635192.70886922</v>
      </c>
      <c r="AN157" s="271">
        <v>3.0133825791988857</v>
      </c>
      <c r="AO157" s="27">
        <v>18611937</v>
      </c>
      <c r="AP157" s="27" t="s">
        <v>2842</v>
      </c>
      <c r="AQ157" s="27">
        <v>52.15024390243903</v>
      </c>
      <c r="AR157" s="27">
        <v>75.5</v>
      </c>
      <c r="AS157" s="29" t="s">
        <v>2842</v>
      </c>
      <c r="AT157" s="270">
        <v>27</v>
      </c>
      <c r="AU157" s="464">
        <v>34.155175303167042</v>
      </c>
      <c r="AV157" s="29">
        <v>-1.0252529637096699</v>
      </c>
      <c r="AW157" s="29">
        <v>-0.26351750966880499</v>
      </c>
      <c r="AX157" s="29">
        <v>-0.92944433305378604</v>
      </c>
      <c r="AY157" s="29">
        <v>-0.83400093790035601</v>
      </c>
      <c r="AZ157" s="60">
        <v>-1.0266473517350001</v>
      </c>
    </row>
    <row r="158" spans="1:52" ht="15" customHeight="1">
      <c r="A158" s="63" t="s">
        <v>106</v>
      </c>
      <c r="B158" s="27">
        <v>2006</v>
      </c>
      <c r="C158" s="27" t="s">
        <v>96</v>
      </c>
      <c r="D158" s="27" t="s">
        <v>81</v>
      </c>
      <c r="E158" s="27" t="s">
        <v>19</v>
      </c>
      <c r="F158" s="41" t="s">
        <v>559</v>
      </c>
      <c r="G158" s="43"/>
      <c r="H158" s="43"/>
      <c r="I158" s="43"/>
      <c r="J158" s="43"/>
      <c r="K158" s="27"/>
      <c r="L158" s="28"/>
      <c r="M158" s="27"/>
      <c r="N158" s="27"/>
      <c r="O158" s="18">
        <f>SUM(O159:O163)</f>
        <v>11012933.4</v>
      </c>
      <c r="P158" s="246">
        <v>221227</v>
      </c>
      <c r="Q158" s="246">
        <v>448328</v>
      </c>
      <c r="R158" s="27"/>
      <c r="S158" s="27"/>
      <c r="T158" s="18"/>
      <c r="U158" s="27"/>
      <c r="V158" s="27"/>
      <c r="W158" s="30"/>
      <c r="X158" s="53">
        <v>9</v>
      </c>
      <c r="Y158" s="27" t="s">
        <v>833</v>
      </c>
      <c r="Z158" s="27">
        <v>3</v>
      </c>
      <c r="AA158" s="54" t="s">
        <v>834</v>
      </c>
      <c r="AB158" s="27"/>
      <c r="AC158" s="273">
        <v>1599006845.6187501</v>
      </c>
      <c r="AD158" s="27">
        <v>17953066391.113693</v>
      </c>
      <c r="AE158" s="228">
        <v>8.906594621686563E-2</v>
      </c>
      <c r="AF158" s="27">
        <v>3153815172.9269423</v>
      </c>
      <c r="AG158" s="226">
        <v>0.50700715100395988</v>
      </c>
      <c r="AH158" s="226" t="s">
        <v>2842</v>
      </c>
      <c r="AI158" s="27">
        <v>1718930000</v>
      </c>
      <c r="AJ158" s="226">
        <v>0.93023383478021215</v>
      </c>
      <c r="AK158" s="27">
        <v>193191173.50677067</v>
      </c>
      <c r="AL158" s="226">
        <v>8.2768110809302087</v>
      </c>
      <c r="AM158" s="27">
        <v>530635192.70886922</v>
      </c>
      <c r="AN158" s="271">
        <v>3.0133825791988857</v>
      </c>
      <c r="AO158" s="27">
        <v>18611937</v>
      </c>
      <c r="AP158" s="27" t="s">
        <v>2842</v>
      </c>
      <c r="AQ158" s="27">
        <v>52.15024390243903</v>
      </c>
      <c r="AR158" s="27">
        <v>75.5</v>
      </c>
      <c r="AS158" s="29" t="s">
        <v>2842</v>
      </c>
      <c r="AT158" s="270">
        <v>27</v>
      </c>
      <c r="AU158" s="464">
        <v>34.155175303167042</v>
      </c>
      <c r="AV158" s="29">
        <v>-1.0252529637096699</v>
      </c>
      <c r="AW158" s="29">
        <v>-0.26351750966880499</v>
      </c>
      <c r="AX158" s="29">
        <v>-0.92944433305378604</v>
      </c>
      <c r="AY158" s="29">
        <v>-0.83400093790035601</v>
      </c>
      <c r="AZ158" s="60">
        <v>-1.0266473517350001</v>
      </c>
    </row>
    <row r="159" spans="1:52" ht="15" customHeight="1">
      <c r="A159" s="63" t="s">
        <v>106</v>
      </c>
      <c r="B159" s="27">
        <v>2006</v>
      </c>
      <c r="C159" s="27" t="s">
        <v>96</v>
      </c>
      <c r="D159" s="27" t="s">
        <v>81</v>
      </c>
      <c r="E159" s="27" t="s">
        <v>19</v>
      </c>
      <c r="F159" s="41" t="s">
        <v>677</v>
      </c>
      <c r="G159" s="43">
        <v>10000</v>
      </c>
      <c r="H159" s="43"/>
      <c r="I159" s="43"/>
      <c r="J159" s="43"/>
      <c r="K159" s="27" t="s">
        <v>567</v>
      </c>
      <c r="L159" s="28">
        <f>10*0.1417</f>
        <v>1.4169999999999998</v>
      </c>
      <c r="M159" s="27" t="s">
        <v>568</v>
      </c>
      <c r="N159" s="27" t="s">
        <v>835</v>
      </c>
      <c r="O159" s="18">
        <f>G159*L159</f>
        <v>14169.999999999998</v>
      </c>
      <c r="P159" s="246"/>
      <c r="Q159" s="246"/>
      <c r="R159" s="27"/>
      <c r="S159" s="27"/>
      <c r="T159" s="18"/>
      <c r="U159" s="27"/>
      <c r="V159" s="27"/>
      <c r="W159" s="30"/>
      <c r="X159" s="53"/>
      <c r="Y159" s="27"/>
      <c r="Z159" s="27"/>
      <c r="AA159" s="54"/>
      <c r="AB159" s="27"/>
      <c r="AC159" s="273">
        <v>1599006845.6187501</v>
      </c>
      <c r="AD159" s="27">
        <v>17953066391.113693</v>
      </c>
      <c r="AE159" s="228">
        <v>8.906594621686563E-2</v>
      </c>
      <c r="AF159" s="27">
        <v>3153815172.9269423</v>
      </c>
      <c r="AG159" s="226">
        <v>0.50700715100395988</v>
      </c>
      <c r="AH159" s="226" t="s">
        <v>2842</v>
      </c>
      <c r="AI159" s="27">
        <v>1718930000</v>
      </c>
      <c r="AJ159" s="226">
        <v>0.93023383478021215</v>
      </c>
      <c r="AK159" s="27">
        <v>193191173.50677067</v>
      </c>
      <c r="AL159" s="226">
        <v>8.2768110809302087</v>
      </c>
      <c r="AM159" s="27">
        <v>530635192.70886922</v>
      </c>
      <c r="AN159" s="271">
        <v>3.0133825791988857</v>
      </c>
      <c r="AO159" s="27">
        <v>18611937</v>
      </c>
      <c r="AP159" s="27" t="s">
        <v>2842</v>
      </c>
      <c r="AQ159" s="27">
        <v>52.15024390243903</v>
      </c>
      <c r="AR159" s="27">
        <v>75.5</v>
      </c>
      <c r="AS159" s="29" t="s">
        <v>2842</v>
      </c>
      <c r="AT159" s="270">
        <v>27</v>
      </c>
      <c r="AU159" s="464">
        <v>34.155175303167042</v>
      </c>
      <c r="AV159" s="29">
        <v>-1.0252529637096699</v>
      </c>
      <c r="AW159" s="29">
        <v>-0.26351750966880499</v>
      </c>
      <c r="AX159" s="29">
        <v>-0.92944433305378604</v>
      </c>
      <c r="AY159" s="29">
        <v>-0.83400093790035601</v>
      </c>
      <c r="AZ159" s="60">
        <v>-1.0266473517350001</v>
      </c>
    </row>
    <row r="160" spans="1:52" ht="15" customHeight="1">
      <c r="A160" s="63" t="s">
        <v>106</v>
      </c>
      <c r="B160" s="27">
        <v>2006</v>
      </c>
      <c r="C160" s="27" t="s">
        <v>96</v>
      </c>
      <c r="D160" s="27" t="s">
        <v>81</v>
      </c>
      <c r="E160" s="27" t="s">
        <v>19</v>
      </c>
      <c r="F160" s="41" t="s">
        <v>730</v>
      </c>
      <c r="G160" s="43">
        <f>2000*32.150743126506</f>
        <v>64301.486253012001</v>
      </c>
      <c r="H160" s="43"/>
      <c r="I160" s="43"/>
      <c r="J160" s="43"/>
      <c r="K160" s="27" t="s">
        <v>731</v>
      </c>
      <c r="L160" s="28">
        <v>604.33583333333002</v>
      </c>
      <c r="M160" s="27" t="s">
        <v>732</v>
      </c>
      <c r="N160" s="55" t="s">
        <v>836</v>
      </c>
      <c r="O160" s="18"/>
      <c r="P160" s="246"/>
      <c r="Q160" s="246"/>
      <c r="R160" s="27"/>
      <c r="S160" s="27"/>
      <c r="T160" s="18"/>
      <c r="U160" s="27"/>
      <c r="V160" s="27"/>
      <c r="W160" s="30"/>
      <c r="X160" s="53"/>
      <c r="Y160" s="27"/>
      <c r="Z160" s="27"/>
      <c r="AA160" s="54"/>
      <c r="AB160" s="27" t="s">
        <v>837</v>
      </c>
      <c r="AC160" s="273">
        <v>1599006845.6187501</v>
      </c>
      <c r="AD160" s="27">
        <v>17953066391.113693</v>
      </c>
      <c r="AE160" s="228">
        <v>8.906594621686563E-2</v>
      </c>
      <c r="AF160" s="27">
        <v>3153815172.9269423</v>
      </c>
      <c r="AG160" s="226">
        <v>0.50700715100395988</v>
      </c>
      <c r="AH160" s="226" t="s">
        <v>2842</v>
      </c>
      <c r="AI160" s="27">
        <v>1718930000</v>
      </c>
      <c r="AJ160" s="226">
        <v>0.93023383478021215</v>
      </c>
      <c r="AK160" s="27">
        <v>193191173.50677067</v>
      </c>
      <c r="AL160" s="226">
        <v>8.2768110809302087</v>
      </c>
      <c r="AM160" s="27">
        <v>530635192.70886922</v>
      </c>
      <c r="AN160" s="271">
        <v>3.0133825791988857</v>
      </c>
      <c r="AO160" s="27">
        <v>18611937</v>
      </c>
      <c r="AP160" s="27" t="s">
        <v>2842</v>
      </c>
      <c r="AQ160" s="27">
        <v>52.15024390243903</v>
      </c>
      <c r="AR160" s="27">
        <v>75.5</v>
      </c>
      <c r="AS160" s="29" t="s">
        <v>2842</v>
      </c>
      <c r="AT160" s="270">
        <v>27</v>
      </c>
      <c r="AU160" s="464">
        <v>34.155175303167042</v>
      </c>
      <c r="AV160" s="29">
        <v>-1.0252529637096699</v>
      </c>
      <c r="AW160" s="29">
        <v>-0.26351750966880499</v>
      </c>
      <c r="AX160" s="29">
        <v>-0.92944433305378604</v>
      </c>
      <c r="AY160" s="29">
        <v>-0.83400093790035601</v>
      </c>
      <c r="AZ160" s="60">
        <v>-1.0266473517350001</v>
      </c>
    </row>
    <row r="161" spans="1:52" ht="15" customHeight="1">
      <c r="A161" s="63" t="s">
        <v>106</v>
      </c>
      <c r="B161" s="27">
        <v>2006</v>
      </c>
      <c r="C161" s="27" t="s">
        <v>96</v>
      </c>
      <c r="D161" s="27" t="s">
        <v>81</v>
      </c>
      <c r="E161" s="27" t="s">
        <v>19</v>
      </c>
      <c r="F161" s="41" t="s">
        <v>653</v>
      </c>
      <c r="G161" s="43">
        <v>100000</v>
      </c>
      <c r="H161" s="43"/>
      <c r="I161" s="43"/>
      <c r="J161" s="43"/>
      <c r="K161" s="27" t="s">
        <v>567</v>
      </c>
      <c r="L161" s="28">
        <f>7.52*1.8433</f>
        <v>13.861615999999998</v>
      </c>
      <c r="M161" s="27" t="s">
        <v>568</v>
      </c>
      <c r="N161" s="27" t="s">
        <v>838</v>
      </c>
      <c r="O161" s="18">
        <f>G161*L161</f>
        <v>1386161.5999999999</v>
      </c>
      <c r="P161" s="246"/>
      <c r="Q161" s="246"/>
      <c r="R161" s="27"/>
      <c r="S161" s="27"/>
      <c r="T161" s="18"/>
      <c r="U161" s="27"/>
      <c r="V161" s="27"/>
      <c r="W161" s="30"/>
      <c r="X161" s="53"/>
      <c r="Y161" s="27"/>
      <c r="Z161" s="27"/>
      <c r="AA161" s="54"/>
      <c r="AB161" s="27"/>
      <c r="AC161" s="273">
        <v>1599006845.6187501</v>
      </c>
      <c r="AD161" s="27">
        <v>17953066391.113693</v>
      </c>
      <c r="AE161" s="228">
        <v>8.906594621686563E-2</v>
      </c>
      <c r="AF161" s="27">
        <v>3153815172.9269423</v>
      </c>
      <c r="AG161" s="226">
        <v>0.50700715100395988</v>
      </c>
      <c r="AH161" s="226" t="s">
        <v>2842</v>
      </c>
      <c r="AI161" s="27">
        <v>1718930000</v>
      </c>
      <c r="AJ161" s="226">
        <v>0.93023383478021215</v>
      </c>
      <c r="AK161" s="27">
        <v>193191173.50677067</v>
      </c>
      <c r="AL161" s="226">
        <v>8.2768110809302087</v>
      </c>
      <c r="AM161" s="27">
        <v>530635192.70886922</v>
      </c>
      <c r="AN161" s="271">
        <v>3.0133825791988857</v>
      </c>
      <c r="AO161" s="27">
        <v>18611937</v>
      </c>
      <c r="AP161" s="27" t="s">
        <v>2842</v>
      </c>
      <c r="AQ161" s="27">
        <v>52.15024390243903</v>
      </c>
      <c r="AR161" s="27">
        <v>75.5</v>
      </c>
      <c r="AS161" s="29" t="s">
        <v>2842</v>
      </c>
      <c r="AT161" s="270">
        <v>27</v>
      </c>
      <c r="AU161" s="464">
        <v>34.155175303167042</v>
      </c>
      <c r="AV161" s="29">
        <v>-1.0252529637096699</v>
      </c>
      <c r="AW161" s="29">
        <v>-0.26351750966880499</v>
      </c>
      <c r="AX161" s="29">
        <v>-0.92944433305378604</v>
      </c>
      <c r="AY161" s="29">
        <v>-0.83400093790035601</v>
      </c>
      <c r="AZ161" s="60">
        <v>-1.0266473517350001</v>
      </c>
    </row>
    <row r="162" spans="1:52" ht="15" customHeight="1">
      <c r="A162" s="63" t="s">
        <v>106</v>
      </c>
      <c r="B162" s="27">
        <v>2006</v>
      </c>
      <c r="C162" s="27" t="s">
        <v>96</v>
      </c>
      <c r="D162" s="27" t="s">
        <v>81</v>
      </c>
      <c r="E162" s="27" t="s">
        <v>19</v>
      </c>
      <c r="F162" s="41" t="s">
        <v>839</v>
      </c>
      <c r="G162" s="43">
        <v>600000</v>
      </c>
      <c r="H162" s="43"/>
      <c r="I162" s="43"/>
      <c r="J162" s="43"/>
      <c r="K162" s="27" t="s">
        <v>567</v>
      </c>
      <c r="L162" s="28">
        <v>14.76</v>
      </c>
      <c r="M162" s="27" t="s">
        <v>568</v>
      </c>
      <c r="N162" s="27" t="s">
        <v>840</v>
      </c>
      <c r="O162" s="18">
        <f>G162*L162</f>
        <v>8856000</v>
      </c>
      <c r="P162" s="246"/>
      <c r="Q162" s="246"/>
      <c r="R162" s="27"/>
      <c r="S162" s="27"/>
      <c r="T162" s="18"/>
      <c r="U162" s="27"/>
      <c r="V162" s="27"/>
      <c r="W162" s="30"/>
      <c r="X162" s="53"/>
      <c r="Y162" s="27"/>
      <c r="Z162" s="27"/>
      <c r="AA162" s="54"/>
      <c r="AB162" s="27"/>
      <c r="AC162" s="273">
        <v>1599006845.6187501</v>
      </c>
      <c r="AD162" s="27">
        <v>17953066391.113693</v>
      </c>
      <c r="AE162" s="228">
        <v>8.906594621686563E-2</v>
      </c>
      <c r="AF162" s="27">
        <v>3153815172.9269423</v>
      </c>
      <c r="AG162" s="226">
        <v>0.50700715100395988</v>
      </c>
      <c r="AH162" s="226" t="s">
        <v>2842</v>
      </c>
      <c r="AI162" s="27">
        <v>1718930000</v>
      </c>
      <c r="AJ162" s="226">
        <v>0.93023383478021215</v>
      </c>
      <c r="AK162" s="27">
        <v>193191173.50677067</v>
      </c>
      <c r="AL162" s="226">
        <v>8.2768110809302087</v>
      </c>
      <c r="AM162" s="27">
        <v>530635192.70886922</v>
      </c>
      <c r="AN162" s="271">
        <v>3.0133825791988857</v>
      </c>
      <c r="AO162" s="27">
        <v>18611937</v>
      </c>
      <c r="AP162" s="27" t="s">
        <v>2842</v>
      </c>
      <c r="AQ162" s="27">
        <v>52.15024390243903</v>
      </c>
      <c r="AR162" s="27">
        <v>75.5</v>
      </c>
      <c r="AS162" s="29" t="s">
        <v>2842</v>
      </c>
      <c r="AT162" s="270">
        <v>27</v>
      </c>
      <c r="AU162" s="464">
        <v>34.155175303167042</v>
      </c>
      <c r="AV162" s="29">
        <v>-1.0252529637096699</v>
      </c>
      <c r="AW162" s="29">
        <v>-0.26351750966880499</v>
      </c>
      <c r="AX162" s="29">
        <v>-0.92944433305378604</v>
      </c>
      <c r="AY162" s="29">
        <v>-0.83400093790035601</v>
      </c>
      <c r="AZ162" s="60">
        <v>-1.0266473517350001</v>
      </c>
    </row>
    <row r="163" spans="1:52" s="287" customFormat="1" ht="15" customHeight="1">
      <c r="A163" s="359" t="s">
        <v>106</v>
      </c>
      <c r="B163" s="284">
        <v>2006</v>
      </c>
      <c r="C163" s="284" t="s">
        <v>96</v>
      </c>
      <c r="D163" s="284" t="s">
        <v>81</v>
      </c>
      <c r="E163" s="284" t="s">
        <v>19</v>
      </c>
      <c r="F163" s="315" t="s">
        <v>841</v>
      </c>
      <c r="G163" s="303">
        <v>600000</v>
      </c>
      <c r="H163" s="303"/>
      <c r="I163" s="303"/>
      <c r="J163" s="303"/>
      <c r="K163" s="284" t="s">
        <v>567</v>
      </c>
      <c r="L163" s="304">
        <f>6.47*0.1949</f>
        <v>1.2610029999999999</v>
      </c>
      <c r="M163" s="284" t="s">
        <v>568</v>
      </c>
      <c r="N163" s="284" t="s">
        <v>842</v>
      </c>
      <c r="O163" s="305">
        <f>G163*L163</f>
        <v>756601.79999999993</v>
      </c>
      <c r="P163" s="320"/>
      <c r="Q163" s="320"/>
      <c r="R163" s="284"/>
      <c r="S163" s="284"/>
      <c r="T163" s="305"/>
      <c r="U163" s="284"/>
      <c r="V163" s="284"/>
      <c r="W163" s="307"/>
      <c r="X163" s="302"/>
      <c r="Y163" s="284"/>
      <c r="Z163" s="284"/>
      <c r="AA163" s="321"/>
      <c r="AB163" s="284"/>
      <c r="AC163" s="308">
        <v>1599006845.6187501</v>
      </c>
      <c r="AD163" s="284">
        <v>17953066391.113693</v>
      </c>
      <c r="AE163" s="309">
        <v>8.906594621686563E-2</v>
      </c>
      <c r="AF163" s="284">
        <v>3153815172.9269423</v>
      </c>
      <c r="AG163" s="310">
        <v>0.50700715100395988</v>
      </c>
      <c r="AH163" s="310" t="s">
        <v>2842</v>
      </c>
      <c r="AI163" s="284">
        <v>1718930000</v>
      </c>
      <c r="AJ163" s="310">
        <v>0.93023383478021215</v>
      </c>
      <c r="AK163" s="284">
        <v>193191173.50677067</v>
      </c>
      <c r="AL163" s="310">
        <v>8.2768110809302087</v>
      </c>
      <c r="AM163" s="284">
        <v>530635192.70886922</v>
      </c>
      <c r="AN163" s="311">
        <v>3.0133825791988857</v>
      </c>
      <c r="AO163" s="284">
        <v>18611937</v>
      </c>
      <c r="AP163" s="284" t="s">
        <v>2842</v>
      </c>
      <c r="AQ163" s="284">
        <v>52.15024390243903</v>
      </c>
      <c r="AR163" s="284">
        <v>75.5</v>
      </c>
      <c r="AS163" s="287" t="s">
        <v>2842</v>
      </c>
      <c r="AT163" s="312">
        <v>27</v>
      </c>
      <c r="AU163" s="465">
        <v>34.155175303167042</v>
      </c>
      <c r="AV163" s="287">
        <v>-1.0252529637096699</v>
      </c>
      <c r="AW163" s="287">
        <v>-0.26351750966880499</v>
      </c>
      <c r="AX163" s="287">
        <v>-0.92944433305378604</v>
      </c>
      <c r="AY163" s="287">
        <v>-0.83400093790035601</v>
      </c>
      <c r="AZ163" s="313">
        <v>-1.0266473517350001</v>
      </c>
    </row>
    <row r="164" spans="1:52" s="29" customFormat="1" ht="15" customHeight="1">
      <c r="A164" s="347" t="s">
        <v>109</v>
      </c>
      <c r="B164" s="27">
        <v>2007</v>
      </c>
      <c r="C164" s="27" t="s">
        <v>96</v>
      </c>
      <c r="D164" s="27" t="s">
        <v>81</v>
      </c>
      <c r="E164" s="27" t="s">
        <v>30</v>
      </c>
      <c r="F164" s="41" t="s">
        <v>659</v>
      </c>
      <c r="G164" s="43"/>
      <c r="H164" s="43"/>
      <c r="I164" s="43"/>
      <c r="J164" s="43"/>
      <c r="K164" s="27"/>
      <c r="L164" s="28"/>
      <c r="M164" s="27"/>
      <c r="N164" s="27"/>
      <c r="O164" s="18">
        <f>O165+O168</f>
        <v>2586780987.5624003</v>
      </c>
      <c r="P164" s="213">
        <f>301649074.411023+T164</f>
        <v>1803241787.7304473</v>
      </c>
      <c r="Q164" s="213">
        <v>302485747.04919499</v>
      </c>
      <c r="R164" s="27" t="s">
        <v>3745</v>
      </c>
      <c r="S164" s="27" t="s">
        <v>843</v>
      </c>
      <c r="T164" s="18">
        <v>1501592713.3194242</v>
      </c>
      <c r="U164" s="29" t="s">
        <v>825</v>
      </c>
      <c r="V164" s="27" t="s">
        <v>826</v>
      </c>
      <c r="W164" s="30">
        <v>447.81</v>
      </c>
      <c r="X164" s="27">
        <v>21</v>
      </c>
      <c r="Y164" s="27" t="s">
        <v>805</v>
      </c>
      <c r="Z164" s="27">
        <v>10</v>
      </c>
      <c r="AA164" s="27" t="s">
        <v>829</v>
      </c>
      <c r="AB164" s="27" t="s">
        <v>844</v>
      </c>
      <c r="AC164" s="273">
        <v>1803241787.7304473</v>
      </c>
      <c r="AD164" s="27">
        <v>20431781120.178547</v>
      </c>
      <c r="AE164" s="228">
        <v>8.8256710324170179E-2</v>
      </c>
      <c r="AF164" s="27">
        <v>3566980347.9607711</v>
      </c>
      <c r="AG164" s="226">
        <v>0.50553734863197486</v>
      </c>
      <c r="AH164" s="226" t="s">
        <v>2842</v>
      </c>
      <c r="AI164" s="27">
        <v>1926290000</v>
      </c>
      <c r="AJ164" s="226">
        <v>0.9361216575543907</v>
      </c>
      <c r="AK164" s="27">
        <v>217757150.59758341</v>
      </c>
      <c r="AL164" s="226">
        <v>8.2809762287110811</v>
      </c>
      <c r="AM164" s="27">
        <v>687784831.95801032</v>
      </c>
      <c r="AN164" s="271">
        <v>2.621810926822731</v>
      </c>
      <c r="AO164" s="27">
        <v>19097676</v>
      </c>
      <c r="AP164" s="27">
        <v>39.9</v>
      </c>
      <c r="AQ164" s="27">
        <v>52.479146341463419</v>
      </c>
      <c r="AR164" s="27">
        <v>73.3</v>
      </c>
      <c r="AS164" s="29" t="s">
        <v>2842</v>
      </c>
      <c r="AT164" s="270">
        <v>27</v>
      </c>
      <c r="AU164" s="464">
        <v>34.155175303167042</v>
      </c>
      <c r="AV164" s="29">
        <v>-1.06182229722642</v>
      </c>
      <c r="AW164" s="29">
        <v>-0.33743375540982901</v>
      </c>
      <c r="AX164" s="29">
        <v>-0.82628211126179196</v>
      </c>
      <c r="AY164" s="29">
        <v>-0.83224265002023101</v>
      </c>
      <c r="AZ164" s="60">
        <v>-0.95124802612315695</v>
      </c>
    </row>
    <row r="165" spans="1:52" s="29" customFormat="1" ht="15" customHeight="1">
      <c r="A165" s="63" t="s">
        <v>109</v>
      </c>
      <c r="B165" s="27">
        <v>2007</v>
      </c>
      <c r="C165" s="27" t="s">
        <v>96</v>
      </c>
      <c r="D165" s="27" t="s">
        <v>81</v>
      </c>
      <c r="E165" s="27" t="s">
        <v>50</v>
      </c>
      <c r="F165" s="41" t="s">
        <v>597</v>
      </c>
      <c r="G165" s="43"/>
      <c r="H165" s="43"/>
      <c r="I165" s="43"/>
      <c r="J165" s="43"/>
      <c r="K165" s="27"/>
      <c r="L165" s="28"/>
      <c r="M165" s="27"/>
      <c r="N165" s="27"/>
      <c r="O165" s="18">
        <f>SUM(O166:O167)</f>
        <v>2575591048.2624002</v>
      </c>
      <c r="P165" s="213">
        <f>301290200+T165</f>
        <v>1802882913.3194242</v>
      </c>
      <c r="Q165" s="213">
        <v>302066810</v>
      </c>
      <c r="R165" s="27"/>
      <c r="S165" s="27" t="s">
        <v>843</v>
      </c>
      <c r="T165" s="18">
        <v>1501592713.3194242</v>
      </c>
      <c r="U165" s="27"/>
      <c r="V165" s="27"/>
      <c r="W165" s="30"/>
      <c r="X165" s="27">
        <v>12</v>
      </c>
      <c r="Y165" s="27" t="s">
        <v>831</v>
      </c>
      <c r="Z165" s="27">
        <v>7</v>
      </c>
      <c r="AA165" s="27">
        <v>15</v>
      </c>
      <c r="AB165" s="27"/>
      <c r="AC165" s="273">
        <v>1803241787.7304473</v>
      </c>
      <c r="AD165" s="27">
        <v>20431781120.178547</v>
      </c>
      <c r="AE165" s="228">
        <v>8.8256710324170179E-2</v>
      </c>
      <c r="AF165" s="27">
        <v>3566980347.9607711</v>
      </c>
      <c r="AG165" s="226">
        <v>0.50553734863197486</v>
      </c>
      <c r="AH165" s="226" t="s">
        <v>2842</v>
      </c>
      <c r="AI165" s="27">
        <v>1926290000</v>
      </c>
      <c r="AJ165" s="226">
        <v>0.9361216575543907</v>
      </c>
      <c r="AK165" s="27">
        <v>217757150.59758341</v>
      </c>
      <c r="AL165" s="226">
        <v>8.2809762287110811</v>
      </c>
      <c r="AM165" s="27">
        <v>687784831.95801032</v>
      </c>
      <c r="AN165" s="271">
        <v>2.621810926822731</v>
      </c>
      <c r="AO165" s="27">
        <v>19097676</v>
      </c>
      <c r="AP165" s="27">
        <v>39.9</v>
      </c>
      <c r="AQ165" s="27">
        <v>52.479146341463419</v>
      </c>
      <c r="AR165" s="27">
        <v>73.3</v>
      </c>
      <c r="AS165" s="29" t="s">
        <v>2842</v>
      </c>
      <c r="AT165" s="270">
        <v>27</v>
      </c>
      <c r="AU165" s="464">
        <v>34.155175303167042</v>
      </c>
      <c r="AV165" s="29">
        <v>-1.06182229722642</v>
      </c>
      <c r="AW165" s="29">
        <v>-0.33743375540982901</v>
      </c>
      <c r="AX165" s="29">
        <v>-0.82628211126179196</v>
      </c>
      <c r="AY165" s="29">
        <v>-0.83224265002023101</v>
      </c>
      <c r="AZ165" s="60">
        <v>-0.95124802612315695</v>
      </c>
    </row>
    <row r="166" spans="1:52" s="29" customFormat="1" ht="15" customHeight="1">
      <c r="A166" s="63" t="s">
        <v>109</v>
      </c>
      <c r="B166" s="27">
        <v>2007</v>
      </c>
      <c r="C166" s="27" t="s">
        <v>96</v>
      </c>
      <c r="D166" s="27" t="s">
        <v>81</v>
      </c>
      <c r="E166" s="27" t="s">
        <v>552</v>
      </c>
      <c r="F166" s="41" t="s">
        <v>552</v>
      </c>
      <c r="G166" s="43">
        <f>69000000000*0.0283168</f>
        <v>1953859200</v>
      </c>
      <c r="H166" s="43"/>
      <c r="I166" s="43"/>
      <c r="J166" s="43"/>
      <c r="K166" s="27" t="s">
        <v>599</v>
      </c>
      <c r="L166" s="28">
        <v>0.22764700000000004</v>
      </c>
      <c r="M166" s="27" t="s">
        <v>600</v>
      </c>
      <c r="N166" s="27" t="s">
        <v>816</v>
      </c>
      <c r="O166" s="18">
        <f>G166*L166</f>
        <v>444790185.30240011</v>
      </c>
      <c r="P166" s="245"/>
      <c r="Q166" s="213"/>
      <c r="R166" s="27"/>
      <c r="S166" s="27"/>
      <c r="T166" s="27"/>
      <c r="U166" s="27"/>
      <c r="V166" s="27"/>
      <c r="W166" s="30"/>
      <c r="X166" s="27"/>
      <c r="Y166" s="27"/>
      <c r="Z166" s="27"/>
      <c r="AA166" s="27"/>
      <c r="AB166" s="27"/>
      <c r="AC166" s="273">
        <v>1803241787.7304473</v>
      </c>
      <c r="AD166" s="27">
        <v>20431781120.178547</v>
      </c>
      <c r="AE166" s="228">
        <v>8.8256710324170179E-2</v>
      </c>
      <c r="AF166" s="27">
        <v>3566980347.9607711</v>
      </c>
      <c r="AG166" s="226">
        <v>0.50553734863197486</v>
      </c>
      <c r="AH166" s="226" t="s">
        <v>2842</v>
      </c>
      <c r="AI166" s="27">
        <v>1926290000</v>
      </c>
      <c r="AJ166" s="226">
        <v>0.9361216575543907</v>
      </c>
      <c r="AK166" s="27">
        <v>217757150.59758341</v>
      </c>
      <c r="AL166" s="226">
        <v>8.2809762287110811</v>
      </c>
      <c r="AM166" s="27">
        <v>687784831.95801032</v>
      </c>
      <c r="AN166" s="271">
        <v>2.621810926822731</v>
      </c>
      <c r="AO166" s="27">
        <v>19097676</v>
      </c>
      <c r="AP166" s="27">
        <v>39.9</v>
      </c>
      <c r="AQ166" s="27">
        <v>52.479146341463419</v>
      </c>
      <c r="AR166" s="27">
        <v>73.3</v>
      </c>
      <c r="AS166" s="29" t="s">
        <v>2842</v>
      </c>
      <c r="AT166" s="270">
        <v>27</v>
      </c>
      <c r="AU166" s="464">
        <v>34.155175303167042</v>
      </c>
      <c r="AV166" s="29">
        <v>-1.06182229722642</v>
      </c>
      <c r="AW166" s="29">
        <v>-0.33743375540982901</v>
      </c>
      <c r="AX166" s="29">
        <v>-0.82628211126179196</v>
      </c>
      <c r="AY166" s="29">
        <v>-0.83224265002023101</v>
      </c>
      <c r="AZ166" s="60">
        <v>-0.95124802612315695</v>
      </c>
    </row>
    <row r="167" spans="1:52" s="29" customFormat="1" ht="15" customHeight="1">
      <c r="A167" s="63" t="s">
        <v>109</v>
      </c>
      <c r="B167" s="27">
        <v>2007</v>
      </c>
      <c r="C167" s="27" t="s">
        <v>96</v>
      </c>
      <c r="D167" s="27" t="s">
        <v>81</v>
      </c>
      <c r="E167" s="27" t="s">
        <v>98</v>
      </c>
      <c r="F167" s="41" t="s">
        <v>98</v>
      </c>
      <c r="G167" s="43"/>
      <c r="H167" s="43">
        <v>31240000</v>
      </c>
      <c r="I167" s="43"/>
      <c r="J167" s="43"/>
      <c r="K167" s="27" t="s">
        <v>603</v>
      </c>
      <c r="L167" s="28">
        <f>71.82*0.9497</f>
        <v>68.207453999999998</v>
      </c>
      <c r="M167" s="27" t="s">
        <v>626</v>
      </c>
      <c r="N167" s="27" t="s">
        <v>832</v>
      </c>
      <c r="O167" s="18">
        <f>H167*L167</f>
        <v>2130800862.96</v>
      </c>
      <c r="P167" s="213"/>
      <c r="Q167" s="213"/>
      <c r="R167" s="27"/>
      <c r="S167" s="27"/>
      <c r="T167" s="27"/>
      <c r="U167" s="27"/>
      <c r="V167" s="27"/>
      <c r="W167" s="30"/>
      <c r="X167" s="27"/>
      <c r="Y167" s="27"/>
      <c r="Z167" s="27"/>
      <c r="AA167" s="27">
        <v>50</v>
      </c>
      <c r="AB167" s="27"/>
      <c r="AC167" s="273">
        <v>1803241787.7304473</v>
      </c>
      <c r="AD167" s="27">
        <v>20431781120.178547</v>
      </c>
      <c r="AE167" s="228">
        <v>8.8256710324170179E-2</v>
      </c>
      <c r="AF167" s="27">
        <v>3566980347.9607711</v>
      </c>
      <c r="AG167" s="226">
        <v>0.50553734863197486</v>
      </c>
      <c r="AH167" s="226" t="s">
        <v>2842</v>
      </c>
      <c r="AI167" s="27">
        <v>1926290000</v>
      </c>
      <c r="AJ167" s="226">
        <v>0.9361216575543907</v>
      </c>
      <c r="AK167" s="27">
        <v>217757150.59758341</v>
      </c>
      <c r="AL167" s="226">
        <v>8.2809762287110811</v>
      </c>
      <c r="AM167" s="27">
        <v>687784831.95801032</v>
      </c>
      <c r="AN167" s="271">
        <v>2.621810926822731</v>
      </c>
      <c r="AO167" s="27">
        <v>19097676</v>
      </c>
      <c r="AP167" s="27">
        <v>39.9</v>
      </c>
      <c r="AQ167" s="27">
        <v>52.479146341463419</v>
      </c>
      <c r="AR167" s="27">
        <v>73.3</v>
      </c>
      <c r="AS167" s="29" t="s">
        <v>2842</v>
      </c>
      <c r="AT167" s="270">
        <v>27</v>
      </c>
      <c r="AU167" s="464">
        <v>34.155175303167042</v>
      </c>
      <c r="AV167" s="29">
        <v>-1.06182229722642</v>
      </c>
      <c r="AW167" s="29">
        <v>-0.33743375540982901</v>
      </c>
      <c r="AX167" s="29">
        <v>-0.82628211126179196</v>
      </c>
      <c r="AY167" s="29">
        <v>-0.83224265002023101</v>
      </c>
      <c r="AZ167" s="60">
        <v>-0.95124802612315695</v>
      </c>
    </row>
    <row r="168" spans="1:52" s="29" customFormat="1" ht="15" customHeight="1">
      <c r="A168" s="63" t="s">
        <v>109</v>
      </c>
      <c r="B168" s="27">
        <v>2007</v>
      </c>
      <c r="C168" s="27" t="s">
        <v>96</v>
      </c>
      <c r="D168" s="27" t="s">
        <v>81</v>
      </c>
      <c r="E168" s="27" t="s">
        <v>19</v>
      </c>
      <c r="F168" s="41" t="s">
        <v>559</v>
      </c>
      <c r="G168" s="43"/>
      <c r="H168" s="43"/>
      <c r="I168" s="43"/>
      <c r="J168" s="43"/>
      <c r="K168" s="27"/>
      <c r="L168" s="28"/>
      <c r="M168" s="27"/>
      <c r="N168" s="27"/>
      <c r="O168" s="18">
        <f>SUM(O169:O173)</f>
        <v>11189939.300000001</v>
      </c>
      <c r="P168" s="246">
        <v>358874.41102253186</v>
      </c>
      <c r="Q168" s="246">
        <v>418937.0491949711</v>
      </c>
      <c r="R168" s="27"/>
      <c r="S168" s="27"/>
      <c r="T168" s="18"/>
      <c r="U168" s="27"/>
      <c r="V168" s="27"/>
      <c r="W168" s="30"/>
      <c r="X168" s="53">
        <v>9</v>
      </c>
      <c r="Y168" s="27" t="s">
        <v>833</v>
      </c>
      <c r="Z168" s="27">
        <v>3</v>
      </c>
      <c r="AA168" s="54" t="s">
        <v>834</v>
      </c>
      <c r="AB168" s="27"/>
      <c r="AC168" s="273">
        <v>1803241787.7304473</v>
      </c>
      <c r="AD168" s="27">
        <v>20431781120.178547</v>
      </c>
      <c r="AE168" s="228">
        <v>8.8256710324170179E-2</v>
      </c>
      <c r="AF168" s="27">
        <v>3566980347.9607711</v>
      </c>
      <c r="AG168" s="226">
        <v>0.50553734863197486</v>
      </c>
      <c r="AH168" s="226" t="s">
        <v>2842</v>
      </c>
      <c r="AI168" s="27">
        <v>1926290000</v>
      </c>
      <c r="AJ168" s="226">
        <v>0.9361216575543907</v>
      </c>
      <c r="AK168" s="27">
        <v>217757150.59758341</v>
      </c>
      <c r="AL168" s="226">
        <v>8.2809762287110811</v>
      </c>
      <c r="AM168" s="27">
        <v>687784831.95801032</v>
      </c>
      <c r="AN168" s="271">
        <v>2.621810926822731</v>
      </c>
      <c r="AO168" s="27">
        <v>19097676</v>
      </c>
      <c r="AP168" s="27">
        <v>39.9</v>
      </c>
      <c r="AQ168" s="27">
        <v>52.479146341463419</v>
      </c>
      <c r="AR168" s="27">
        <v>73.3</v>
      </c>
      <c r="AS168" s="29" t="s">
        <v>2842</v>
      </c>
      <c r="AT168" s="270">
        <v>27</v>
      </c>
      <c r="AU168" s="464">
        <v>34.155175303167042</v>
      </c>
      <c r="AV168" s="29">
        <v>-1.06182229722642</v>
      </c>
      <c r="AW168" s="29">
        <v>-0.33743375540982901</v>
      </c>
      <c r="AX168" s="29">
        <v>-0.82628211126179196</v>
      </c>
      <c r="AY168" s="29">
        <v>-0.83224265002023101</v>
      </c>
      <c r="AZ168" s="60">
        <v>-0.95124802612315695</v>
      </c>
    </row>
    <row r="169" spans="1:52" s="29" customFormat="1" ht="15" customHeight="1">
      <c r="A169" s="63" t="s">
        <v>109</v>
      </c>
      <c r="B169" s="27">
        <v>2007</v>
      </c>
      <c r="C169" s="27" t="s">
        <v>96</v>
      </c>
      <c r="D169" s="27" t="s">
        <v>81</v>
      </c>
      <c r="E169" s="27" t="s">
        <v>19</v>
      </c>
      <c r="F169" s="41" t="s">
        <v>677</v>
      </c>
      <c r="G169" s="43">
        <v>10000</v>
      </c>
      <c r="H169" s="43"/>
      <c r="I169" s="43"/>
      <c r="J169" s="43"/>
      <c r="K169" s="27" t="s">
        <v>567</v>
      </c>
      <c r="L169" s="28">
        <f>11*0.1417</f>
        <v>1.5587</v>
      </c>
      <c r="M169" s="27" t="s">
        <v>568</v>
      </c>
      <c r="N169" s="27" t="s">
        <v>835</v>
      </c>
      <c r="O169" s="18">
        <f>G169*L169</f>
        <v>15587</v>
      </c>
      <c r="P169" s="246"/>
      <c r="Q169" s="246"/>
      <c r="R169" s="27"/>
      <c r="S169" s="27"/>
      <c r="T169" s="18"/>
      <c r="U169" s="27"/>
      <c r="V169" s="27"/>
      <c r="W169" s="30"/>
      <c r="X169" s="53"/>
      <c r="Y169" s="27"/>
      <c r="Z169" s="27"/>
      <c r="AA169" s="54"/>
      <c r="AB169" s="27"/>
      <c r="AC169" s="273">
        <v>1803241787.7304473</v>
      </c>
      <c r="AD169" s="27">
        <v>20431781120.178547</v>
      </c>
      <c r="AE169" s="228">
        <v>8.8256710324170179E-2</v>
      </c>
      <c r="AF169" s="27">
        <v>3566980347.9607711</v>
      </c>
      <c r="AG169" s="226">
        <v>0.50553734863197486</v>
      </c>
      <c r="AH169" s="226" t="s">
        <v>2842</v>
      </c>
      <c r="AI169" s="27">
        <v>1926290000</v>
      </c>
      <c r="AJ169" s="226">
        <v>0.9361216575543907</v>
      </c>
      <c r="AK169" s="27">
        <v>217757150.59758341</v>
      </c>
      <c r="AL169" s="226">
        <v>8.2809762287110811</v>
      </c>
      <c r="AM169" s="27">
        <v>687784831.95801032</v>
      </c>
      <c r="AN169" s="271">
        <v>2.621810926822731</v>
      </c>
      <c r="AO169" s="27">
        <v>19097676</v>
      </c>
      <c r="AP169" s="27">
        <v>39.9</v>
      </c>
      <c r="AQ169" s="27">
        <v>52.479146341463419</v>
      </c>
      <c r="AR169" s="27">
        <v>73.3</v>
      </c>
      <c r="AS169" s="29" t="s">
        <v>2842</v>
      </c>
      <c r="AT169" s="270">
        <v>27</v>
      </c>
      <c r="AU169" s="464">
        <v>34.155175303167042</v>
      </c>
      <c r="AV169" s="29">
        <v>-1.06182229722642</v>
      </c>
      <c r="AW169" s="29">
        <v>-0.33743375540982901</v>
      </c>
      <c r="AX169" s="29">
        <v>-0.82628211126179196</v>
      </c>
      <c r="AY169" s="29">
        <v>-0.83224265002023101</v>
      </c>
      <c r="AZ169" s="60">
        <v>-0.95124802612315695</v>
      </c>
    </row>
    <row r="170" spans="1:52" s="29" customFormat="1" ht="15" customHeight="1">
      <c r="A170" s="63" t="s">
        <v>109</v>
      </c>
      <c r="B170" s="27">
        <v>2007</v>
      </c>
      <c r="C170" s="27" t="s">
        <v>96</v>
      </c>
      <c r="D170" s="27" t="s">
        <v>81</v>
      </c>
      <c r="E170" s="27" t="s">
        <v>19</v>
      </c>
      <c r="F170" s="41" t="s">
        <v>730</v>
      </c>
      <c r="G170" s="43">
        <f>2000*32.150743126506</f>
        <v>64301.486253012001</v>
      </c>
      <c r="H170" s="43"/>
      <c r="I170" s="43"/>
      <c r="J170" s="43"/>
      <c r="K170" s="27" t="s">
        <v>731</v>
      </c>
      <c r="L170" s="28">
        <v>696.72024999999996</v>
      </c>
      <c r="M170" s="27" t="s">
        <v>732</v>
      </c>
      <c r="N170" s="55" t="s">
        <v>836</v>
      </c>
      <c r="O170" s="18"/>
      <c r="P170" s="246"/>
      <c r="Q170" s="246"/>
      <c r="R170" s="27"/>
      <c r="S170" s="27"/>
      <c r="T170" s="18"/>
      <c r="U170" s="27"/>
      <c r="V170" s="27"/>
      <c r="W170" s="30"/>
      <c r="X170" s="53"/>
      <c r="Y170" s="27"/>
      <c r="Z170" s="27"/>
      <c r="AA170" s="54"/>
      <c r="AB170" s="27" t="s">
        <v>837</v>
      </c>
      <c r="AC170" s="273">
        <v>1803241787.7304473</v>
      </c>
      <c r="AD170" s="27">
        <v>20431781120.178547</v>
      </c>
      <c r="AE170" s="228">
        <v>8.8256710324170179E-2</v>
      </c>
      <c r="AF170" s="27">
        <v>3566980347.9607711</v>
      </c>
      <c r="AG170" s="226">
        <v>0.50553734863197486</v>
      </c>
      <c r="AH170" s="226" t="s">
        <v>2842</v>
      </c>
      <c r="AI170" s="27">
        <v>1926290000</v>
      </c>
      <c r="AJ170" s="226">
        <v>0.9361216575543907</v>
      </c>
      <c r="AK170" s="27">
        <v>217757150.59758341</v>
      </c>
      <c r="AL170" s="226">
        <v>8.2809762287110811</v>
      </c>
      <c r="AM170" s="27">
        <v>687784831.95801032</v>
      </c>
      <c r="AN170" s="271">
        <v>2.621810926822731</v>
      </c>
      <c r="AO170" s="27">
        <v>19097676</v>
      </c>
      <c r="AP170" s="27">
        <v>39.9</v>
      </c>
      <c r="AQ170" s="27">
        <v>52.479146341463419</v>
      </c>
      <c r="AR170" s="27">
        <v>73.3</v>
      </c>
      <c r="AS170" s="29" t="s">
        <v>2842</v>
      </c>
      <c r="AT170" s="270">
        <v>27</v>
      </c>
      <c r="AU170" s="464">
        <v>34.155175303167042</v>
      </c>
      <c r="AV170" s="29">
        <v>-1.06182229722642</v>
      </c>
      <c r="AW170" s="29">
        <v>-0.33743375540982901</v>
      </c>
      <c r="AX170" s="29">
        <v>-0.82628211126179196</v>
      </c>
      <c r="AY170" s="29">
        <v>-0.83224265002023101</v>
      </c>
      <c r="AZ170" s="60">
        <v>-0.95124802612315695</v>
      </c>
    </row>
    <row r="171" spans="1:52" s="29" customFormat="1" ht="15" customHeight="1">
      <c r="A171" s="63" t="s">
        <v>109</v>
      </c>
      <c r="B171" s="27">
        <v>2007</v>
      </c>
      <c r="C171" s="27" t="s">
        <v>96</v>
      </c>
      <c r="D171" s="27" t="s">
        <v>81</v>
      </c>
      <c r="E171" s="27" t="s">
        <v>19</v>
      </c>
      <c r="F171" s="41" t="s">
        <v>653</v>
      </c>
      <c r="G171" s="43">
        <v>100000</v>
      </c>
      <c r="H171" s="43"/>
      <c r="I171" s="43"/>
      <c r="J171" s="43"/>
      <c r="K171" s="27" t="s">
        <v>567</v>
      </c>
      <c r="L171" s="28">
        <f>8.13*1.8433</f>
        <v>14.986029</v>
      </c>
      <c r="M171" s="27" t="s">
        <v>568</v>
      </c>
      <c r="N171" s="27" t="s">
        <v>845</v>
      </c>
      <c r="O171" s="18">
        <f>G171*L171</f>
        <v>1498602.9000000001</v>
      </c>
      <c r="P171" s="246"/>
      <c r="Q171" s="246"/>
      <c r="R171" s="27"/>
      <c r="S171" s="27"/>
      <c r="T171" s="18"/>
      <c r="U171" s="27"/>
      <c r="V171" s="27"/>
      <c r="W171" s="30"/>
      <c r="X171" s="53"/>
      <c r="Y171" s="27"/>
      <c r="Z171" s="27"/>
      <c r="AA171" s="54"/>
      <c r="AB171" s="27"/>
      <c r="AC171" s="273">
        <v>1803241787.7304473</v>
      </c>
      <c r="AD171" s="27">
        <v>20431781120.178547</v>
      </c>
      <c r="AE171" s="228">
        <v>8.8256710324170179E-2</v>
      </c>
      <c r="AF171" s="27">
        <v>3566980347.9607711</v>
      </c>
      <c r="AG171" s="226">
        <v>0.50553734863197486</v>
      </c>
      <c r="AH171" s="226" t="s">
        <v>2842</v>
      </c>
      <c r="AI171" s="27">
        <v>1926290000</v>
      </c>
      <c r="AJ171" s="226">
        <v>0.9361216575543907</v>
      </c>
      <c r="AK171" s="27">
        <v>217757150.59758341</v>
      </c>
      <c r="AL171" s="226">
        <v>8.2809762287110811</v>
      </c>
      <c r="AM171" s="27">
        <v>687784831.95801032</v>
      </c>
      <c r="AN171" s="271">
        <v>2.621810926822731</v>
      </c>
      <c r="AO171" s="27">
        <v>19097676</v>
      </c>
      <c r="AP171" s="27">
        <v>39.9</v>
      </c>
      <c r="AQ171" s="27">
        <v>52.479146341463419</v>
      </c>
      <c r="AR171" s="27">
        <v>73.3</v>
      </c>
      <c r="AS171" s="29" t="s">
        <v>2842</v>
      </c>
      <c r="AT171" s="270">
        <v>27</v>
      </c>
      <c r="AU171" s="464">
        <v>34.155175303167042</v>
      </c>
      <c r="AV171" s="29">
        <v>-1.06182229722642</v>
      </c>
      <c r="AW171" s="29">
        <v>-0.33743375540982901</v>
      </c>
      <c r="AX171" s="29">
        <v>-0.82628211126179196</v>
      </c>
      <c r="AY171" s="29">
        <v>-0.83224265002023101</v>
      </c>
      <c r="AZ171" s="60">
        <v>-0.95124802612315695</v>
      </c>
    </row>
    <row r="172" spans="1:52" s="29" customFormat="1" ht="15" customHeight="1">
      <c r="A172" s="63" t="s">
        <v>109</v>
      </c>
      <c r="B172" s="27">
        <v>2007</v>
      </c>
      <c r="C172" s="27" t="s">
        <v>96</v>
      </c>
      <c r="D172" s="27" t="s">
        <v>81</v>
      </c>
      <c r="E172" s="27" t="s">
        <v>19</v>
      </c>
      <c r="F172" s="41" t="s">
        <v>839</v>
      </c>
      <c r="G172" s="43">
        <v>600000</v>
      </c>
      <c r="H172" s="43"/>
      <c r="I172" s="43"/>
      <c r="J172" s="43"/>
      <c r="K172" s="27" t="s">
        <v>567</v>
      </c>
      <c r="L172" s="28">
        <v>14.76</v>
      </c>
      <c r="M172" s="27" t="s">
        <v>568</v>
      </c>
      <c r="N172" s="27" t="s">
        <v>840</v>
      </c>
      <c r="O172" s="18">
        <f>G172*L172</f>
        <v>8856000</v>
      </c>
      <c r="P172" s="246"/>
      <c r="Q172" s="246"/>
      <c r="R172" s="27"/>
      <c r="S172" s="27"/>
      <c r="T172" s="18"/>
      <c r="U172" s="27"/>
      <c r="V172" s="27"/>
      <c r="W172" s="30"/>
      <c r="X172" s="53"/>
      <c r="Y172" s="27"/>
      <c r="Z172" s="27"/>
      <c r="AA172" s="54"/>
      <c r="AB172" s="27"/>
      <c r="AC172" s="273">
        <v>1803241787.7304473</v>
      </c>
      <c r="AD172" s="27">
        <v>20431781120.178547</v>
      </c>
      <c r="AE172" s="228">
        <v>8.8256710324170179E-2</v>
      </c>
      <c r="AF172" s="27">
        <v>3566980347.9607711</v>
      </c>
      <c r="AG172" s="226">
        <v>0.50553734863197486</v>
      </c>
      <c r="AH172" s="226" t="s">
        <v>2842</v>
      </c>
      <c r="AI172" s="27">
        <v>1926290000</v>
      </c>
      <c r="AJ172" s="226">
        <v>0.9361216575543907</v>
      </c>
      <c r="AK172" s="27">
        <v>217757150.59758341</v>
      </c>
      <c r="AL172" s="226">
        <v>8.2809762287110811</v>
      </c>
      <c r="AM172" s="27">
        <v>687784831.95801032</v>
      </c>
      <c r="AN172" s="271">
        <v>2.621810926822731</v>
      </c>
      <c r="AO172" s="27">
        <v>19097676</v>
      </c>
      <c r="AP172" s="27">
        <v>39.9</v>
      </c>
      <c r="AQ172" s="27">
        <v>52.479146341463419</v>
      </c>
      <c r="AR172" s="27">
        <v>73.3</v>
      </c>
      <c r="AS172" s="29" t="s">
        <v>2842</v>
      </c>
      <c r="AT172" s="270">
        <v>27</v>
      </c>
      <c r="AU172" s="464">
        <v>34.155175303167042</v>
      </c>
      <c r="AV172" s="29">
        <v>-1.06182229722642</v>
      </c>
      <c r="AW172" s="29">
        <v>-0.33743375540982901</v>
      </c>
      <c r="AX172" s="29">
        <v>-0.82628211126179196</v>
      </c>
      <c r="AY172" s="29">
        <v>-0.83224265002023101</v>
      </c>
      <c r="AZ172" s="60">
        <v>-0.95124802612315695</v>
      </c>
    </row>
    <row r="173" spans="1:52" s="287" customFormat="1" ht="15" customHeight="1">
      <c r="A173" s="359" t="s">
        <v>109</v>
      </c>
      <c r="B173" s="284">
        <v>2007</v>
      </c>
      <c r="C173" s="284" t="s">
        <v>96</v>
      </c>
      <c r="D173" s="284" t="s">
        <v>81</v>
      </c>
      <c r="E173" s="284" t="s">
        <v>19</v>
      </c>
      <c r="F173" s="315" t="s">
        <v>841</v>
      </c>
      <c r="G173" s="303">
        <v>600000</v>
      </c>
      <c r="H173" s="303"/>
      <c r="I173" s="303"/>
      <c r="J173" s="303"/>
      <c r="K173" s="284" t="s">
        <v>567</v>
      </c>
      <c r="L173" s="304">
        <f>7.01*0.1949</f>
        <v>1.3662489999999998</v>
      </c>
      <c r="M173" s="284" t="s">
        <v>568</v>
      </c>
      <c r="N173" s="284" t="s">
        <v>842</v>
      </c>
      <c r="O173" s="305">
        <f>G173*L173</f>
        <v>819749.39999999991</v>
      </c>
      <c r="P173" s="320"/>
      <c r="Q173" s="320"/>
      <c r="R173" s="284"/>
      <c r="S173" s="284"/>
      <c r="T173" s="305"/>
      <c r="U173" s="284"/>
      <c r="V173" s="284"/>
      <c r="W173" s="307"/>
      <c r="X173" s="302"/>
      <c r="Y173" s="284"/>
      <c r="Z173" s="284"/>
      <c r="AA173" s="321"/>
      <c r="AB173" s="284"/>
      <c r="AC173" s="308">
        <v>1803241787.7304473</v>
      </c>
      <c r="AD173" s="284">
        <v>20431781120.178547</v>
      </c>
      <c r="AE173" s="309">
        <v>8.8256710324170179E-2</v>
      </c>
      <c r="AF173" s="284">
        <v>3566980347.9607711</v>
      </c>
      <c r="AG173" s="310">
        <v>0.50553734863197486</v>
      </c>
      <c r="AH173" s="310" t="s">
        <v>2842</v>
      </c>
      <c r="AI173" s="284">
        <v>1926290000</v>
      </c>
      <c r="AJ173" s="310">
        <v>0.9361216575543907</v>
      </c>
      <c r="AK173" s="284">
        <v>217757150.59758341</v>
      </c>
      <c r="AL173" s="310">
        <v>8.2809762287110811</v>
      </c>
      <c r="AM173" s="284">
        <v>687784831.95801032</v>
      </c>
      <c r="AN173" s="311">
        <v>2.621810926822731</v>
      </c>
      <c r="AO173" s="284">
        <v>19097676</v>
      </c>
      <c r="AP173" s="284">
        <v>39.9</v>
      </c>
      <c r="AQ173" s="284">
        <v>52.479146341463419</v>
      </c>
      <c r="AR173" s="284">
        <v>73.3</v>
      </c>
      <c r="AS173" s="287" t="s">
        <v>2842</v>
      </c>
      <c r="AT173" s="312">
        <v>27</v>
      </c>
      <c r="AU173" s="465">
        <v>34.155175303167042</v>
      </c>
      <c r="AV173" s="287">
        <v>-1.06182229722642</v>
      </c>
      <c r="AW173" s="287">
        <v>-0.33743375540982901</v>
      </c>
      <c r="AX173" s="287">
        <v>-0.82628211126179196</v>
      </c>
      <c r="AY173" s="287">
        <v>-0.83224265002023101</v>
      </c>
      <c r="AZ173" s="313">
        <v>-0.95124802612315695</v>
      </c>
    </row>
    <row r="174" spans="1:52" ht="15" customHeight="1">
      <c r="A174" s="347" t="s">
        <v>110</v>
      </c>
      <c r="B174" s="27">
        <v>2008</v>
      </c>
      <c r="C174" s="27" t="s">
        <v>96</v>
      </c>
      <c r="D174" s="27" t="s">
        <v>81</v>
      </c>
      <c r="E174" s="27" t="s">
        <v>30</v>
      </c>
      <c r="F174" s="41" t="s">
        <v>659</v>
      </c>
      <c r="G174" s="43"/>
      <c r="H174" s="43"/>
      <c r="I174" s="43"/>
      <c r="J174" s="43"/>
      <c r="K174" s="27"/>
      <c r="L174" s="28"/>
      <c r="M174" s="27"/>
      <c r="N174" s="27"/>
      <c r="O174" s="18">
        <f>O175+O178</f>
        <v>3320522035.4024</v>
      </c>
      <c r="P174" s="213">
        <f>367736879.431585+T174</f>
        <v>2362223467.224865</v>
      </c>
      <c r="Q174" s="213">
        <v>370036064.80442196</v>
      </c>
      <c r="R174" s="27" t="s">
        <v>3745</v>
      </c>
      <c r="S174" s="27" t="s">
        <v>846</v>
      </c>
      <c r="T174" s="18">
        <v>1994486587.7932799</v>
      </c>
      <c r="U174" s="29" t="s">
        <v>825</v>
      </c>
      <c r="V174" s="27" t="s">
        <v>826</v>
      </c>
      <c r="W174" s="30">
        <v>472.19</v>
      </c>
      <c r="X174" s="27">
        <v>21</v>
      </c>
      <c r="Y174" s="27" t="s">
        <v>805</v>
      </c>
      <c r="Z174" s="27">
        <v>10</v>
      </c>
      <c r="AA174" s="27" t="s">
        <v>829</v>
      </c>
      <c r="AB174" s="27" t="s">
        <v>847</v>
      </c>
      <c r="AC174" s="273">
        <v>2362223467.224865</v>
      </c>
      <c r="AD174" s="27">
        <v>23322256428.012459</v>
      </c>
      <c r="AE174" s="228">
        <v>0.1012862316524223</v>
      </c>
      <c r="AF174" s="27">
        <v>3744155046.9531198</v>
      </c>
      <c r="AG174" s="226">
        <v>0.63090962783370075</v>
      </c>
      <c r="AH174" s="226" t="s">
        <v>2842</v>
      </c>
      <c r="AI174" s="27">
        <v>548590000</v>
      </c>
      <c r="AJ174" s="226">
        <v>4.3059907530667072</v>
      </c>
      <c r="AK174" s="27">
        <v>240456448.21012267</v>
      </c>
      <c r="AL174" s="226">
        <v>9.8239139969356852</v>
      </c>
      <c r="AM174" s="27">
        <v>677600173.80818844</v>
      </c>
      <c r="AN174" s="271">
        <v>3.4861612474933499</v>
      </c>
      <c r="AO174" s="27">
        <v>19595026</v>
      </c>
      <c r="AP174" s="27" t="s">
        <v>2842</v>
      </c>
      <c r="AQ174" s="27">
        <v>52.855829268292695</v>
      </c>
      <c r="AR174" s="27">
        <v>70.8</v>
      </c>
      <c r="AS174" s="29">
        <v>82.138900000000007</v>
      </c>
      <c r="AT174" s="270">
        <v>27</v>
      </c>
      <c r="AU174" s="464">
        <v>34.155175303167042</v>
      </c>
      <c r="AV174" s="29">
        <v>-1.0847112975143101</v>
      </c>
      <c r="AW174" s="29">
        <v>-0.55077856681117598</v>
      </c>
      <c r="AX174" s="29">
        <v>-0.785223800045872</v>
      </c>
      <c r="AY174" s="29">
        <v>-0.80780618656282699</v>
      </c>
      <c r="AZ174" s="60">
        <v>-0.94371128670100402</v>
      </c>
    </row>
    <row r="175" spans="1:52" ht="15" customHeight="1">
      <c r="A175" s="63" t="s">
        <v>110</v>
      </c>
      <c r="B175" s="27">
        <v>2008</v>
      </c>
      <c r="C175" s="27" t="s">
        <v>96</v>
      </c>
      <c r="D175" s="27" t="s">
        <v>81</v>
      </c>
      <c r="E175" s="27" t="s">
        <v>50</v>
      </c>
      <c r="F175" s="41" t="s">
        <v>597</v>
      </c>
      <c r="G175" s="43"/>
      <c r="H175" s="43"/>
      <c r="I175" s="43"/>
      <c r="J175" s="43"/>
      <c r="K175" s="27"/>
      <c r="L175" s="28"/>
      <c r="M175" s="27"/>
      <c r="N175" s="27"/>
      <c r="O175" s="18">
        <f>SUM(O176:O177)</f>
        <v>3309929668.6023998</v>
      </c>
      <c r="P175" s="213">
        <f>367413520+T175</f>
        <v>2361900107.7932796</v>
      </c>
      <c r="Q175" s="213">
        <v>369686000</v>
      </c>
      <c r="R175" s="27"/>
      <c r="S175" s="27" t="s">
        <v>846</v>
      </c>
      <c r="T175" s="18">
        <v>1994486587.7932799</v>
      </c>
      <c r="U175" s="27"/>
      <c r="V175" s="27"/>
      <c r="W175" s="30"/>
      <c r="X175" s="27">
        <v>12</v>
      </c>
      <c r="Y175" s="27" t="s">
        <v>831</v>
      </c>
      <c r="Z175" s="27">
        <v>7</v>
      </c>
      <c r="AA175" s="27">
        <v>15</v>
      </c>
      <c r="AB175" s="27"/>
      <c r="AC175" s="273">
        <v>2362223467.224865</v>
      </c>
      <c r="AD175" s="27">
        <v>23322256428.012459</v>
      </c>
      <c r="AE175" s="228">
        <v>0.1012862316524223</v>
      </c>
      <c r="AF175" s="27">
        <v>3744155046.9531198</v>
      </c>
      <c r="AG175" s="226">
        <v>0.63090962783370075</v>
      </c>
      <c r="AH175" s="226" t="s">
        <v>2842</v>
      </c>
      <c r="AI175" s="27">
        <v>548590000</v>
      </c>
      <c r="AJ175" s="226">
        <v>4.3059907530667072</v>
      </c>
      <c r="AK175" s="27">
        <v>240456448.21012267</v>
      </c>
      <c r="AL175" s="226">
        <v>9.8239139969356852</v>
      </c>
      <c r="AM175" s="27">
        <v>677600173.80818844</v>
      </c>
      <c r="AN175" s="271">
        <v>3.4861612474933499</v>
      </c>
      <c r="AO175" s="27">
        <v>19595026</v>
      </c>
      <c r="AP175" s="27" t="s">
        <v>2842</v>
      </c>
      <c r="AQ175" s="27">
        <v>52.855829268292695</v>
      </c>
      <c r="AR175" s="27">
        <v>70.8</v>
      </c>
      <c r="AS175" s="29">
        <v>82.138900000000007</v>
      </c>
      <c r="AT175" s="270">
        <v>27</v>
      </c>
      <c r="AU175" s="464">
        <v>34.155175303167042</v>
      </c>
      <c r="AV175" s="29">
        <v>-1.0847112975143101</v>
      </c>
      <c r="AW175" s="29">
        <v>-0.55077856681117598</v>
      </c>
      <c r="AX175" s="29">
        <v>-0.785223800045872</v>
      </c>
      <c r="AY175" s="29">
        <v>-0.80780618656282699</v>
      </c>
      <c r="AZ175" s="60">
        <v>-0.94371128670100402</v>
      </c>
    </row>
    <row r="176" spans="1:52" ht="15" customHeight="1">
      <c r="A176" s="63" t="s">
        <v>110</v>
      </c>
      <c r="B176" s="27">
        <v>2008</v>
      </c>
      <c r="C176" s="27" t="s">
        <v>96</v>
      </c>
      <c r="D176" s="27" t="s">
        <v>81</v>
      </c>
      <c r="E176" s="27" t="s">
        <v>552</v>
      </c>
      <c r="F176" s="41" t="s">
        <v>552</v>
      </c>
      <c r="G176" s="43">
        <f>69000000000*0.0283168</f>
        <v>1953859200</v>
      </c>
      <c r="H176" s="43"/>
      <c r="I176" s="43"/>
      <c r="J176" s="43"/>
      <c r="K176" s="27" t="s">
        <v>599</v>
      </c>
      <c r="L176" s="28">
        <v>0.22764700000000004</v>
      </c>
      <c r="M176" s="27" t="s">
        <v>600</v>
      </c>
      <c r="N176" s="27" t="s">
        <v>816</v>
      </c>
      <c r="O176" s="18">
        <f>G176*L176</f>
        <v>444790185.30240011</v>
      </c>
      <c r="P176" s="245"/>
      <c r="Q176" s="213"/>
      <c r="R176" s="27"/>
      <c r="S176" s="27"/>
      <c r="T176" s="27"/>
      <c r="U176" s="27"/>
      <c r="V176" s="27"/>
      <c r="W176" s="30"/>
      <c r="X176" s="27"/>
      <c r="Y176" s="27"/>
      <c r="Z176" s="27"/>
      <c r="AA176" s="27"/>
      <c r="AB176" s="27"/>
      <c r="AC176" s="273">
        <v>2362223467.224865</v>
      </c>
      <c r="AD176" s="27">
        <v>23322256428.012459</v>
      </c>
      <c r="AE176" s="228">
        <v>0.1012862316524223</v>
      </c>
      <c r="AF176" s="27">
        <v>3744155046.9531198</v>
      </c>
      <c r="AG176" s="226">
        <v>0.63090962783370075</v>
      </c>
      <c r="AH176" s="226" t="s">
        <v>2842</v>
      </c>
      <c r="AI176" s="27">
        <v>548590000</v>
      </c>
      <c r="AJ176" s="226">
        <v>4.3059907530667072</v>
      </c>
      <c r="AK176" s="27">
        <v>240456448.21012267</v>
      </c>
      <c r="AL176" s="226">
        <v>9.8239139969356852</v>
      </c>
      <c r="AM176" s="27">
        <v>677600173.80818844</v>
      </c>
      <c r="AN176" s="271">
        <v>3.4861612474933499</v>
      </c>
      <c r="AO176" s="27">
        <v>19595026</v>
      </c>
      <c r="AP176" s="27" t="s">
        <v>2842</v>
      </c>
      <c r="AQ176" s="27">
        <v>52.855829268292695</v>
      </c>
      <c r="AR176" s="27">
        <v>70.8</v>
      </c>
      <c r="AS176" s="29">
        <v>82.138900000000007</v>
      </c>
      <c r="AT176" s="270">
        <v>27</v>
      </c>
      <c r="AU176" s="464">
        <v>34.155175303167042</v>
      </c>
      <c r="AV176" s="29">
        <v>-1.0847112975143101</v>
      </c>
      <c r="AW176" s="29">
        <v>-0.55077856681117598</v>
      </c>
      <c r="AX176" s="29">
        <v>-0.785223800045872</v>
      </c>
      <c r="AY176" s="29">
        <v>-0.80780618656282699</v>
      </c>
      <c r="AZ176" s="60">
        <v>-0.94371128670100402</v>
      </c>
    </row>
    <row r="177" spans="1:52" ht="15" customHeight="1">
      <c r="A177" s="63" t="s">
        <v>110</v>
      </c>
      <c r="B177" s="27">
        <v>2008</v>
      </c>
      <c r="C177" s="27" t="s">
        <v>96</v>
      </c>
      <c r="D177" s="27" t="s">
        <v>81</v>
      </c>
      <c r="E177" s="27" t="s">
        <v>98</v>
      </c>
      <c r="F177" s="41" t="s">
        <v>98</v>
      </c>
      <c r="G177" s="43"/>
      <c r="H177" s="43">
        <v>30700000</v>
      </c>
      <c r="I177" s="43"/>
      <c r="J177" s="43"/>
      <c r="K177" s="27" t="s">
        <v>603</v>
      </c>
      <c r="L177" s="28">
        <f>98.27*0.9497</f>
        <v>93.327018999999993</v>
      </c>
      <c r="M177" s="27" t="s">
        <v>626</v>
      </c>
      <c r="N177" s="27" t="s">
        <v>832</v>
      </c>
      <c r="O177" s="18">
        <f>H177*L177</f>
        <v>2865139483.2999997</v>
      </c>
      <c r="P177" s="213"/>
      <c r="Q177" s="213"/>
      <c r="R177" s="27"/>
      <c r="S177" s="27"/>
      <c r="T177" s="27"/>
      <c r="U177" s="27"/>
      <c r="V177" s="27"/>
      <c r="W177" s="30"/>
      <c r="X177" s="27"/>
      <c r="Y177" s="27"/>
      <c r="Z177" s="27"/>
      <c r="AA177" s="27">
        <v>50</v>
      </c>
      <c r="AB177" s="27"/>
      <c r="AC177" s="273">
        <v>2362223467.224865</v>
      </c>
      <c r="AD177" s="27">
        <v>23322256428.012459</v>
      </c>
      <c r="AE177" s="228">
        <v>0.1012862316524223</v>
      </c>
      <c r="AF177" s="27">
        <v>3744155046.9531198</v>
      </c>
      <c r="AG177" s="226">
        <v>0.63090962783370075</v>
      </c>
      <c r="AH177" s="226" t="s">
        <v>2842</v>
      </c>
      <c r="AI177" s="27">
        <v>548590000</v>
      </c>
      <c r="AJ177" s="226">
        <v>4.3059907530667072</v>
      </c>
      <c r="AK177" s="27">
        <v>240456448.21012267</v>
      </c>
      <c r="AL177" s="226">
        <v>9.8239139969356852</v>
      </c>
      <c r="AM177" s="27">
        <v>677600173.80818844</v>
      </c>
      <c r="AN177" s="271">
        <v>3.4861612474933499</v>
      </c>
      <c r="AO177" s="27">
        <v>19595026</v>
      </c>
      <c r="AP177" s="27" t="s">
        <v>2842</v>
      </c>
      <c r="AQ177" s="27">
        <v>52.855829268292695</v>
      </c>
      <c r="AR177" s="27">
        <v>70.8</v>
      </c>
      <c r="AS177" s="29">
        <v>82.138900000000007</v>
      </c>
      <c r="AT177" s="270">
        <v>27</v>
      </c>
      <c r="AU177" s="464">
        <v>34.155175303167042</v>
      </c>
      <c r="AV177" s="29">
        <v>-1.0847112975143101</v>
      </c>
      <c r="AW177" s="29">
        <v>-0.55077856681117598</v>
      </c>
      <c r="AX177" s="29">
        <v>-0.785223800045872</v>
      </c>
      <c r="AY177" s="29">
        <v>-0.80780618656282699</v>
      </c>
      <c r="AZ177" s="60">
        <v>-0.94371128670100402</v>
      </c>
    </row>
    <row r="178" spans="1:52" ht="15" customHeight="1">
      <c r="A178" s="63" t="s">
        <v>110</v>
      </c>
      <c r="B178" s="27">
        <v>2008</v>
      </c>
      <c r="C178" s="27" t="s">
        <v>96</v>
      </c>
      <c r="D178" s="27" t="s">
        <v>81</v>
      </c>
      <c r="E178" s="27" t="s">
        <v>19</v>
      </c>
      <c r="F178" s="41" t="s">
        <v>559</v>
      </c>
      <c r="G178" s="43"/>
      <c r="H178" s="43"/>
      <c r="I178" s="43"/>
      <c r="J178" s="43"/>
      <c r="K178" s="27"/>
      <c r="L178" s="28"/>
      <c r="M178" s="27"/>
      <c r="N178" s="27"/>
      <c r="O178" s="18">
        <f>SUM(O179:O183)</f>
        <v>10592366.800000001</v>
      </c>
      <c r="P178" s="246">
        <f>152687090/472.19</f>
        <v>323359.43158474343</v>
      </c>
      <c r="Q178" s="246">
        <f>165297100/472.19</f>
        <v>350064.80442194879</v>
      </c>
      <c r="R178" s="27"/>
      <c r="S178" s="27"/>
      <c r="T178" s="18"/>
      <c r="U178" s="27"/>
      <c r="V178" s="27"/>
      <c r="W178" s="30"/>
      <c r="X178" s="53">
        <v>9</v>
      </c>
      <c r="Y178" s="27" t="s">
        <v>833</v>
      </c>
      <c r="Z178" s="27">
        <v>3</v>
      </c>
      <c r="AA178" s="54" t="s">
        <v>834</v>
      </c>
      <c r="AB178" s="27"/>
      <c r="AC178" s="273">
        <v>2362223467.224865</v>
      </c>
      <c r="AD178" s="27">
        <v>23322256428.012459</v>
      </c>
      <c r="AE178" s="228">
        <v>0.1012862316524223</v>
      </c>
      <c r="AF178" s="27">
        <v>3744155046.9531198</v>
      </c>
      <c r="AG178" s="226">
        <v>0.63090962783370075</v>
      </c>
      <c r="AH178" s="226" t="s">
        <v>2842</v>
      </c>
      <c r="AI178" s="27">
        <v>548590000</v>
      </c>
      <c r="AJ178" s="226">
        <v>4.3059907530667072</v>
      </c>
      <c r="AK178" s="27">
        <v>240456448.21012267</v>
      </c>
      <c r="AL178" s="226">
        <v>9.8239139969356852</v>
      </c>
      <c r="AM178" s="27">
        <v>677600173.80818844</v>
      </c>
      <c r="AN178" s="271">
        <v>3.4861612474933499</v>
      </c>
      <c r="AO178" s="27">
        <v>19595026</v>
      </c>
      <c r="AP178" s="27" t="s">
        <v>2842</v>
      </c>
      <c r="AQ178" s="27">
        <v>52.855829268292695</v>
      </c>
      <c r="AR178" s="27">
        <v>70.8</v>
      </c>
      <c r="AS178" s="29">
        <v>82.138900000000007</v>
      </c>
      <c r="AT178" s="270">
        <v>27</v>
      </c>
      <c r="AU178" s="464">
        <v>34.155175303167042</v>
      </c>
      <c r="AV178" s="29">
        <v>-1.0847112975143101</v>
      </c>
      <c r="AW178" s="29">
        <v>-0.55077856681117598</v>
      </c>
      <c r="AX178" s="29">
        <v>-0.785223800045872</v>
      </c>
      <c r="AY178" s="29">
        <v>-0.80780618656282699</v>
      </c>
      <c r="AZ178" s="60">
        <v>-0.94371128670100402</v>
      </c>
    </row>
    <row r="179" spans="1:52" ht="15" customHeight="1">
      <c r="A179" s="63" t="s">
        <v>110</v>
      </c>
      <c r="B179" s="27">
        <v>2008</v>
      </c>
      <c r="C179" s="27" t="s">
        <v>96</v>
      </c>
      <c r="D179" s="27" t="s">
        <v>81</v>
      </c>
      <c r="E179" s="27" t="s">
        <v>19</v>
      </c>
      <c r="F179" s="41" t="s">
        <v>677</v>
      </c>
      <c r="G179" s="43">
        <v>10000</v>
      </c>
      <c r="H179" s="43"/>
      <c r="I179" s="43"/>
      <c r="J179" s="43"/>
      <c r="K179" s="27" t="s">
        <v>567</v>
      </c>
      <c r="L179" s="28">
        <f>11*0.1417</f>
        <v>1.5587</v>
      </c>
      <c r="M179" s="27" t="s">
        <v>568</v>
      </c>
      <c r="N179" s="27" t="s">
        <v>848</v>
      </c>
      <c r="O179" s="18">
        <f>G179*L179</f>
        <v>15587</v>
      </c>
      <c r="P179" s="246"/>
      <c r="Q179" s="246"/>
      <c r="R179" s="27"/>
      <c r="S179" s="27"/>
      <c r="T179" s="18"/>
      <c r="U179" s="27"/>
      <c r="V179" s="27"/>
      <c r="W179" s="30"/>
      <c r="X179" s="53"/>
      <c r="Y179" s="27"/>
      <c r="Z179" s="27"/>
      <c r="AA179" s="54"/>
      <c r="AB179" s="27"/>
      <c r="AC179" s="273">
        <v>2362223467.224865</v>
      </c>
      <c r="AD179" s="27">
        <v>23322256428.012459</v>
      </c>
      <c r="AE179" s="228">
        <v>0.1012862316524223</v>
      </c>
      <c r="AF179" s="27">
        <v>3744155046.9531198</v>
      </c>
      <c r="AG179" s="226">
        <v>0.63090962783370075</v>
      </c>
      <c r="AH179" s="226" t="s">
        <v>2842</v>
      </c>
      <c r="AI179" s="27">
        <v>548590000</v>
      </c>
      <c r="AJ179" s="226">
        <v>4.3059907530667072</v>
      </c>
      <c r="AK179" s="27">
        <v>240456448.21012267</v>
      </c>
      <c r="AL179" s="226">
        <v>9.8239139969356852</v>
      </c>
      <c r="AM179" s="27">
        <v>677600173.80818844</v>
      </c>
      <c r="AN179" s="271">
        <v>3.4861612474933499</v>
      </c>
      <c r="AO179" s="27">
        <v>19595026</v>
      </c>
      <c r="AP179" s="27" t="s">
        <v>2842</v>
      </c>
      <c r="AQ179" s="27">
        <v>52.855829268292695</v>
      </c>
      <c r="AR179" s="27">
        <v>70.8</v>
      </c>
      <c r="AS179" s="29">
        <v>82.138900000000007</v>
      </c>
      <c r="AT179" s="270">
        <v>27</v>
      </c>
      <c r="AU179" s="464">
        <v>34.155175303167042</v>
      </c>
      <c r="AV179" s="29">
        <v>-1.0847112975143101</v>
      </c>
      <c r="AW179" s="29">
        <v>-0.55077856681117598</v>
      </c>
      <c r="AX179" s="29">
        <v>-0.785223800045872</v>
      </c>
      <c r="AY179" s="29">
        <v>-0.80780618656282699</v>
      </c>
      <c r="AZ179" s="60">
        <v>-0.94371128670100402</v>
      </c>
    </row>
    <row r="180" spans="1:52" ht="15" customHeight="1">
      <c r="A180" s="63" t="s">
        <v>110</v>
      </c>
      <c r="B180" s="27">
        <v>2008</v>
      </c>
      <c r="C180" s="27" t="s">
        <v>96</v>
      </c>
      <c r="D180" s="27" t="s">
        <v>81</v>
      </c>
      <c r="E180" s="27" t="s">
        <v>19</v>
      </c>
      <c r="F180" s="41" t="s">
        <v>730</v>
      </c>
      <c r="G180" s="43">
        <f>1800*32.150743126506</f>
        <v>57871.337627710804</v>
      </c>
      <c r="H180" s="43"/>
      <c r="I180" s="43"/>
      <c r="J180" s="43"/>
      <c r="K180" s="27" t="s">
        <v>731</v>
      </c>
      <c r="L180" s="28">
        <v>871.70725000000004</v>
      </c>
      <c r="M180" s="27" t="s">
        <v>732</v>
      </c>
      <c r="N180" s="55" t="s">
        <v>782</v>
      </c>
      <c r="O180" s="18"/>
      <c r="P180" s="246"/>
      <c r="Q180" s="246"/>
      <c r="R180" s="27"/>
      <c r="S180" s="27"/>
      <c r="T180" s="18"/>
      <c r="U180" s="27"/>
      <c r="V180" s="27"/>
      <c r="W180" s="30"/>
      <c r="X180" s="53"/>
      <c r="Y180" s="27"/>
      <c r="Z180" s="27"/>
      <c r="AA180" s="54"/>
      <c r="AB180" s="27" t="s">
        <v>837</v>
      </c>
      <c r="AC180" s="273">
        <v>2362223467.224865</v>
      </c>
      <c r="AD180" s="27">
        <v>23322256428.012459</v>
      </c>
      <c r="AE180" s="228">
        <v>0.1012862316524223</v>
      </c>
      <c r="AF180" s="27">
        <v>3744155046.9531198</v>
      </c>
      <c r="AG180" s="226">
        <v>0.63090962783370075</v>
      </c>
      <c r="AH180" s="226" t="s">
        <v>2842</v>
      </c>
      <c r="AI180" s="27">
        <v>548590000</v>
      </c>
      <c r="AJ180" s="226">
        <v>4.3059907530667072</v>
      </c>
      <c r="AK180" s="27">
        <v>240456448.21012267</v>
      </c>
      <c r="AL180" s="226">
        <v>9.8239139969356852</v>
      </c>
      <c r="AM180" s="27">
        <v>677600173.80818844</v>
      </c>
      <c r="AN180" s="271">
        <v>3.4861612474933499</v>
      </c>
      <c r="AO180" s="27">
        <v>19595026</v>
      </c>
      <c r="AP180" s="27" t="s">
        <v>2842</v>
      </c>
      <c r="AQ180" s="27">
        <v>52.855829268292695</v>
      </c>
      <c r="AR180" s="27">
        <v>70.8</v>
      </c>
      <c r="AS180" s="29">
        <v>82.138900000000007</v>
      </c>
      <c r="AT180" s="270">
        <v>27</v>
      </c>
      <c r="AU180" s="464">
        <v>34.155175303167042</v>
      </c>
      <c r="AV180" s="29">
        <v>-1.0847112975143101</v>
      </c>
      <c r="AW180" s="29">
        <v>-0.55077856681117598</v>
      </c>
      <c r="AX180" s="29">
        <v>-0.785223800045872</v>
      </c>
      <c r="AY180" s="29">
        <v>-0.80780618656282699</v>
      </c>
      <c r="AZ180" s="60">
        <v>-0.94371128670100402</v>
      </c>
    </row>
    <row r="181" spans="1:52" ht="15" customHeight="1">
      <c r="A181" s="63" t="s">
        <v>110</v>
      </c>
      <c r="B181" s="27">
        <v>2008</v>
      </c>
      <c r="C181" s="27" t="s">
        <v>96</v>
      </c>
      <c r="D181" s="27" t="s">
        <v>81</v>
      </c>
      <c r="E181" s="27" t="s">
        <v>19</v>
      </c>
      <c r="F181" s="41" t="s">
        <v>653</v>
      </c>
      <c r="G181" s="43">
        <v>100000</v>
      </c>
      <c r="H181" s="43"/>
      <c r="I181" s="43"/>
      <c r="J181" s="43"/>
      <c r="K181" s="27" t="s">
        <v>567</v>
      </c>
      <c r="L181" s="28">
        <f>8.6*1.8433</f>
        <v>15.852379999999998</v>
      </c>
      <c r="M181" s="27" t="s">
        <v>568</v>
      </c>
      <c r="N181" s="27" t="s">
        <v>849</v>
      </c>
      <c r="O181" s="18">
        <f>G181*L181</f>
        <v>1585237.9999999998</v>
      </c>
      <c r="P181" s="246"/>
      <c r="Q181" s="246"/>
      <c r="R181" s="27"/>
      <c r="S181" s="27"/>
      <c r="T181" s="18"/>
      <c r="U181" s="27"/>
      <c r="V181" s="27"/>
      <c r="W181" s="30"/>
      <c r="X181" s="53"/>
      <c r="Y181" s="27"/>
      <c r="Z181" s="27"/>
      <c r="AA181" s="54"/>
      <c r="AB181" s="27"/>
      <c r="AC181" s="273">
        <v>2362223467.224865</v>
      </c>
      <c r="AD181" s="27">
        <v>23322256428.012459</v>
      </c>
      <c r="AE181" s="228">
        <v>0.1012862316524223</v>
      </c>
      <c r="AF181" s="27">
        <v>3744155046.9531198</v>
      </c>
      <c r="AG181" s="226">
        <v>0.63090962783370075</v>
      </c>
      <c r="AH181" s="226" t="s">
        <v>2842</v>
      </c>
      <c r="AI181" s="27">
        <v>548590000</v>
      </c>
      <c r="AJ181" s="226">
        <v>4.3059907530667072</v>
      </c>
      <c r="AK181" s="27">
        <v>240456448.21012267</v>
      </c>
      <c r="AL181" s="226">
        <v>9.8239139969356852</v>
      </c>
      <c r="AM181" s="27">
        <v>677600173.80818844</v>
      </c>
      <c r="AN181" s="271">
        <v>3.4861612474933499</v>
      </c>
      <c r="AO181" s="27">
        <v>19595026</v>
      </c>
      <c r="AP181" s="27" t="s">
        <v>2842</v>
      </c>
      <c r="AQ181" s="27">
        <v>52.855829268292695</v>
      </c>
      <c r="AR181" s="27">
        <v>70.8</v>
      </c>
      <c r="AS181" s="29">
        <v>82.138900000000007</v>
      </c>
      <c r="AT181" s="270">
        <v>27</v>
      </c>
      <c r="AU181" s="464">
        <v>34.155175303167042</v>
      </c>
      <c r="AV181" s="29">
        <v>-1.0847112975143101</v>
      </c>
      <c r="AW181" s="29">
        <v>-0.55077856681117598</v>
      </c>
      <c r="AX181" s="29">
        <v>-0.785223800045872</v>
      </c>
      <c r="AY181" s="29">
        <v>-0.80780618656282699</v>
      </c>
      <c r="AZ181" s="60">
        <v>-0.94371128670100402</v>
      </c>
    </row>
    <row r="182" spans="1:52" ht="15" customHeight="1">
      <c r="A182" s="63" t="s">
        <v>110</v>
      </c>
      <c r="B182" s="27">
        <v>2008</v>
      </c>
      <c r="C182" s="27" t="s">
        <v>96</v>
      </c>
      <c r="D182" s="27" t="s">
        <v>81</v>
      </c>
      <c r="E182" s="27" t="s">
        <v>19</v>
      </c>
      <c r="F182" s="41" t="s">
        <v>839</v>
      </c>
      <c r="G182" s="43">
        <v>550000</v>
      </c>
      <c r="H182" s="43"/>
      <c r="I182" s="43"/>
      <c r="J182" s="43"/>
      <c r="K182" s="27" t="s">
        <v>567</v>
      </c>
      <c r="L182" s="28">
        <v>14.76</v>
      </c>
      <c r="M182" s="27" t="s">
        <v>568</v>
      </c>
      <c r="N182" s="27" t="s">
        <v>850</v>
      </c>
      <c r="O182" s="18">
        <f>G182*L182</f>
        <v>8118000</v>
      </c>
      <c r="P182" s="246"/>
      <c r="Q182" s="246"/>
      <c r="R182" s="27"/>
      <c r="S182" s="27"/>
      <c r="T182" s="18"/>
      <c r="U182" s="27"/>
      <c r="V182" s="27"/>
      <c r="W182" s="30"/>
      <c r="X182" s="53"/>
      <c r="Y182" s="27"/>
      <c r="Z182" s="27"/>
      <c r="AA182" s="54"/>
      <c r="AB182" s="27"/>
      <c r="AC182" s="273">
        <v>2362223467.224865</v>
      </c>
      <c r="AD182" s="27">
        <v>23322256428.012459</v>
      </c>
      <c r="AE182" s="228">
        <v>0.1012862316524223</v>
      </c>
      <c r="AF182" s="27">
        <v>3744155046.9531198</v>
      </c>
      <c r="AG182" s="226">
        <v>0.63090962783370075</v>
      </c>
      <c r="AH182" s="226" t="s">
        <v>2842</v>
      </c>
      <c r="AI182" s="27">
        <v>548590000</v>
      </c>
      <c r="AJ182" s="226">
        <v>4.3059907530667072</v>
      </c>
      <c r="AK182" s="27">
        <v>240456448.21012267</v>
      </c>
      <c r="AL182" s="226">
        <v>9.8239139969356852</v>
      </c>
      <c r="AM182" s="27">
        <v>677600173.80818844</v>
      </c>
      <c r="AN182" s="271">
        <v>3.4861612474933499</v>
      </c>
      <c r="AO182" s="27">
        <v>19595026</v>
      </c>
      <c r="AP182" s="27" t="s">
        <v>2842</v>
      </c>
      <c r="AQ182" s="27">
        <v>52.855829268292695</v>
      </c>
      <c r="AR182" s="27">
        <v>70.8</v>
      </c>
      <c r="AS182" s="29">
        <v>82.138900000000007</v>
      </c>
      <c r="AT182" s="270">
        <v>27</v>
      </c>
      <c r="AU182" s="464">
        <v>34.155175303167042</v>
      </c>
      <c r="AV182" s="29">
        <v>-1.0847112975143101</v>
      </c>
      <c r="AW182" s="29">
        <v>-0.55077856681117598</v>
      </c>
      <c r="AX182" s="29">
        <v>-0.785223800045872</v>
      </c>
      <c r="AY182" s="29">
        <v>-0.80780618656282699</v>
      </c>
      <c r="AZ182" s="60">
        <v>-0.94371128670100402</v>
      </c>
    </row>
    <row r="183" spans="1:52" s="287" customFormat="1" ht="15" customHeight="1">
      <c r="A183" s="359" t="s">
        <v>110</v>
      </c>
      <c r="B183" s="284">
        <v>2008</v>
      </c>
      <c r="C183" s="284" t="s">
        <v>96</v>
      </c>
      <c r="D183" s="284" t="s">
        <v>81</v>
      </c>
      <c r="E183" s="284" t="s">
        <v>19</v>
      </c>
      <c r="F183" s="315" t="s">
        <v>841</v>
      </c>
      <c r="G183" s="303">
        <v>600000</v>
      </c>
      <c r="H183" s="303"/>
      <c r="I183" s="303"/>
      <c r="J183" s="303"/>
      <c r="K183" s="284" t="s">
        <v>567</v>
      </c>
      <c r="L183" s="304">
        <f>7.47*0.1949</f>
        <v>1.4559029999999999</v>
      </c>
      <c r="M183" s="284" t="s">
        <v>568</v>
      </c>
      <c r="N183" s="284" t="s">
        <v>851</v>
      </c>
      <c r="O183" s="305">
        <f>G183*L183</f>
        <v>873541.79999999993</v>
      </c>
      <c r="P183" s="320"/>
      <c r="Q183" s="320"/>
      <c r="R183" s="284"/>
      <c r="S183" s="284"/>
      <c r="T183" s="305"/>
      <c r="U183" s="284"/>
      <c r="V183" s="284"/>
      <c r="W183" s="307"/>
      <c r="X183" s="302"/>
      <c r="Y183" s="284"/>
      <c r="Z183" s="284"/>
      <c r="AA183" s="321"/>
      <c r="AB183" s="284"/>
      <c r="AC183" s="308">
        <v>2362223467.224865</v>
      </c>
      <c r="AD183" s="284">
        <v>23322256428.012459</v>
      </c>
      <c r="AE183" s="309">
        <v>0.1012862316524223</v>
      </c>
      <c r="AF183" s="284">
        <v>3744155046.9531198</v>
      </c>
      <c r="AG183" s="310">
        <v>0.63090962783370075</v>
      </c>
      <c r="AH183" s="310" t="s">
        <v>2842</v>
      </c>
      <c r="AI183" s="284">
        <v>548590000</v>
      </c>
      <c r="AJ183" s="310">
        <v>4.3059907530667072</v>
      </c>
      <c r="AK183" s="284">
        <v>240456448.21012267</v>
      </c>
      <c r="AL183" s="310">
        <v>9.8239139969356852</v>
      </c>
      <c r="AM183" s="284">
        <v>677600173.80818844</v>
      </c>
      <c r="AN183" s="311">
        <v>3.4861612474933499</v>
      </c>
      <c r="AO183" s="284">
        <v>19595026</v>
      </c>
      <c r="AP183" s="284" t="s">
        <v>2842</v>
      </c>
      <c r="AQ183" s="284">
        <v>52.855829268292695</v>
      </c>
      <c r="AR183" s="284">
        <v>70.8</v>
      </c>
      <c r="AS183" s="287">
        <v>82.138900000000007</v>
      </c>
      <c r="AT183" s="312">
        <v>27</v>
      </c>
      <c r="AU183" s="465">
        <v>34.155175303167042</v>
      </c>
      <c r="AV183" s="287">
        <v>-1.0847112975143101</v>
      </c>
      <c r="AW183" s="287">
        <v>-0.55077856681117598</v>
      </c>
      <c r="AX183" s="287">
        <v>-0.785223800045872</v>
      </c>
      <c r="AY183" s="287">
        <v>-0.80780618656282699</v>
      </c>
      <c r="AZ183" s="313">
        <v>-0.94371128670100402</v>
      </c>
    </row>
    <row r="184" spans="1:52" s="29" customFormat="1" ht="15" customHeight="1">
      <c r="A184" s="332" t="s">
        <v>111</v>
      </c>
      <c r="B184" s="27">
        <v>2009</v>
      </c>
      <c r="C184" s="27" t="s">
        <v>96</v>
      </c>
      <c r="D184" s="27" t="s">
        <v>81</v>
      </c>
      <c r="E184" s="27" t="s">
        <v>36</v>
      </c>
      <c r="F184" s="41" t="s">
        <v>659</v>
      </c>
      <c r="G184" s="43"/>
      <c r="H184" s="43"/>
      <c r="I184" s="43"/>
      <c r="J184" s="43"/>
      <c r="K184" s="27"/>
      <c r="L184" s="28"/>
      <c r="M184" s="27"/>
      <c r="N184" s="27"/>
      <c r="O184" s="18">
        <f>O185+O186</f>
        <v>1677208987.1750062</v>
      </c>
      <c r="P184" s="213">
        <v>1258506488.2079699</v>
      </c>
      <c r="Q184" s="213">
        <v>1237959455.9556208</v>
      </c>
      <c r="R184" s="27" t="s">
        <v>3745</v>
      </c>
      <c r="S184" s="27" t="s">
        <v>854</v>
      </c>
      <c r="T184" s="18">
        <v>2242706663.5578494</v>
      </c>
      <c r="U184" s="27" t="s">
        <v>852</v>
      </c>
      <c r="V184" s="27" t="s">
        <v>853</v>
      </c>
      <c r="W184" s="30">
        <v>462.94</v>
      </c>
      <c r="X184" s="27">
        <v>21</v>
      </c>
      <c r="Y184" s="27" t="s">
        <v>855</v>
      </c>
      <c r="Z184" s="27">
        <v>20</v>
      </c>
      <c r="AA184" s="27" t="s">
        <v>856</v>
      </c>
      <c r="AB184" s="27" t="s">
        <v>3701</v>
      </c>
      <c r="AC184" s="605">
        <v>1258506488.2079706</v>
      </c>
      <c r="AD184" s="647">
        <v>23381142604.436356</v>
      </c>
      <c r="AE184" s="648">
        <v>5.3825705163321684E-2</v>
      </c>
      <c r="AF184" s="647">
        <v>3607710303.8645296</v>
      </c>
      <c r="AG184" s="649">
        <v>0.34883801142787874</v>
      </c>
      <c r="AH184" s="649" t="s">
        <v>2842</v>
      </c>
      <c r="AI184" s="647">
        <v>648340000</v>
      </c>
      <c r="AJ184" s="649">
        <v>1.9411211528024965</v>
      </c>
      <c r="AK184" s="647">
        <v>316140654.19336385</v>
      </c>
      <c r="AL184" s="649">
        <v>3.980843562872554</v>
      </c>
      <c r="AM184" s="647">
        <v>853395338.2621038</v>
      </c>
      <c r="AN184" s="650">
        <v>1.4747051358059384</v>
      </c>
      <c r="AO184" s="647">
        <v>20103945</v>
      </c>
      <c r="AP184" s="647" t="s">
        <v>2842</v>
      </c>
      <c r="AQ184" s="647">
        <v>53.264853658536587</v>
      </c>
      <c r="AR184" s="647">
        <v>68.7</v>
      </c>
      <c r="AS184" s="651">
        <v>84.947630000000004</v>
      </c>
      <c r="AT184" s="652">
        <v>27</v>
      </c>
      <c r="AU184" s="653">
        <v>34.155175303167042</v>
      </c>
      <c r="AV184" s="651">
        <v>-1.0619175557573799</v>
      </c>
      <c r="AW184" s="651">
        <v>-0.48204843823879501</v>
      </c>
      <c r="AX184" s="651">
        <v>-0.81857389962537597</v>
      </c>
      <c r="AY184" s="651">
        <v>-0.73985067148075101</v>
      </c>
      <c r="AZ184" s="654">
        <v>-0.92234563308804896</v>
      </c>
    </row>
    <row r="185" spans="1:52" s="29" customFormat="1" ht="15" customHeight="1">
      <c r="A185" s="59" t="s">
        <v>111</v>
      </c>
      <c r="B185" s="27">
        <v>2009</v>
      </c>
      <c r="C185" s="27" t="s">
        <v>96</v>
      </c>
      <c r="D185" s="27" t="s">
        <v>81</v>
      </c>
      <c r="E185" s="27" t="s">
        <v>98</v>
      </c>
      <c r="F185" s="41" t="s">
        <v>98</v>
      </c>
      <c r="G185" s="43">
        <v>28251000</v>
      </c>
      <c r="H185" s="43">
        <v>26834639</v>
      </c>
      <c r="I185" s="43"/>
      <c r="J185" s="43"/>
      <c r="K185" s="27" t="s">
        <v>603</v>
      </c>
      <c r="L185" s="28">
        <f>62.08273385*0.9497</f>
        <v>58.959972337344993</v>
      </c>
      <c r="M185" s="27" t="s">
        <v>626</v>
      </c>
      <c r="N185" s="27" t="s">
        <v>857</v>
      </c>
      <c r="O185" s="18">
        <f>G185*L185</f>
        <v>1665678178.5023334</v>
      </c>
      <c r="P185" s="213">
        <f>1237834458.92556</f>
        <v>1237834458.92556</v>
      </c>
      <c r="Q185" s="213">
        <v>1235666520.26613</v>
      </c>
      <c r="R185" s="27"/>
      <c r="S185" s="27" t="s">
        <v>854</v>
      </c>
      <c r="T185" s="18">
        <v>2242706663.5578494</v>
      </c>
      <c r="U185" s="27"/>
      <c r="V185" s="27"/>
      <c r="W185" s="30"/>
      <c r="X185" s="27">
        <v>17</v>
      </c>
      <c r="Y185" s="27" t="s">
        <v>858</v>
      </c>
      <c r="Z185" s="27"/>
      <c r="AA185" s="27"/>
      <c r="AB185" s="27" t="s">
        <v>859</v>
      </c>
      <c r="AC185" s="605">
        <v>1258506488.2079706</v>
      </c>
      <c r="AD185" s="647">
        <v>23381142604.436356</v>
      </c>
      <c r="AE185" s="648">
        <v>5.3825705163321684E-2</v>
      </c>
      <c r="AF185" s="647">
        <v>3607710303.8645296</v>
      </c>
      <c r="AG185" s="649">
        <v>0.34883801142787874</v>
      </c>
      <c r="AH185" s="649" t="s">
        <v>2842</v>
      </c>
      <c r="AI185" s="647">
        <v>648340000</v>
      </c>
      <c r="AJ185" s="649">
        <v>1.9411211528024965</v>
      </c>
      <c r="AK185" s="647">
        <v>316140654.19336385</v>
      </c>
      <c r="AL185" s="649">
        <v>3.980843562872554</v>
      </c>
      <c r="AM185" s="647">
        <v>853395338.2621038</v>
      </c>
      <c r="AN185" s="650">
        <v>1.4747051358059384</v>
      </c>
      <c r="AO185" s="647">
        <v>20103945</v>
      </c>
      <c r="AP185" s="647" t="s">
        <v>2842</v>
      </c>
      <c r="AQ185" s="647">
        <v>53.264853658536587</v>
      </c>
      <c r="AR185" s="647">
        <v>68.7</v>
      </c>
      <c r="AS185" s="651">
        <v>84.947630000000004</v>
      </c>
      <c r="AT185" s="652">
        <v>27</v>
      </c>
      <c r="AU185" s="653">
        <v>34.155175303167042</v>
      </c>
      <c r="AV185" s="651">
        <v>-1.0619175557573799</v>
      </c>
      <c r="AW185" s="651">
        <v>-0.48204843823879501</v>
      </c>
      <c r="AX185" s="651">
        <v>-0.81857389962537597</v>
      </c>
      <c r="AY185" s="651">
        <v>-0.73985067148075101</v>
      </c>
      <c r="AZ185" s="654">
        <v>-0.92234563308804896</v>
      </c>
    </row>
    <row r="186" spans="1:52" s="29" customFormat="1" ht="15" customHeight="1">
      <c r="A186" s="59" t="s">
        <v>111</v>
      </c>
      <c r="B186" s="27">
        <v>2009</v>
      </c>
      <c r="C186" s="27" t="s">
        <v>96</v>
      </c>
      <c r="D186" s="27" t="s">
        <v>81</v>
      </c>
      <c r="E186" s="27" t="s">
        <v>19</v>
      </c>
      <c r="F186" s="41" t="s">
        <v>559</v>
      </c>
      <c r="G186" s="43"/>
      <c r="H186" s="43"/>
      <c r="I186" s="43"/>
      <c r="J186" s="43"/>
      <c r="K186" s="27"/>
      <c r="L186" s="28"/>
      <c r="M186" s="27"/>
      <c r="N186" s="27"/>
      <c r="O186" s="18">
        <f>SUM(O187:O191)</f>
        <v>11530808.672672672</v>
      </c>
      <c r="P186" s="213">
        <v>612115.84654598869</v>
      </c>
      <c r="Q186" s="213">
        <v>621249.01067092933</v>
      </c>
      <c r="R186" s="27"/>
      <c r="S186" s="27"/>
      <c r="T186" s="27"/>
      <c r="U186" s="27"/>
      <c r="V186" s="27"/>
      <c r="W186" s="30"/>
      <c r="X186" s="27">
        <v>4</v>
      </c>
      <c r="Y186" s="27" t="s">
        <v>860</v>
      </c>
      <c r="Z186" s="27"/>
      <c r="AA186" s="27"/>
      <c r="AB186" s="27"/>
      <c r="AC186" s="605">
        <v>1258506488.2079706</v>
      </c>
      <c r="AD186" s="647">
        <v>23381142604.436356</v>
      </c>
      <c r="AE186" s="648">
        <v>5.3825705163321684E-2</v>
      </c>
      <c r="AF186" s="647">
        <v>3607710303.8645296</v>
      </c>
      <c r="AG186" s="649">
        <v>0.34883801142787874</v>
      </c>
      <c r="AH186" s="649" t="s">
        <v>2842</v>
      </c>
      <c r="AI186" s="647">
        <v>648340000</v>
      </c>
      <c r="AJ186" s="649">
        <v>1.9411211528024965</v>
      </c>
      <c r="AK186" s="647">
        <v>316140654.19336385</v>
      </c>
      <c r="AL186" s="649">
        <v>3.980843562872554</v>
      </c>
      <c r="AM186" s="647">
        <v>853395338.2621038</v>
      </c>
      <c r="AN186" s="650">
        <v>1.4747051358059384</v>
      </c>
      <c r="AO186" s="647">
        <v>20103945</v>
      </c>
      <c r="AP186" s="647" t="s">
        <v>2842</v>
      </c>
      <c r="AQ186" s="647">
        <v>53.264853658536587</v>
      </c>
      <c r="AR186" s="647">
        <v>68.7</v>
      </c>
      <c r="AS186" s="651">
        <v>84.947630000000004</v>
      </c>
      <c r="AT186" s="652">
        <v>27</v>
      </c>
      <c r="AU186" s="653">
        <v>34.155175303167042</v>
      </c>
      <c r="AV186" s="651">
        <v>-1.0619175557573799</v>
      </c>
      <c r="AW186" s="651">
        <v>-0.48204843823879501</v>
      </c>
      <c r="AX186" s="651">
        <v>-0.81857389962537597</v>
      </c>
      <c r="AY186" s="651">
        <v>-0.73985067148075101</v>
      </c>
      <c r="AZ186" s="654">
        <v>-0.92234563308804896</v>
      </c>
    </row>
    <row r="187" spans="1:52" s="29" customFormat="1" ht="15" customHeight="1">
      <c r="A187" s="59" t="s">
        <v>111</v>
      </c>
      <c r="B187" s="27">
        <v>2009</v>
      </c>
      <c r="C187" s="27" t="s">
        <v>96</v>
      </c>
      <c r="D187" s="27" t="s">
        <v>81</v>
      </c>
      <c r="E187" s="27" t="s">
        <v>19</v>
      </c>
      <c r="F187" s="41" t="s">
        <v>677</v>
      </c>
      <c r="G187" s="43">
        <v>10000</v>
      </c>
      <c r="H187" s="43">
        <v>9091</v>
      </c>
      <c r="I187" s="43"/>
      <c r="J187" s="43"/>
      <c r="K187" s="27" t="s">
        <v>567</v>
      </c>
      <c r="L187" s="28">
        <f>13*0.1417</f>
        <v>1.8420999999999998</v>
      </c>
      <c r="M187" s="27" t="s">
        <v>568</v>
      </c>
      <c r="N187" s="27" t="s">
        <v>861</v>
      </c>
      <c r="O187" s="18">
        <f>H187*L187</f>
        <v>16746.5311</v>
      </c>
      <c r="P187" s="246"/>
      <c r="Q187" s="246"/>
      <c r="R187" s="27"/>
      <c r="S187" s="27"/>
      <c r="T187" s="18"/>
      <c r="U187" s="27"/>
      <c r="V187" s="27"/>
      <c r="W187" s="30"/>
      <c r="X187" s="53"/>
      <c r="Y187" s="27"/>
      <c r="Z187" s="27"/>
      <c r="AA187" s="54"/>
      <c r="AB187" s="27"/>
      <c r="AC187" s="605">
        <v>1258506488.2079706</v>
      </c>
      <c r="AD187" s="647">
        <v>23381142604.436356</v>
      </c>
      <c r="AE187" s="648">
        <v>5.3825705163321684E-2</v>
      </c>
      <c r="AF187" s="647">
        <v>3607710303.8645296</v>
      </c>
      <c r="AG187" s="649">
        <v>0.34883801142787874</v>
      </c>
      <c r="AH187" s="649" t="s">
        <v>2842</v>
      </c>
      <c r="AI187" s="647">
        <v>648340000</v>
      </c>
      <c r="AJ187" s="649">
        <v>1.9411211528024965</v>
      </c>
      <c r="AK187" s="647">
        <v>316140654.19336385</v>
      </c>
      <c r="AL187" s="649">
        <v>3.980843562872554</v>
      </c>
      <c r="AM187" s="647">
        <v>853395338.2621038</v>
      </c>
      <c r="AN187" s="650">
        <v>1.4747051358059384</v>
      </c>
      <c r="AO187" s="647">
        <v>20103945</v>
      </c>
      <c r="AP187" s="647" t="s">
        <v>2842</v>
      </c>
      <c r="AQ187" s="647">
        <v>53.264853658536587</v>
      </c>
      <c r="AR187" s="647">
        <v>68.7</v>
      </c>
      <c r="AS187" s="651">
        <v>84.947630000000004</v>
      </c>
      <c r="AT187" s="652">
        <v>27</v>
      </c>
      <c r="AU187" s="653">
        <v>34.155175303167042</v>
      </c>
      <c r="AV187" s="651">
        <v>-1.0619175557573799</v>
      </c>
      <c r="AW187" s="651">
        <v>-0.48204843823879501</v>
      </c>
      <c r="AX187" s="651">
        <v>-0.81857389962537597</v>
      </c>
      <c r="AY187" s="651">
        <v>-0.73985067148075101</v>
      </c>
      <c r="AZ187" s="654">
        <v>-0.92234563308804896</v>
      </c>
    </row>
    <row r="188" spans="1:52" s="29" customFormat="1" ht="15" customHeight="1">
      <c r="A188" s="59" t="s">
        <v>111</v>
      </c>
      <c r="B188" s="27">
        <v>2009</v>
      </c>
      <c r="C188" s="27" t="s">
        <v>96</v>
      </c>
      <c r="D188" s="27" t="s">
        <v>81</v>
      </c>
      <c r="E188" s="27" t="s">
        <v>19</v>
      </c>
      <c r="F188" s="41" t="s">
        <v>730</v>
      </c>
      <c r="G188" s="595">
        <f>1800*32.150743126506</f>
        <v>57871.337627710804</v>
      </c>
      <c r="H188" s="595">
        <v>2023</v>
      </c>
      <c r="I188" s="43"/>
      <c r="J188" s="43"/>
      <c r="K188" s="27" t="s">
        <v>731</v>
      </c>
      <c r="L188" s="28">
        <v>972.96591666666995</v>
      </c>
      <c r="M188" s="27" t="s">
        <v>732</v>
      </c>
      <c r="N188" s="55" t="s">
        <v>782</v>
      </c>
      <c r="O188" s="18">
        <f>H188*L188</f>
        <v>1968310.0494166734</v>
      </c>
      <c r="P188" s="246"/>
      <c r="Q188" s="246"/>
      <c r="R188" s="27"/>
      <c r="S188" s="27"/>
      <c r="T188" s="18"/>
      <c r="U188" s="27"/>
      <c r="V188" s="27"/>
      <c r="W188" s="30"/>
      <c r="X188" s="53"/>
      <c r="Y188" s="27"/>
      <c r="Z188" s="27"/>
      <c r="AA188" s="54"/>
      <c r="AB188" s="27" t="s">
        <v>862</v>
      </c>
      <c r="AC188" s="605">
        <v>1258506488.2079706</v>
      </c>
      <c r="AD188" s="647">
        <v>23381142604.436356</v>
      </c>
      <c r="AE188" s="648">
        <v>5.3825705163321684E-2</v>
      </c>
      <c r="AF188" s="647">
        <v>3607710303.8645296</v>
      </c>
      <c r="AG188" s="649">
        <v>0.34883801142787874</v>
      </c>
      <c r="AH188" s="649" t="s">
        <v>2842</v>
      </c>
      <c r="AI188" s="647">
        <v>648340000</v>
      </c>
      <c r="AJ188" s="649">
        <v>1.9411211528024965</v>
      </c>
      <c r="AK188" s="647">
        <v>316140654.19336385</v>
      </c>
      <c r="AL188" s="649">
        <v>3.980843562872554</v>
      </c>
      <c r="AM188" s="647">
        <v>853395338.2621038</v>
      </c>
      <c r="AN188" s="650">
        <v>1.4747051358059384</v>
      </c>
      <c r="AO188" s="647">
        <v>20103945</v>
      </c>
      <c r="AP188" s="647" t="s">
        <v>2842</v>
      </c>
      <c r="AQ188" s="647">
        <v>53.264853658536587</v>
      </c>
      <c r="AR188" s="647">
        <v>68.7</v>
      </c>
      <c r="AS188" s="651">
        <v>84.947630000000004</v>
      </c>
      <c r="AT188" s="652">
        <v>27</v>
      </c>
      <c r="AU188" s="653">
        <v>34.155175303167042</v>
      </c>
      <c r="AV188" s="651">
        <v>-1.0619175557573799</v>
      </c>
      <c r="AW188" s="651">
        <v>-0.48204843823879501</v>
      </c>
      <c r="AX188" s="651">
        <v>-0.81857389962537597</v>
      </c>
      <c r="AY188" s="651">
        <v>-0.73985067148075101</v>
      </c>
      <c r="AZ188" s="654">
        <v>-0.92234563308804896</v>
      </c>
    </row>
    <row r="189" spans="1:52" s="29" customFormat="1" ht="15" customHeight="1">
      <c r="A189" s="59" t="s">
        <v>111</v>
      </c>
      <c r="B189" s="27">
        <v>2009</v>
      </c>
      <c r="C189" s="27" t="s">
        <v>96</v>
      </c>
      <c r="D189" s="27" t="s">
        <v>81</v>
      </c>
      <c r="E189" s="27" t="s">
        <v>19</v>
      </c>
      <c r="F189" s="41" t="s">
        <v>653</v>
      </c>
      <c r="G189" s="595">
        <v>100000</v>
      </c>
      <c r="H189" s="595">
        <v>186178</v>
      </c>
      <c r="I189" s="43"/>
      <c r="J189" s="43"/>
      <c r="K189" s="27" t="s">
        <v>567</v>
      </c>
      <c r="L189" s="28">
        <f>8.94*1.8433</f>
        <v>16.479101999999997</v>
      </c>
      <c r="M189" s="27" t="s">
        <v>568</v>
      </c>
      <c r="N189" s="27" t="s">
        <v>863</v>
      </c>
      <c r="O189" s="18">
        <f>H189*L189</f>
        <v>3068046.2521559997</v>
      </c>
      <c r="P189" s="246"/>
      <c r="Q189" s="246"/>
      <c r="R189" s="27"/>
      <c r="S189" s="27"/>
      <c r="T189" s="18"/>
      <c r="U189" s="27"/>
      <c r="V189" s="27"/>
      <c r="W189" s="30"/>
      <c r="X189" s="53"/>
      <c r="Y189" s="27"/>
      <c r="Z189" s="27"/>
      <c r="AA189" s="54"/>
      <c r="AB189" s="27"/>
      <c r="AC189" s="605">
        <v>1258506488.2079706</v>
      </c>
      <c r="AD189" s="647">
        <v>23381142604.436356</v>
      </c>
      <c r="AE189" s="648">
        <v>5.3825705163321684E-2</v>
      </c>
      <c r="AF189" s="647">
        <v>3607710303.8645296</v>
      </c>
      <c r="AG189" s="649">
        <v>0.34883801142787874</v>
      </c>
      <c r="AH189" s="649" t="s">
        <v>2842</v>
      </c>
      <c r="AI189" s="647">
        <v>648340000</v>
      </c>
      <c r="AJ189" s="649">
        <v>1.9411211528024965</v>
      </c>
      <c r="AK189" s="647">
        <v>316140654.19336385</v>
      </c>
      <c r="AL189" s="649">
        <v>3.980843562872554</v>
      </c>
      <c r="AM189" s="647">
        <v>853395338.2621038</v>
      </c>
      <c r="AN189" s="650">
        <v>1.4747051358059384</v>
      </c>
      <c r="AO189" s="647">
        <v>20103945</v>
      </c>
      <c r="AP189" s="647" t="s">
        <v>2842</v>
      </c>
      <c r="AQ189" s="647">
        <v>53.264853658536587</v>
      </c>
      <c r="AR189" s="647">
        <v>68.7</v>
      </c>
      <c r="AS189" s="651">
        <v>84.947630000000004</v>
      </c>
      <c r="AT189" s="652">
        <v>27</v>
      </c>
      <c r="AU189" s="653">
        <v>34.155175303167042</v>
      </c>
      <c r="AV189" s="651">
        <v>-1.0619175557573799</v>
      </c>
      <c r="AW189" s="651">
        <v>-0.48204843823879501</v>
      </c>
      <c r="AX189" s="651">
        <v>-0.81857389962537597</v>
      </c>
      <c r="AY189" s="651">
        <v>-0.73985067148075101</v>
      </c>
      <c r="AZ189" s="654">
        <v>-0.92234563308804896</v>
      </c>
    </row>
    <row r="190" spans="1:52" s="29" customFormat="1" ht="15" customHeight="1">
      <c r="A190" s="59" t="s">
        <v>111</v>
      </c>
      <c r="B190" s="27">
        <v>2009</v>
      </c>
      <c r="C190" s="27" t="s">
        <v>96</v>
      </c>
      <c r="D190" s="27" t="s">
        <v>81</v>
      </c>
      <c r="E190" s="27" t="s">
        <v>19</v>
      </c>
      <c r="F190" s="41" t="s">
        <v>839</v>
      </c>
      <c r="G190" s="595">
        <v>550000</v>
      </c>
      <c r="H190" s="595">
        <v>379369</v>
      </c>
      <c r="I190" s="43"/>
      <c r="J190" s="43"/>
      <c r="K190" s="27" t="s">
        <v>567</v>
      </c>
      <c r="L190" s="28">
        <v>14.76</v>
      </c>
      <c r="M190" s="27" t="s">
        <v>568</v>
      </c>
      <c r="N190" s="27" t="s">
        <v>850</v>
      </c>
      <c r="O190" s="18">
        <f>H190*L190</f>
        <v>5599486.4399999995</v>
      </c>
      <c r="P190" s="246"/>
      <c r="Q190" s="246"/>
      <c r="R190" s="27"/>
      <c r="S190" s="27"/>
      <c r="T190" s="18"/>
      <c r="U190" s="27"/>
      <c r="V190" s="27"/>
      <c r="W190" s="30"/>
      <c r="X190" s="53"/>
      <c r="Y190" s="27"/>
      <c r="Z190" s="27"/>
      <c r="AA190" s="54"/>
      <c r="AB190" s="27"/>
      <c r="AC190" s="605">
        <v>1258506488.2079706</v>
      </c>
      <c r="AD190" s="647">
        <v>23381142604.436356</v>
      </c>
      <c r="AE190" s="648">
        <v>5.3825705163321684E-2</v>
      </c>
      <c r="AF190" s="647">
        <v>3607710303.8645296</v>
      </c>
      <c r="AG190" s="649">
        <v>0.34883801142787874</v>
      </c>
      <c r="AH190" s="649" t="s">
        <v>2842</v>
      </c>
      <c r="AI190" s="647">
        <v>648340000</v>
      </c>
      <c r="AJ190" s="649">
        <v>1.9411211528024965</v>
      </c>
      <c r="AK190" s="647">
        <v>316140654.19336385</v>
      </c>
      <c r="AL190" s="649">
        <v>3.980843562872554</v>
      </c>
      <c r="AM190" s="647">
        <v>853395338.2621038</v>
      </c>
      <c r="AN190" s="650">
        <v>1.4747051358059384</v>
      </c>
      <c r="AO190" s="647">
        <v>20103945</v>
      </c>
      <c r="AP190" s="647" t="s">
        <v>2842</v>
      </c>
      <c r="AQ190" s="647">
        <v>53.264853658536587</v>
      </c>
      <c r="AR190" s="647">
        <v>68.7</v>
      </c>
      <c r="AS190" s="651">
        <v>84.947630000000004</v>
      </c>
      <c r="AT190" s="652">
        <v>27</v>
      </c>
      <c r="AU190" s="653">
        <v>34.155175303167042</v>
      </c>
      <c r="AV190" s="651">
        <v>-1.0619175557573799</v>
      </c>
      <c r="AW190" s="651">
        <v>-0.48204843823879501</v>
      </c>
      <c r="AX190" s="651">
        <v>-0.81857389962537597</v>
      </c>
      <c r="AY190" s="651">
        <v>-0.73985067148075101</v>
      </c>
      <c r="AZ190" s="654">
        <v>-0.92234563308804896</v>
      </c>
    </row>
    <row r="191" spans="1:52" s="287" customFormat="1" ht="15" customHeight="1">
      <c r="A191" s="344" t="s">
        <v>111</v>
      </c>
      <c r="B191" s="284">
        <v>2009</v>
      </c>
      <c r="C191" s="284" t="s">
        <v>96</v>
      </c>
      <c r="D191" s="284" t="s">
        <v>81</v>
      </c>
      <c r="E191" s="284" t="s">
        <v>19</v>
      </c>
      <c r="F191" s="315" t="s">
        <v>841</v>
      </c>
      <c r="G191" s="303">
        <v>600000</v>
      </c>
      <c r="H191" s="303"/>
      <c r="I191" s="303"/>
      <c r="J191" s="303"/>
      <c r="K191" s="284" t="s">
        <v>567</v>
      </c>
      <c r="L191" s="304">
        <f>7.51*0.1949</f>
        <v>1.4636989999999999</v>
      </c>
      <c r="M191" s="284" t="s">
        <v>568</v>
      </c>
      <c r="N191" s="284" t="s">
        <v>864</v>
      </c>
      <c r="O191" s="305">
        <f>G191*L191</f>
        <v>878219.39999999991</v>
      </c>
      <c r="P191" s="320"/>
      <c r="Q191" s="320"/>
      <c r="R191" s="284"/>
      <c r="S191" s="284"/>
      <c r="T191" s="305"/>
      <c r="U191" s="284"/>
      <c r="V191" s="284"/>
      <c r="W191" s="307"/>
      <c r="X191" s="302"/>
      <c r="Y191" s="284"/>
      <c r="Z191" s="284"/>
      <c r="AA191" s="321"/>
      <c r="AB191" s="284"/>
      <c r="AC191" s="605">
        <v>1258506488.2079706</v>
      </c>
      <c r="AD191" s="655">
        <v>23381142604.436356</v>
      </c>
      <c r="AE191" s="656">
        <v>5.3825705163321684E-2</v>
      </c>
      <c r="AF191" s="655">
        <v>3607710303.8645296</v>
      </c>
      <c r="AG191" s="657">
        <v>0.34883801142787874</v>
      </c>
      <c r="AH191" s="657" t="s">
        <v>2842</v>
      </c>
      <c r="AI191" s="655">
        <v>648340000</v>
      </c>
      <c r="AJ191" s="657">
        <v>1.9411211528024965</v>
      </c>
      <c r="AK191" s="655">
        <v>316140654.19336385</v>
      </c>
      <c r="AL191" s="657">
        <v>3.980843562872554</v>
      </c>
      <c r="AM191" s="655">
        <v>853395338.2621038</v>
      </c>
      <c r="AN191" s="658">
        <v>1.4747051358059384</v>
      </c>
      <c r="AO191" s="655">
        <v>20103945</v>
      </c>
      <c r="AP191" s="655" t="s">
        <v>2842</v>
      </c>
      <c r="AQ191" s="655">
        <v>53.264853658536587</v>
      </c>
      <c r="AR191" s="655">
        <v>68.7</v>
      </c>
      <c r="AS191" s="659">
        <v>84.947630000000004</v>
      </c>
      <c r="AT191" s="660">
        <v>27</v>
      </c>
      <c r="AU191" s="661">
        <v>34.155175303167042</v>
      </c>
      <c r="AV191" s="659">
        <v>-1.0619175557573799</v>
      </c>
      <c r="AW191" s="659">
        <v>-0.48204843823879501</v>
      </c>
      <c r="AX191" s="659">
        <v>-0.81857389962537597</v>
      </c>
      <c r="AY191" s="659">
        <v>-0.73985067148075101</v>
      </c>
      <c r="AZ191" s="662">
        <v>-0.92234563308804896</v>
      </c>
    </row>
    <row r="192" spans="1:52" ht="15" customHeight="1">
      <c r="A192" s="332" t="s">
        <v>114</v>
      </c>
      <c r="B192" s="27">
        <v>2010</v>
      </c>
      <c r="C192" s="27" t="s">
        <v>96</v>
      </c>
      <c r="D192" s="27" t="s">
        <v>81</v>
      </c>
      <c r="E192" s="27" t="s">
        <v>36</v>
      </c>
      <c r="F192" s="41" t="s">
        <v>659</v>
      </c>
      <c r="G192" s="43"/>
      <c r="H192" s="43"/>
      <c r="I192" s="43"/>
      <c r="J192" s="43"/>
      <c r="K192" s="27"/>
      <c r="L192" s="28"/>
      <c r="M192" s="27"/>
      <c r="N192" s="27"/>
      <c r="O192" s="18">
        <f>O193+O194</f>
        <v>1844926523.6494939</v>
      </c>
      <c r="P192" s="213">
        <f>3676246858.7772-T192</f>
        <v>1079345275.0370555</v>
      </c>
      <c r="Q192" s="213">
        <v>1056689895.4541755</v>
      </c>
      <c r="R192" s="27" t="s">
        <v>3745</v>
      </c>
      <c r="S192" s="27" t="s">
        <v>865</v>
      </c>
      <c r="T192" s="18">
        <v>2596901583.7401447</v>
      </c>
      <c r="U192" s="27" t="s">
        <v>852</v>
      </c>
      <c r="V192" s="27" t="s">
        <v>853</v>
      </c>
      <c r="W192" s="30">
        <v>485.72</v>
      </c>
      <c r="X192" s="27">
        <v>21</v>
      </c>
      <c r="Y192" s="27" t="s">
        <v>855</v>
      </c>
      <c r="Z192" s="27">
        <v>20</v>
      </c>
      <c r="AA192" s="27" t="s">
        <v>866</v>
      </c>
      <c r="AB192" s="27" t="s">
        <v>3702</v>
      </c>
      <c r="AC192" s="605">
        <v>1079345275.0370555</v>
      </c>
      <c r="AD192" s="647">
        <v>23622482954.803967</v>
      </c>
      <c r="AE192" s="648">
        <v>4.5691440527319986E-2</v>
      </c>
      <c r="AF192" s="647">
        <v>4292441377.7174292</v>
      </c>
      <c r="AG192" s="649">
        <v>0.25145253715987004</v>
      </c>
      <c r="AH192" s="649" t="s">
        <v>2842</v>
      </c>
      <c r="AI192" s="647">
        <v>540500000</v>
      </c>
      <c r="AJ192" s="649">
        <v>1.9969385292082433</v>
      </c>
      <c r="AK192" s="647">
        <v>374092359.86697882</v>
      </c>
      <c r="AL192" s="649">
        <v>2.8852374194994339</v>
      </c>
      <c r="AM192" s="647">
        <v>821946656.66069937</v>
      </c>
      <c r="AN192" s="650">
        <v>1.3131573275351986</v>
      </c>
      <c r="AO192" s="647">
        <v>20624343</v>
      </c>
      <c r="AP192" s="647" t="s">
        <v>2842</v>
      </c>
      <c r="AQ192" s="647">
        <v>53.694829268292686</v>
      </c>
      <c r="AR192" s="647">
        <v>66</v>
      </c>
      <c r="AS192" s="651" t="s">
        <v>2842</v>
      </c>
      <c r="AT192" s="652">
        <v>27</v>
      </c>
      <c r="AU192" s="653">
        <v>34.155175303167042</v>
      </c>
      <c r="AV192" s="651">
        <v>-1.07973605973121</v>
      </c>
      <c r="AW192" s="651">
        <v>-0.72685652050563199</v>
      </c>
      <c r="AX192" s="651">
        <v>-0.87505469664290703</v>
      </c>
      <c r="AY192" s="651">
        <v>-0.72577823591609703</v>
      </c>
      <c r="AZ192" s="654">
        <v>-0.98466655509401002</v>
      </c>
    </row>
    <row r="193" spans="1:52" ht="15" customHeight="1">
      <c r="A193" s="59" t="s">
        <v>114</v>
      </c>
      <c r="B193" s="27">
        <v>2010</v>
      </c>
      <c r="C193" s="27" t="s">
        <v>96</v>
      </c>
      <c r="D193" s="27" t="s">
        <v>81</v>
      </c>
      <c r="E193" s="27" t="s">
        <v>98</v>
      </c>
      <c r="F193" s="41" t="s">
        <v>98</v>
      </c>
      <c r="G193" s="43">
        <v>24272500</v>
      </c>
      <c r="H193" s="43">
        <v>23699577</v>
      </c>
      <c r="I193" s="43"/>
      <c r="J193" s="43"/>
      <c r="K193" s="27" t="s">
        <v>603</v>
      </c>
      <c r="L193" s="28">
        <f>79.51386935*0.9497</f>
        <v>75.514321721694998</v>
      </c>
      <c r="M193" s="27" t="s">
        <v>626</v>
      </c>
      <c r="N193" s="27" t="s">
        <v>857</v>
      </c>
      <c r="O193" s="18">
        <f>G193*L193</f>
        <v>1832921373.9898419</v>
      </c>
      <c r="P193" s="213">
        <f>1056405147.55209</f>
        <v>1056405147.55209</v>
      </c>
      <c r="Q193" s="213">
        <v>1054766766.42304</v>
      </c>
      <c r="R193" s="27"/>
      <c r="S193" s="27" t="s">
        <v>865</v>
      </c>
      <c r="T193" s="18">
        <v>2596901583.7401447</v>
      </c>
      <c r="U193" s="27"/>
      <c r="V193" s="27"/>
      <c r="W193" s="30"/>
      <c r="X193" s="27">
        <v>17</v>
      </c>
      <c r="Y193" s="27" t="s">
        <v>858</v>
      </c>
      <c r="Z193" s="27"/>
      <c r="AA193" s="27"/>
      <c r="AB193" s="27" t="s">
        <v>867</v>
      </c>
      <c r="AC193" s="605">
        <v>1079345275.0370555</v>
      </c>
      <c r="AD193" s="647">
        <v>23622482954.803967</v>
      </c>
      <c r="AE193" s="648">
        <v>4.5691440527319986E-2</v>
      </c>
      <c r="AF193" s="647">
        <v>4292441377.7174292</v>
      </c>
      <c r="AG193" s="649">
        <v>0.25145253715987004</v>
      </c>
      <c r="AH193" s="649" t="s">
        <v>2842</v>
      </c>
      <c r="AI193" s="647">
        <v>540500000</v>
      </c>
      <c r="AJ193" s="649">
        <v>1.9969385292082433</v>
      </c>
      <c r="AK193" s="647">
        <v>374092359.86697882</v>
      </c>
      <c r="AL193" s="649">
        <v>2.8852374194994339</v>
      </c>
      <c r="AM193" s="647">
        <v>821946656.66069937</v>
      </c>
      <c r="AN193" s="650">
        <v>1.3131573275351986</v>
      </c>
      <c r="AO193" s="647">
        <v>20624343</v>
      </c>
      <c r="AP193" s="647" t="s">
        <v>2842</v>
      </c>
      <c r="AQ193" s="647">
        <v>53.694829268292686</v>
      </c>
      <c r="AR193" s="647">
        <v>66</v>
      </c>
      <c r="AS193" s="651" t="s">
        <v>2842</v>
      </c>
      <c r="AT193" s="652">
        <v>27</v>
      </c>
      <c r="AU193" s="653">
        <v>34.155175303167042</v>
      </c>
      <c r="AV193" s="651">
        <v>-1.07973605973121</v>
      </c>
      <c r="AW193" s="651">
        <v>-0.72685652050563199</v>
      </c>
      <c r="AX193" s="651">
        <v>-0.87505469664290703</v>
      </c>
      <c r="AY193" s="651">
        <v>-0.72577823591609703</v>
      </c>
      <c r="AZ193" s="654">
        <v>-0.98466655509401002</v>
      </c>
    </row>
    <row r="194" spans="1:52" ht="15" customHeight="1">
      <c r="A194" s="59" t="s">
        <v>114</v>
      </c>
      <c r="B194" s="27">
        <v>2010</v>
      </c>
      <c r="C194" s="27" t="s">
        <v>96</v>
      </c>
      <c r="D194" s="27" t="s">
        <v>81</v>
      </c>
      <c r="E194" s="27" t="s">
        <v>19</v>
      </c>
      <c r="F194" s="41" t="s">
        <v>559</v>
      </c>
      <c r="G194" s="43"/>
      <c r="H194" s="43"/>
      <c r="I194" s="43"/>
      <c r="J194" s="43"/>
      <c r="K194" s="27"/>
      <c r="L194" s="28"/>
      <c r="M194" s="27"/>
      <c r="N194" s="27"/>
      <c r="O194" s="18">
        <f>SUM(O195:O199)</f>
        <v>12005149.659652</v>
      </c>
      <c r="P194" s="213">
        <v>870871.80680227291</v>
      </c>
      <c r="Q194" s="213">
        <v>867927.72379148472</v>
      </c>
      <c r="R194" s="27"/>
      <c r="S194" s="27"/>
      <c r="T194" s="27"/>
      <c r="U194" s="27"/>
      <c r="V194" s="27"/>
      <c r="W194" s="30"/>
      <c r="X194" s="27">
        <v>4</v>
      </c>
      <c r="Y194" s="27" t="s">
        <v>868</v>
      </c>
      <c r="Z194" s="27"/>
      <c r="AA194" s="27"/>
      <c r="AB194" s="27" t="s">
        <v>869</v>
      </c>
      <c r="AC194" s="605">
        <v>1079345275.0370555</v>
      </c>
      <c r="AD194" s="647">
        <v>23622482954.803967</v>
      </c>
      <c r="AE194" s="648">
        <v>4.5691440527319986E-2</v>
      </c>
      <c r="AF194" s="647">
        <v>4292441377.7174292</v>
      </c>
      <c r="AG194" s="649">
        <v>0.25145253715987004</v>
      </c>
      <c r="AH194" s="649" t="s">
        <v>2842</v>
      </c>
      <c r="AI194" s="647">
        <v>540500000</v>
      </c>
      <c r="AJ194" s="649">
        <v>1.9969385292082433</v>
      </c>
      <c r="AK194" s="647">
        <v>374092359.86697882</v>
      </c>
      <c r="AL194" s="649">
        <v>2.8852374194994339</v>
      </c>
      <c r="AM194" s="647">
        <v>821946656.66069937</v>
      </c>
      <c r="AN194" s="650">
        <v>1.3131573275351986</v>
      </c>
      <c r="AO194" s="647">
        <v>20624343</v>
      </c>
      <c r="AP194" s="647" t="s">
        <v>2842</v>
      </c>
      <c r="AQ194" s="647">
        <v>53.694829268292686</v>
      </c>
      <c r="AR194" s="647">
        <v>66</v>
      </c>
      <c r="AS194" s="651" t="s">
        <v>2842</v>
      </c>
      <c r="AT194" s="652">
        <v>27</v>
      </c>
      <c r="AU194" s="653">
        <v>34.155175303167042</v>
      </c>
      <c r="AV194" s="651">
        <v>-1.07973605973121</v>
      </c>
      <c r="AW194" s="651">
        <v>-0.72685652050563199</v>
      </c>
      <c r="AX194" s="651">
        <v>-0.87505469664290703</v>
      </c>
      <c r="AY194" s="651">
        <v>-0.72577823591609703</v>
      </c>
      <c r="AZ194" s="654">
        <v>-0.98466655509401002</v>
      </c>
    </row>
    <row r="195" spans="1:52" ht="15" customHeight="1">
      <c r="A195" s="59" t="s">
        <v>114</v>
      </c>
      <c r="B195" s="27">
        <v>2010</v>
      </c>
      <c r="C195" s="27" t="s">
        <v>96</v>
      </c>
      <c r="D195" s="27" t="s">
        <v>81</v>
      </c>
      <c r="E195" s="27" t="s">
        <v>19</v>
      </c>
      <c r="F195" s="41" t="s">
        <v>677</v>
      </c>
      <c r="G195" s="43">
        <v>12000</v>
      </c>
      <c r="H195" s="61">
        <v>9966</v>
      </c>
      <c r="I195" s="61"/>
      <c r="J195" s="61"/>
      <c r="K195" s="27" t="s">
        <v>567</v>
      </c>
      <c r="L195" s="28">
        <f>12*0.1417</f>
        <v>1.7003999999999999</v>
      </c>
      <c r="M195" s="27" t="s">
        <v>568</v>
      </c>
      <c r="N195" s="27" t="s">
        <v>861</v>
      </c>
      <c r="O195" s="18">
        <f>H195*L195</f>
        <v>16946.186399999999</v>
      </c>
      <c r="P195" s="246"/>
      <c r="Q195" s="246"/>
      <c r="R195" s="27"/>
      <c r="S195" s="27"/>
      <c r="T195" s="18"/>
      <c r="U195" s="27"/>
      <c r="V195" s="27"/>
      <c r="W195" s="30"/>
      <c r="X195" s="53"/>
      <c r="Y195" s="27"/>
      <c r="Z195" s="27"/>
      <c r="AA195" s="54"/>
      <c r="AB195" s="27"/>
      <c r="AC195" s="605">
        <v>1079345275.0370555</v>
      </c>
      <c r="AD195" s="647">
        <v>23622482954.803967</v>
      </c>
      <c r="AE195" s="648">
        <v>4.5691440527319986E-2</v>
      </c>
      <c r="AF195" s="647">
        <v>4292441377.7174292</v>
      </c>
      <c r="AG195" s="649">
        <v>0.25145253715987004</v>
      </c>
      <c r="AH195" s="649" t="s">
        <v>2842</v>
      </c>
      <c r="AI195" s="647">
        <v>540500000</v>
      </c>
      <c r="AJ195" s="649">
        <v>1.9969385292082433</v>
      </c>
      <c r="AK195" s="647">
        <v>374092359.86697882</v>
      </c>
      <c r="AL195" s="649">
        <v>2.8852374194994339</v>
      </c>
      <c r="AM195" s="647">
        <v>821946656.66069937</v>
      </c>
      <c r="AN195" s="650">
        <v>1.3131573275351986</v>
      </c>
      <c r="AO195" s="647">
        <v>20624343</v>
      </c>
      <c r="AP195" s="647" t="s">
        <v>2842</v>
      </c>
      <c r="AQ195" s="647">
        <v>53.694829268292686</v>
      </c>
      <c r="AR195" s="647">
        <v>66</v>
      </c>
      <c r="AS195" s="651" t="s">
        <v>2842</v>
      </c>
      <c r="AT195" s="652">
        <v>27</v>
      </c>
      <c r="AU195" s="653">
        <v>34.155175303167042</v>
      </c>
      <c r="AV195" s="651">
        <v>-1.07973605973121</v>
      </c>
      <c r="AW195" s="651">
        <v>-0.72685652050563199</v>
      </c>
      <c r="AX195" s="651">
        <v>-0.87505469664290703</v>
      </c>
      <c r="AY195" s="651">
        <v>-0.72577823591609703</v>
      </c>
      <c r="AZ195" s="654">
        <v>-0.98466655509401002</v>
      </c>
    </row>
    <row r="196" spans="1:52" ht="15" customHeight="1">
      <c r="A196" s="59" t="s">
        <v>114</v>
      </c>
      <c r="B196" s="27">
        <v>2010</v>
      </c>
      <c r="C196" s="27" t="s">
        <v>96</v>
      </c>
      <c r="D196" s="27" t="s">
        <v>81</v>
      </c>
      <c r="E196" s="27" t="s">
        <v>19</v>
      </c>
      <c r="F196" s="41" t="s">
        <v>730</v>
      </c>
      <c r="G196" s="595">
        <f>1600*32.150743126506</f>
        <v>51441.189002409599</v>
      </c>
      <c r="H196" s="596">
        <v>1676</v>
      </c>
      <c r="I196" s="61"/>
      <c r="J196" s="61"/>
      <c r="K196" s="27" t="s">
        <v>731</v>
      </c>
      <c r="L196" s="28">
        <v>1224.66425</v>
      </c>
      <c r="M196" s="27" t="s">
        <v>732</v>
      </c>
      <c r="N196" s="55" t="s">
        <v>782</v>
      </c>
      <c r="O196" s="18">
        <f>H196*L196</f>
        <v>2052537.2830000001</v>
      </c>
      <c r="P196" s="246"/>
      <c r="Q196" s="246"/>
      <c r="R196" s="27"/>
      <c r="S196" s="27"/>
      <c r="T196" s="18"/>
      <c r="U196" s="27"/>
      <c r="V196" s="27"/>
      <c r="W196" s="30"/>
      <c r="X196" s="53"/>
      <c r="Y196" s="27"/>
      <c r="Z196" s="27"/>
      <c r="AA196" s="54"/>
      <c r="AB196" s="27" t="s">
        <v>862</v>
      </c>
      <c r="AC196" s="605">
        <v>1079345275.0370555</v>
      </c>
      <c r="AD196" s="647">
        <v>23622482954.803967</v>
      </c>
      <c r="AE196" s="648">
        <v>4.5691440527319986E-2</v>
      </c>
      <c r="AF196" s="647">
        <v>4292441377.7174292</v>
      </c>
      <c r="AG196" s="649">
        <v>0.25145253715987004</v>
      </c>
      <c r="AH196" s="649" t="s">
        <v>2842</v>
      </c>
      <c r="AI196" s="647">
        <v>540500000</v>
      </c>
      <c r="AJ196" s="649">
        <v>1.9969385292082433</v>
      </c>
      <c r="AK196" s="647">
        <v>374092359.86697882</v>
      </c>
      <c r="AL196" s="649">
        <v>2.8852374194994339</v>
      </c>
      <c r="AM196" s="647">
        <v>821946656.66069937</v>
      </c>
      <c r="AN196" s="650">
        <v>1.3131573275351986</v>
      </c>
      <c r="AO196" s="647">
        <v>20624343</v>
      </c>
      <c r="AP196" s="647" t="s">
        <v>2842</v>
      </c>
      <c r="AQ196" s="647">
        <v>53.694829268292686</v>
      </c>
      <c r="AR196" s="647">
        <v>66</v>
      </c>
      <c r="AS196" s="651" t="s">
        <v>2842</v>
      </c>
      <c r="AT196" s="652">
        <v>27</v>
      </c>
      <c r="AU196" s="653">
        <v>34.155175303167042</v>
      </c>
      <c r="AV196" s="651">
        <v>-1.07973605973121</v>
      </c>
      <c r="AW196" s="651">
        <v>-0.72685652050563199</v>
      </c>
      <c r="AX196" s="651">
        <v>-0.87505469664290703</v>
      </c>
      <c r="AY196" s="651">
        <v>-0.72577823591609703</v>
      </c>
      <c r="AZ196" s="654">
        <v>-0.98466655509401002</v>
      </c>
    </row>
    <row r="197" spans="1:52" ht="15" customHeight="1">
      <c r="A197" s="59" t="s">
        <v>114</v>
      </c>
      <c r="B197" s="27">
        <v>2010</v>
      </c>
      <c r="C197" s="27" t="s">
        <v>96</v>
      </c>
      <c r="D197" s="27" t="s">
        <v>81</v>
      </c>
      <c r="E197" s="27" t="s">
        <v>19</v>
      </c>
      <c r="F197" s="41" t="s">
        <v>653</v>
      </c>
      <c r="G197" s="595">
        <v>100000</v>
      </c>
      <c r="H197" s="595">
        <v>189748</v>
      </c>
      <c r="I197" s="43"/>
      <c r="J197" s="43"/>
      <c r="K197" s="27" t="s">
        <v>567</v>
      </c>
      <c r="L197" s="28">
        <f>9.03*1.8433</f>
        <v>16.644998999999999</v>
      </c>
      <c r="M197" s="27" t="s">
        <v>568</v>
      </c>
      <c r="N197" s="27" t="s">
        <v>863</v>
      </c>
      <c r="O197" s="18">
        <f>H197*L197</f>
        <v>3158355.2702519996</v>
      </c>
      <c r="P197" s="246"/>
      <c r="Q197" s="246"/>
      <c r="R197" s="27"/>
      <c r="S197" s="27"/>
      <c r="T197" s="18"/>
      <c r="U197" s="27"/>
      <c r="V197" s="27"/>
      <c r="W197" s="30"/>
      <c r="X197" s="53"/>
      <c r="Y197" s="27"/>
      <c r="Z197" s="27"/>
      <c r="AA197" s="54"/>
      <c r="AB197" s="27"/>
      <c r="AC197" s="605">
        <v>1079345275.0370555</v>
      </c>
      <c r="AD197" s="647">
        <v>23622482954.803967</v>
      </c>
      <c r="AE197" s="648">
        <v>4.5691440527319986E-2</v>
      </c>
      <c r="AF197" s="647">
        <v>4292441377.7174292</v>
      </c>
      <c r="AG197" s="649">
        <v>0.25145253715987004</v>
      </c>
      <c r="AH197" s="649" t="s">
        <v>2842</v>
      </c>
      <c r="AI197" s="647">
        <v>540500000</v>
      </c>
      <c r="AJ197" s="649">
        <v>1.9969385292082433</v>
      </c>
      <c r="AK197" s="647">
        <v>374092359.86697882</v>
      </c>
      <c r="AL197" s="649">
        <v>2.8852374194994339</v>
      </c>
      <c r="AM197" s="647">
        <v>821946656.66069937</v>
      </c>
      <c r="AN197" s="650">
        <v>1.3131573275351986</v>
      </c>
      <c r="AO197" s="647">
        <v>20624343</v>
      </c>
      <c r="AP197" s="647" t="s">
        <v>2842</v>
      </c>
      <c r="AQ197" s="647">
        <v>53.694829268292686</v>
      </c>
      <c r="AR197" s="647">
        <v>66</v>
      </c>
      <c r="AS197" s="651" t="s">
        <v>2842</v>
      </c>
      <c r="AT197" s="652">
        <v>27</v>
      </c>
      <c r="AU197" s="653">
        <v>34.155175303167042</v>
      </c>
      <c r="AV197" s="651">
        <v>-1.07973605973121</v>
      </c>
      <c r="AW197" s="651">
        <v>-0.72685652050563199</v>
      </c>
      <c r="AX197" s="651">
        <v>-0.87505469664290703</v>
      </c>
      <c r="AY197" s="651">
        <v>-0.72577823591609703</v>
      </c>
      <c r="AZ197" s="654">
        <v>-0.98466655509401002</v>
      </c>
    </row>
    <row r="198" spans="1:52" ht="15" customHeight="1">
      <c r="A198" s="59" t="s">
        <v>114</v>
      </c>
      <c r="B198" s="27">
        <v>2010</v>
      </c>
      <c r="C198" s="27" t="s">
        <v>96</v>
      </c>
      <c r="D198" s="27" t="s">
        <v>81</v>
      </c>
      <c r="E198" s="27" t="s">
        <v>19</v>
      </c>
      <c r="F198" s="41" t="s">
        <v>839</v>
      </c>
      <c r="G198" s="595">
        <v>600000</v>
      </c>
      <c r="H198" s="596">
        <v>401252</v>
      </c>
      <c r="I198" s="61"/>
      <c r="J198" s="61"/>
      <c r="K198" s="27" t="s">
        <v>567</v>
      </c>
      <c r="L198" s="28">
        <v>14.76</v>
      </c>
      <c r="M198" s="27" t="s">
        <v>568</v>
      </c>
      <c r="N198" s="27" t="s">
        <v>850</v>
      </c>
      <c r="O198" s="18">
        <f>H198*L198</f>
        <v>5922479.5199999996</v>
      </c>
      <c r="P198" s="246"/>
      <c r="Q198" s="246"/>
      <c r="R198" s="27"/>
      <c r="S198" s="27"/>
      <c r="T198" s="18"/>
      <c r="U198" s="27"/>
      <c r="V198" s="27"/>
      <c r="W198" s="30"/>
      <c r="X198" s="53"/>
      <c r="Y198" s="27"/>
      <c r="Z198" s="27"/>
      <c r="AA198" s="54"/>
      <c r="AB198" s="27"/>
      <c r="AC198" s="605">
        <v>1079345275.0370555</v>
      </c>
      <c r="AD198" s="647">
        <v>23622482954.803967</v>
      </c>
      <c r="AE198" s="648">
        <v>4.5691440527319986E-2</v>
      </c>
      <c r="AF198" s="647">
        <v>4292441377.7174292</v>
      </c>
      <c r="AG198" s="649">
        <v>0.25145253715987004</v>
      </c>
      <c r="AH198" s="649" t="s">
        <v>2842</v>
      </c>
      <c r="AI198" s="647">
        <v>540500000</v>
      </c>
      <c r="AJ198" s="649">
        <v>1.9969385292082433</v>
      </c>
      <c r="AK198" s="647">
        <v>374092359.86697882</v>
      </c>
      <c r="AL198" s="649">
        <v>2.8852374194994339</v>
      </c>
      <c r="AM198" s="647">
        <v>821946656.66069937</v>
      </c>
      <c r="AN198" s="650">
        <v>1.3131573275351986</v>
      </c>
      <c r="AO198" s="647">
        <v>20624343</v>
      </c>
      <c r="AP198" s="647" t="s">
        <v>2842</v>
      </c>
      <c r="AQ198" s="647">
        <v>53.694829268292686</v>
      </c>
      <c r="AR198" s="647">
        <v>66</v>
      </c>
      <c r="AS198" s="651" t="s">
        <v>2842</v>
      </c>
      <c r="AT198" s="652">
        <v>27</v>
      </c>
      <c r="AU198" s="653">
        <v>34.155175303167042</v>
      </c>
      <c r="AV198" s="651">
        <v>-1.07973605973121</v>
      </c>
      <c r="AW198" s="651">
        <v>-0.72685652050563199</v>
      </c>
      <c r="AX198" s="651">
        <v>-0.87505469664290703</v>
      </c>
      <c r="AY198" s="651">
        <v>-0.72577823591609703</v>
      </c>
      <c r="AZ198" s="654">
        <v>-0.98466655509401002</v>
      </c>
    </row>
    <row r="199" spans="1:52" s="287" customFormat="1" ht="15" customHeight="1">
      <c r="A199" s="344" t="s">
        <v>114</v>
      </c>
      <c r="B199" s="284">
        <v>2010</v>
      </c>
      <c r="C199" s="284" t="s">
        <v>96</v>
      </c>
      <c r="D199" s="284" t="s">
        <v>81</v>
      </c>
      <c r="E199" s="284" t="s">
        <v>19</v>
      </c>
      <c r="F199" s="315" t="s">
        <v>841</v>
      </c>
      <c r="G199" s="303">
        <v>600000</v>
      </c>
      <c r="H199" s="303"/>
      <c r="I199" s="303"/>
      <c r="J199" s="303"/>
      <c r="K199" s="284" t="s">
        <v>567</v>
      </c>
      <c r="L199" s="304">
        <f>7.31*0.1949</f>
        <v>1.4247189999999998</v>
      </c>
      <c r="M199" s="284" t="s">
        <v>568</v>
      </c>
      <c r="N199" s="284" t="s">
        <v>864</v>
      </c>
      <c r="O199" s="305">
        <f>G199*L199</f>
        <v>854831.39999999991</v>
      </c>
      <c r="P199" s="320"/>
      <c r="Q199" s="320"/>
      <c r="R199" s="284"/>
      <c r="S199" s="284"/>
      <c r="T199" s="305"/>
      <c r="U199" s="284"/>
      <c r="V199" s="284"/>
      <c r="W199" s="307"/>
      <c r="X199" s="302"/>
      <c r="Y199" s="284"/>
      <c r="Z199" s="284"/>
      <c r="AA199" s="321"/>
      <c r="AB199" s="284"/>
      <c r="AC199" s="663">
        <v>1079345275.0370555</v>
      </c>
      <c r="AD199" s="655">
        <v>23622482954.803967</v>
      </c>
      <c r="AE199" s="656">
        <v>4.5691440527319986E-2</v>
      </c>
      <c r="AF199" s="655">
        <v>4292441377.7174292</v>
      </c>
      <c r="AG199" s="657">
        <v>0.25145253715987004</v>
      </c>
      <c r="AH199" s="657" t="s">
        <v>2842</v>
      </c>
      <c r="AI199" s="655">
        <v>540500000</v>
      </c>
      <c r="AJ199" s="657">
        <v>1.9969385292082433</v>
      </c>
      <c r="AK199" s="655">
        <v>374092359.86697882</v>
      </c>
      <c r="AL199" s="657">
        <v>2.8852374194994339</v>
      </c>
      <c r="AM199" s="655">
        <v>821946656.66069937</v>
      </c>
      <c r="AN199" s="658">
        <v>1.3131573275351986</v>
      </c>
      <c r="AO199" s="655">
        <v>20624343</v>
      </c>
      <c r="AP199" s="655" t="s">
        <v>2842</v>
      </c>
      <c r="AQ199" s="655">
        <v>53.694829268292686</v>
      </c>
      <c r="AR199" s="655">
        <v>66</v>
      </c>
      <c r="AS199" s="659" t="s">
        <v>2842</v>
      </c>
      <c r="AT199" s="660">
        <v>27</v>
      </c>
      <c r="AU199" s="661">
        <v>34.155175303167042</v>
      </c>
      <c r="AV199" s="659">
        <v>-1.07973605973121</v>
      </c>
      <c r="AW199" s="659">
        <v>-0.72685652050563199</v>
      </c>
      <c r="AX199" s="659">
        <v>-0.87505469664290703</v>
      </c>
      <c r="AY199" s="659">
        <v>-0.72577823591609703</v>
      </c>
      <c r="AZ199" s="662">
        <v>-0.98466655509401002</v>
      </c>
    </row>
    <row r="200" spans="1:52" s="29" customFormat="1" ht="15" customHeight="1">
      <c r="A200" s="332" t="s">
        <v>116</v>
      </c>
      <c r="B200" s="27">
        <v>2011</v>
      </c>
      <c r="C200" s="27" t="s">
        <v>96</v>
      </c>
      <c r="D200" s="27" t="s">
        <v>81</v>
      </c>
      <c r="E200" s="27" t="s">
        <v>30</v>
      </c>
      <c r="F200" s="41" t="s">
        <v>659</v>
      </c>
      <c r="G200" s="43"/>
      <c r="H200" s="43"/>
      <c r="I200" s="43"/>
      <c r="J200" s="43"/>
      <c r="K200" s="27"/>
      <c r="L200" s="28"/>
      <c r="M200" s="27"/>
      <c r="N200" s="27"/>
      <c r="O200" s="18">
        <f>O201+O204</f>
        <v>2650172583.6000004</v>
      </c>
      <c r="P200" s="213">
        <f>P201+P204</f>
        <v>1566909552.6100264</v>
      </c>
      <c r="Q200" s="213">
        <f>Q201+Q204</f>
        <v>1566523264.9798601</v>
      </c>
      <c r="R200" s="27" t="s">
        <v>3693</v>
      </c>
      <c r="S200" s="27" t="s">
        <v>870</v>
      </c>
      <c r="T200" s="27" t="s">
        <v>871</v>
      </c>
      <c r="U200" s="27" t="s">
        <v>852</v>
      </c>
      <c r="V200" s="27" t="s">
        <v>853</v>
      </c>
      <c r="W200" s="30">
        <v>461.51</v>
      </c>
      <c r="X200" s="27">
        <v>22</v>
      </c>
      <c r="Y200" s="27" t="s">
        <v>872</v>
      </c>
      <c r="Z200" s="27">
        <v>22</v>
      </c>
      <c r="AA200" s="27" t="s">
        <v>873</v>
      </c>
      <c r="AB200" s="27" t="s">
        <v>874</v>
      </c>
      <c r="AC200" s="273">
        <v>1566909552.6100264</v>
      </c>
      <c r="AD200" s="27">
        <v>26587310733.573769</v>
      </c>
      <c r="AE200" s="228">
        <v>5.8900847012799851E-2</v>
      </c>
      <c r="AF200" s="27">
        <v>12597865444.889257</v>
      </c>
      <c r="AG200" s="226">
        <v>0.12430797335077952</v>
      </c>
      <c r="AH200" s="226" t="s">
        <v>2842</v>
      </c>
      <c r="AI200" s="27">
        <v>611840000</v>
      </c>
      <c r="AJ200" s="226">
        <v>2.5595173934361926</v>
      </c>
      <c r="AK200" s="27">
        <v>494280408.32577062</v>
      </c>
      <c r="AL200" s="226">
        <v>3.1682726962705545</v>
      </c>
      <c r="AM200" s="27">
        <v>846731402.39427054</v>
      </c>
      <c r="AN200" s="271">
        <v>1.849482749277797</v>
      </c>
      <c r="AO200" s="27">
        <v>21156272</v>
      </c>
      <c r="AP200" s="27" t="s">
        <v>2842</v>
      </c>
      <c r="AQ200" s="27">
        <v>54.137365853658544</v>
      </c>
      <c r="AR200" s="27">
        <v>64.3</v>
      </c>
      <c r="AS200" s="29" t="s">
        <v>2842</v>
      </c>
      <c r="AT200" s="270">
        <v>27</v>
      </c>
      <c r="AU200" s="464">
        <v>34.155175303167042</v>
      </c>
      <c r="AV200" s="29">
        <v>-1.04895192292356</v>
      </c>
      <c r="AW200" s="29">
        <v>-0.66230852929665596</v>
      </c>
      <c r="AX200" s="29">
        <v>-0.87489524530902296</v>
      </c>
      <c r="AY200" s="29">
        <v>-0.78985038430656396</v>
      </c>
      <c r="AZ200" s="60">
        <v>-1.0381540956325599</v>
      </c>
    </row>
    <row r="201" spans="1:52" s="29" customFormat="1" ht="15" customHeight="1">
      <c r="A201" s="59" t="s">
        <v>116</v>
      </c>
      <c r="B201" s="27">
        <v>2011</v>
      </c>
      <c r="C201" s="27" t="s">
        <v>96</v>
      </c>
      <c r="D201" s="27" t="s">
        <v>81</v>
      </c>
      <c r="E201" s="27" t="s">
        <v>50</v>
      </c>
      <c r="F201" s="41" t="s">
        <v>597</v>
      </c>
      <c r="G201" s="43"/>
      <c r="H201" s="43"/>
      <c r="I201" s="43"/>
      <c r="J201" s="43"/>
      <c r="K201" s="27"/>
      <c r="L201" s="28"/>
      <c r="M201" s="27"/>
      <c r="N201" s="27"/>
      <c r="O201" s="18">
        <f>SUM(O202:O203)</f>
        <v>2638418491.9848757</v>
      </c>
      <c r="P201" s="213">
        <v>1564930334.7772601</v>
      </c>
      <c r="Q201" s="213">
        <v>1565410884.9798601</v>
      </c>
      <c r="R201" s="27"/>
      <c r="S201" s="27" t="s">
        <v>870</v>
      </c>
      <c r="T201" s="27" t="s">
        <v>871</v>
      </c>
      <c r="U201" s="27"/>
      <c r="V201" s="27"/>
      <c r="W201" s="30"/>
      <c r="X201" s="27">
        <v>18</v>
      </c>
      <c r="Y201" s="27" t="s">
        <v>875</v>
      </c>
      <c r="Z201" s="27">
        <v>18</v>
      </c>
      <c r="AA201" s="27" t="s">
        <v>876</v>
      </c>
      <c r="AB201" s="27" t="s">
        <v>3787</v>
      </c>
      <c r="AC201" s="273">
        <v>1566909552.6100264</v>
      </c>
      <c r="AD201" s="27">
        <v>26587310733.573769</v>
      </c>
      <c r="AE201" s="228">
        <v>5.8900847012799851E-2</v>
      </c>
      <c r="AF201" s="27">
        <v>12597865444.889257</v>
      </c>
      <c r="AG201" s="226">
        <v>0.12430797335077952</v>
      </c>
      <c r="AH201" s="226" t="s">
        <v>2842</v>
      </c>
      <c r="AI201" s="27">
        <v>611840000</v>
      </c>
      <c r="AJ201" s="226">
        <v>2.5595173934361926</v>
      </c>
      <c r="AK201" s="27">
        <v>494280408.32577062</v>
      </c>
      <c r="AL201" s="226">
        <v>3.1682726962705545</v>
      </c>
      <c r="AM201" s="27">
        <v>846731402.39427054</v>
      </c>
      <c r="AN201" s="271">
        <v>1.849482749277797</v>
      </c>
      <c r="AO201" s="27">
        <v>21156272</v>
      </c>
      <c r="AP201" s="27" t="s">
        <v>2842</v>
      </c>
      <c r="AQ201" s="27">
        <v>54.137365853658544</v>
      </c>
      <c r="AR201" s="27">
        <v>64.3</v>
      </c>
      <c r="AS201" s="29" t="s">
        <v>2842</v>
      </c>
      <c r="AT201" s="270">
        <v>27</v>
      </c>
      <c r="AU201" s="464">
        <v>34.155175303167042</v>
      </c>
      <c r="AV201" s="29">
        <v>-1.04895192292356</v>
      </c>
      <c r="AW201" s="29">
        <v>-0.66230852929665596</v>
      </c>
      <c r="AX201" s="29">
        <v>-0.87489524530902296</v>
      </c>
      <c r="AY201" s="29">
        <v>-0.78985038430656396</v>
      </c>
      <c r="AZ201" s="60">
        <v>-1.0381540956325599</v>
      </c>
    </row>
    <row r="202" spans="1:52" s="29" customFormat="1" ht="15" customHeight="1">
      <c r="A202" s="59" t="s">
        <v>116</v>
      </c>
      <c r="B202" s="27">
        <v>2011</v>
      </c>
      <c r="C202" s="27" t="s">
        <v>96</v>
      </c>
      <c r="D202" s="27" t="s">
        <v>81</v>
      </c>
      <c r="E202" s="27" t="s">
        <v>552</v>
      </c>
      <c r="F202" s="41" t="s">
        <v>552</v>
      </c>
      <c r="G202" s="43">
        <f>85000000000*0.0283168</f>
        <v>2406928000</v>
      </c>
      <c r="H202" s="43"/>
      <c r="I202" s="43"/>
      <c r="J202" s="43"/>
      <c r="K202" s="27" t="s">
        <v>599</v>
      </c>
      <c r="L202" s="28">
        <v>0.19666043794616025</v>
      </c>
      <c r="M202" s="27" t="s">
        <v>600</v>
      </c>
      <c r="N202" s="27" t="s">
        <v>816</v>
      </c>
      <c r="O202" s="18">
        <f>G202*L202</f>
        <v>473347514.58487558</v>
      </c>
      <c r="P202" s="245"/>
      <c r="Q202" s="213"/>
      <c r="R202" s="27"/>
      <c r="S202" s="27"/>
      <c r="T202" s="27"/>
      <c r="U202" s="27"/>
      <c r="V202" s="27"/>
      <c r="W202" s="30"/>
      <c r="X202" s="27"/>
      <c r="Y202" s="27"/>
      <c r="Z202" s="27"/>
      <c r="AA202" s="27"/>
      <c r="AB202" s="27"/>
      <c r="AC202" s="273">
        <v>1566909552.6100264</v>
      </c>
      <c r="AD202" s="27">
        <v>26587310733.573769</v>
      </c>
      <c r="AE202" s="228">
        <v>5.8900847012799851E-2</v>
      </c>
      <c r="AF202" s="27">
        <v>12597865444.889257</v>
      </c>
      <c r="AG202" s="226">
        <v>0.12430797335077952</v>
      </c>
      <c r="AH202" s="226" t="s">
        <v>2842</v>
      </c>
      <c r="AI202" s="27">
        <v>611840000</v>
      </c>
      <c r="AJ202" s="226">
        <v>2.5595173934361926</v>
      </c>
      <c r="AK202" s="27">
        <v>494280408.32577062</v>
      </c>
      <c r="AL202" s="226">
        <v>3.1682726962705545</v>
      </c>
      <c r="AM202" s="27">
        <v>846731402.39427054</v>
      </c>
      <c r="AN202" s="271">
        <v>1.849482749277797</v>
      </c>
      <c r="AO202" s="27">
        <v>21156272</v>
      </c>
      <c r="AP202" s="27" t="s">
        <v>2842</v>
      </c>
      <c r="AQ202" s="27">
        <v>54.137365853658544</v>
      </c>
      <c r="AR202" s="27">
        <v>64.3</v>
      </c>
      <c r="AS202" s="29" t="s">
        <v>2842</v>
      </c>
      <c r="AT202" s="270">
        <v>27</v>
      </c>
      <c r="AU202" s="464">
        <v>34.155175303167042</v>
      </c>
      <c r="AV202" s="29">
        <v>-1.04895192292356</v>
      </c>
      <c r="AW202" s="29">
        <v>-0.66230852929665596</v>
      </c>
      <c r="AX202" s="29">
        <v>-0.87489524530902296</v>
      </c>
      <c r="AY202" s="29">
        <v>-0.78985038430656396</v>
      </c>
      <c r="AZ202" s="60">
        <v>-1.0381540956325599</v>
      </c>
    </row>
    <row r="203" spans="1:52" s="29" customFormat="1" ht="15" customHeight="1">
      <c r="A203" s="59" t="s">
        <v>116</v>
      </c>
      <c r="B203" s="27">
        <v>2011</v>
      </c>
      <c r="C203" s="27" t="s">
        <v>96</v>
      </c>
      <c r="D203" s="27" t="s">
        <v>81</v>
      </c>
      <c r="E203" s="27" t="s">
        <v>98</v>
      </c>
      <c r="F203" s="41" t="s">
        <v>98</v>
      </c>
      <c r="G203" s="43">
        <v>21400000</v>
      </c>
      <c r="H203" s="18">
        <v>21426672</v>
      </c>
      <c r="I203" s="18"/>
      <c r="J203" s="18"/>
      <c r="K203" s="27" t="s">
        <v>603</v>
      </c>
      <c r="L203" s="28">
        <f>106.53*0.9497</f>
        <v>101.171541</v>
      </c>
      <c r="M203" s="27" t="s">
        <v>626</v>
      </c>
      <c r="N203" s="27" t="s">
        <v>832</v>
      </c>
      <c r="O203" s="18">
        <f>G203*L203</f>
        <v>2165070977.4000001</v>
      </c>
      <c r="P203" s="213"/>
      <c r="Q203" s="213"/>
      <c r="R203" s="27"/>
      <c r="S203" s="27" t="s">
        <v>870</v>
      </c>
      <c r="T203" s="27" t="s">
        <v>871</v>
      </c>
      <c r="U203" s="27"/>
      <c r="V203" s="27"/>
      <c r="W203" s="30"/>
      <c r="X203" s="27">
        <v>10</v>
      </c>
      <c r="Y203" s="27"/>
      <c r="Z203" s="27"/>
      <c r="AA203" s="27">
        <v>50</v>
      </c>
      <c r="AB203" s="27"/>
      <c r="AC203" s="273">
        <v>1566909552.6100264</v>
      </c>
      <c r="AD203" s="27">
        <v>26587310733.573769</v>
      </c>
      <c r="AE203" s="228">
        <v>5.8900847012799851E-2</v>
      </c>
      <c r="AF203" s="27">
        <v>12597865444.889257</v>
      </c>
      <c r="AG203" s="226">
        <v>0.12430797335077952</v>
      </c>
      <c r="AH203" s="226" t="s">
        <v>2842</v>
      </c>
      <c r="AI203" s="27">
        <v>611840000</v>
      </c>
      <c r="AJ203" s="226">
        <v>2.5595173934361926</v>
      </c>
      <c r="AK203" s="27">
        <v>494280408.32577062</v>
      </c>
      <c r="AL203" s="226">
        <v>3.1682726962705545</v>
      </c>
      <c r="AM203" s="27">
        <v>846731402.39427054</v>
      </c>
      <c r="AN203" s="271">
        <v>1.849482749277797</v>
      </c>
      <c r="AO203" s="27">
        <v>21156272</v>
      </c>
      <c r="AP203" s="27" t="s">
        <v>2842</v>
      </c>
      <c r="AQ203" s="27">
        <v>54.137365853658544</v>
      </c>
      <c r="AR203" s="27">
        <v>64.3</v>
      </c>
      <c r="AS203" s="29" t="s">
        <v>2842</v>
      </c>
      <c r="AT203" s="270">
        <v>27</v>
      </c>
      <c r="AU203" s="464">
        <v>34.155175303167042</v>
      </c>
      <c r="AV203" s="29">
        <v>-1.04895192292356</v>
      </c>
      <c r="AW203" s="29">
        <v>-0.66230852929665596</v>
      </c>
      <c r="AX203" s="29">
        <v>-0.87489524530902296</v>
      </c>
      <c r="AY203" s="29">
        <v>-0.78985038430656396</v>
      </c>
      <c r="AZ203" s="60">
        <v>-1.0381540956325599</v>
      </c>
    </row>
    <row r="204" spans="1:52" s="29" customFormat="1" ht="15" customHeight="1">
      <c r="A204" s="59" t="s">
        <v>116</v>
      </c>
      <c r="B204" s="27">
        <v>2011</v>
      </c>
      <c r="C204" s="27" t="s">
        <v>96</v>
      </c>
      <c r="D204" s="27" t="s">
        <v>81</v>
      </c>
      <c r="E204" s="27" t="s">
        <v>19</v>
      </c>
      <c r="F204" s="41" t="s">
        <v>559</v>
      </c>
      <c r="G204" s="43"/>
      <c r="H204" s="43"/>
      <c r="I204" s="43"/>
      <c r="J204" s="43"/>
      <c r="K204" s="27"/>
      <c r="L204" s="28"/>
      <c r="M204" s="27"/>
      <c r="N204" s="27"/>
      <c r="O204" s="18">
        <f>SUM(O205:O211)</f>
        <v>11754091.615124667</v>
      </c>
      <c r="P204" s="213">
        <v>1979217.8327663539</v>
      </c>
      <c r="Q204" s="213">
        <v>1112380</v>
      </c>
      <c r="R204" s="27"/>
      <c r="S204" s="27"/>
      <c r="T204" s="27"/>
      <c r="U204" s="27"/>
      <c r="V204" s="27"/>
      <c r="W204" s="30"/>
      <c r="X204" s="27">
        <v>4</v>
      </c>
      <c r="Y204" s="27" t="s">
        <v>868</v>
      </c>
      <c r="Z204" s="27">
        <v>4</v>
      </c>
      <c r="AA204" s="27" t="s">
        <v>877</v>
      </c>
      <c r="AB204" s="27"/>
      <c r="AC204" s="273">
        <v>1566909552.6100264</v>
      </c>
      <c r="AD204" s="27">
        <v>26587310733.573769</v>
      </c>
      <c r="AE204" s="228">
        <v>5.8900847012799851E-2</v>
      </c>
      <c r="AF204" s="27">
        <v>12597865444.889257</v>
      </c>
      <c r="AG204" s="226">
        <v>0.12430797335077952</v>
      </c>
      <c r="AH204" s="226" t="s">
        <v>2842</v>
      </c>
      <c r="AI204" s="27">
        <v>611840000</v>
      </c>
      <c r="AJ204" s="226">
        <v>2.5595173934361926</v>
      </c>
      <c r="AK204" s="27">
        <v>494280408.32577062</v>
      </c>
      <c r="AL204" s="226">
        <v>3.1682726962705545</v>
      </c>
      <c r="AM204" s="27">
        <v>846731402.39427054</v>
      </c>
      <c r="AN204" s="271">
        <v>1.849482749277797</v>
      </c>
      <c r="AO204" s="27">
        <v>21156272</v>
      </c>
      <c r="AP204" s="27" t="s">
        <v>2842</v>
      </c>
      <c r="AQ204" s="27">
        <v>54.137365853658544</v>
      </c>
      <c r="AR204" s="27">
        <v>64.3</v>
      </c>
      <c r="AS204" s="29" t="s">
        <v>2842</v>
      </c>
      <c r="AT204" s="270">
        <v>27</v>
      </c>
      <c r="AU204" s="464">
        <v>34.155175303167042</v>
      </c>
      <c r="AV204" s="29">
        <v>-1.04895192292356</v>
      </c>
      <c r="AW204" s="29">
        <v>-0.66230852929665596</v>
      </c>
      <c r="AX204" s="29">
        <v>-0.87489524530902296</v>
      </c>
      <c r="AY204" s="29">
        <v>-0.78985038430656396</v>
      </c>
      <c r="AZ204" s="60">
        <v>-1.0381540956325599</v>
      </c>
    </row>
    <row r="205" spans="1:52" s="29" customFormat="1" ht="15" customHeight="1">
      <c r="A205" s="59" t="s">
        <v>116</v>
      </c>
      <c r="B205" s="27">
        <v>2011</v>
      </c>
      <c r="C205" s="27" t="s">
        <v>96</v>
      </c>
      <c r="D205" s="27" t="s">
        <v>81</v>
      </c>
      <c r="E205" s="27" t="s">
        <v>19</v>
      </c>
      <c r="F205" s="41" t="s">
        <v>677</v>
      </c>
      <c r="G205" s="43">
        <v>12000</v>
      </c>
      <c r="H205" s="43">
        <f>13223*0.90718474</f>
        <v>11995.703817020001</v>
      </c>
      <c r="I205" s="43"/>
      <c r="J205" s="43"/>
      <c r="K205" s="27" t="s">
        <v>567</v>
      </c>
      <c r="L205" s="28">
        <v>1.7</v>
      </c>
      <c r="M205" s="27" t="s">
        <v>568</v>
      </c>
      <c r="N205" s="27" t="s">
        <v>878</v>
      </c>
      <c r="O205" s="18">
        <f>H205*L205</f>
        <v>20392.696488934002</v>
      </c>
      <c r="P205" s="213"/>
      <c r="Q205" s="213"/>
      <c r="R205" s="27"/>
      <c r="S205" s="27"/>
      <c r="T205" s="27"/>
      <c r="U205" s="27"/>
      <c r="V205" s="27"/>
      <c r="W205" s="30"/>
      <c r="X205" s="27">
        <v>1</v>
      </c>
      <c r="Y205" s="27" t="s">
        <v>879</v>
      </c>
      <c r="Z205" s="27">
        <v>1</v>
      </c>
      <c r="AA205" s="27" t="s">
        <v>880</v>
      </c>
      <c r="AB205" s="27"/>
      <c r="AC205" s="273">
        <v>1566909552.6100264</v>
      </c>
      <c r="AD205" s="27">
        <v>26587310733.573769</v>
      </c>
      <c r="AE205" s="228">
        <v>5.8900847012799851E-2</v>
      </c>
      <c r="AF205" s="27">
        <v>12597865444.889257</v>
      </c>
      <c r="AG205" s="226">
        <v>0.12430797335077952</v>
      </c>
      <c r="AH205" s="226" t="s">
        <v>2842</v>
      </c>
      <c r="AI205" s="27">
        <v>611840000</v>
      </c>
      <c r="AJ205" s="226">
        <v>2.5595173934361926</v>
      </c>
      <c r="AK205" s="27">
        <v>494280408.32577062</v>
      </c>
      <c r="AL205" s="226">
        <v>3.1682726962705545</v>
      </c>
      <c r="AM205" s="27">
        <v>846731402.39427054</v>
      </c>
      <c r="AN205" s="271">
        <v>1.849482749277797</v>
      </c>
      <c r="AO205" s="27">
        <v>21156272</v>
      </c>
      <c r="AP205" s="27" t="s">
        <v>2842</v>
      </c>
      <c r="AQ205" s="27">
        <v>54.137365853658544</v>
      </c>
      <c r="AR205" s="27">
        <v>64.3</v>
      </c>
      <c r="AS205" s="29" t="s">
        <v>2842</v>
      </c>
      <c r="AT205" s="270">
        <v>27</v>
      </c>
      <c r="AU205" s="464">
        <v>34.155175303167042</v>
      </c>
      <c r="AV205" s="29">
        <v>-1.04895192292356</v>
      </c>
      <c r="AW205" s="29">
        <v>-0.66230852929665596</v>
      </c>
      <c r="AX205" s="29">
        <v>-0.87489524530902296</v>
      </c>
      <c r="AY205" s="29">
        <v>-0.78985038430656396</v>
      </c>
      <c r="AZ205" s="60">
        <v>-1.0381540956325599</v>
      </c>
    </row>
    <row r="206" spans="1:52" s="29" customFormat="1" ht="15" customHeight="1">
      <c r="A206" s="59" t="s">
        <v>116</v>
      </c>
      <c r="B206" s="27">
        <v>2011</v>
      </c>
      <c r="C206" s="27" t="s">
        <v>96</v>
      </c>
      <c r="D206" s="27" t="s">
        <v>81</v>
      </c>
      <c r="E206" s="27" t="s">
        <v>19</v>
      </c>
      <c r="F206" s="41" t="s">
        <v>730</v>
      </c>
      <c r="G206" s="595">
        <f>1600*32.150743126506</f>
        <v>51441.189002409599</v>
      </c>
      <c r="H206" s="595">
        <f>40.104*32.150743126506</f>
        <v>1289.3734023453967</v>
      </c>
      <c r="I206" s="43"/>
      <c r="J206" s="43"/>
      <c r="K206" s="27" t="s">
        <v>731</v>
      </c>
      <c r="L206" s="28">
        <v>1569.2108333333299</v>
      </c>
      <c r="M206" s="27" t="s">
        <v>732</v>
      </c>
      <c r="N206" s="55" t="s">
        <v>782</v>
      </c>
      <c r="O206" s="18">
        <f t="shared" ref="O206:O211" si="3">H206*L206</f>
        <v>2023298.7111722508</v>
      </c>
      <c r="P206" s="213"/>
      <c r="Q206" s="213"/>
      <c r="R206" s="27"/>
      <c r="S206" s="27"/>
      <c r="T206" s="27"/>
      <c r="U206" s="27"/>
      <c r="V206" s="27"/>
      <c r="W206" s="30"/>
      <c r="X206" s="27">
        <v>1</v>
      </c>
      <c r="Y206" s="27" t="s">
        <v>881</v>
      </c>
      <c r="Z206" s="27">
        <v>1</v>
      </c>
      <c r="AA206" s="27">
        <v>11</v>
      </c>
      <c r="AB206" s="27" t="s">
        <v>862</v>
      </c>
      <c r="AC206" s="273">
        <v>1566909552.6100264</v>
      </c>
      <c r="AD206" s="27">
        <v>26587310733.573769</v>
      </c>
      <c r="AE206" s="228">
        <v>5.8900847012799851E-2</v>
      </c>
      <c r="AF206" s="27">
        <v>12597865444.889257</v>
      </c>
      <c r="AG206" s="226">
        <v>0.12430797335077952</v>
      </c>
      <c r="AH206" s="226" t="s">
        <v>2842</v>
      </c>
      <c r="AI206" s="27">
        <v>611840000</v>
      </c>
      <c r="AJ206" s="226">
        <v>2.5595173934361926</v>
      </c>
      <c r="AK206" s="27">
        <v>494280408.32577062</v>
      </c>
      <c r="AL206" s="226">
        <v>3.1682726962705545</v>
      </c>
      <c r="AM206" s="27">
        <v>846731402.39427054</v>
      </c>
      <c r="AN206" s="271">
        <v>1.849482749277797</v>
      </c>
      <c r="AO206" s="27">
        <v>21156272</v>
      </c>
      <c r="AP206" s="27" t="s">
        <v>2842</v>
      </c>
      <c r="AQ206" s="27">
        <v>54.137365853658544</v>
      </c>
      <c r="AR206" s="27">
        <v>64.3</v>
      </c>
      <c r="AS206" s="29" t="s">
        <v>2842</v>
      </c>
      <c r="AT206" s="270">
        <v>27</v>
      </c>
      <c r="AU206" s="464">
        <v>34.155175303167042</v>
      </c>
      <c r="AV206" s="29">
        <v>-1.04895192292356</v>
      </c>
      <c r="AW206" s="29">
        <v>-0.66230852929665596</v>
      </c>
      <c r="AX206" s="29">
        <v>-0.87489524530902296</v>
      </c>
      <c r="AY206" s="29">
        <v>-0.78985038430656396</v>
      </c>
      <c r="AZ206" s="60">
        <v>-1.0381540956325599</v>
      </c>
    </row>
    <row r="207" spans="1:52" s="29" customFormat="1" ht="15" customHeight="1">
      <c r="A207" s="59" t="s">
        <v>116</v>
      </c>
      <c r="B207" s="27">
        <v>2011</v>
      </c>
      <c r="C207" s="27" t="s">
        <v>96</v>
      </c>
      <c r="D207" s="27" t="s">
        <v>81</v>
      </c>
      <c r="E207" s="27" t="s">
        <v>19</v>
      </c>
      <c r="F207" s="41" t="s">
        <v>882</v>
      </c>
      <c r="G207" s="43"/>
      <c r="H207" s="43">
        <f>3821*2.69</f>
        <v>10278.49</v>
      </c>
      <c r="I207" s="43"/>
      <c r="J207" s="43"/>
      <c r="K207" s="27" t="s">
        <v>567</v>
      </c>
      <c r="L207" s="28">
        <v>12</v>
      </c>
      <c r="M207" s="27" t="s">
        <v>568</v>
      </c>
      <c r="N207" s="27" t="s">
        <v>883</v>
      </c>
      <c r="O207" s="18">
        <f t="shared" si="3"/>
        <v>123341.88</v>
      </c>
      <c r="P207" s="213"/>
      <c r="Q207" s="213"/>
      <c r="R207" s="27"/>
      <c r="S207" s="27"/>
      <c r="T207" s="27"/>
      <c r="U207" s="27"/>
      <c r="V207" s="27"/>
      <c r="W207" s="30"/>
      <c r="X207" s="27"/>
      <c r="Y207" s="27"/>
      <c r="Z207" s="27"/>
      <c r="AA207" s="27">
        <v>11</v>
      </c>
      <c r="AB207" s="27" t="s">
        <v>884</v>
      </c>
      <c r="AC207" s="273">
        <v>1566909552.6100264</v>
      </c>
      <c r="AD207" s="27">
        <v>26587310733.573769</v>
      </c>
      <c r="AE207" s="228">
        <v>5.8900847012799851E-2</v>
      </c>
      <c r="AF207" s="27">
        <v>12597865444.889257</v>
      </c>
      <c r="AG207" s="226">
        <v>0.12430797335077952</v>
      </c>
      <c r="AH207" s="226" t="s">
        <v>2842</v>
      </c>
      <c r="AI207" s="27">
        <v>611840000</v>
      </c>
      <c r="AJ207" s="226">
        <v>2.5595173934361926</v>
      </c>
      <c r="AK207" s="27">
        <v>494280408.32577062</v>
      </c>
      <c r="AL207" s="226">
        <v>3.1682726962705545</v>
      </c>
      <c r="AM207" s="27">
        <v>846731402.39427054</v>
      </c>
      <c r="AN207" s="271">
        <v>1.849482749277797</v>
      </c>
      <c r="AO207" s="27">
        <v>21156272</v>
      </c>
      <c r="AP207" s="27" t="s">
        <v>2842</v>
      </c>
      <c r="AQ207" s="27">
        <v>54.137365853658544</v>
      </c>
      <c r="AR207" s="27">
        <v>64.3</v>
      </c>
      <c r="AS207" s="29" t="s">
        <v>2842</v>
      </c>
      <c r="AT207" s="270">
        <v>27</v>
      </c>
      <c r="AU207" s="464">
        <v>34.155175303167042</v>
      </c>
      <c r="AV207" s="29">
        <v>-1.04895192292356</v>
      </c>
      <c r="AW207" s="29">
        <v>-0.66230852929665596</v>
      </c>
      <c r="AX207" s="29">
        <v>-0.87489524530902296</v>
      </c>
      <c r="AY207" s="29">
        <v>-0.78985038430656396</v>
      </c>
      <c r="AZ207" s="60">
        <v>-1.0381540956325599</v>
      </c>
    </row>
    <row r="208" spans="1:52" s="29" customFormat="1" ht="15" customHeight="1">
      <c r="A208" s="59" t="s">
        <v>116</v>
      </c>
      <c r="B208" s="27">
        <v>2011</v>
      </c>
      <c r="C208" s="27" t="s">
        <v>96</v>
      </c>
      <c r="D208" s="27" t="s">
        <v>81</v>
      </c>
      <c r="E208" s="27" t="s">
        <v>19</v>
      </c>
      <c r="F208" s="41" t="s">
        <v>653</v>
      </c>
      <c r="G208" s="595">
        <v>100000</v>
      </c>
      <c r="H208" s="595">
        <f>182926*0.90718474</f>
        <v>165947.67574924001</v>
      </c>
      <c r="I208" s="43"/>
      <c r="J208" s="43"/>
      <c r="K208" s="27" t="s">
        <v>567</v>
      </c>
      <c r="L208" s="28">
        <v>16.7</v>
      </c>
      <c r="M208" s="27" t="s">
        <v>568</v>
      </c>
      <c r="N208" s="27" t="s">
        <v>885</v>
      </c>
      <c r="O208" s="18">
        <f t="shared" si="3"/>
        <v>2771326.1850123079</v>
      </c>
      <c r="P208" s="213"/>
      <c r="Q208" s="213"/>
      <c r="R208" s="27"/>
      <c r="S208" s="27"/>
      <c r="T208" s="27"/>
      <c r="U208" s="27"/>
      <c r="V208" s="27"/>
      <c r="W208" s="30"/>
      <c r="X208" s="27">
        <v>1</v>
      </c>
      <c r="Y208" s="27" t="s">
        <v>879</v>
      </c>
      <c r="Z208" s="27">
        <v>1</v>
      </c>
      <c r="AA208" s="27" t="s">
        <v>880</v>
      </c>
      <c r="AB208" s="27"/>
      <c r="AC208" s="273">
        <v>1566909552.6100264</v>
      </c>
      <c r="AD208" s="27">
        <v>26587310733.573769</v>
      </c>
      <c r="AE208" s="228">
        <v>5.8900847012799851E-2</v>
      </c>
      <c r="AF208" s="27">
        <v>12597865444.889257</v>
      </c>
      <c r="AG208" s="226">
        <v>0.12430797335077952</v>
      </c>
      <c r="AH208" s="226" t="s">
        <v>2842</v>
      </c>
      <c r="AI208" s="27">
        <v>611840000</v>
      </c>
      <c r="AJ208" s="226">
        <v>2.5595173934361926</v>
      </c>
      <c r="AK208" s="27">
        <v>494280408.32577062</v>
      </c>
      <c r="AL208" s="226">
        <v>3.1682726962705545</v>
      </c>
      <c r="AM208" s="27">
        <v>846731402.39427054</v>
      </c>
      <c r="AN208" s="271">
        <v>1.849482749277797</v>
      </c>
      <c r="AO208" s="27">
        <v>21156272</v>
      </c>
      <c r="AP208" s="27" t="s">
        <v>2842</v>
      </c>
      <c r="AQ208" s="27">
        <v>54.137365853658544</v>
      </c>
      <c r="AR208" s="27">
        <v>64.3</v>
      </c>
      <c r="AS208" s="29" t="s">
        <v>2842</v>
      </c>
      <c r="AT208" s="270">
        <v>27</v>
      </c>
      <c r="AU208" s="464">
        <v>34.155175303167042</v>
      </c>
      <c r="AV208" s="29">
        <v>-1.04895192292356</v>
      </c>
      <c r="AW208" s="29">
        <v>-0.66230852929665596</v>
      </c>
      <c r="AX208" s="29">
        <v>-0.87489524530902296</v>
      </c>
      <c r="AY208" s="29">
        <v>-0.78985038430656396</v>
      </c>
      <c r="AZ208" s="60">
        <v>-1.0381540956325599</v>
      </c>
    </row>
    <row r="209" spans="1:52" s="29" customFormat="1" ht="15" customHeight="1">
      <c r="A209" s="59" t="s">
        <v>116</v>
      </c>
      <c r="B209" s="27">
        <v>2011</v>
      </c>
      <c r="C209" s="27" t="s">
        <v>96</v>
      </c>
      <c r="D209" s="27" t="s">
        <v>81</v>
      </c>
      <c r="E209" s="27" t="s">
        <v>19</v>
      </c>
      <c r="F209" s="41" t="s">
        <v>613</v>
      </c>
      <c r="G209" s="595">
        <v>500</v>
      </c>
      <c r="H209" s="595">
        <f>4420*2.71</f>
        <v>11978.2</v>
      </c>
      <c r="I209" s="43"/>
      <c r="J209" s="43"/>
      <c r="K209" s="27" t="s">
        <v>567</v>
      </c>
      <c r="L209" s="28">
        <v>15.3</v>
      </c>
      <c r="M209" s="27" t="s">
        <v>568</v>
      </c>
      <c r="N209" s="27" t="s">
        <v>886</v>
      </c>
      <c r="O209" s="18">
        <f t="shared" si="3"/>
        <v>183266.46000000002</v>
      </c>
      <c r="P209" s="213"/>
      <c r="Q209" s="213"/>
      <c r="R209" s="27"/>
      <c r="S209" s="27"/>
      <c r="T209" s="27"/>
      <c r="U209" s="27"/>
      <c r="V209" s="27"/>
      <c r="W209" s="30"/>
      <c r="X209" s="27">
        <v>1</v>
      </c>
      <c r="Y209" s="27" t="s">
        <v>879</v>
      </c>
      <c r="Z209" s="27">
        <v>1</v>
      </c>
      <c r="AA209" s="27">
        <v>11</v>
      </c>
      <c r="AB209" s="27"/>
      <c r="AC209" s="273">
        <v>1566909552.6100264</v>
      </c>
      <c r="AD209" s="27">
        <v>26587310733.573769</v>
      </c>
      <c r="AE209" s="228">
        <v>5.8900847012799851E-2</v>
      </c>
      <c r="AF209" s="27">
        <v>12597865444.889257</v>
      </c>
      <c r="AG209" s="226">
        <v>0.12430797335077952</v>
      </c>
      <c r="AH209" s="226" t="s">
        <v>2842</v>
      </c>
      <c r="AI209" s="27">
        <v>611840000</v>
      </c>
      <c r="AJ209" s="226">
        <v>2.5595173934361926</v>
      </c>
      <c r="AK209" s="27">
        <v>494280408.32577062</v>
      </c>
      <c r="AL209" s="226">
        <v>3.1682726962705545</v>
      </c>
      <c r="AM209" s="27">
        <v>846731402.39427054</v>
      </c>
      <c r="AN209" s="271">
        <v>1.849482749277797</v>
      </c>
      <c r="AO209" s="27">
        <v>21156272</v>
      </c>
      <c r="AP209" s="27" t="s">
        <v>2842</v>
      </c>
      <c r="AQ209" s="27">
        <v>54.137365853658544</v>
      </c>
      <c r="AR209" s="27">
        <v>64.3</v>
      </c>
      <c r="AS209" s="29" t="s">
        <v>2842</v>
      </c>
      <c r="AT209" s="270">
        <v>27</v>
      </c>
      <c r="AU209" s="464">
        <v>34.155175303167042</v>
      </c>
      <c r="AV209" s="29">
        <v>-1.04895192292356</v>
      </c>
      <c r="AW209" s="29">
        <v>-0.66230852929665596</v>
      </c>
      <c r="AX209" s="29">
        <v>-0.87489524530902296</v>
      </c>
      <c r="AY209" s="29">
        <v>-0.78985038430656396</v>
      </c>
      <c r="AZ209" s="60">
        <v>-1.0381540956325599</v>
      </c>
    </row>
    <row r="210" spans="1:52" s="29" customFormat="1" ht="15" customHeight="1">
      <c r="A210" s="59" t="s">
        <v>116</v>
      </c>
      <c r="B210" s="27">
        <v>2011</v>
      </c>
      <c r="C210" s="27" t="s">
        <v>96</v>
      </c>
      <c r="D210" s="27" t="s">
        <v>81</v>
      </c>
      <c r="E210" s="27" t="s">
        <v>19</v>
      </c>
      <c r="F210" s="41" t="s">
        <v>839</v>
      </c>
      <c r="G210" s="595">
        <v>600000</v>
      </c>
      <c r="H210" s="595">
        <f>424202*0.90718474</f>
        <v>384829.58107747999</v>
      </c>
      <c r="I210" s="43"/>
      <c r="J210" s="43"/>
      <c r="K210" s="27" t="s">
        <v>567</v>
      </c>
      <c r="L210" s="28">
        <v>14.76</v>
      </c>
      <c r="M210" s="27" t="s">
        <v>568</v>
      </c>
      <c r="N210" s="27" t="s">
        <v>887</v>
      </c>
      <c r="O210" s="18">
        <f t="shared" si="3"/>
        <v>5680084.6167036043</v>
      </c>
      <c r="P210" s="213"/>
      <c r="Q210" s="213"/>
      <c r="R210" s="27"/>
      <c r="S210" s="27"/>
      <c r="T210" s="27"/>
      <c r="U210" s="27"/>
      <c r="V210" s="27"/>
      <c r="W210" s="30"/>
      <c r="X210" s="27">
        <v>1</v>
      </c>
      <c r="Y210" s="27" t="s">
        <v>879</v>
      </c>
      <c r="Z210" s="27">
        <v>1</v>
      </c>
      <c r="AA210" s="27" t="s">
        <v>880</v>
      </c>
      <c r="AB210" s="27"/>
      <c r="AC210" s="273">
        <v>1566909552.6100264</v>
      </c>
      <c r="AD210" s="27">
        <v>26587310733.573769</v>
      </c>
      <c r="AE210" s="228">
        <v>5.8900847012799851E-2</v>
      </c>
      <c r="AF210" s="27">
        <v>12597865444.889257</v>
      </c>
      <c r="AG210" s="226">
        <v>0.12430797335077952</v>
      </c>
      <c r="AH210" s="226" t="s">
        <v>2842</v>
      </c>
      <c r="AI210" s="27">
        <v>611840000</v>
      </c>
      <c r="AJ210" s="226">
        <v>2.5595173934361926</v>
      </c>
      <c r="AK210" s="27">
        <v>494280408.32577062</v>
      </c>
      <c r="AL210" s="226">
        <v>3.1682726962705545</v>
      </c>
      <c r="AM210" s="27">
        <v>846731402.39427054</v>
      </c>
      <c r="AN210" s="271">
        <v>1.849482749277797</v>
      </c>
      <c r="AO210" s="27">
        <v>21156272</v>
      </c>
      <c r="AP210" s="27" t="s">
        <v>2842</v>
      </c>
      <c r="AQ210" s="27">
        <v>54.137365853658544</v>
      </c>
      <c r="AR210" s="27">
        <v>64.3</v>
      </c>
      <c r="AS210" s="29" t="s">
        <v>2842</v>
      </c>
      <c r="AT210" s="270">
        <v>27</v>
      </c>
      <c r="AU210" s="464">
        <v>34.155175303167042</v>
      </c>
      <c r="AV210" s="29">
        <v>-1.04895192292356</v>
      </c>
      <c r="AW210" s="29">
        <v>-0.66230852929665596</v>
      </c>
      <c r="AX210" s="29">
        <v>-0.87489524530902296</v>
      </c>
      <c r="AY210" s="29">
        <v>-0.78985038430656396</v>
      </c>
      <c r="AZ210" s="60">
        <v>-1.0381540956325599</v>
      </c>
    </row>
    <row r="211" spans="1:52" s="287" customFormat="1" ht="15" customHeight="1">
      <c r="A211" s="344" t="s">
        <v>116</v>
      </c>
      <c r="B211" s="284">
        <v>2011</v>
      </c>
      <c r="C211" s="284" t="s">
        <v>96</v>
      </c>
      <c r="D211" s="284" t="s">
        <v>81</v>
      </c>
      <c r="E211" s="284" t="s">
        <v>19</v>
      </c>
      <c r="F211" s="315" t="s">
        <v>841</v>
      </c>
      <c r="G211" s="303">
        <v>600000</v>
      </c>
      <c r="H211" s="303">
        <f>(7126*0.90718474)+(403657*1.6)</f>
        <v>652315.7984572401</v>
      </c>
      <c r="I211" s="303"/>
      <c r="J211" s="303"/>
      <c r="K211" s="284" t="s">
        <v>567</v>
      </c>
      <c r="L211" s="304">
        <v>1.46</v>
      </c>
      <c r="M211" s="284" t="s">
        <v>568</v>
      </c>
      <c r="N211" s="284" t="s">
        <v>888</v>
      </c>
      <c r="O211" s="305">
        <f t="shared" si="3"/>
        <v>952381.06574757048</v>
      </c>
      <c r="P211" s="306"/>
      <c r="Q211" s="306"/>
      <c r="R211" s="284"/>
      <c r="S211" s="284"/>
      <c r="T211" s="284"/>
      <c r="U211" s="284"/>
      <c r="V211" s="284"/>
      <c r="W211" s="307"/>
      <c r="X211" s="284">
        <v>2</v>
      </c>
      <c r="Y211" s="284" t="s">
        <v>889</v>
      </c>
      <c r="Z211" s="284">
        <v>2</v>
      </c>
      <c r="AA211" s="284" t="s">
        <v>880</v>
      </c>
      <c r="AB211" s="284"/>
      <c r="AC211" s="604">
        <v>1566909552.6100264</v>
      </c>
      <c r="AD211" s="284">
        <v>26587310733.573769</v>
      </c>
      <c r="AE211" s="309">
        <v>5.8900847012799851E-2</v>
      </c>
      <c r="AF211" s="284">
        <v>12597865444.889257</v>
      </c>
      <c r="AG211" s="310">
        <v>0.12430797335077952</v>
      </c>
      <c r="AH211" s="310" t="s">
        <v>2842</v>
      </c>
      <c r="AI211" s="284">
        <v>611840000</v>
      </c>
      <c r="AJ211" s="310">
        <v>2.5595173934361926</v>
      </c>
      <c r="AK211" s="284">
        <v>494280408.32577062</v>
      </c>
      <c r="AL211" s="310">
        <v>3.1682726962705545</v>
      </c>
      <c r="AM211" s="284">
        <v>846731402.39427054</v>
      </c>
      <c r="AN211" s="311">
        <v>1.849482749277797</v>
      </c>
      <c r="AO211" s="284">
        <v>21156272</v>
      </c>
      <c r="AP211" s="284" t="s">
        <v>2842</v>
      </c>
      <c r="AQ211" s="284">
        <v>54.137365853658544</v>
      </c>
      <c r="AR211" s="284">
        <v>64.3</v>
      </c>
      <c r="AS211" s="287" t="s">
        <v>2842</v>
      </c>
      <c r="AT211" s="312">
        <v>27</v>
      </c>
      <c r="AU211" s="465">
        <v>34.155175303167042</v>
      </c>
      <c r="AV211" s="287">
        <v>-1.04895192292356</v>
      </c>
      <c r="AW211" s="287">
        <v>-0.66230852929665596</v>
      </c>
      <c r="AX211" s="287">
        <v>-0.87489524530902296</v>
      </c>
      <c r="AY211" s="287">
        <v>-0.78985038430656396</v>
      </c>
      <c r="AZ211" s="313">
        <v>-1.0381540956325599</v>
      </c>
    </row>
    <row r="212" spans="1:52" ht="15" customHeight="1">
      <c r="A212" s="59" t="s">
        <v>119</v>
      </c>
      <c r="B212" s="27">
        <v>2012</v>
      </c>
      <c r="C212" s="27" t="s">
        <v>96</v>
      </c>
      <c r="D212" s="27" t="s">
        <v>81</v>
      </c>
      <c r="E212" s="27" t="s">
        <v>30</v>
      </c>
      <c r="F212" s="27" t="s">
        <v>659</v>
      </c>
      <c r="G212" s="176"/>
      <c r="H212" s="176"/>
      <c r="I212" s="27"/>
      <c r="J212" s="176"/>
      <c r="K212" s="27"/>
      <c r="L212" s="28"/>
      <c r="M212" s="27"/>
      <c r="N212" s="27" t="s">
        <v>890</v>
      </c>
      <c r="O212" s="27"/>
      <c r="P212" s="214">
        <v>1529320794.4000001</v>
      </c>
      <c r="Q212" s="214">
        <v>1527058697.25</v>
      </c>
      <c r="R212" s="27" t="s">
        <v>3693</v>
      </c>
      <c r="S212" s="27"/>
      <c r="T212" s="18"/>
      <c r="U212" s="27" t="s">
        <v>891</v>
      </c>
      <c r="V212" s="27" t="s">
        <v>778</v>
      </c>
      <c r="W212" s="30">
        <v>503.07299999999998</v>
      </c>
      <c r="X212" s="27">
        <v>26</v>
      </c>
      <c r="Y212" s="27" t="s">
        <v>892</v>
      </c>
      <c r="Z212" s="27">
        <v>22</v>
      </c>
      <c r="AA212" s="27"/>
      <c r="AB212" s="27"/>
      <c r="AC212" s="273">
        <v>1529320794.4000001</v>
      </c>
      <c r="AD212" s="27">
        <v>26472054176.16637</v>
      </c>
      <c r="AE212" s="228">
        <v>5.7771141756611244E-2</v>
      </c>
      <c r="AF212" s="27">
        <v>5367473704.7594929</v>
      </c>
      <c r="AG212" s="226">
        <v>0.28492376088287258</v>
      </c>
      <c r="AH212" s="226" t="s">
        <v>2842</v>
      </c>
      <c r="AI212" s="27">
        <v>596240000</v>
      </c>
      <c r="AJ212" s="226">
        <v>2.5649416248490544</v>
      </c>
      <c r="AK212" s="27">
        <v>455156065.51855201</v>
      </c>
      <c r="AL212" s="226">
        <v>3.3599921219497966</v>
      </c>
      <c r="AM212" s="27">
        <v>820665445.92616892</v>
      </c>
      <c r="AN212" s="271">
        <v>1.8635130819649317</v>
      </c>
      <c r="AO212" s="27">
        <v>21699631</v>
      </c>
      <c r="AP212" s="27" t="s">
        <v>2842</v>
      </c>
      <c r="AQ212" s="27">
        <v>54.58751219512196</v>
      </c>
      <c r="AR212" s="27">
        <v>62.4</v>
      </c>
      <c r="AS212" s="29">
        <v>91.526619999999994</v>
      </c>
      <c r="AT212" s="270">
        <v>27</v>
      </c>
      <c r="AU212" s="464">
        <v>34.155175303167042</v>
      </c>
      <c r="AV212" s="29">
        <v>-1.0290642182071199</v>
      </c>
      <c r="AW212" s="29">
        <v>-0.57547351507469302</v>
      </c>
      <c r="AX212" s="29">
        <v>-0.90271364431252499</v>
      </c>
      <c r="AY212" s="29">
        <v>-0.93336778112607699</v>
      </c>
      <c r="AZ212" s="60">
        <v>-1.2383914999271299</v>
      </c>
    </row>
    <row r="213" spans="1:52" ht="15" customHeight="1">
      <c r="A213" s="59" t="s">
        <v>119</v>
      </c>
      <c r="B213" s="27">
        <v>2012</v>
      </c>
      <c r="C213" s="27" t="s">
        <v>96</v>
      </c>
      <c r="D213" s="27" t="s">
        <v>81</v>
      </c>
      <c r="E213" s="27" t="s">
        <v>98</v>
      </c>
      <c r="F213" s="27" t="s">
        <v>98</v>
      </c>
      <c r="G213" s="176"/>
      <c r="H213" s="176"/>
      <c r="I213" s="27"/>
      <c r="J213" s="176">
        <v>21877929</v>
      </c>
      <c r="K213" s="27" t="s">
        <v>603</v>
      </c>
      <c r="L213" s="28">
        <v>107.27185943041</v>
      </c>
      <c r="M213" s="27" t="s">
        <v>626</v>
      </c>
      <c r="N213" s="27" t="s">
        <v>3554</v>
      </c>
      <c r="O213" s="18">
        <f>J213*L213</f>
        <v>2346886124.3164907</v>
      </c>
      <c r="P213" s="214"/>
      <c r="Q213" s="214"/>
      <c r="R213" s="27"/>
      <c r="S213" s="27"/>
      <c r="T213" s="18"/>
      <c r="U213" s="27"/>
      <c r="V213" s="27"/>
      <c r="W213" s="30"/>
      <c r="X213" s="27"/>
      <c r="Y213" s="27"/>
      <c r="Z213" s="27"/>
      <c r="AA213" s="27"/>
      <c r="AB213" s="27"/>
      <c r="AC213" s="273">
        <v>1529320794.4000001</v>
      </c>
      <c r="AD213" s="27">
        <v>26472054176.16637</v>
      </c>
      <c r="AE213" s="228">
        <v>5.7771141756611244E-2</v>
      </c>
      <c r="AF213" s="27">
        <v>5367473704.7594929</v>
      </c>
      <c r="AG213" s="226">
        <v>0.28492376088287258</v>
      </c>
      <c r="AH213" s="226" t="s">
        <v>2842</v>
      </c>
      <c r="AI213" s="27">
        <v>596240000</v>
      </c>
      <c r="AJ213" s="226">
        <v>2.5649416248490544</v>
      </c>
      <c r="AK213" s="27">
        <v>455156065.51855201</v>
      </c>
      <c r="AL213" s="226">
        <v>3.3599921219497966</v>
      </c>
      <c r="AM213" s="27">
        <v>820665445.92616892</v>
      </c>
      <c r="AN213" s="271">
        <v>1.8635130819649317</v>
      </c>
      <c r="AO213" s="27">
        <v>21699631</v>
      </c>
      <c r="AP213" s="27" t="s">
        <v>2842</v>
      </c>
      <c r="AQ213" s="27">
        <v>54.58751219512196</v>
      </c>
      <c r="AR213" s="27">
        <v>62.4</v>
      </c>
      <c r="AS213" s="29">
        <v>91.526619999999994</v>
      </c>
      <c r="AT213" s="270">
        <v>27</v>
      </c>
      <c r="AU213" s="464">
        <v>34.155175303167042</v>
      </c>
      <c r="AV213" s="29">
        <v>-1.0290642182071199</v>
      </c>
      <c r="AW213" s="29">
        <v>-0.57547351507469302</v>
      </c>
      <c r="AX213" s="29">
        <v>-0.90271364431252499</v>
      </c>
      <c r="AY213" s="29">
        <v>-0.93336778112607699</v>
      </c>
      <c r="AZ213" s="60">
        <v>-1.2383914999271299</v>
      </c>
    </row>
    <row r="214" spans="1:52" ht="15" customHeight="1">
      <c r="A214" s="59" t="s">
        <v>119</v>
      </c>
      <c r="B214" s="27">
        <v>2012</v>
      </c>
      <c r="C214" s="27" t="s">
        <v>96</v>
      </c>
      <c r="D214" s="27" t="s">
        <v>81</v>
      </c>
      <c r="E214" s="27" t="s">
        <v>552</v>
      </c>
      <c r="F214" s="27" t="s">
        <v>552</v>
      </c>
      <c r="G214" s="176"/>
      <c r="H214" s="176"/>
      <c r="I214" s="27"/>
      <c r="J214" s="176">
        <v>89450000</v>
      </c>
      <c r="K214" s="27" t="s">
        <v>893</v>
      </c>
      <c r="L214" s="28"/>
      <c r="M214" s="27"/>
      <c r="N214" s="27"/>
      <c r="O214" s="27"/>
      <c r="P214" s="214"/>
      <c r="Q214" s="214"/>
      <c r="R214" s="27"/>
      <c r="S214" s="27"/>
      <c r="T214" s="18"/>
      <c r="U214" s="27"/>
      <c r="V214" s="27"/>
      <c r="W214" s="30"/>
      <c r="X214" s="27"/>
      <c r="Y214" s="27"/>
      <c r="Z214" s="27"/>
      <c r="AA214" s="27"/>
      <c r="AB214" s="27"/>
      <c r="AC214" s="273">
        <v>1529320794.4000001</v>
      </c>
      <c r="AD214" s="27">
        <v>26472054176.16637</v>
      </c>
      <c r="AE214" s="228">
        <v>5.7771141756611244E-2</v>
      </c>
      <c r="AF214" s="27">
        <v>5367473704.7594929</v>
      </c>
      <c r="AG214" s="226">
        <v>0.28492376088287258</v>
      </c>
      <c r="AH214" s="226" t="s">
        <v>2842</v>
      </c>
      <c r="AI214" s="27">
        <v>596240000</v>
      </c>
      <c r="AJ214" s="226">
        <v>2.5649416248490544</v>
      </c>
      <c r="AK214" s="27">
        <v>455156065.51855201</v>
      </c>
      <c r="AL214" s="226">
        <v>3.3599921219497966</v>
      </c>
      <c r="AM214" s="27">
        <v>820665445.92616892</v>
      </c>
      <c r="AN214" s="271">
        <v>1.8635130819649317</v>
      </c>
      <c r="AO214" s="27">
        <v>21699631</v>
      </c>
      <c r="AP214" s="27" t="s">
        <v>2842</v>
      </c>
      <c r="AQ214" s="27">
        <v>54.58751219512196</v>
      </c>
      <c r="AR214" s="27">
        <v>62.4</v>
      </c>
      <c r="AS214" s="29">
        <v>91.526619999999994</v>
      </c>
      <c r="AT214" s="270">
        <v>27</v>
      </c>
      <c r="AU214" s="464">
        <v>34.155175303167042</v>
      </c>
      <c r="AV214" s="29">
        <v>-1.0290642182071199</v>
      </c>
      <c r="AW214" s="29">
        <v>-0.57547351507469302</v>
      </c>
      <c r="AX214" s="29">
        <v>-0.90271364431252499</v>
      </c>
      <c r="AY214" s="29">
        <v>-0.93336778112607699</v>
      </c>
      <c r="AZ214" s="60">
        <v>-1.2383914999271299</v>
      </c>
    </row>
    <row r="215" spans="1:52" ht="15" customHeight="1">
      <c r="A215" s="59" t="s">
        <v>119</v>
      </c>
      <c r="B215" s="27">
        <v>2012</v>
      </c>
      <c r="C215" s="27" t="s">
        <v>96</v>
      </c>
      <c r="D215" s="27" t="s">
        <v>81</v>
      </c>
      <c r="E215" s="27" t="s">
        <v>19</v>
      </c>
      <c r="F215" s="27" t="s">
        <v>559</v>
      </c>
      <c r="G215" s="176"/>
      <c r="H215" s="176"/>
      <c r="I215" s="27"/>
      <c r="J215" s="176"/>
      <c r="K215" s="27"/>
      <c r="L215" s="28"/>
      <c r="M215" s="27"/>
      <c r="N215" s="27"/>
      <c r="O215" s="27"/>
      <c r="P215" s="244"/>
      <c r="Q215" s="244"/>
      <c r="R215" s="27"/>
      <c r="S215" s="27"/>
      <c r="T215" s="18"/>
      <c r="U215" s="27"/>
      <c r="V215" s="27"/>
      <c r="W215" s="30"/>
      <c r="X215" s="27"/>
      <c r="Y215" s="27"/>
      <c r="Z215" s="27"/>
      <c r="AA215" s="27"/>
      <c r="AB215" s="27"/>
      <c r="AC215" s="273">
        <v>1529320794.4000001</v>
      </c>
      <c r="AD215" s="27">
        <v>26472054176.16637</v>
      </c>
      <c r="AE215" s="228">
        <v>5.7771141756611244E-2</v>
      </c>
      <c r="AF215" s="27">
        <v>5367473704.7594929</v>
      </c>
      <c r="AG215" s="226">
        <v>0.28492376088287258</v>
      </c>
      <c r="AH215" s="226" t="s">
        <v>2842</v>
      </c>
      <c r="AI215" s="27">
        <v>596240000</v>
      </c>
      <c r="AJ215" s="226">
        <v>2.5649416248490544</v>
      </c>
      <c r="AK215" s="27">
        <v>455156065.51855201</v>
      </c>
      <c r="AL215" s="226">
        <v>3.3599921219497966</v>
      </c>
      <c r="AM215" s="27">
        <v>820665445.92616892</v>
      </c>
      <c r="AN215" s="271">
        <v>1.8635130819649317</v>
      </c>
      <c r="AO215" s="27">
        <v>21699631</v>
      </c>
      <c r="AP215" s="27" t="s">
        <v>2842</v>
      </c>
      <c r="AQ215" s="27">
        <v>54.58751219512196</v>
      </c>
      <c r="AR215" s="27">
        <v>62.4</v>
      </c>
      <c r="AS215" s="29">
        <v>91.526619999999994</v>
      </c>
      <c r="AT215" s="270">
        <v>27</v>
      </c>
      <c r="AU215" s="464">
        <v>34.155175303167042</v>
      </c>
      <c r="AV215" s="29">
        <v>-1.0290642182071199</v>
      </c>
      <c r="AW215" s="29">
        <v>-0.57547351507469302</v>
      </c>
      <c r="AX215" s="29">
        <v>-0.90271364431252499</v>
      </c>
      <c r="AY215" s="29">
        <v>-0.93336778112607699</v>
      </c>
      <c r="AZ215" s="60">
        <v>-1.2383914999271299</v>
      </c>
    </row>
    <row r="216" spans="1:52" ht="15" customHeight="1">
      <c r="A216" s="59" t="s">
        <v>119</v>
      </c>
      <c r="B216" s="27">
        <v>2012</v>
      </c>
      <c r="C216" s="27" t="s">
        <v>96</v>
      </c>
      <c r="D216" s="27" t="s">
        <v>81</v>
      </c>
      <c r="E216" s="27" t="s">
        <v>19</v>
      </c>
      <c r="F216" s="27" t="s">
        <v>730</v>
      </c>
      <c r="G216" s="176"/>
      <c r="H216" s="176"/>
      <c r="I216" s="27"/>
      <c r="J216" s="176">
        <v>151.6</v>
      </c>
      <c r="K216" s="27" t="s">
        <v>894</v>
      </c>
      <c r="L216" s="28"/>
      <c r="M216" s="27"/>
      <c r="N216" s="27"/>
      <c r="O216" s="27"/>
      <c r="P216" s="244"/>
      <c r="Q216" s="244"/>
      <c r="R216" s="27"/>
      <c r="S216" s="27"/>
      <c r="T216" s="18"/>
      <c r="U216" s="27"/>
      <c r="V216" s="27"/>
      <c r="W216" s="30"/>
      <c r="X216" s="27"/>
      <c r="Y216" s="27"/>
      <c r="Z216" s="27"/>
      <c r="AA216" s="27"/>
      <c r="AB216" s="27"/>
      <c r="AC216" s="273">
        <v>1529320794.4000001</v>
      </c>
      <c r="AD216" s="27">
        <v>26472054176.16637</v>
      </c>
      <c r="AE216" s="228">
        <v>5.7771141756611244E-2</v>
      </c>
      <c r="AF216" s="27">
        <v>5367473704.7594929</v>
      </c>
      <c r="AG216" s="226">
        <v>0.28492376088287258</v>
      </c>
      <c r="AH216" s="226" t="s">
        <v>2842</v>
      </c>
      <c r="AI216" s="27">
        <v>596240000</v>
      </c>
      <c r="AJ216" s="226">
        <v>2.5649416248490544</v>
      </c>
      <c r="AK216" s="27">
        <v>455156065.51855201</v>
      </c>
      <c r="AL216" s="226">
        <v>3.3599921219497966</v>
      </c>
      <c r="AM216" s="27">
        <v>820665445.92616892</v>
      </c>
      <c r="AN216" s="271">
        <v>1.8635130819649317</v>
      </c>
      <c r="AO216" s="27">
        <v>21699631</v>
      </c>
      <c r="AP216" s="27" t="s">
        <v>2842</v>
      </c>
      <c r="AQ216" s="27">
        <v>54.58751219512196</v>
      </c>
      <c r="AR216" s="27">
        <v>62.4</v>
      </c>
      <c r="AS216" s="29">
        <v>91.526619999999994</v>
      </c>
      <c r="AT216" s="270">
        <v>27</v>
      </c>
      <c r="AU216" s="464">
        <v>34.155175303167042</v>
      </c>
      <c r="AV216" s="29">
        <v>-1.0290642182071199</v>
      </c>
      <c r="AW216" s="29">
        <v>-0.57547351507469302</v>
      </c>
      <c r="AX216" s="29">
        <v>-0.90271364431252499</v>
      </c>
      <c r="AY216" s="29">
        <v>-0.93336778112607699</v>
      </c>
      <c r="AZ216" s="60">
        <v>-1.2383914999271299</v>
      </c>
    </row>
    <row r="217" spans="1:52" ht="15" customHeight="1">
      <c r="A217" s="59" t="s">
        <v>119</v>
      </c>
      <c r="B217" s="27">
        <v>2012</v>
      </c>
      <c r="C217" s="27" t="s">
        <v>96</v>
      </c>
      <c r="D217" s="27" t="s">
        <v>81</v>
      </c>
      <c r="E217" s="27" t="s">
        <v>19</v>
      </c>
      <c r="F217" s="27" t="s">
        <v>613</v>
      </c>
      <c r="G217" s="176"/>
      <c r="H217" s="176"/>
      <c r="I217" s="27"/>
      <c r="J217" s="176">
        <v>2198</v>
      </c>
      <c r="K217" s="27" t="s">
        <v>599</v>
      </c>
      <c r="L217" s="28"/>
      <c r="M217" s="27"/>
      <c r="N217" s="27"/>
      <c r="O217" s="27"/>
      <c r="P217" s="244"/>
      <c r="Q217" s="244"/>
      <c r="R217" s="27"/>
      <c r="S217" s="27"/>
      <c r="T217" s="18"/>
      <c r="U217" s="27"/>
      <c r="V217" s="27"/>
      <c r="W217" s="30"/>
      <c r="X217" s="27"/>
      <c r="Y217" s="27"/>
      <c r="Z217" s="27"/>
      <c r="AA217" s="27"/>
      <c r="AB217" s="27"/>
      <c r="AC217" s="273">
        <v>1529320794.4000001</v>
      </c>
      <c r="AD217" s="27">
        <v>26472054176.16637</v>
      </c>
      <c r="AE217" s="228">
        <v>5.7771141756611244E-2</v>
      </c>
      <c r="AF217" s="27">
        <v>5367473704.7594929</v>
      </c>
      <c r="AG217" s="226">
        <v>0.28492376088287258</v>
      </c>
      <c r="AH217" s="226" t="s">
        <v>2842</v>
      </c>
      <c r="AI217" s="27">
        <v>596240000</v>
      </c>
      <c r="AJ217" s="226">
        <v>2.5649416248490544</v>
      </c>
      <c r="AK217" s="27">
        <v>455156065.51855201</v>
      </c>
      <c r="AL217" s="226">
        <v>3.3599921219497966</v>
      </c>
      <c r="AM217" s="27">
        <v>820665445.92616892</v>
      </c>
      <c r="AN217" s="271">
        <v>1.8635130819649317</v>
      </c>
      <c r="AO217" s="27">
        <v>21699631</v>
      </c>
      <c r="AP217" s="27" t="s">
        <v>2842</v>
      </c>
      <c r="AQ217" s="27">
        <v>54.58751219512196</v>
      </c>
      <c r="AR217" s="27">
        <v>62.4</v>
      </c>
      <c r="AS217" s="29">
        <v>91.526619999999994</v>
      </c>
      <c r="AT217" s="270">
        <v>27</v>
      </c>
      <c r="AU217" s="464">
        <v>34.155175303167042</v>
      </c>
      <c r="AV217" s="29">
        <v>-1.0290642182071199</v>
      </c>
      <c r="AW217" s="29">
        <v>-0.57547351507469302</v>
      </c>
      <c r="AX217" s="29">
        <v>-0.90271364431252499</v>
      </c>
      <c r="AY217" s="29">
        <v>-0.93336778112607699</v>
      </c>
      <c r="AZ217" s="60">
        <v>-1.2383914999271299</v>
      </c>
    </row>
    <row r="218" spans="1:52" ht="15" customHeight="1">
      <c r="A218" s="59" t="s">
        <v>119</v>
      </c>
      <c r="B218" s="27">
        <v>2012</v>
      </c>
      <c r="C218" s="27" t="s">
        <v>96</v>
      </c>
      <c r="D218" s="27" t="s">
        <v>81</v>
      </c>
      <c r="E218" s="27" t="s">
        <v>19</v>
      </c>
      <c r="F218" s="27" t="s">
        <v>882</v>
      </c>
      <c r="G218" s="176"/>
      <c r="H218" s="176"/>
      <c r="I218" s="27"/>
      <c r="J218" s="176">
        <v>2615</v>
      </c>
      <c r="K218" s="27" t="s">
        <v>599</v>
      </c>
      <c r="L218" s="28"/>
      <c r="M218" s="27"/>
      <c r="N218" s="27"/>
      <c r="O218" s="27"/>
      <c r="P218" s="244"/>
      <c r="Q218" s="244"/>
      <c r="R218" s="27"/>
      <c r="S218" s="27"/>
      <c r="T218" s="18"/>
      <c r="U218" s="27"/>
      <c r="V218" s="27"/>
      <c r="W218" s="30"/>
      <c r="X218" s="27"/>
      <c r="Y218" s="27"/>
      <c r="Z218" s="27"/>
      <c r="AA218" s="27"/>
      <c r="AB218" s="27"/>
      <c r="AC218" s="273">
        <v>1529320794.4000001</v>
      </c>
      <c r="AD218" s="27">
        <v>26472054176.16637</v>
      </c>
      <c r="AE218" s="228">
        <v>5.7771141756611244E-2</v>
      </c>
      <c r="AF218" s="27">
        <v>5367473704.7594929</v>
      </c>
      <c r="AG218" s="226">
        <v>0.28492376088287258</v>
      </c>
      <c r="AH218" s="226" t="s">
        <v>2842</v>
      </c>
      <c r="AI218" s="27">
        <v>596240000</v>
      </c>
      <c r="AJ218" s="226">
        <v>2.5649416248490544</v>
      </c>
      <c r="AK218" s="27">
        <v>455156065.51855201</v>
      </c>
      <c r="AL218" s="226">
        <v>3.3599921219497966</v>
      </c>
      <c r="AM218" s="27">
        <v>820665445.92616892</v>
      </c>
      <c r="AN218" s="271">
        <v>1.8635130819649317</v>
      </c>
      <c r="AO218" s="27">
        <v>21699631</v>
      </c>
      <c r="AP218" s="27" t="s">
        <v>2842</v>
      </c>
      <c r="AQ218" s="27">
        <v>54.58751219512196</v>
      </c>
      <c r="AR218" s="27">
        <v>62.4</v>
      </c>
      <c r="AS218" s="29">
        <v>91.526619999999994</v>
      </c>
      <c r="AT218" s="270">
        <v>27</v>
      </c>
      <c r="AU218" s="464">
        <v>34.155175303167042</v>
      </c>
      <c r="AV218" s="29">
        <v>-1.0290642182071199</v>
      </c>
      <c r="AW218" s="29">
        <v>-0.57547351507469302</v>
      </c>
      <c r="AX218" s="29">
        <v>-0.90271364431252499</v>
      </c>
      <c r="AY218" s="29">
        <v>-0.93336778112607699</v>
      </c>
      <c r="AZ218" s="60">
        <v>-1.2383914999271299</v>
      </c>
    </row>
    <row r="219" spans="1:52" ht="15" customHeight="1">
      <c r="A219" s="59" t="s">
        <v>119</v>
      </c>
      <c r="B219" s="27">
        <v>2012</v>
      </c>
      <c r="C219" s="27" t="s">
        <v>96</v>
      </c>
      <c r="D219" s="27" t="s">
        <v>81</v>
      </c>
      <c r="E219" s="27" t="s">
        <v>19</v>
      </c>
      <c r="F219" s="27" t="s">
        <v>895</v>
      </c>
      <c r="G219" s="176"/>
      <c r="H219" s="176"/>
      <c r="I219" s="27"/>
      <c r="J219" s="176">
        <v>1.3</v>
      </c>
      <c r="K219" s="27" t="s">
        <v>894</v>
      </c>
      <c r="L219" s="28"/>
      <c r="M219" s="27"/>
      <c r="N219" s="27"/>
      <c r="O219" s="27"/>
      <c r="P219" s="244"/>
      <c r="Q219" s="244"/>
      <c r="R219" s="27"/>
      <c r="S219" s="27"/>
      <c r="T219" s="18"/>
      <c r="U219" s="27"/>
      <c r="V219" s="27"/>
      <c r="W219" s="30"/>
      <c r="X219" s="27"/>
      <c r="Y219" s="27"/>
      <c r="Z219" s="27"/>
      <c r="AA219" s="27"/>
      <c r="AB219" s="27"/>
      <c r="AC219" s="273">
        <v>1529320794.4000001</v>
      </c>
      <c r="AD219" s="27">
        <v>26472054176.16637</v>
      </c>
      <c r="AE219" s="228">
        <v>5.7771141756611244E-2</v>
      </c>
      <c r="AF219" s="27">
        <v>5367473704.7594929</v>
      </c>
      <c r="AG219" s="226">
        <v>0.28492376088287258</v>
      </c>
      <c r="AH219" s="226" t="s">
        <v>2842</v>
      </c>
      <c r="AI219" s="27">
        <v>596240000</v>
      </c>
      <c r="AJ219" s="226">
        <v>2.5649416248490544</v>
      </c>
      <c r="AK219" s="27">
        <v>455156065.51855201</v>
      </c>
      <c r="AL219" s="226">
        <v>3.3599921219497966</v>
      </c>
      <c r="AM219" s="27">
        <v>820665445.92616892</v>
      </c>
      <c r="AN219" s="271">
        <v>1.8635130819649317</v>
      </c>
      <c r="AO219" s="27">
        <v>21699631</v>
      </c>
      <c r="AP219" s="27" t="s">
        <v>2842</v>
      </c>
      <c r="AQ219" s="27">
        <v>54.58751219512196</v>
      </c>
      <c r="AR219" s="27">
        <v>62.4</v>
      </c>
      <c r="AS219" s="29">
        <v>91.526619999999994</v>
      </c>
      <c r="AT219" s="270">
        <v>27</v>
      </c>
      <c r="AU219" s="464">
        <v>34.155175303167042</v>
      </c>
      <c r="AV219" s="29">
        <v>-1.0290642182071199</v>
      </c>
      <c r="AW219" s="29">
        <v>-0.57547351507469302</v>
      </c>
      <c r="AX219" s="29">
        <v>-0.90271364431252499</v>
      </c>
      <c r="AY219" s="29">
        <v>-0.93336778112607699</v>
      </c>
      <c r="AZ219" s="60">
        <v>-1.2383914999271299</v>
      </c>
    </row>
    <row r="220" spans="1:52" ht="15" customHeight="1">
      <c r="A220" s="59" t="s">
        <v>119</v>
      </c>
      <c r="B220" s="27">
        <v>2012</v>
      </c>
      <c r="C220" s="27" t="s">
        <v>96</v>
      </c>
      <c r="D220" s="27" t="s">
        <v>81</v>
      </c>
      <c r="E220" s="27" t="s">
        <v>19</v>
      </c>
      <c r="F220" s="27" t="s">
        <v>896</v>
      </c>
      <c r="G220" s="176"/>
      <c r="H220" s="176"/>
      <c r="I220" s="27"/>
      <c r="J220" s="176">
        <v>148.5</v>
      </c>
      <c r="K220" s="27" t="s">
        <v>599</v>
      </c>
      <c r="L220" s="28"/>
      <c r="M220" s="27"/>
      <c r="N220" s="27"/>
      <c r="O220" s="27"/>
      <c r="P220" s="244"/>
      <c r="Q220" s="244"/>
      <c r="R220" s="27"/>
      <c r="S220" s="27"/>
      <c r="T220" s="18"/>
      <c r="U220" s="27"/>
      <c r="V220" s="27"/>
      <c r="W220" s="30"/>
      <c r="X220" s="27"/>
      <c r="Y220" s="27"/>
      <c r="Z220" s="27"/>
      <c r="AA220" s="27"/>
      <c r="AB220" s="27"/>
      <c r="AC220" s="273">
        <v>1529320794.4000001</v>
      </c>
      <c r="AD220" s="27">
        <v>26472054176.16637</v>
      </c>
      <c r="AE220" s="228">
        <v>5.7771141756611244E-2</v>
      </c>
      <c r="AF220" s="27">
        <v>5367473704.7594929</v>
      </c>
      <c r="AG220" s="226">
        <v>0.28492376088287258</v>
      </c>
      <c r="AH220" s="226" t="s">
        <v>2842</v>
      </c>
      <c r="AI220" s="27">
        <v>596240000</v>
      </c>
      <c r="AJ220" s="226">
        <v>2.5649416248490544</v>
      </c>
      <c r="AK220" s="27">
        <v>455156065.51855201</v>
      </c>
      <c r="AL220" s="226">
        <v>3.3599921219497966</v>
      </c>
      <c r="AM220" s="27">
        <v>820665445.92616892</v>
      </c>
      <c r="AN220" s="271">
        <v>1.8635130819649317</v>
      </c>
      <c r="AO220" s="27">
        <v>21699631</v>
      </c>
      <c r="AP220" s="27" t="s">
        <v>2842</v>
      </c>
      <c r="AQ220" s="27">
        <v>54.58751219512196</v>
      </c>
      <c r="AR220" s="27">
        <v>62.4</v>
      </c>
      <c r="AS220" s="29">
        <v>91.526619999999994</v>
      </c>
      <c r="AT220" s="270">
        <v>27</v>
      </c>
      <c r="AU220" s="464">
        <v>34.155175303167042</v>
      </c>
      <c r="AV220" s="29">
        <v>-1.0290642182071199</v>
      </c>
      <c r="AW220" s="29">
        <v>-0.57547351507469302</v>
      </c>
      <c r="AX220" s="29">
        <v>-0.90271364431252499</v>
      </c>
      <c r="AY220" s="29">
        <v>-0.93336778112607699</v>
      </c>
      <c r="AZ220" s="60">
        <v>-1.2383914999271299</v>
      </c>
    </row>
    <row r="221" spans="1:52" ht="15" customHeight="1">
      <c r="A221" s="59" t="s">
        <v>119</v>
      </c>
      <c r="B221" s="27">
        <v>2012</v>
      </c>
      <c r="C221" s="27" t="s">
        <v>96</v>
      </c>
      <c r="D221" s="27" t="s">
        <v>81</v>
      </c>
      <c r="E221" s="27" t="s">
        <v>19</v>
      </c>
      <c r="F221" s="27" t="s">
        <v>897</v>
      </c>
      <c r="G221" s="176"/>
      <c r="H221" s="176"/>
      <c r="I221" s="27"/>
      <c r="J221" s="176">
        <v>89211.8</v>
      </c>
      <c r="K221" s="27" t="s">
        <v>599</v>
      </c>
      <c r="L221" s="28"/>
      <c r="M221" s="27"/>
      <c r="N221" s="27"/>
      <c r="O221" s="27"/>
      <c r="P221" s="244"/>
      <c r="Q221" s="244"/>
      <c r="R221" s="27"/>
      <c r="S221" s="27"/>
      <c r="T221" s="18"/>
      <c r="U221" s="27"/>
      <c r="V221" s="27"/>
      <c r="W221" s="30"/>
      <c r="X221" s="27"/>
      <c r="Y221" s="27"/>
      <c r="Z221" s="27"/>
      <c r="AA221" s="27"/>
      <c r="AB221" s="27"/>
      <c r="AC221" s="273">
        <v>1529320794.4000001</v>
      </c>
      <c r="AD221" s="27">
        <v>26472054176.16637</v>
      </c>
      <c r="AE221" s="228">
        <v>5.7771141756611244E-2</v>
      </c>
      <c r="AF221" s="27">
        <v>5367473704.7594929</v>
      </c>
      <c r="AG221" s="226">
        <v>0.28492376088287258</v>
      </c>
      <c r="AH221" s="226" t="s">
        <v>2842</v>
      </c>
      <c r="AI221" s="27">
        <v>596240000</v>
      </c>
      <c r="AJ221" s="226">
        <v>2.5649416248490544</v>
      </c>
      <c r="AK221" s="27">
        <v>455156065.51855201</v>
      </c>
      <c r="AL221" s="226">
        <v>3.3599921219497966</v>
      </c>
      <c r="AM221" s="27">
        <v>820665445.92616892</v>
      </c>
      <c r="AN221" s="271">
        <v>1.8635130819649317</v>
      </c>
      <c r="AO221" s="27">
        <v>21699631</v>
      </c>
      <c r="AP221" s="27" t="s">
        <v>2842</v>
      </c>
      <c r="AQ221" s="27">
        <v>54.58751219512196</v>
      </c>
      <c r="AR221" s="27">
        <v>62.4</v>
      </c>
      <c r="AS221" s="29">
        <v>91.526619999999994</v>
      </c>
      <c r="AT221" s="270">
        <v>27</v>
      </c>
      <c r="AU221" s="464">
        <v>34.155175303167042</v>
      </c>
      <c r="AV221" s="29">
        <v>-1.0290642182071199</v>
      </c>
      <c r="AW221" s="29">
        <v>-0.57547351507469302</v>
      </c>
      <c r="AX221" s="29">
        <v>-0.90271364431252499</v>
      </c>
      <c r="AY221" s="29">
        <v>-0.93336778112607699</v>
      </c>
      <c r="AZ221" s="60">
        <v>-1.2383914999271299</v>
      </c>
    </row>
    <row r="222" spans="1:52" ht="15" customHeight="1">
      <c r="A222" s="59" t="s">
        <v>119</v>
      </c>
      <c r="B222" s="27">
        <v>2012</v>
      </c>
      <c r="C222" s="27" t="s">
        <v>96</v>
      </c>
      <c r="D222" s="27" t="s">
        <v>81</v>
      </c>
      <c r="E222" s="27" t="s">
        <v>19</v>
      </c>
      <c r="F222" s="27" t="s">
        <v>898</v>
      </c>
      <c r="G222" s="176"/>
      <c r="H222" s="176"/>
      <c r="I222" s="27"/>
      <c r="J222" s="176">
        <v>314900</v>
      </c>
      <c r="K222" s="27" t="s">
        <v>894</v>
      </c>
      <c r="L222" s="28"/>
      <c r="M222" s="27"/>
      <c r="N222" s="27"/>
      <c r="O222" s="27"/>
      <c r="P222" s="244"/>
      <c r="Q222" s="244"/>
      <c r="R222" s="27"/>
      <c r="S222" s="27"/>
      <c r="T222" s="18"/>
      <c r="U222" s="27"/>
      <c r="V222" s="27"/>
      <c r="W222" s="30"/>
      <c r="X222" s="27"/>
      <c r="Y222" s="27"/>
      <c r="Z222" s="27"/>
      <c r="AA222" s="27"/>
      <c r="AB222" s="27"/>
      <c r="AC222" s="273">
        <v>1529320794.4000001</v>
      </c>
      <c r="AD222" s="27">
        <v>26472054176.16637</v>
      </c>
      <c r="AE222" s="228">
        <v>5.7771141756611244E-2</v>
      </c>
      <c r="AF222" s="27">
        <v>5367473704.7594929</v>
      </c>
      <c r="AG222" s="226">
        <v>0.28492376088287258</v>
      </c>
      <c r="AH222" s="226" t="s">
        <v>2842</v>
      </c>
      <c r="AI222" s="27">
        <v>596240000</v>
      </c>
      <c r="AJ222" s="226">
        <v>2.5649416248490544</v>
      </c>
      <c r="AK222" s="27">
        <v>455156065.51855201</v>
      </c>
      <c r="AL222" s="226">
        <v>3.3599921219497966</v>
      </c>
      <c r="AM222" s="27">
        <v>820665445.92616892</v>
      </c>
      <c r="AN222" s="271">
        <v>1.8635130819649317</v>
      </c>
      <c r="AO222" s="27">
        <v>21699631</v>
      </c>
      <c r="AP222" s="27" t="s">
        <v>2842</v>
      </c>
      <c r="AQ222" s="27">
        <v>54.58751219512196</v>
      </c>
      <c r="AR222" s="27">
        <v>62.4</v>
      </c>
      <c r="AS222" s="29">
        <v>91.526619999999994</v>
      </c>
      <c r="AT222" s="270">
        <v>27</v>
      </c>
      <c r="AU222" s="464">
        <v>34.155175303167042</v>
      </c>
      <c r="AV222" s="29">
        <v>-1.0290642182071199</v>
      </c>
      <c r="AW222" s="29">
        <v>-0.57547351507469302</v>
      </c>
      <c r="AX222" s="29">
        <v>-0.90271364431252499</v>
      </c>
      <c r="AY222" s="29">
        <v>-0.93336778112607699</v>
      </c>
      <c r="AZ222" s="60">
        <v>-1.2383914999271299</v>
      </c>
    </row>
    <row r="223" spans="1:52" ht="15" customHeight="1">
      <c r="A223" s="59" t="s">
        <v>119</v>
      </c>
      <c r="B223" s="27">
        <v>2012</v>
      </c>
      <c r="C223" s="27" t="s">
        <v>96</v>
      </c>
      <c r="D223" s="27" t="s">
        <v>81</v>
      </c>
      <c r="E223" s="27" t="s">
        <v>19</v>
      </c>
      <c r="F223" s="27" t="s">
        <v>839</v>
      </c>
      <c r="G223" s="176"/>
      <c r="H223" s="176"/>
      <c r="I223" s="27"/>
      <c r="J223" s="176">
        <v>400205</v>
      </c>
      <c r="K223" s="27" t="s">
        <v>567</v>
      </c>
      <c r="L223" s="28"/>
      <c r="M223" s="27"/>
      <c r="N223" s="27"/>
      <c r="O223" s="27"/>
      <c r="P223" s="244"/>
      <c r="Q223" s="244"/>
      <c r="R223" s="27"/>
      <c r="S223" s="27"/>
      <c r="T223" s="18"/>
      <c r="U223" s="27"/>
      <c r="V223" s="27"/>
      <c r="W223" s="30"/>
      <c r="X223" s="27"/>
      <c r="Y223" s="27"/>
      <c r="Z223" s="27"/>
      <c r="AA223" s="27"/>
      <c r="AB223" s="27"/>
      <c r="AC223" s="273">
        <v>1529320794.4000001</v>
      </c>
      <c r="AD223" s="27">
        <v>26472054176.16637</v>
      </c>
      <c r="AE223" s="228">
        <v>5.7771141756611244E-2</v>
      </c>
      <c r="AF223" s="27">
        <v>5367473704.7594929</v>
      </c>
      <c r="AG223" s="226">
        <v>0.28492376088287258</v>
      </c>
      <c r="AH223" s="226" t="s">
        <v>2842</v>
      </c>
      <c r="AI223" s="27">
        <v>596240000</v>
      </c>
      <c r="AJ223" s="226">
        <v>2.5649416248490544</v>
      </c>
      <c r="AK223" s="27">
        <v>455156065.51855201</v>
      </c>
      <c r="AL223" s="226">
        <v>3.3599921219497966</v>
      </c>
      <c r="AM223" s="27">
        <v>820665445.92616892</v>
      </c>
      <c r="AN223" s="271">
        <v>1.8635130819649317</v>
      </c>
      <c r="AO223" s="27">
        <v>21699631</v>
      </c>
      <c r="AP223" s="27" t="s">
        <v>2842</v>
      </c>
      <c r="AQ223" s="27">
        <v>54.58751219512196</v>
      </c>
      <c r="AR223" s="27">
        <v>62.4</v>
      </c>
      <c r="AS223" s="29">
        <v>91.526619999999994</v>
      </c>
      <c r="AT223" s="270">
        <v>27</v>
      </c>
      <c r="AU223" s="464">
        <v>34.155175303167042</v>
      </c>
      <c r="AV223" s="29">
        <v>-1.0290642182071199</v>
      </c>
      <c r="AW223" s="29">
        <v>-0.57547351507469302</v>
      </c>
      <c r="AX223" s="29">
        <v>-0.90271364431252499</v>
      </c>
      <c r="AY223" s="29">
        <v>-0.93336778112607699</v>
      </c>
      <c r="AZ223" s="60">
        <v>-1.2383914999271299</v>
      </c>
    </row>
    <row r="224" spans="1:52" ht="15" customHeight="1">
      <c r="A224" s="59" t="s">
        <v>119</v>
      </c>
      <c r="B224" s="27">
        <v>2012</v>
      </c>
      <c r="C224" s="27" t="s">
        <v>96</v>
      </c>
      <c r="D224" s="27" t="s">
        <v>81</v>
      </c>
      <c r="E224" s="177" t="s">
        <v>19</v>
      </c>
      <c r="F224" s="27" t="s">
        <v>653</v>
      </c>
      <c r="G224" s="176"/>
      <c r="H224" s="176"/>
      <c r="I224" s="27"/>
      <c r="J224" s="176">
        <v>164936</v>
      </c>
      <c r="K224" s="27" t="s">
        <v>567</v>
      </c>
      <c r="L224" s="28"/>
      <c r="M224" s="27"/>
      <c r="N224" s="27"/>
      <c r="O224" s="27"/>
      <c r="P224" s="244"/>
      <c r="Q224" s="244"/>
      <c r="R224" s="27"/>
      <c r="S224" s="27"/>
      <c r="T224" s="18"/>
      <c r="U224" s="27"/>
      <c r="V224" s="27"/>
      <c r="W224" s="30"/>
      <c r="X224" s="27"/>
      <c r="Y224" s="27"/>
      <c r="Z224" s="27"/>
      <c r="AA224" s="27"/>
      <c r="AB224" s="27"/>
      <c r="AC224" s="273">
        <v>1529320794.4000001</v>
      </c>
      <c r="AD224" s="27">
        <v>26472054176.16637</v>
      </c>
      <c r="AE224" s="228">
        <v>5.7771141756611244E-2</v>
      </c>
      <c r="AF224" s="27">
        <v>5367473704.7594929</v>
      </c>
      <c r="AG224" s="226">
        <v>0.28492376088287258</v>
      </c>
      <c r="AH224" s="226" t="s">
        <v>2842</v>
      </c>
      <c r="AI224" s="27">
        <v>596240000</v>
      </c>
      <c r="AJ224" s="226">
        <v>2.5649416248490544</v>
      </c>
      <c r="AK224" s="27">
        <v>455156065.51855201</v>
      </c>
      <c r="AL224" s="226">
        <v>3.3599921219497966</v>
      </c>
      <c r="AM224" s="27">
        <v>820665445.92616892</v>
      </c>
      <c r="AN224" s="271">
        <v>1.8635130819649317</v>
      </c>
      <c r="AO224" s="27">
        <v>21699631</v>
      </c>
      <c r="AP224" s="27" t="s">
        <v>2842</v>
      </c>
      <c r="AQ224" s="27">
        <v>54.58751219512196</v>
      </c>
      <c r="AR224" s="27">
        <v>62.4</v>
      </c>
      <c r="AS224" s="29">
        <v>91.526619999999994</v>
      </c>
      <c r="AT224" s="270">
        <v>27</v>
      </c>
      <c r="AU224" s="464">
        <v>34.155175303167042</v>
      </c>
      <c r="AV224" s="29">
        <v>-1.0290642182071199</v>
      </c>
      <c r="AW224" s="29">
        <v>-0.57547351507469302</v>
      </c>
      <c r="AX224" s="29">
        <v>-0.90271364431252499</v>
      </c>
      <c r="AY224" s="29">
        <v>-0.93336778112607699</v>
      </c>
      <c r="AZ224" s="60">
        <v>-1.2383914999271299</v>
      </c>
    </row>
    <row r="225" spans="1:52" ht="15" customHeight="1">
      <c r="A225" s="59" t="s">
        <v>119</v>
      </c>
      <c r="B225" s="27">
        <v>2012</v>
      </c>
      <c r="C225" s="27" t="s">
        <v>96</v>
      </c>
      <c r="D225" s="27" t="s">
        <v>81</v>
      </c>
      <c r="E225" s="177" t="s">
        <v>19</v>
      </c>
      <c r="F225" s="27" t="s">
        <v>897</v>
      </c>
      <c r="G225" s="176"/>
      <c r="H225" s="176"/>
      <c r="I225" s="27"/>
      <c r="J225" s="176">
        <v>12472</v>
      </c>
      <c r="K225" s="27" t="s">
        <v>567</v>
      </c>
      <c r="L225" s="28"/>
      <c r="M225" s="27"/>
      <c r="N225" s="27"/>
      <c r="O225" s="27"/>
      <c r="P225" s="244"/>
      <c r="Q225" s="244"/>
      <c r="R225" s="27"/>
      <c r="S225" s="27"/>
      <c r="T225" s="18"/>
      <c r="U225" s="27"/>
      <c r="V225" s="27"/>
      <c r="W225" s="30"/>
      <c r="X225" s="27"/>
      <c r="Y225" s="27"/>
      <c r="Z225" s="27"/>
      <c r="AA225" s="27"/>
      <c r="AB225" s="27"/>
      <c r="AC225" s="273">
        <v>1529320794.4000001</v>
      </c>
      <c r="AD225" s="27">
        <v>26472054176.16637</v>
      </c>
      <c r="AE225" s="228">
        <v>5.7771141756611244E-2</v>
      </c>
      <c r="AF225" s="27">
        <v>5367473704.7594929</v>
      </c>
      <c r="AG225" s="226">
        <v>0.28492376088287258</v>
      </c>
      <c r="AH225" s="226" t="s">
        <v>2842</v>
      </c>
      <c r="AI225" s="27">
        <v>596240000</v>
      </c>
      <c r="AJ225" s="226">
        <v>2.5649416248490544</v>
      </c>
      <c r="AK225" s="27">
        <v>455156065.51855201</v>
      </c>
      <c r="AL225" s="226">
        <v>3.3599921219497966</v>
      </c>
      <c r="AM225" s="27">
        <v>820665445.92616892</v>
      </c>
      <c r="AN225" s="271">
        <v>1.8635130819649317</v>
      </c>
      <c r="AO225" s="27">
        <v>21699631</v>
      </c>
      <c r="AP225" s="27" t="s">
        <v>2842</v>
      </c>
      <c r="AQ225" s="27">
        <v>54.58751219512196</v>
      </c>
      <c r="AR225" s="27">
        <v>62.4</v>
      </c>
      <c r="AS225" s="29">
        <v>91.526619999999994</v>
      </c>
      <c r="AT225" s="270">
        <v>27</v>
      </c>
      <c r="AU225" s="464">
        <v>34.155175303167042</v>
      </c>
      <c r="AV225" s="29">
        <v>-1.0290642182071199</v>
      </c>
      <c r="AW225" s="29">
        <v>-0.57547351507469302</v>
      </c>
      <c r="AX225" s="29">
        <v>-0.90271364431252499</v>
      </c>
      <c r="AY225" s="29">
        <v>-0.93336778112607699</v>
      </c>
      <c r="AZ225" s="60">
        <v>-1.2383914999271299</v>
      </c>
    </row>
    <row r="226" spans="1:52" ht="15" customHeight="1">
      <c r="A226" s="59" t="s">
        <v>119</v>
      </c>
      <c r="B226" s="27">
        <v>2012</v>
      </c>
      <c r="C226" s="27" t="s">
        <v>96</v>
      </c>
      <c r="D226" s="27" t="s">
        <v>81</v>
      </c>
      <c r="E226" s="177" t="s">
        <v>19</v>
      </c>
      <c r="F226" s="27" t="s">
        <v>899</v>
      </c>
      <c r="G226" s="176"/>
      <c r="H226" s="176"/>
      <c r="I226" s="27"/>
      <c r="J226" s="176">
        <v>8922</v>
      </c>
      <c r="K226" s="27" t="s">
        <v>567</v>
      </c>
      <c r="L226" s="28"/>
      <c r="M226" s="27"/>
      <c r="N226" s="27"/>
      <c r="O226" s="27"/>
      <c r="P226" s="244"/>
      <c r="Q226" s="244"/>
      <c r="R226" s="27"/>
      <c r="S226" s="27"/>
      <c r="T226" s="18"/>
      <c r="U226" s="27"/>
      <c r="V226" s="27"/>
      <c r="W226" s="30"/>
      <c r="X226" s="27"/>
      <c r="Y226" s="27"/>
      <c r="Z226" s="27"/>
      <c r="AA226" s="27"/>
      <c r="AB226" s="27"/>
      <c r="AC226" s="273">
        <v>1529320794.4000001</v>
      </c>
      <c r="AD226" s="27">
        <v>26472054176.16637</v>
      </c>
      <c r="AE226" s="228">
        <v>5.7771141756611244E-2</v>
      </c>
      <c r="AF226" s="27">
        <v>5367473704.7594929</v>
      </c>
      <c r="AG226" s="226">
        <v>0.28492376088287258</v>
      </c>
      <c r="AH226" s="226" t="s">
        <v>2842</v>
      </c>
      <c r="AI226" s="27">
        <v>596240000</v>
      </c>
      <c r="AJ226" s="226">
        <v>2.5649416248490544</v>
      </c>
      <c r="AK226" s="27">
        <v>455156065.51855201</v>
      </c>
      <c r="AL226" s="226">
        <v>3.3599921219497966</v>
      </c>
      <c r="AM226" s="27">
        <v>820665445.92616892</v>
      </c>
      <c r="AN226" s="271">
        <v>1.8635130819649317</v>
      </c>
      <c r="AO226" s="27">
        <v>21699631</v>
      </c>
      <c r="AP226" s="27" t="s">
        <v>2842</v>
      </c>
      <c r="AQ226" s="27">
        <v>54.58751219512196</v>
      </c>
      <c r="AR226" s="27">
        <v>62.4</v>
      </c>
      <c r="AS226" s="29">
        <v>91.526619999999994</v>
      </c>
      <c r="AT226" s="270">
        <v>27</v>
      </c>
      <c r="AU226" s="464">
        <v>34.155175303167042</v>
      </c>
      <c r="AV226" s="29">
        <v>-1.0290642182071199</v>
      </c>
      <c r="AW226" s="29">
        <v>-0.57547351507469302</v>
      </c>
      <c r="AX226" s="29">
        <v>-0.90271364431252499</v>
      </c>
      <c r="AY226" s="29">
        <v>-0.93336778112607699</v>
      </c>
      <c r="AZ226" s="60">
        <v>-1.2383914999271299</v>
      </c>
    </row>
    <row r="227" spans="1:52" s="232" customFormat="1" ht="15" customHeight="1" thickBot="1">
      <c r="A227" s="360" t="s">
        <v>119</v>
      </c>
      <c r="B227" s="230">
        <v>2012</v>
      </c>
      <c r="C227" s="230" t="s">
        <v>96</v>
      </c>
      <c r="D227" s="230" t="s">
        <v>81</v>
      </c>
      <c r="E227" s="361" t="s">
        <v>19</v>
      </c>
      <c r="F227" s="230" t="s">
        <v>900</v>
      </c>
      <c r="G227" s="317"/>
      <c r="H227" s="317"/>
      <c r="I227" s="230"/>
      <c r="J227" s="317">
        <v>250456</v>
      </c>
      <c r="K227" s="361" t="s">
        <v>599</v>
      </c>
      <c r="L227" s="298"/>
      <c r="M227" s="230"/>
      <c r="N227" s="230"/>
      <c r="O227" s="230"/>
      <c r="P227" s="318"/>
      <c r="Q227" s="362"/>
      <c r="R227" s="230"/>
      <c r="S227" s="230"/>
      <c r="T227" s="285"/>
      <c r="U227" s="230"/>
      <c r="V227" s="230"/>
      <c r="W227" s="300"/>
      <c r="X227" s="230"/>
      <c r="Y227" s="230"/>
      <c r="Z227" s="230"/>
      <c r="AA227" s="230"/>
      <c r="AB227" s="230"/>
      <c r="AC227" s="274">
        <v>1529320794.4000001</v>
      </c>
      <c r="AD227" s="230">
        <v>26472054176.16637</v>
      </c>
      <c r="AE227" s="229">
        <v>5.7771141756611244E-2</v>
      </c>
      <c r="AF227" s="230">
        <v>5367473704.7594929</v>
      </c>
      <c r="AG227" s="231">
        <v>0.28492376088287258</v>
      </c>
      <c r="AH227" s="231" t="s">
        <v>2842</v>
      </c>
      <c r="AI227" s="230">
        <v>596240000</v>
      </c>
      <c r="AJ227" s="231">
        <v>2.5649416248490544</v>
      </c>
      <c r="AK227" s="230">
        <v>455156065.51855201</v>
      </c>
      <c r="AL227" s="231">
        <v>3.3599921219497966</v>
      </c>
      <c r="AM227" s="230">
        <v>820665445.92616892</v>
      </c>
      <c r="AN227" s="275">
        <v>1.8635130819649317</v>
      </c>
      <c r="AO227" s="230">
        <v>21699631</v>
      </c>
      <c r="AP227" s="230" t="s">
        <v>2842</v>
      </c>
      <c r="AQ227" s="230">
        <v>54.58751219512196</v>
      </c>
      <c r="AR227" s="230">
        <v>62.4</v>
      </c>
      <c r="AS227" s="232">
        <v>91.526619999999994</v>
      </c>
      <c r="AT227" s="276">
        <v>27</v>
      </c>
      <c r="AU227" s="466">
        <v>34.155175303167042</v>
      </c>
      <c r="AV227" s="232">
        <v>-1.0290642182071199</v>
      </c>
      <c r="AW227" s="232">
        <v>-0.57547351507469302</v>
      </c>
      <c r="AX227" s="232">
        <v>-0.90271364431252499</v>
      </c>
      <c r="AY227" s="232">
        <v>-0.93336778112607699</v>
      </c>
      <c r="AZ227" s="293">
        <v>-1.2383914999271299</v>
      </c>
    </row>
    <row r="228" spans="1:52" ht="15" customHeight="1">
      <c r="A228" s="63" t="s">
        <v>121</v>
      </c>
      <c r="B228" s="27">
        <v>2006</v>
      </c>
      <c r="C228" s="27" t="s">
        <v>122</v>
      </c>
      <c r="D228" s="39" t="s">
        <v>81</v>
      </c>
      <c r="E228" s="27" t="s">
        <v>19</v>
      </c>
      <c r="F228" s="41" t="s">
        <v>659</v>
      </c>
      <c r="G228" s="43"/>
      <c r="H228" s="43"/>
      <c r="I228" s="43"/>
      <c r="J228" s="43"/>
      <c r="K228" s="27"/>
      <c r="L228" s="28"/>
      <c r="M228" s="27"/>
      <c r="N228" s="27"/>
      <c r="O228" s="18">
        <f>SUM(O229:O230)</f>
        <v>59259645.581396423</v>
      </c>
      <c r="P228" s="213">
        <v>10973706.76241657</v>
      </c>
      <c r="Q228" s="213">
        <v>10087128.761307349</v>
      </c>
      <c r="R228" s="27" t="s">
        <v>619</v>
      </c>
      <c r="S228" s="27"/>
      <c r="T228" s="18"/>
      <c r="U228" s="27" t="s">
        <v>902</v>
      </c>
      <c r="V228" s="27"/>
      <c r="W228" s="30">
        <v>522.89</v>
      </c>
      <c r="X228" s="27"/>
      <c r="Y228" s="27"/>
      <c r="Z228" s="27">
        <v>17</v>
      </c>
      <c r="AA228" s="27"/>
      <c r="AB228" s="27"/>
      <c r="AC228" s="273">
        <v>10973706.76241657</v>
      </c>
      <c r="AD228" s="27">
        <v>1473721520.6993546</v>
      </c>
      <c r="AE228" s="228">
        <v>7.4462553530527231E-3</v>
      </c>
      <c r="AF228" s="27">
        <v>195916538.9617722</v>
      </c>
      <c r="AG228" s="226">
        <v>5.6012150993325738E-2</v>
      </c>
      <c r="AH228" s="226">
        <v>0.11851414404900296</v>
      </c>
      <c r="AI228" s="27">
        <v>133660000</v>
      </c>
      <c r="AJ228" s="226">
        <v>8.2101651671529025E-2</v>
      </c>
      <c r="AK228" s="27">
        <v>29090655.017191757</v>
      </c>
      <c r="AL228" s="226">
        <v>0.37722446455507508</v>
      </c>
      <c r="AM228" s="27">
        <v>20667765.350591891</v>
      </c>
      <c r="AN228" s="271">
        <v>0.53095758425098927</v>
      </c>
      <c r="AO228" s="27">
        <v>4032102</v>
      </c>
      <c r="AP228" s="27" t="s">
        <v>2842</v>
      </c>
      <c r="AQ228" s="27">
        <v>45.508195121951218</v>
      </c>
      <c r="AR228" s="27">
        <v>109.3</v>
      </c>
      <c r="AS228" s="29">
        <v>49.943449999999999</v>
      </c>
      <c r="AT228" s="270">
        <v>24</v>
      </c>
      <c r="AU228" s="464" t="s">
        <v>2842</v>
      </c>
      <c r="AV228" s="29">
        <v>-1.01288987959902</v>
      </c>
      <c r="AW228" s="29">
        <v>-1.83942548667351</v>
      </c>
      <c r="AX228" s="29">
        <v>-1.4106291847243999</v>
      </c>
      <c r="AY228" s="29">
        <v>-1.19137800216339</v>
      </c>
      <c r="AZ228" s="60">
        <v>-0.99707513756548405</v>
      </c>
    </row>
    <row r="229" spans="1:52" ht="15" customHeight="1">
      <c r="A229" s="63" t="s">
        <v>121</v>
      </c>
      <c r="B229" s="27">
        <v>2006</v>
      </c>
      <c r="C229" s="27" t="s">
        <v>122</v>
      </c>
      <c r="D229" s="39" t="s">
        <v>81</v>
      </c>
      <c r="E229" s="27" t="s">
        <v>19</v>
      </c>
      <c r="F229" s="41" t="s">
        <v>904</v>
      </c>
      <c r="G229" s="43">
        <v>419528</v>
      </c>
      <c r="H229" s="43"/>
      <c r="I229" s="43"/>
      <c r="J229" s="43"/>
      <c r="K229" s="27" t="s">
        <v>905</v>
      </c>
      <c r="L229" s="28">
        <v>140.79</v>
      </c>
      <c r="M229" s="27" t="s">
        <v>906</v>
      </c>
      <c r="N229" s="27" t="s">
        <v>907</v>
      </c>
      <c r="O229" s="18">
        <f>G229*L229</f>
        <v>59065347.119999997</v>
      </c>
      <c r="P229" s="213"/>
      <c r="Q229" s="213"/>
      <c r="R229" s="27"/>
      <c r="S229" s="27"/>
      <c r="T229" s="18"/>
      <c r="U229" s="27"/>
      <c r="V229" s="27"/>
      <c r="W229" s="30"/>
      <c r="X229" s="27"/>
      <c r="Y229" s="27"/>
      <c r="Z229" s="27"/>
      <c r="AA229" s="27"/>
      <c r="AB229" s="27"/>
      <c r="AC229" s="273">
        <v>10973706.76241657</v>
      </c>
      <c r="AD229" s="27">
        <v>1473721520.6993546</v>
      </c>
      <c r="AE229" s="228">
        <v>7.4462553530527231E-3</v>
      </c>
      <c r="AF229" s="27">
        <v>195916538.9617722</v>
      </c>
      <c r="AG229" s="226">
        <v>5.6012150993325738E-2</v>
      </c>
      <c r="AH229" s="226">
        <v>0.11851414404900296</v>
      </c>
      <c r="AI229" s="27">
        <v>133660000</v>
      </c>
      <c r="AJ229" s="226">
        <v>8.2101651671529025E-2</v>
      </c>
      <c r="AK229" s="27">
        <v>29090655.017191757</v>
      </c>
      <c r="AL229" s="226">
        <v>0.37722446455507508</v>
      </c>
      <c r="AM229" s="27">
        <v>20667765.350591891</v>
      </c>
      <c r="AN229" s="271">
        <v>0.53095758425098927</v>
      </c>
      <c r="AO229" s="27">
        <v>4032102</v>
      </c>
      <c r="AP229" s="27" t="s">
        <v>2842</v>
      </c>
      <c r="AQ229" s="27">
        <v>45.508195121951218</v>
      </c>
      <c r="AR229" s="27">
        <v>109.3</v>
      </c>
      <c r="AS229" s="29">
        <v>49.943449999999999</v>
      </c>
      <c r="AT229" s="270">
        <v>24</v>
      </c>
      <c r="AU229" s="464" t="s">
        <v>2842</v>
      </c>
      <c r="AV229" s="29">
        <v>-1.01288987959902</v>
      </c>
      <c r="AW229" s="29">
        <v>-1.83942548667351</v>
      </c>
      <c r="AX229" s="29">
        <v>-1.4106291847243999</v>
      </c>
      <c r="AY229" s="29">
        <v>-1.19137800216339</v>
      </c>
      <c r="AZ229" s="60">
        <v>-0.99707513756548405</v>
      </c>
    </row>
    <row r="230" spans="1:52" s="287" customFormat="1" ht="15" customHeight="1">
      <c r="A230" s="359" t="s">
        <v>121</v>
      </c>
      <c r="B230" s="284">
        <v>2006</v>
      </c>
      <c r="C230" s="284" t="s">
        <v>122</v>
      </c>
      <c r="D230" s="314" t="s">
        <v>81</v>
      </c>
      <c r="E230" s="284" t="s">
        <v>19</v>
      </c>
      <c r="F230" s="315" t="s">
        <v>730</v>
      </c>
      <c r="G230" s="303">
        <f>10*32.150743126506</f>
        <v>321.50743126506001</v>
      </c>
      <c r="H230" s="303"/>
      <c r="I230" s="303"/>
      <c r="J230" s="303"/>
      <c r="K230" s="284" t="s">
        <v>731</v>
      </c>
      <c r="L230" s="304">
        <v>604.33583333333002</v>
      </c>
      <c r="M230" s="284" t="s">
        <v>732</v>
      </c>
      <c r="N230" s="284" t="s">
        <v>908</v>
      </c>
      <c r="O230" s="305">
        <f>G230*L230</f>
        <v>194298.46139642835</v>
      </c>
      <c r="P230" s="306"/>
      <c r="Q230" s="306"/>
      <c r="R230" s="284"/>
      <c r="S230" s="284"/>
      <c r="T230" s="305"/>
      <c r="U230" s="284"/>
      <c r="V230" s="284"/>
      <c r="W230" s="307"/>
      <c r="X230" s="284"/>
      <c r="Y230" s="284"/>
      <c r="Z230" s="284"/>
      <c r="AA230" s="284"/>
      <c r="AB230" s="284"/>
      <c r="AC230" s="308">
        <v>10973706.76241657</v>
      </c>
      <c r="AD230" s="284">
        <v>1473721520.6993546</v>
      </c>
      <c r="AE230" s="309">
        <v>7.4462553530527231E-3</v>
      </c>
      <c r="AF230" s="284">
        <v>195916538.9617722</v>
      </c>
      <c r="AG230" s="310">
        <v>5.6012150993325738E-2</v>
      </c>
      <c r="AH230" s="310">
        <v>0.11851414404900296</v>
      </c>
      <c r="AI230" s="284">
        <v>133660000</v>
      </c>
      <c r="AJ230" s="310">
        <v>8.2101651671529025E-2</v>
      </c>
      <c r="AK230" s="284">
        <v>29090655.017191757</v>
      </c>
      <c r="AL230" s="310">
        <v>0.37722446455507508</v>
      </c>
      <c r="AM230" s="284">
        <v>20667765.350591891</v>
      </c>
      <c r="AN230" s="311">
        <v>0.53095758425098927</v>
      </c>
      <c r="AO230" s="284">
        <v>4032102</v>
      </c>
      <c r="AP230" s="284" t="s">
        <v>2842</v>
      </c>
      <c r="AQ230" s="284">
        <v>45.508195121951218</v>
      </c>
      <c r="AR230" s="284">
        <v>109.3</v>
      </c>
      <c r="AS230" s="287">
        <v>49.943449999999999</v>
      </c>
      <c r="AT230" s="312">
        <v>24</v>
      </c>
      <c r="AU230" s="465" t="s">
        <v>2842</v>
      </c>
      <c r="AV230" s="287">
        <v>-1.01288987959902</v>
      </c>
      <c r="AW230" s="287">
        <v>-1.83942548667351</v>
      </c>
      <c r="AX230" s="287">
        <v>-1.4106291847243999</v>
      </c>
      <c r="AY230" s="287">
        <v>-1.19137800216339</v>
      </c>
      <c r="AZ230" s="313">
        <v>-0.99707513756548405</v>
      </c>
    </row>
    <row r="231" spans="1:52" s="29" customFormat="1" ht="15" customHeight="1">
      <c r="A231" s="347" t="s">
        <v>125</v>
      </c>
      <c r="B231" s="27">
        <v>2007</v>
      </c>
      <c r="C231" s="27" t="s">
        <v>122</v>
      </c>
      <c r="D231" s="39" t="s">
        <v>81</v>
      </c>
      <c r="E231" s="27" t="s">
        <v>19</v>
      </c>
      <c r="F231" s="41" t="s">
        <v>659</v>
      </c>
      <c r="G231" s="43"/>
      <c r="H231" s="43"/>
      <c r="I231" s="43"/>
      <c r="J231" s="43"/>
      <c r="K231" s="27"/>
      <c r="L231" s="28"/>
      <c r="M231" s="27"/>
      <c r="N231" s="27"/>
      <c r="O231" s="18">
        <f>SUM(O232:O233)</f>
        <v>60081654.517887853</v>
      </c>
      <c r="P231" s="213">
        <v>3520131.5240083509</v>
      </c>
      <c r="Q231" s="213">
        <v>3732496.8684759918</v>
      </c>
      <c r="R231" s="27" t="s">
        <v>619</v>
      </c>
      <c r="S231" s="27"/>
      <c r="T231" s="18"/>
      <c r="U231" s="27" t="s">
        <v>909</v>
      </c>
      <c r="V231" s="27"/>
      <c r="W231" s="30">
        <v>479</v>
      </c>
      <c r="X231" s="27"/>
      <c r="Y231" s="27"/>
      <c r="Z231" s="27">
        <v>9</v>
      </c>
      <c r="AA231" s="27"/>
      <c r="AB231" s="27"/>
      <c r="AC231" s="273">
        <v>3520131.5240083509</v>
      </c>
      <c r="AD231" s="27">
        <v>1698125679.6518774</v>
      </c>
      <c r="AE231" s="228">
        <v>2.0729511167453707E-3</v>
      </c>
      <c r="AF231" s="27">
        <v>268100082.3034384</v>
      </c>
      <c r="AG231" s="226">
        <v>1.312991586486807E-2</v>
      </c>
      <c r="AH231" s="226" t="s">
        <v>2842</v>
      </c>
      <c r="AI231" s="27">
        <v>176920000</v>
      </c>
      <c r="AJ231" s="226">
        <v>1.9896741600770693E-2</v>
      </c>
      <c r="AK231" s="27">
        <v>39171463.772099666</v>
      </c>
      <c r="AL231" s="226">
        <v>8.9864691921868023E-2</v>
      </c>
      <c r="AM231" s="27">
        <v>22294522.235581532</v>
      </c>
      <c r="AN231" s="271">
        <v>0.15789221616017876</v>
      </c>
      <c r="AO231" s="27">
        <v>4106897</v>
      </c>
      <c r="AP231" s="27" t="s">
        <v>2842</v>
      </c>
      <c r="AQ231" s="27">
        <v>46.091243902439032</v>
      </c>
      <c r="AR231" s="27">
        <v>108.1</v>
      </c>
      <c r="AS231" s="29">
        <v>58.44265</v>
      </c>
      <c r="AT231" s="270">
        <v>24</v>
      </c>
      <c r="AU231" s="464" t="s">
        <v>2842</v>
      </c>
      <c r="AV231" s="29">
        <v>-1.0784161192199799</v>
      </c>
      <c r="AW231" s="29">
        <v>-1.82965362559411</v>
      </c>
      <c r="AX231" s="29">
        <v>-1.4448443549579899</v>
      </c>
      <c r="AY231" s="29">
        <v>-1.2154097682502301</v>
      </c>
      <c r="AZ231" s="60">
        <v>-0.97239702284773</v>
      </c>
    </row>
    <row r="232" spans="1:52" s="29" customFormat="1" ht="15" customHeight="1">
      <c r="A232" s="63" t="s">
        <v>125</v>
      </c>
      <c r="B232" s="27">
        <v>2007</v>
      </c>
      <c r="C232" s="27" t="s">
        <v>122</v>
      </c>
      <c r="D232" s="39" t="s">
        <v>81</v>
      </c>
      <c r="E232" s="27" t="s">
        <v>19</v>
      </c>
      <c r="F232" s="41" t="s">
        <v>904</v>
      </c>
      <c r="G232" s="43">
        <v>467711</v>
      </c>
      <c r="H232" s="43"/>
      <c r="I232" s="43"/>
      <c r="J232" s="43"/>
      <c r="K232" s="27" t="s">
        <v>905</v>
      </c>
      <c r="L232" s="28">
        <v>127.98</v>
      </c>
      <c r="M232" s="27" t="s">
        <v>906</v>
      </c>
      <c r="N232" s="27" t="s">
        <v>910</v>
      </c>
      <c r="O232" s="18">
        <f>G232*L232</f>
        <v>59857653.780000001</v>
      </c>
      <c r="P232" s="213"/>
      <c r="Q232" s="213"/>
      <c r="R232" s="27"/>
      <c r="S232" s="27"/>
      <c r="T232" s="18"/>
      <c r="U232" s="27"/>
      <c r="V232" s="27"/>
      <c r="W232" s="30"/>
      <c r="X232" s="27"/>
      <c r="Y232" s="27"/>
      <c r="Z232" s="27"/>
      <c r="AA232" s="27"/>
      <c r="AB232" s="27"/>
      <c r="AC232" s="273">
        <v>3520131.5240083509</v>
      </c>
      <c r="AD232" s="27">
        <v>1698125679.6518774</v>
      </c>
      <c r="AE232" s="228">
        <v>2.0729511167453707E-3</v>
      </c>
      <c r="AF232" s="27">
        <v>268100082.3034384</v>
      </c>
      <c r="AG232" s="226">
        <v>1.312991586486807E-2</v>
      </c>
      <c r="AH232" s="226" t="s">
        <v>2842</v>
      </c>
      <c r="AI232" s="27">
        <v>176920000</v>
      </c>
      <c r="AJ232" s="226">
        <v>1.9896741600770693E-2</v>
      </c>
      <c r="AK232" s="27">
        <v>39171463.772099666</v>
      </c>
      <c r="AL232" s="226">
        <v>8.9864691921868023E-2</v>
      </c>
      <c r="AM232" s="27">
        <v>22294522.235581532</v>
      </c>
      <c r="AN232" s="271">
        <v>0.15789221616017876</v>
      </c>
      <c r="AO232" s="27">
        <v>4106897</v>
      </c>
      <c r="AP232" s="27" t="s">
        <v>2842</v>
      </c>
      <c r="AQ232" s="27">
        <v>46.091243902439032</v>
      </c>
      <c r="AR232" s="27">
        <v>108.1</v>
      </c>
      <c r="AS232" s="29">
        <v>58.44265</v>
      </c>
      <c r="AT232" s="270">
        <v>24</v>
      </c>
      <c r="AU232" s="464" t="s">
        <v>2842</v>
      </c>
      <c r="AV232" s="29">
        <v>-1.0784161192199799</v>
      </c>
      <c r="AW232" s="29">
        <v>-1.82965362559411</v>
      </c>
      <c r="AX232" s="29">
        <v>-1.4448443549579899</v>
      </c>
      <c r="AY232" s="29">
        <v>-1.2154097682502301</v>
      </c>
      <c r="AZ232" s="60">
        <v>-0.97239702284773</v>
      </c>
    </row>
    <row r="233" spans="1:52" s="287" customFormat="1" ht="15" customHeight="1">
      <c r="A233" s="359" t="s">
        <v>125</v>
      </c>
      <c r="B233" s="284">
        <v>2007</v>
      </c>
      <c r="C233" s="284" t="s">
        <v>122</v>
      </c>
      <c r="D233" s="314" t="s">
        <v>81</v>
      </c>
      <c r="E233" s="284" t="s">
        <v>19</v>
      </c>
      <c r="F233" s="315" t="s">
        <v>730</v>
      </c>
      <c r="G233" s="303">
        <f>10*32.150743126506</f>
        <v>321.50743126506001</v>
      </c>
      <c r="H233" s="303"/>
      <c r="I233" s="303"/>
      <c r="J233" s="303"/>
      <c r="K233" s="284" t="s">
        <v>731</v>
      </c>
      <c r="L233" s="304">
        <v>696.72024999999996</v>
      </c>
      <c r="M233" s="284" t="s">
        <v>732</v>
      </c>
      <c r="N233" s="284" t="s">
        <v>908</v>
      </c>
      <c r="O233" s="305">
        <f>G233*L233</f>
        <v>224000.73788785041</v>
      </c>
      <c r="P233" s="306"/>
      <c r="Q233" s="306"/>
      <c r="R233" s="284"/>
      <c r="S233" s="284"/>
      <c r="T233" s="305"/>
      <c r="U233" s="284"/>
      <c r="V233" s="284"/>
      <c r="W233" s="307"/>
      <c r="X233" s="284"/>
      <c r="Y233" s="284"/>
      <c r="Z233" s="284"/>
      <c r="AA233" s="284"/>
      <c r="AB233" s="284"/>
      <c r="AC233" s="308">
        <v>3520131.5240083509</v>
      </c>
      <c r="AD233" s="284">
        <v>1698125679.6518774</v>
      </c>
      <c r="AE233" s="309">
        <v>2.0729511167453707E-3</v>
      </c>
      <c r="AF233" s="284">
        <v>268100082.3034384</v>
      </c>
      <c r="AG233" s="310">
        <v>1.312991586486807E-2</v>
      </c>
      <c r="AH233" s="310" t="s">
        <v>2842</v>
      </c>
      <c r="AI233" s="284">
        <v>176920000</v>
      </c>
      <c r="AJ233" s="310">
        <v>1.9896741600770693E-2</v>
      </c>
      <c r="AK233" s="284">
        <v>39171463.772099666</v>
      </c>
      <c r="AL233" s="310">
        <v>8.9864691921868023E-2</v>
      </c>
      <c r="AM233" s="284">
        <v>22294522.235581532</v>
      </c>
      <c r="AN233" s="311">
        <v>0.15789221616017876</v>
      </c>
      <c r="AO233" s="284">
        <v>4106897</v>
      </c>
      <c r="AP233" s="284" t="s">
        <v>2842</v>
      </c>
      <c r="AQ233" s="284">
        <v>46.091243902439032</v>
      </c>
      <c r="AR233" s="284">
        <v>108.1</v>
      </c>
      <c r="AS233" s="287">
        <v>58.44265</v>
      </c>
      <c r="AT233" s="312">
        <v>24</v>
      </c>
      <c r="AU233" s="465" t="s">
        <v>2842</v>
      </c>
      <c r="AV233" s="287">
        <v>-1.0784161192199799</v>
      </c>
      <c r="AW233" s="287">
        <v>-1.82965362559411</v>
      </c>
      <c r="AX233" s="287">
        <v>-1.4448443549579899</v>
      </c>
      <c r="AY233" s="287">
        <v>-1.2154097682502301</v>
      </c>
      <c r="AZ233" s="313">
        <v>-0.97239702284773</v>
      </c>
    </row>
    <row r="234" spans="1:52" ht="15" customHeight="1">
      <c r="A234" s="63" t="s">
        <v>128</v>
      </c>
      <c r="B234" s="27">
        <v>2008</v>
      </c>
      <c r="C234" s="27" t="s">
        <v>122</v>
      </c>
      <c r="D234" s="39" t="s">
        <v>81</v>
      </c>
      <c r="E234" s="27" t="s">
        <v>19</v>
      </c>
      <c r="F234" s="41" t="s">
        <v>659</v>
      </c>
      <c r="G234" s="43"/>
      <c r="H234" s="43"/>
      <c r="I234" s="43"/>
      <c r="J234" s="43"/>
      <c r="K234" s="27"/>
      <c r="L234" s="28"/>
      <c r="M234" s="27"/>
      <c r="N234" s="27"/>
      <c r="O234" s="18">
        <f>SUM(O235:O236)</f>
        <v>48956006.852679312</v>
      </c>
      <c r="P234" s="213">
        <v>4042178.5714285714</v>
      </c>
      <c r="Q234" s="213">
        <v>4091267.8571428573</v>
      </c>
      <c r="R234" s="27" t="s">
        <v>619</v>
      </c>
      <c r="S234" s="27"/>
      <c r="T234" s="18"/>
      <c r="U234" s="27" t="s">
        <v>909</v>
      </c>
      <c r="V234" s="27"/>
      <c r="W234" s="30">
        <v>448</v>
      </c>
      <c r="X234" s="27"/>
      <c r="Y234" s="27"/>
      <c r="Z234" s="27">
        <v>9</v>
      </c>
      <c r="AA234" s="27"/>
      <c r="AB234" s="27"/>
      <c r="AC234" s="273">
        <v>4042178.5714285714</v>
      </c>
      <c r="AD234" s="27">
        <v>1985370254.9617152</v>
      </c>
      <c r="AE234" s="228">
        <v>2.0359822362234991E-3</v>
      </c>
      <c r="AF234" s="27">
        <v>196214142.29786631</v>
      </c>
      <c r="AG234" s="226">
        <v>2.0600852334549218E-2</v>
      </c>
      <c r="AH234" s="226">
        <v>0.2460328423200418</v>
      </c>
      <c r="AI234" s="27">
        <v>257279999.99999997</v>
      </c>
      <c r="AJ234" s="226">
        <v>1.5711204024520257E-2</v>
      </c>
      <c r="AK234" s="27">
        <v>45524277.598433107</v>
      </c>
      <c r="AL234" s="226">
        <v>8.8791712568937031E-2</v>
      </c>
      <c r="AM234" s="27">
        <v>25611673.363057118</v>
      </c>
      <c r="AN234" s="271">
        <v>0.15782563341835779</v>
      </c>
      <c r="AO234" s="27">
        <v>4185106</v>
      </c>
      <c r="AP234" s="27">
        <v>62</v>
      </c>
      <c r="AQ234" s="27">
        <v>46.729121951219518</v>
      </c>
      <c r="AR234" s="27">
        <v>106.6</v>
      </c>
      <c r="AS234" s="29">
        <v>67.964089999999999</v>
      </c>
      <c r="AT234" s="270">
        <v>24</v>
      </c>
      <c r="AU234" s="464" t="s">
        <v>2842</v>
      </c>
      <c r="AV234" s="29">
        <v>-1.0134969403359499</v>
      </c>
      <c r="AW234" s="29">
        <v>-1.8300974771612499</v>
      </c>
      <c r="AX234" s="29">
        <v>-1.39840587306251</v>
      </c>
      <c r="AY234" s="29">
        <v>-1.2167425797851701</v>
      </c>
      <c r="AZ234" s="60">
        <v>-0.97780164101929401</v>
      </c>
    </row>
    <row r="235" spans="1:52" ht="15" customHeight="1">
      <c r="A235" s="63" t="s">
        <v>128</v>
      </c>
      <c r="B235" s="27">
        <v>2008</v>
      </c>
      <c r="C235" s="27" t="s">
        <v>122</v>
      </c>
      <c r="D235" s="39" t="s">
        <v>81</v>
      </c>
      <c r="E235" s="27" t="s">
        <v>19</v>
      </c>
      <c r="F235" s="41" t="s">
        <v>904</v>
      </c>
      <c r="G235" s="43">
        <v>377209</v>
      </c>
      <c r="H235" s="43"/>
      <c r="I235" s="43"/>
      <c r="J235" s="43"/>
      <c r="K235" s="27" t="s">
        <v>905</v>
      </c>
      <c r="L235" s="28">
        <v>126.59</v>
      </c>
      <c r="M235" s="27" t="s">
        <v>906</v>
      </c>
      <c r="N235" s="27" t="s">
        <v>911</v>
      </c>
      <c r="O235" s="18">
        <f>G235*L235</f>
        <v>47750887.310000002</v>
      </c>
      <c r="P235" s="213"/>
      <c r="Q235" s="213"/>
      <c r="R235" s="27"/>
      <c r="S235" s="27"/>
      <c r="T235" s="18"/>
      <c r="U235" s="27"/>
      <c r="V235" s="27"/>
      <c r="W235" s="30"/>
      <c r="X235" s="27"/>
      <c r="Y235" s="27"/>
      <c r="Z235" s="27"/>
      <c r="AA235" s="27"/>
      <c r="AB235" s="27"/>
      <c r="AC235" s="273">
        <v>4042178.5714285714</v>
      </c>
      <c r="AD235" s="27">
        <v>1985370254.9617152</v>
      </c>
      <c r="AE235" s="228">
        <v>2.0359822362234991E-3</v>
      </c>
      <c r="AF235" s="27">
        <v>196214142.29786631</v>
      </c>
      <c r="AG235" s="226">
        <v>2.0600852334549218E-2</v>
      </c>
      <c r="AH235" s="226">
        <v>0.2460328423200418</v>
      </c>
      <c r="AI235" s="27">
        <v>257279999.99999997</v>
      </c>
      <c r="AJ235" s="226">
        <v>1.5711204024520257E-2</v>
      </c>
      <c r="AK235" s="27">
        <v>45524277.598433107</v>
      </c>
      <c r="AL235" s="226">
        <v>8.8791712568937031E-2</v>
      </c>
      <c r="AM235" s="27">
        <v>25611673.363057118</v>
      </c>
      <c r="AN235" s="271">
        <v>0.15782563341835779</v>
      </c>
      <c r="AO235" s="27">
        <v>4185106</v>
      </c>
      <c r="AP235" s="27">
        <v>62</v>
      </c>
      <c r="AQ235" s="27">
        <v>46.729121951219518</v>
      </c>
      <c r="AR235" s="27">
        <v>106.6</v>
      </c>
      <c r="AS235" s="29">
        <v>67.964089999999999</v>
      </c>
      <c r="AT235" s="270">
        <v>24</v>
      </c>
      <c r="AU235" s="464" t="s">
        <v>2842</v>
      </c>
      <c r="AV235" s="29">
        <v>-1.0134969403359499</v>
      </c>
      <c r="AW235" s="29">
        <v>-1.8300974771612499</v>
      </c>
      <c r="AX235" s="29">
        <v>-1.39840587306251</v>
      </c>
      <c r="AY235" s="29">
        <v>-1.2167425797851701</v>
      </c>
      <c r="AZ235" s="60">
        <v>-0.97780164101929401</v>
      </c>
    </row>
    <row r="236" spans="1:52" s="287" customFormat="1" ht="15" customHeight="1">
      <c r="A236" s="359" t="s">
        <v>128</v>
      </c>
      <c r="B236" s="284">
        <v>2008</v>
      </c>
      <c r="C236" s="284" t="s">
        <v>122</v>
      </c>
      <c r="D236" s="314" t="s">
        <v>81</v>
      </c>
      <c r="E236" s="284" t="s">
        <v>19</v>
      </c>
      <c r="F236" s="315" t="s">
        <v>730</v>
      </c>
      <c r="G236" s="303">
        <f>43*32.150743126506</f>
        <v>1382.4819544397581</v>
      </c>
      <c r="H236" s="303"/>
      <c r="I236" s="303"/>
      <c r="J236" s="303"/>
      <c r="K236" s="284" t="s">
        <v>731</v>
      </c>
      <c r="L236" s="304">
        <v>871.70725000000004</v>
      </c>
      <c r="M236" s="284" t="s">
        <v>732</v>
      </c>
      <c r="N236" s="284" t="s">
        <v>908</v>
      </c>
      <c r="O236" s="305">
        <f>G236*L236</f>
        <v>1205119.5426793068</v>
      </c>
      <c r="P236" s="306"/>
      <c r="Q236" s="306"/>
      <c r="R236" s="284"/>
      <c r="S236" s="284"/>
      <c r="T236" s="305"/>
      <c r="U236" s="284"/>
      <c r="V236" s="284"/>
      <c r="W236" s="307"/>
      <c r="X236" s="284"/>
      <c r="Y236" s="284"/>
      <c r="Z236" s="284"/>
      <c r="AA236" s="284"/>
      <c r="AB236" s="284"/>
      <c r="AC236" s="308">
        <v>4042178.5714285714</v>
      </c>
      <c r="AD236" s="284">
        <v>1985370254.9617152</v>
      </c>
      <c r="AE236" s="309">
        <v>2.0359822362234991E-3</v>
      </c>
      <c r="AF236" s="284">
        <v>196214142.29786631</v>
      </c>
      <c r="AG236" s="310">
        <v>2.0600852334549218E-2</v>
      </c>
      <c r="AH236" s="310">
        <v>0.2460328423200418</v>
      </c>
      <c r="AI236" s="284">
        <v>257279999.99999997</v>
      </c>
      <c r="AJ236" s="310">
        <v>1.5711204024520257E-2</v>
      </c>
      <c r="AK236" s="284">
        <v>45524277.598433107</v>
      </c>
      <c r="AL236" s="310">
        <v>8.8791712568937031E-2</v>
      </c>
      <c r="AM236" s="284">
        <v>25611673.363057118</v>
      </c>
      <c r="AN236" s="311">
        <v>0.15782563341835779</v>
      </c>
      <c r="AO236" s="284">
        <v>4185106</v>
      </c>
      <c r="AP236" s="284">
        <v>62</v>
      </c>
      <c r="AQ236" s="284">
        <v>46.729121951219518</v>
      </c>
      <c r="AR236" s="284">
        <v>106.6</v>
      </c>
      <c r="AS236" s="287">
        <v>67.964089999999999</v>
      </c>
      <c r="AT236" s="312">
        <v>24</v>
      </c>
      <c r="AU236" s="465" t="s">
        <v>2842</v>
      </c>
      <c r="AV236" s="287">
        <v>-1.0134969403359499</v>
      </c>
      <c r="AW236" s="287">
        <v>-1.8300974771612499</v>
      </c>
      <c r="AX236" s="287">
        <v>-1.39840587306251</v>
      </c>
      <c r="AY236" s="287">
        <v>-1.2167425797851701</v>
      </c>
      <c r="AZ236" s="313">
        <v>-0.97780164101929401</v>
      </c>
    </row>
    <row r="237" spans="1:52" s="29" customFormat="1" ht="15" customHeight="1">
      <c r="A237" s="347" t="s">
        <v>129</v>
      </c>
      <c r="B237" s="27">
        <v>2009</v>
      </c>
      <c r="C237" s="27" t="s">
        <v>122</v>
      </c>
      <c r="D237" s="39" t="s">
        <v>81</v>
      </c>
      <c r="E237" s="27" t="s">
        <v>19</v>
      </c>
      <c r="F237" s="41" t="s">
        <v>659</v>
      </c>
      <c r="G237" s="43"/>
      <c r="H237" s="43"/>
      <c r="I237" s="43"/>
      <c r="J237" s="43"/>
      <c r="K237" s="27"/>
      <c r="L237" s="28"/>
      <c r="M237" s="27"/>
      <c r="N237" s="27"/>
      <c r="O237" s="18">
        <f>SUM(O238:O239)</f>
        <v>48996158.582713328</v>
      </c>
      <c r="P237" s="213">
        <v>6056423.7288135597</v>
      </c>
      <c r="Q237" s="213">
        <v>6254457.6271186443</v>
      </c>
      <c r="R237" s="27" t="s">
        <v>619</v>
      </c>
      <c r="S237" s="27"/>
      <c r="T237" s="18"/>
      <c r="U237" s="27" t="s">
        <v>909</v>
      </c>
      <c r="V237" s="27"/>
      <c r="W237" s="30">
        <v>472</v>
      </c>
      <c r="X237" s="27"/>
      <c r="Y237" s="27"/>
      <c r="Z237" s="27">
        <v>9</v>
      </c>
      <c r="AA237" s="27"/>
      <c r="AB237" s="27"/>
      <c r="AC237" s="273">
        <v>6056423.7288135597</v>
      </c>
      <c r="AD237" s="27">
        <v>1981728179.4988189</v>
      </c>
      <c r="AE237" s="228">
        <v>3.0561324158721081E-3</v>
      </c>
      <c r="AF237" s="27">
        <v>234161001.68958044</v>
      </c>
      <c r="AG237" s="226">
        <v>2.5864356938660359E-2</v>
      </c>
      <c r="AH237" s="226" t="s">
        <v>2842</v>
      </c>
      <c r="AI237" s="27">
        <v>242030000</v>
      </c>
      <c r="AJ237" s="226">
        <v>2.5023442254322025E-2</v>
      </c>
      <c r="AK237" s="27">
        <v>29669616.61320968</v>
      </c>
      <c r="AL237" s="226">
        <v>0.20412881661966212</v>
      </c>
      <c r="AM237" s="27">
        <v>25833015.856674805</v>
      </c>
      <c r="AN237" s="271">
        <v>0.23444509005125255</v>
      </c>
      <c r="AO237" s="27">
        <v>4266247</v>
      </c>
      <c r="AP237" s="27" t="s">
        <v>2842</v>
      </c>
      <c r="AQ237" s="27">
        <v>47.404926829268305</v>
      </c>
      <c r="AR237" s="27">
        <v>104.7</v>
      </c>
      <c r="AS237" s="29">
        <v>68.580860000000001</v>
      </c>
      <c r="AT237" s="270">
        <v>24</v>
      </c>
      <c r="AU237" s="464" t="s">
        <v>2842</v>
      </c>
      <c r="AV237" s="29">
        <v>-1.0063690701110299</v>
      </c>
      <c r="AW237" s="29">
        <v>-1.8827085057566999</v>
      </c>
      <c r="AX237" s="29">
        <v>-1.42257862478012</v>
      </c>
      <c r="AY237" s="29">
        <v>-1.25343581149015</v>
      </c>
      <c r="AZ237" s="60">
        <v>-0.90743974432085805</v>
      </c>
    </row>
    <row r="238" spans="1:52" s="29" customFormat="1" ht="15" customHeight="1">
      <c r="A238" s="63" t="s">
        <v>129</v>
      </c>
      <c r="B238" s="27">
        <v>2009</v>
      </c>
      <c r="C238" s="27" t="s">
        <v>122</v>
      </c>
      <c r="D238" s="39" t="s">
        <v>81</v>
      </c>
      <c r="E238" s="27" t="s">
        <v>19</v>
      </c>
      <c r="F238" s="41" t="s">
        <v>904</v>
      </c>
      <c r="G238" s="43">
        <v>311779</v>
      </c>
      <c r="H238" s="43"/>
      <c r="I238" s="43"/>
      <c r="J238" s="43"/>
      <c r="K238" s="27" t="s">
        <v>905</v>
      </c>
      <c r="L238" s="28">
        <v>151.03</v>
      </c>
      <c r="M238" s="27" t="s">
        <v>906</v>
      </c>
      <c r="N238" s="27" t="s">
        <v>912</v>
      </c>
      <c r="O238" s="18">
        <f>G238*L238</f>
        <v>47087982.369999997</v>
      </c>
      <c r="P238" s="213"/>
      <c r="Q238" s="213"/>
      <c r="R238" s="27"/>
      <c r="S238" s="27"/>
      <c r="T238" s="18"/>
      <c r="U238" s="27"/>
      <c r="V238" s="27"/>
      <c r="W238" s="30"/>
      <c r="X238" s="27"/>
      <c r="Y238" s="27"/>
      <c r="Z238" s="27"/>
      <c r="AA238" s="27"/>
      <c r="AB238" s="27"/>
      <c r="AC238" s="273">
        <v>6056423.7288135597</v>
      </c>
      <c r="AD238" s="27">
        <v>1981728179.4988189</v>
      </c>
      <c r="AE238" s="228">
        <v>3.0561324158721081E-3</v>
      </c>
      <c r="AF238" s="27">
        <v>234161001.68958044</v>
      </c>
      <c r="AG238" s="226">
        <v>2.5864356938660359E-2</v>
      </c>
      <c r="AH238" s="226" t="s">
        <v>2842</v>
      </c>
      <c r="AI238" s="27">
        <v>242030000</v>
      </c>
      <c r="AJ238" s="226">
        <v>2.5023442254322025E-2</v>
      </c>
      <c r="AK238" s="27">
        <v>29669616.61320968</v>
      </c>
      <c r="AL238" s="226">
        <v>0.20412881661966212</v>
      </c>
      <c r="AM238" s="27">
        <v>25833015.856674805</v>
      </c>
      <c r="AN238" s="271">
        <v>0.23444509005125255</v>
      </c>
      <c r="AO238" s="27">
        <v>4266247</v>
      </c>
      <c r="AP238" s="27" t="s">
        <v>2842</v>
      </c>
      <c r="AQ238" s="27">
        <v>47.404926829268305</v>
      </c>
      <c r="AR238" s="27">
        <v>104.7</v>
      </c>
      <c r="AS238" s="29">
        <v>68.580860000000001</v>
      </c>
      <c r="AT238" s="270">
        <v>24</v>
      </c>
      <c r="AU238" s="464" t="s">
        <v>2842</v>
      </c>
      <c r="AV238" s="29">
        <v>-1.0063690701110299</v>
      </c>
      <c r="AW238" s="29">
        <v>-1.8827085057566999</v>
      </c>
      <c r="AX238" s="29">
        <v>-1.42257862478012</v>
      </c>
      <c r="AY238" s="29">
        <v>-1.25343581149015</v>
      </c>
      <c r="AZ238" s="60">
        <v>-0.90743974432085805</v>
      </c>
    </row>
    <row r="239" spans="1:52" s="287" customFormat="1" ht="15" customHeight="1">
      <c r="A239" s="359" t="s">
        <v>129</v>
      </c>
      <c r="B239" s="284">
        <v>2009</v>
      </c>
      <c r="C239" s="284" t="s">
        <v>122</v>
      </c>
      <c r="D239" s="314" t="s">
        <v>81</v>
      </c>
      <c r="E239" s="284" t="s">
        <v>19</v>
      </c>
      <c r="F239" s="315" t="s">
        <v>730</v>
      </c>
      <c r="G239" s="303">
        <f>61*32.150743126506</f>
        <v>1961.195330716866</v>
      </c>
      <c r="H239" s="303"/>
      <c r="I239" s="303"/>
      <c r="J239" s="303"/>
      <c r="K239" s="284" t="s">
        <v>731</v>
      </c>
      <c r="L239" s="304">
        <v>972.96591666666995</v>
      </c>
      <c r="M239" s="284" t="s">
        <v>732</v>
      </c>
      <c r="N239" s="284" t="s">
        <v>733</v>
      </c>
      <c r="O239" s="305">
        <f>G239*L239</f>
        <v>1908176.2127133284</v>
      </c>
      <c r="P239" s="306"/>
      <c r="Q239" s="306"/>
      <c r="R239" s="284"/>
      <c r="S239" s="284"/>
      <c r="T239" s="305"/>
      <c r="U239" s="284"/>
      <c r="V239" s="284"/>
      <c r="W239" s="307"/>
      <c r="X239" s="284"/>
      <c r="Y239" s="284"/>
      <c r="Z239" s="284"/>
      <c r="AA239" s="284"/>
      <c r="AB239" s="284"/>
      <c r="AC239" s="308">
        <v>6056423.7288135597</v>
      </c>
      <c r="AD239" s="284">
        <v>1981728179.4988189</v>
      </c>
      <c r="AE239" s="309">
        <v>3.0561324158721081E-3</v>
      </c>
      <c r="AF239" s="284">
        <v>234161001.68958044</v>
      </c>
      <c r="AG239" s="310">
        <v>2.5864356938660359E-2</v>
      </c>
      <c r="AH239" s="310" t="s">
        <v>2842</v>
      </c>
      <c r="AI239" s="284">
        <v>242030000</v>
      </c>
      <c r="AJ239" s="310">
        <v>2.5023442254322025E-2</v>
      </c>
      <c r="AK239" s="284">
        <v>29669616.61320968</v>
      </c>
      <c r="AL239" s="310">
        <v>0.20412881661966212</v>
      </c>
      <c r="AM239" s="284">
        <v>25833015.856674805</v>
      </c>
      <c r="AN239" s="311">
        <v>0.23444509005125255</v>
      </c>
      <c r="AO239" s="284">
        <v>4266247</v>
      </c>
      <c r="AP239" s="284" t="s">
        <v>2842</v>
      </c>
      <c r="AQ239" s="284">
        <v>47.404926829268305</v>
      </c>
      <c r="AR239" s="284">
        <v>104.7</v>
      </c>
      <c r="AS239" s="287">
        <v>68.580860000000001</v>
      </c>
      <c r="AT239" s="312">
        <v>24</v>
      </c>
      <c r="AU239" s="465" t="s">
        <v>2842</v>
      </c>
      <c r="AV239" s="287">
        <v>-1.0063690701110299</v>
      </c>
      <c r="AW239" s="287">
        <v>-1.8827085057566999</v>
      </c>
      <c r="AX239" s="287">
        <v>-1.42257862478012</v>
      </c>
      <c r="AY239" s="287">
        <v>-1.25343581149015</v>
      </c>
      <c r="AZ239" s="313">
        <v>-0.90743974432085805</v>
      </c>
    </row>
    <row r="240" spans="1:52" ht="15" customHeight="1">
      <c r="A240" s="347" t="s">
        <v>130</v>
      </c>
      <c r="B240" s="27">
        <v>2010</v>
      </c>
      <c r="C240" s="27" t="s">
        <v>122</v>
      </c>
      <c r="D240" s="39" t="s">
        <v>81</v>
      </c>
      <c r="E240" s="27" t="s">
        <v>19</v>
      </c>
      <c r="F240" s="41" t="s">
        <v>659</v>
      </c>
      <c r="G240" s="43"/>
      <c r="H240" s="43"/>
      <c r="I240" s="43"/>
      <c r="J240" s="43"/>
      <c r="K240" s="27"/>
      <c r="L240" s="28"/>
      <c r="M240" s="27"/>
      <c r="N240" s="27"/>
      <c r="O240" s="18">
        <f>SUM(O241:O242)</f>
        <v>51253868.353077903</v>
      </c>
      <c r="P240" s="213">
        <v>20633575</v>
      </c>
      <c r="Q240" s="213">
        <v>20380882</v>
      </c>
      <c r="R240" s="27" t="s">
        <v>619</v>
      </c>
      <c r="S240" s="27"/>
      <c r="T240" s="18"/>
      <c r="U240" s="27" t="s">
        <v>560</v>
      </c>
      <c r="V240" s="27" t="s">
        <v>802</v>
      </c>
      <c r="W240" s="30" t="s">
        <v>803</v>
      </c>
      <c r="X240" s="27">
        <v>11</v>
      </c>
      <c r="Y240" s="27" t="s">
        <v>913</v>
      </c>
      <c r="Z240" s="27">
        <v>8</v>
      </c>
      <c r="AA240" s="27" t="s">
        <v>645</v>
      </c>
      <c r="AB240" s="27" t="s">
        <v>914</v>
      </c>
      <c r="AC240" s="273">
        <v>20633575</v>
      </c>
      <c r="AD240" s="27">
        <v>1986014759.1978452</v>
      </c>
      <c r="AE240" s="228">
        <v>1.038943688834112E-2</v>
      </c>
      <c r="AF240" s="27">
        <v>247834781.80029911</v>
      </c>
      <c r="AG240" s="226">
        <v>8.3255364118447958E-2</v>
      </c>
      <c r="AH240" s="226" t="s">
        <v>2842</v>
      </c>
      <c r="AI240" s="27">
        <v>261010000</v>
      </c>
      <c r="AJ240" s="226">
        <v>7.90528140684265E-2</v>
      </c>
      <c r="AK240" s="27">
        <v>38569996.294810273</v>
      </c>
      <c r="AL240" s="226">
        <v>0.53496440192233874</v>
      </c>
      <c r="AM240" s="27">
        <v>23922540.781917647</v>
      </c>
      <c r="AN240" s="271">
        <v>0.86251603406592658</v>
      </c>
      <c r="AO240" s="27">
        <v>4349921</v>
      </c>
      <c r="AP240" s="27" t="s">
        <v>2842</v>
      </c>
      <c r="AQ240" s="27">
        <v>48.098731707317079</v>
      </c>
      <c r="AR240" s="27">
        <v>102.7</v>
      </c>
      <c r="AS240" s="29">
        <v>71.136049999999997</v>
      </c>
      <c r="AT240" s="270">
        <v>24</v>
      </c>
      <c r="AU240" s="464" t="s">
        <v>2842</v>
      </c>
      <c r="AV240" s="29">
        <v>-1.1234595341889699</v>
      </c>
      <c r="AW240" s="29">
        <v>-2.01191097721741</v>
      </c>
      <c r="AX240" s="29">
        <v>-1.39027354989652</v>
      </c>
      <c r="AY240" s="29">
        <v>-1.15169270004266</v>
      </c>
      <c r="AZ240" s="60">
        <v>-0.83611629178666902</v>
      </c>
    </row>
    <row r="241" spans="1:52" ht="15" customHeight="1">
      <c r="A241" s="63" t="s">
        <v>130</v>
      </c>
      <c r="B241" s="27">
        <v>2010</v>
      </c>
      <c r="C241" s="27" t="s">
        <v>122</v>
      </c>
      <c r="D241" s="39" t="s">
        <v>81</v>
      </c>
      <c r="E241" s="27" t="s">
        <v>19</v>
      </c>
      <c r="F241" s="41" t="s">
        <v>904</v>
      </c>
      <c r="G241" s="43">
        <v>301557</v>
      </c>
      <c r="H241" s="43"/>
      <c r="I241" s="43"/>
      <c r="J241" s="43"/>
      <c r="K241" s="27" t="s">
        <v>905</v>
      </c>
      <c r="L241" s="28">
        <v>162.13</v>
      </c>
      <c r="M241" s="27" t="s">
        <v>906</v>
      </c>
      <c r="N241" s="27" t="s">
        <v>915</v>
      </c>
      <c r="O241" s="18">
        <f>G241*L241</f>
        <v>48891436.409999996</v>
      </c>
      <c r="P241" s="213"/>
      <c r="Q241" s="213"/>
      <c r="R241" s="27"/>
      <c r="S241" s="27"/>
      <c r="T241" s="18"/>
      <c r="U241" s="27"/>
      <c r="V241" s="27"/>
      <c r="W241" s="30"/>
      <c r="X241" s="27"/>
      <c r="Y241" s="27"/>
      <c r="Z241" s="27"/>
      <c r="AA241" s="27"/>
      <c r="AB241" s="27"/>
      <c r="AC241" s="273">
        <v>20633575</v>
      </c>
      <c r="AD241" s="27">
        <v>1986014759.1978452</v>
      </c>
      <c r="AE241" s="228">
        <v>1.038943688834112E-2</v>
      </c>
      <c r="AF241" s="27">
        <v>247834781.80029911</v>
      </c>
      <c r="AG241" s="226">
        <v>8.3255364118447958E-2</v>
      </c>
      <c r="AH241" s="226" t="s">
        <v>2842</v>
      </c>
      <c r="AI241" s="27">
        <v>261010000</v>
      </c>
      <c r="AJ241" s="226">
        <v>7.90528140684265E-2</v>
      </c>
      <c r="AK241" s="27">
        <v>38569996.294810273</v>
      </c>
      <c r="AL241" s="226">
        <v>0.53496440192233874</v>
      </c>
      <c r="AM241" s="27">
        <v>23922540.781917647</v>
      </c>
      <c r="AN241" s="271">
        <v>0.86251603406592658</v>
      </c>
      <c r="AO241" s="27">
        <v>4349921</v>
      </c>
      <c r="AP241" s="27" t="s">
        <v>2842</v>
      </c>
      <c r="AQ241" s="27">
        <v>48.098731707317079</v>
      </c>
      <c r="AR241" s="27">
        <v>102.7</v>
      </c>
      <c r="AS241" s="29">
        <v>71.136049999999997</v>
      </c>
      <c r="AT241" s="270">
        <v>24</v>
      </c>
      <c r="AU241" s="464" t="s">
        <v>2842</v>
      </c>
      <c r="AV241" s="29">
        <v>-1.1234595341889699</v>
      </c>
      <c r="AW241" s="29">
        <v>-2.01191097721741</v>
      </c>
      <c r="AX241" s="29">
        <v>-1.39027354989652</v>
      </c>
      <c r="AY241" s="29">
        <v>-1.15169270004266</v>
      </c>
      <c r="AZ241" s="60">
        <v>-0.83611629178666902</v>
      </c>
    </row>
    <row r="242" spans="1:52" s="232" customFormat="1" ht="15" customHeight="1" thickBot="1">
      <c r="A242" s="363" t="s">
        <v>130</v>
      </c>
      <c r="B242" s="230">
        <v>2010</v>
      </c>
      <c r="C242" s="230" t="s">
        <v>122</v>
      </c>
      <c r="D242" s="323" t="s">
        <v>81</v>
      </c>
      <c r="E242" s="230" t="s">
        <v>19</v>
      </c>
      <c r="F242" s="324" t="s">
        <v>730</v>
      </c>
      <c r="G242" s="297">
        <f>60*32.150743126506</f>
        <v>1929.0445875903602</v>
      </c>
      <c r="H242" s="297"/>
      <c r="I242" s="297"/>
      <c r="J242" s="297"/>
      <c r="K242" s="230" t="s">
        <v>731</v>
      </c>
      <c r="L242" s="298">
        <v>1224.66425</v>
      </c>
      <c r="M242" s="230" t="s">
        <v>732</v>
      </c>
      <c r="N242" s="230" t="s">
        <v>733</v>
      </c>
      <c r="O242" s="285">
        <f>G242*L242</f>
        <v>2362431.9430779079</v>
      </c>
      <c r="P242" s="299"/>
      <c r="Q242" s="299"/>
      <c r="R242" s="230"/>
      <c r="S242" s="230"/>
      <c r="T242" s="285"/>
      <c r="U242" s="230"/>
      <c r="V242" s="230"/>
      <c r="W242" s="300"/>
      <c r="X242" s="230"/>
      <c r="Y242" s="230"/>
      <c r="Z242" s="230"/>
      <c r="AA242" s="230"/>
      <c r="AB242" s="230"/>
      <c r="AC242" s="274">
        <v>20633575</v>
      </c>
      <c r="AD242" s="230">
        <v>1986014759.1978452</v>
      </c>
      <c r="AE242" s="229">
        <v>1.038943688834112E-2</v>
      </c>
      <c r="AF242" s="230">
        <v>247834781.80029911</v>
      </c>
      <c r="AG242" s="231">
        <v>8.3255364118447958E-2</v>
      </c>
      <c r="AH242" s="231" t="s">
        <v>2842</v>
      </c>
      <c r="AI242" s="230">
        <v>261010000</v>
      </c>
      <c r="AJ242" s="231">
        <v>7.90528140684265E-2</v>
      </c>
      <c r="AK242" s="230">
        <v>38569996.294810273</v>
      </c>
      <c r="AL242" s="231">
        <v>0.53496440192233874</v>
      </c>
      <c r="AM242" s="230">
        <v>23922540.781917647</v>
      </c>
      <c r="AN242" s="275">
        <v>0.86251603406592658</v>
      </c>
      <c r="AO242" s="230">
        <v>4349921</v>
      </c>
      <c r="AP242" s="230" t="s">
        <v>2842</v>
      </c>
      <c r="AQ242" s="230">
        <v>48.098731707317079</v>
      </c>
      <c r="AR242" s="230">
        <v>102.7</v>
      </c>
      <c r="AS242" s="232">
        <v>71.136049999999997</v>
      </c>
      <c r="AT242" s="276">
        <v>24</v>
      </c>
      <c r="AU242" s="466" t="s">
        <v>2842</v>
      </c>
      <c r="AV242" s="232">
        <v>-1.1234595341889699</v>
      </c>
      <c r="AW242" s="232">
        <v>-2.01191097721741</v>
      </c>
      <c r="AX242" s="232">
        <v>-1.39027354989652</v>
      </c>
      <c r="AY242" s="232">
        <v>-1.15169270004266</v>
      </c>
      <c r="AZ242" s="293">
        <v>-0.83611629178666902</v>
      </c>
    </row>
    <row r="243" spans="1:52" s="29" customFormat="1" ht="15" customHeight="1">
      <c r="A243" s="332" t="s">
        <v>132</v>
      </c>
      <c r="B243" s="27">
        <v>2007</v>
      </c>
      <c r="C243" s="27" t="s">
        <v>133</v>
      </c>
      <c r="D243" s="39" t="s">
        <v>81</v>
      </c>
      <c r="E243" s="27" t="s">
        <v>36</v>
      </c>
      <c r="F243" s="41" t="s">
        <v>659</v>
      </c>
      <c r="G243" s="43"/>
      <c r="H243" s="43"/>
      <c r="I243" s="43"/>
      <c r="J243" s="43"/>
      <c r="K243" s="27"/>
      <c r="L243" s="28"/>
      <c r="M243" s="27"/>
      <c r="N243" s="27"/>
      <c r="O243" s="18">
        <f>O244+O245</f>
        <v>3774662243.2259998</v>
      </c>
      <c r="P243" s="213">
        <v>1183293262</v>
      </c>
      <c r="Q243" s="213">
        <v>1213159503</v>
      </c>
      <c r="R243" s="27" t="s">
        <v>619</v>
      </c>
      <c r="S243" s="27"/>
      <c r="T243" s="18"/>
      <c r="U243" s="27" t="s">
        <v>917</v>
      </c>
      <c r="V243" s="27" t="s">
        <v>802</v>
      </c>
      <c r="W243" s="30" t="s">
        <v>803</v>
      </c>
      <c r="X243" s="27">
        <v>8</v>
      </c>
      <c r="Y243" s="27" t="s">
        <v>918</v>
      </c>
      <c r="Z243" s="27">
        <v>8</v>
      </c>
      <c r="AA243" s="27" t="s">
        <v>919</v>
      </c>
      <c r="AB243" s="27" t="s">
        <v>920</v>
      </c>
      <c r="AC243" s="273">
        <v>1183293262</v>
      </c>
      <c r="AD243" s="27">
        <v>8638711756.6281834</v>
      </c>
      <c r="AE243" s="228">
        <v>0.13697566203573122</v>
      </c>
      <c r="AF243" s="27">
        <v>1087354648.8067896</v>
      </c>
      <c r="AG243" s="226">
        <v>1.0882312070845412</v>
      </c>
      <c r="AH243" s="226" t="s">
        <v>2842</v>
      </c>
      <c r="AI243" s="27">
        <v>359100000</v>
      </c>
      <c r="AJ243" s="226">
        <v>3.2951636368699528</v>
      </c>
      <c r="AK243" s="27">
        <v>84344762.096544504</v>
      </c>
      <c r="AL243" s="226">
        <v>14.029244171031671</v>
      </c>
      <c r="AM243" s="27" t="s">
        <v>2842</v>
      </c>
      <c r="AN243" s="271" t="s">
        <v>2842</v>
      </c>
      <c r="AO243" s="27">
        <v>10694366</v>
      </c>
      <c r="AP243" s="27" t="s">
        <v>2842</v>
      </c>
      <c r="AQ243" s="27">
        <v>48.427170731707321</v>
      </c>
      <c r="AR243" s="27">
        <v>98.5</v>
      </c>
      <c r="AS243" s="29" t="s">
        <v>2842</v>
      </c>
      <c r="AT243" s="270">
        <v>22</v>
      </c>
      <c r="AU243" s="464" t="s">
        <v>2842</v>
      </c>
      <c r="AV243" s="29">
        <v>-1.4648943624977599</v>
      </c>
      <c r="AW243" s="29">
        <v>-1.8599906508256501</v>
      </c>
      <c r="AX243" s="29">
        <v>-1.5925588530702399</v>
      </c>
      <c r="AY243" s="29">
        <v>-1.12431131640479</v>
      </c>
      <c r="AZ243" s="60">
        <v>-1.3006011246601099</v>
      </c>
    </row>
    <row r="244" spans="1:52" ht="15" customHeight="1">
      <c r="A244" s="59" t="s">
        <v>132</v>
      </c>
      <c r="B244" s="27">
        <v>2007</v>
      </c>
      <c r="C244" s="27" t="s">
        <v>133</v>
      </c>
      <c r="D244" s="39" t="s">
        <v>81</v>
      </c>
      <c r="E244" s="27" t="s">
        <v>98</v>
      </c>
      <c r="F244" s="41" t="s">
        <v>98</v>
      </c>
      <c r="G244" s="43">
        <v>52560000</v>
      </c>
      <c r="H244" s="43"/>
      <c r="I244" s="43"/>
      <c r="J244" s="43"/>
      <c r="K244" s="27" t="s">
        <v>603</v>
      </c>
      <c r="L244" s="28">
        <v>71.816252724999998</v>
      </c>
      <c r="M244" s="27" t="s">
        <v>626</v>
      </c>
      <c r="N244" s="27" t="s">
        <v>921</v>
      </c>
      <c r="O244" s="18">
        <f>G244*L244</f>
        <v>3774662243.2259998</v>
      </c>
      <c r="P244" s="213">
        <v>1179397379</v>
      </c>
      <c r="Q244" s="213">
        <v>1213159503</v>
      </c>
      <c r="R244" s="27"/>
      <c r="S244" s="27"/>
      <c r="T244" s="18"/>
      <c r="U244" s="27"/>
      <c r="V244" s="27"/>
      <c r="W244" s="30"/>
      <c r="X244" s="27">
        <v>8</v>
      </c>
      <c r="Y244" s="27" t="s">
        <v>922</v>
      </c>
      <c r="Z244" s="27">
        <v>8</v>
      </c>
      <c r="AA244" s="27"/>
      <c r="AB244" s="27" t="s">
        <v>923</v>
      </c>
      <c r="AC244" s="273">
        <v>1183293262</v>
      </c>
      <c r="AD244" s="27">
        <v>8638711756.6281834</v>
      </c>
      <c r="AE244" s="228">
        <v>0.13697566203573122</v>
      </c>
      <c r="AF244" s="27">
        <v>1087354648.8067896</v>
      </c>
      <c r="AG244" s="226">
        <v>1.0882312070845412</v>
      </c>
      <c r="AH244" s="226" t="s">
        <v>2842</v>
      </c>
      <c r="AI244" s="27">
        <v>359100000</v>
      </c>
      <c r="AJ244" s="226">
        <v>3.2951636368699528</v>
      </c>
      <c r="AK244" s="27">
        <v>84344762.096544504</v>
      </c>
      <c r="AL244" s="226">
        <v>14.029244171031671</v>
      </c>
      <c r="AM244" s="27" t="s">
        <v>2842</v>
      </c>
      <c r="AN244" s="271" t="s">
        <v>2842</v>
      </c>
      <c r="AO244" s="27">
        <v>10694366</v>
      </c>
      <c r="AP244" s="27" t="s">
        <v>2842</v>
      </c>
      <c r="AQ244" s="27">
        <v>48.427170731707321</v>
      </c>
      <c r="AR244" s="27">
        <v>98.5</v>
      </c>
      <c r="AS244" s="29" t="s">
        <v>2842</v>
      </c>
      <c r="AT244" s="270">
        <v>22</v>
      </c>
      <c r="AU244" s="464" t="s">
        <v>2842</v>
      </c>
      <c r="AV244" s="29">
        <v>-1.4648943624977599</v>
      </c>
      <c r="AW244" s="29">
        <v>-1.8599906508256501</v>
      </c>
      <c r="AX244" s="29">
        <v>-1.5925588530702399</v>
      </c>
      <c r="AY244" s="29">
        <v>-1.12431131640479</v>
      </c>
      <c r="AZ244" s="60">
        <v>-1.3006011246601099</v>
      </c>
    </row>
    <row r="245" spans="1:52" s="287" customFormat="1" ht="15" customHeight="1">
      <c r="A245" s="344" t="s">
        <v>132</v>
      </c>
      <c r="B245" s="284">
        <v>2007</v>
      </c>
      <c r="C245" s="284" t="s">
        <v>133</v>
      </c>
      <c r="D245" s="314" t="s">
        <v>81</v>
      </c>
      <c r="E245" s="284" t="s">
        <v>19</v>
      </c>
      <c r="F245" s="315" t="s">
        <v>924</v>
      </c>
      <c r="G245" s="303">
        <v>300000</v>
      </c>
      <c r="H245" s="303"/>
      <c r="I245" s="303"/>
      <c r="J245" s="303"/>
      <c r="K245" s="284" t="s">
        <v>567</v>
      </c>
      <c r="L245" s="304">
        <v>8.3000000000000007</v>
      </c>
      <c r="M245" s="284" t="s">
        <v>568</v>
      </c>
      <c r="N245" s="284" t="s">
        <v>925</v>
      </c>
      <c r="O245" s="305"/>
      <c r="P245" s="306">
        <v>3895883</v>
      </c>
      <c r="Q245" s="306">
        <v>0</v>
      </c>
      <c r="R245" s="284"/>
      <c r="S245" s="284"/>
      <c r="T245" s="305"/>
      <c r="U245" s="284"/>
      <c r="V245" s="284"/>
      <c r="W245" s="307"/>
      <c r="X245" s="284">
        <v>0</v>
      </c>
      <c r="Y245" s="284"/>
      <c r="Z245" s="284">
        <v>0</v>
      </c>
      <c r="AA245" s="284"/>
      <c r="AB245" s="284" t="s">
        <v>926</v>
      </c>
      <c r="AC245" s="308">
        <v>1183293262</v>
      </c>
      <c r="AD245" s="284">
        <v>8638711756.6281834</v>
      </c>
      <c r="AE245" s="309">
        <v>0.13697566203573122</v>
      </c>
      <c r="AF245" s="284">
        <v>1087354648.8067896</v>
      </c>
      <c r="AG245" s="310">
        <v>1.0882312070845412</v>
      </c>
      <c r="AH245" s="310" t="s">
        <v>2842</v>
      </c>
      <c r="AI245" s="284">
        <v>359100000</v>
      </c>
      <c r="AJ245" s="310">
        <v>3.2951636368699528</v>
      </c>
      <c r="AK245" s="284">
        <v>84344762.096544504</v>
      </c>
      <c r="AL245" s="310">
        <v>14.029244171031671</v>
      </c>
      <c r="AM245" s="284" t="s">
        <v>2842</v>
      </c>
      <c r="AN245" s="311" t="s">
        <v>2842</v>
      </c>
      <c r="AO245" s="284">
        <v>10694366</v>
      </c>
      <c r="AP245" s="284" t="s">
        <v>2842</v>
      </c>
      <c r="AQ245" s="284">
        <v>48.427170731707321</v>
      </c>
      <c r="AR245" s="284">
        <v>98.5</v>
      </c>
      <c r="AS245" s="287" t="s">
        <v>2842</v>
      </c>
      <c r="AT245" s="312">
        <v>22</v>
      </c>
      <c r="AU245" s="465" t="s">
        <v>2842</v>
      </c>
      <c r="AV245" s="287">
        <v>-1.4648943624977599</v>
      </c>
      <c r="AW245" s="287">
        <v>-1.8599906508256501</v>
      </c>
      <c r="AX245" s="287">
        <v>-1.5925588530702399</v>
      </c>
      <c r="AY245" s="287">
        <v>-1.12431131640479</v>
      </c>
      <c r="AZ245" s="313">
        <v>-1.3006011246601099</v>
      </c>
    </row>
    <row r="246" spans="1:52" s="29" customFormat="1" ht="15" customHeight="1">
      <c r="A246" s="332" t="s">
        <v>135</v>
      </c>
      <c r="B246" s="27">
        <v>2008</v>
      </c>
      <c r="C246" s="27" t="s">
        <v>133</v>
      </c>
      <c r="D246" s="39" t="s">
        <v>81</v>
      </c>
      <c r="E246" s="27" t="s">
        <v>36</v>
      </c>
      <c r="F246" s="41" t="s">
        <v>659</v>
      </c>
      <c r="G246" s="43"/>
      <c r="H246" s="43"/>
      <c r="I246" s="43"/>
      <c r="J246" s="43"/>
      <c r="K246" s="27"/>
      <c r="L246" s="28"/>
      <c r="M246" s="27"/>
      <c r="N246" s="27"/>
      <c r="O246" s="18">
        <f>O247+O248</f>
        <v>4555379712.0570002</v>
      </c>
      <c r="P246" s="213">
        <v>1908801646</v>
      </c>
      <c r="Q246" s="213">
        <v>1870701903</v>
      </c>
      <c r="R246" s="27" t="s">
        <v>619</v>
      </c>
      <c r="S246" s="27"/>
      <c r="T246" s="18"/>
      <c r="U246" s="27" t="s">
        <v>917</v>
      </c>
      <c r="V246" s="27" t="s">
        <v>802</v>
      </c>
      <c r="W246" s="30" t="s">
        <v>803</v>
      </c>
      <c r="X246" s="27">
        <v>8</v>
      </c>
      <c r="Y246" s="27" t="s">
        <v>918</v>
      </c>
      <c r="Z246" s="27">
        <v>8</v>
      </c>
      <c r="AA246" s="27" t="s">
        <v>927</v>
      </c>
      <c r="AB246" s="27" t="s">
        <v>920</v>
      </c>
      <c r="AC246" s="273">
        <v>1908801646</v>
      </c>
      <c r="AD246" s="27">
        <v>10351933631.718803</v>
      </c>
      <c r="AE246" s="228">
        <v>0.18439083111500479</v>
      </c>
      <c r="AF246" s="27">
        <v>1422873277.6797495</v>
      </c>
      <c r="AG246" s="226">
        <v>1.3415120488541636</v>
      </c>
      <c r="AH246" s="226" t="s">
        <v>2842</v>
      </c>
      <c r="AI246" s="27">
        <v>421720000</v>
      </c>
      <c r="AJ246" s="226">
        <v>4.5262298349615859</v>
      </c>
      <c r="AK246" s="27">
        <v>79726161.24211967</v>
      </c>
      <c r="AL246" s="226">
        <v>23.941973578825365</v>
      </c>
      <c r="AM246" s="27" t="s">
        <v>2842</v>
      </c>
      <c r="AN246" s="271" t="s">
        <v>2842</v>
      </c>
      <c r="AO246" s="27">
        <v>11030628</v>
      </c>
      <c r="AP246" s="27" t="s">
        <v>2842</v>
      </c>
      <c r="AQ246" s="27">
        <v>48.857170731707328</v>
      </c>
      <c r="AR246" s="27">
        <v>97.1</v>
      </c>
      <c r="AS246" s="29" t="s">
        <v>2842</v>
      </c>
      <c r="AT246" s="270">
        <v>22</v>
      </c>
      <c r="AU246" s="464" t="s">
        <v>2842</v>
      </c>
      <c r="AV246" s="29">
        <v>-1.46188010412278</v>
      </c>
      <c r="AW246" s="29">
        <v>-1.9704273188371499</v>
      </c>
      <c r="AX246" s="29">
        <v>-1.53957262103561</v>
      </c>
      <c r="AY246" s="29">
        <v>-1.15922780407378</v>
      </c>
      <c r="AZ246" s="60">
        <v>-1.44671379698743</v>
      </c>
    </row>
    <row r="247" spans="1:52" ht="15" customHeight="1">
      <c r="A247" s="59" t="s">
        <v>135</v>
      </c>
      <c r="B247" s="27">
        <v>2008</v>
      </c>
      <c r="C247" s="27" t="s">
        <v>133</v>
      </c>
      <c r="D247" s="39" t="s">
        <v>81</v>
      </c>
      <c r="E247" s="27" t="s">
        <v>98</v>
      </c>
      <c r="F247" s="41" t="s">
        <v>98</v>
      </c>
      <c r="G247" s="43">
        <v>46355000</v>
      </c>
      <c r="H247" s="43"/>
      <c r="I247" s="43"/>
      <c r="J247" s="43"/>
      <c r="K247" s="27" t="s">
        <v>603</v>
      </c>
      <c r="L247" s="28">
        <v>98.2715934</v>
      </c>
      <c r="M247" s="27" t="s">
        <v>626</v>
      </c>
      <c r="N247" s="27" t="s">
        <v>921</v>
      </c>
      <c r="O247" s="18">
        <f>G247*L247</f>
        <v>4555379712.0570002</v>
      </c>
      <c r="P247" s="213">
        <v>1906479325</v>
      </c>
      <c r="Q247" s="213">
        <v>1870701903</v>
      </c>
      <c r="R247" s="27"/>
      <c r="S247" s="27"/>
      <c r="T247" s="18"/>
      <c r="U247" s="27"/>
      <c r="V247" s="27"/>
      <c r="W247" s="30"/>
      <c r="X247" s="27">
        <v>8</v>
      </c>
      <c r="Y247" s="27" t="s">
        <v>922</v>
      </c>
      <c r="Z247" s="27">
        <v>8</v>
      </c>
      <c r="AA247" s="27"/>
      <c r="AB247" s="27" t="s">
        <v>923</v>
      </c>
      <c r="AC247" s="273">
        <v>1908801646</v>
      </c>
      <c r="AD247" s="27">
        <v>10351933631.718803</v>
      </c>
      <c r="AE247" s="228">
        <v>0.18439083111500479</v>
      </c>
      <c r="AF247" s="27">
        <v>1422873277.6797495</v>
      </c>
      <c r="AG247" s="226">
        <v>1.3415120488541636</v>
      </c>
      <c r="AH247" s="226" t="s">
        <v>2842</v>
      </c>
      <c r="AI247" s="27">
        <v>421720000</v>
      </c>
      <c r="AJ247" s="226">
        <v>4.5262298349615859</v>
      </c>
      <c r="AK247" s="27">
        <v>79726161.24211967</v>
      </c>
      <c r="AL247" s="226">
        <v>23.941973578825365</v>
      </c>
      <c r="AM247" s="27" t="s">
        <v>2842</v>
      </c>
      <c r="AN247" s="271" t="s">
        <v>2842</v>
      </c>
      <c r="AO247" s="27">
        <v>11030628</v>
      </c>
      <c r="AP247" s="27" t="s">
        <v>2842</v>
      </c>
      <c r="AQ247" s="27">
        <v>48.857170731707328</v>
      </c>
      <c r="AR247" s="27">
        <v>97.1</v>
      </c>
      <c r="AS247" s="29" t="s">
        <v>2842</v>
      </c>
      <c r="AT247" s="270">
        <v>22</v>
      </c>
      <c r="AU247" s="464" t="s">
        <v>2842</v>
      </c>
      <c r="AV247" s="29">
        <v>-1.46188010412278</v>
      </c>
      <c r="AW247" s="29">
        <v>-1.9704273188371499</v>
      </c>
      <c r="AX247" s="29">
        <v>-1.53957262103561</v>
      </c>
      <c r="AY247" s="29">
        <v>-1.15922780407378</v>
      </c>
      <c r="AZ247" s="60">
        <v>-1.44671379698743</v>
      </c>
    </row>
    <row r="248" spans="1:52" s="287" customFormat="1" ht="15" customHeight="1">
      <c r="A248" s="344" t="s">
        <v>135</v>
      </c>
      <c r="B248" s="284">
        <v>2008</v>
      </c>
      <c r="C248" s="284" t="s">
        <v>133</v>
      </c>
      <c r="D248" s="314" t="s">
        <v>81</v>
      </c>
      <c r="E248" s="284" t="s">
        <v>19</v>
      </c>
      <c r="F248" s="315" t="s">
        <v>924</v>
      </c>
      <c r="G248" s="303">
        <v>300000</v>
      </c>
      <c r="H248" s="303"/>
      <c r="I248" s="303"/>
      <c r="J248" s="303"/>
      <c r="K248" s="284" t="s">
        <v>567</v>
      </c>
      <c r="L248" s="304">
        <v>9.1300000000000008</v>
      </c>
      <c r="M248" s="284" t="s">
        <v>568</v>
      </c>
      <c r="N248" s="284" t="s">
        <v>928</v>
      </c>
      <c r="O248" s="305"/>
      <c r="P248" s="306">
        <v>2322321</v>
      </c>
      <c r="Q248" s="364">
        <v>0</v>
      </c>
      <c r="R248" s="284"/>
      <c r="S248" s="284"/>
      <c r="T248" s="305"/>
      <c r="U248" s="284"/>
      <c r="V248" s="284"/>
      <c r="W248" s="307"/>
      <c r="X248" s="284">
        <v>0</v>
      </c>
      <c r="Y248" s="284"/>
      <c r="Z248" s="284">
        <v>0</v>
      </c>
      <c r="AA248" s="284"/>
      <c r="AB248" s="284" t="s">
        <v>926</v>
      </c>
      <c r="AC248" s="308">
        <v>1908801646</v>
      </c>
      <c r="AD248" s="284">
        <v>10351933631.718803</v>
      </c>
      <c r="AE248" s="309">
        <v>0.18439083111500479</v>
      </c>
      <c r="AF248" s="284">
        <v>1422873277.6797495</v>
      </c>
      <c r="AG248" s="310">
        <v>1.3415120488541636</v>
      </c>
      <c r="AH248" s="310" t="s">
        <v>2842</v>
      </c>
      <c r="AI248" s="284">
        <v>421720000</v>
      </c>
      <c r="AJ248" s="310">
        <v>4.5262298349615859</v>
      </c>
      <c r="AK248" s="284">
        <v>79726161.24211967</v>
      </c>
      <c r="AL248" s="310">
        <v>23.941973578825365</v>
      </c>
      <c r="AM248" s="284" t="s">
        <v>2842</v>
      </c>
      <c r="AN248" s="311" t="s">
        <v>2842</v>
      </c>
      <c r="AO248" s="284">
        <v>11030628</v>
      </c>
      <c r="AP248" s="284" t="s">
        <v>2842</v>
      </c>
      <c r="AQ248" s="284">
        <v>48.857170731707328</v>
      </c>
      <c r="AR248" s="284">
        <v>97.1</v>
      </c>
      <c r="AS248" s="287" t="s">
        <v>2842</v>
      </c>
      <c r="AT248" s="312">
        <v>22</v>
      </c>
      <c r="AU248" s="465" t="s">
        <v>2842</v>
      </c>
      <c r="AV248" s="287">
        <v>-1.46188010412278</v>
      </c>
      <c r="AW248" s="287">
        <v>-1.9704273188371499</v>
      </c>
      <c r="AX248" s="287">
        <v>-1.53957262103561</v>
      </c>
      <c r="AY248" s="287">
        <v>-1.15922780407378</v>
      </c>
      <c r="AZ248" s="313">
        <v>-1.44671379698743</v>
      </c>
    </row>
    <row r="249" spans="1:52" s="29" customFormat="1" ht="15" customHeight="1">
      <c r="A249" s="332" t="s">
        <v>137</v>
      </c>
      <c r="B249" s="27">
        <v>2009</v>
      </c>
      <c r="C249" s="27" t="s">
        <v>133</v>
      </c>
      <c r="D249" s="39" t="s">
        <v>81</v>
      </c>
      <c r="E249" s="27" t="s">
        <v>36</v>
      </c>
      <c r="F249" s="41" t="s">
        <v>659</v>
      </c>
      <c r="G249" s="43"/>
      <c r="H249" s="43"/>
      <c r="I249" s="43"/>
      <c r="J249" s="43"/>
      <c r="K249" s="27"/>
      <c r="L249" s="28"/>
      <c r="M249" s="27"/>
      <c r="N249" s="27"/>
      <c r="O249" s="18">
        <f>O250+O251</f>
        <v>2673903346.9194999</v>
      </c>
      <c r="P249" s="213">
        <v>614882373</v>
      </c>
      <c r="Q249" s="213">
        <v>638651484</v>
      </c>
      <c r="R249" s="27" t="s">
        <v>619</v>
      </c>
      <c r="S249" s="27"/>
      <c r="T249" s="18"/>
      <c r="U249" s="27" t="s">
        <v>917</v>
      </c>
      <c r="V249" s="27" t="s">
        <v>802</v>
      </c>
      <c r="W249" s="30" t="s">
        <v>803</v>
      </c>
      <c r="X249" s="27">
        <v>8</v>
      </c>
      <c r="Y249" s="27" t="s">
        <v>918</v>
      </c>
      <c r="Z249" s="27">
        <v>8</v>
      </c>
      <c r="AA249" s="27" t="s">
        <v>927</v>
      </c>
      <c r="AB249" s="27" t="s">
        <v>920</v>
      </c>
      <c r="AC249" s="273">
        <v>614882373</v>
      </c>
      <c r="AD249" s="27">
        <v>9253484289.6743355</v>
      </c>
      <c r="AE249" s="228">
        <v>6.6448740144955706E-2</v>
      </c>
      <c r="AF249" s="27">
        <v>959863925.36791885</v>
      </c>
      <c r="AG249" s="226">
        <v>0.64059327238943131</v>
      </c>
      <c r="AH249" s="226" t="s">
        <v>2842</v>
      </c>
      <c r="AI249" s="27">
        <v>560730000</v>
      </c>
      <c r="AJ249" s="226">
        <v>1.0965747739553795</v>
      </c>
      <c r="AK249" s="27">
        <v>89269753.823168948</v>
      </c>
      <c r="AL249" s="226">
        <v>6.8879138416579151</v>
      </c>
      <c r="AM249" s="27">
        <v>213916497.71811748</v>
      </c>
      <c r="AN249" s="271">
        <v>2.8744037021877769</v>
      </c>
      <c r="AO249" s="27">
        <v>11371325</v>
      </c>
      <c r="AP249" s="27" t="s">
        <v>2842</v>
      </c>
      <c r="AQ249" s="27">
        <v>49.30753658536586</v>
      </c>
      <c r="AR249" s="27">
        <v>95.4</v>
      </c>
      <c r="AS249" s="29" t="s">
        <v>2842</v>
      </c>
      <c r="AT249" s="270">
        <v>22</v>
      </c>
      <c r="AU249" s="464" t="s">
        <v>2842</v>
      </c>
      <c r="AV249" s="29">
        <v>-1.4195605227997199</v>
      </c>
      <c r="AW249" s="29">
        <v>-1.68920009121452</v>
      </c>
      <c r="AX249" s="29">
        <v>-1.4231168712779201</v>
      </c>
      <c r="AY249" s="29">
        <v>-1.0416083218118199</v>
      </c>
      <c r="AZ249" s="60">
        <v>-1.3555364140761601</v>
      </c>
    </row>
    <row r="250" spans="1:52" s="29" customFormat="1" ht="15" customHeight="1">
      <c r="A250" s="59" t="s">
        <v>137</v>
      </c>
      <c r="B250" s="27">
        <v>2009</v>
      </c>
      <c r="C250" s="27" t="s">
        <v>133</v>
      </c>
      <c r="D250" s="39" t="s">
        <v>81</v>
      </c>
      <c r="E250" s="27" t="s">
        <v>98</v>
      </c>
      <c r="F250" s="41" t="s">
        <v>98</v>
      </c>
      <c r="G250" s="43">
        <v>43070000</v>
      </c>
      <c r="H250" s="43"/>
      <c r="I250" s="43"/>
      <c r="J250" s="43"/>
      <c r="K250" s="27" t="s">
        <v>603</v>
      </c>
      <c r="L250" s="28">
        <v>62.082733849999997</v>
      </c>
      <c r="M250" s="27" t="s">
        <v>626</v>
      </c>
      <c r="N250" s="27" t="s">
        <v>921</v>
      </c>
      <c r="O250" s="18">
        <f>G250*L250</f>
        <v>2673903346.9194999</v>
      </c>
      <c r="P250" s="213">
        <v>606704418</v>
      </c>
      <c r="Q250" s="213">
        <v>638651484</v>
      </c>
      <c r="R250" s="27"/>
      <c r="S250" s="27"/>
      <c r="T250" s="18"/>
      <c r="U250" s="27"/>
      <c r="V250" s="27"/>
      <c r="W250" s="30"/>
      <c r="X250" s="27">
        <v>8</v>
      </c>
      <c r="Y250" s="27" t="s">
        <v>929</v>
      </c>
      <c r="Z250" s="27">
        <v>8</v>
      </c>
      <c r="AA250" s="27"/>
      <c r="AB250" s="27" t="s">
        <v>923</v>
      </c>
      <c r="AC250" s="273">
        <v>614882373</v>
      </c>
      <c r="AD250" s="27">
        <v>9253484289.6743355</v>
      </c>
      <c r="AE250" s="228">
        <v>6.6448740144955706E-2</v>
      </c>
      <c r="AF250" s="27">
        <v>959863925.36791885</v>
      </c>
      <c r="AG250" s="226">
        <v>0.64059327238943131</v>
      </c>
      <c r="AH250" s="226" t="s">
        <v>2842</v>
      </c>
      <c r="AI250" s="27">
        <v>560730000</v>
      </c>
      <c r="AJ250" s="226">
        <v>1.0965747739553795</v>
      </c>
      <c r="AK250" s="27">
        <v>89269753.823168948</v>
      </c>
      <c r="AL250" s="226">
        <v>6.8879138416579151</v>
      </c>
      <c r="AM250" s="27">
        <v>213916497.71811748</v>
      </c>
      <c r="AN250" s="271">
        <v>2.8744037021877769</v>
      </c>
      <c r="AO250" s="27">
        <v>11371325</v>
      </c>
      <c r="AP250" s="27" t="s">
        <v>2842</v>
      </c>
      <c r="AQ250" s="27">
        <v>49.30753658536586</v>
      </c>
      <c r="AR250" s="27">
        <v>95.4</v>
      </c>
      <c r="AS250" s="29" t="s">
        <v>2842</v>
      </c>
      <c r="AT250" s="270">
        <v>22</v>
      </c>
      <c r="AU250" s="464" t="s">
        <v>2842</v>
      </c>
      <c r="AV250" s="29">
        <v>-1.4195605227997199</v>
      </c>
      <c r="AW250" s="29">
        <v>-1.68920009121452</v>
      </c>
      <c r="AX250" s="29">
        <v>-1.4231168712779201</v>
      </c>
      <c r="AY250" s="29">
        <v>-1.0416083218118199</v>
      </c>
      <c r="AZ250" s="60">
        <v>-1.3555364140761601</v>
      </c>
    </row>
    <row r="251" spans="1:52" s="287" customFormat="1" ht="15" customHeight="1">
      <c r="A251" s="344" t="s">
        <v>137</v>
      </c>
      <c r="B251" s="284">
        <v>2009</v>
      </c>
      <c r="C251" s="284" t="s">
        <v>133</v>
      </c>
      <c r="D251" s="314" t="s">
        <v>81</v>
      </c>
      <c r="E251" s="284" t="s">
        <v>19</v>
      </c>
      <c r="F251" s="315" t="s">
        <v>924</v>
      </c>
      <c r="G251" s="303">
        <v>350000</v>
      </c>
      <c r="H251" s="303"/>
      <c r="I251" s="303"/>
      <c r="J251" s="303"/>
      <c r="K251" s="284" t="s">
        <v>567</v>
      </c>
      <c r="L251" s="304">
        <v>9.44</v>
      </c>
      <c r="M251" s="284" t="s">
        <v>568</v>
      </c>
      <c r="N251" s="284" t="s">
        <v>928</v>
      </c>
      <c r="O251" s="305"/>
      <c r="P251" s="306">
        <v>8177955</v>
      </c>
      <c r="Q251" s="306">
        <v>0</v>
      </c>
      <c r="R251" s="284"/>
      <c r="S251" s="284"/>
      <c r="T251" s="305"/>
      <c r="U251" s="284"/>
      <c r="V251" s="284"/>
      <c r="W251" s="307"/>
      <c r="X251" s="284"/>
      <c r="Y251" s="284"/>
      <c r="Z251" s="284"/>
      <c r="AA251" s="284"/>
      <c r="AB251" s="284"/>
      <c r="AC251" s="308">
        <v>614882373</v>
      </c>
      <c r="AD251" s="284">
        <v>9253484289.6743355</v>
      </c>
      <c r="AE251" s="309">
        <v>6.6448740144955706E-2</v>
      </c>
      <c r="AF251" s="284">
        <v>959863925.36791885</v>
      </c>
      <c r="AG251" s="310">
        <v>0.64059327238943131</v>
      </c>
      <c r="AH251" s="310" t="s">
        <v>2842</v>
      </c>
      <c r="AI251" s="284">
        <v>560730000</v>
      </c>
      <c r="AJ251" s="310">
        <v>1.0965747739553795</v>
      </c>
      <c r="AK251" s="284">
        <v>89269753.823168948</v>
      </c>
      <c r="AL251" s="310">
        <v>6.8879138416579151</v>
      </c>
      <c r="AM251" s="284">
        <v>213916497.71811748</v>
      </c>
      <c r="AN251" s="311">
        <v>2.8744037021877769</v>
      </c>
      <c r="AO251" s="284">
        <v>11371325</v>
      </c>
      <c r="AP251" s="284" t="s">
        <v>2842</v>
      </c>
      <c r="AQ251" s="284">
        <v>49.30753658536586</v>
      </c>
      <c r="AR251" s="284">
        <v>95.4</v>
      </c>
      <c r="AS251" s="287" t="s">
        <v>2842</v>
      </c>
      <c r="AT251" s="312">
        <v>22</v>
      </c>
      <c r="AU251" s="465" t="s">
        <v>2842</v>
      </c>
      <c r="AV251" s="287">
        <v>-1.4195605227997199</v>
      </c>
      <c r="AW251" s="287">
        <v>-1.68920009121452</v>
      </c>
      <c r="AX251" s="287">
        <v>-1.4231168712779201</v>
      </c>
      <c r="AY251" s="287">
        <v>-1.0416083218118199</v>
      </c>
      <c r="AZ251" s="313">
        <v>-1.3555364140761601</v>
      </c>
    </row>
    <row r="252" spans="1:52" ht="15" customHeight="1">
      <c r="A252" s="332" t="s">
        <v>139</v>
      </c>
      <c r="B252" s="27">
        <v>2010</v>
      </c>
      <c r="C252" s="27" t="s">
        <v>133</v>
      </c>
      <c r="D252" s="39" t="s">
        <v>81</v>
      </c>
      <c r="E252" s="27" t="s">
        <v>36</v>
      </c>
      <c r="F252" s="41" t="s">
        <v>659</v>
      </c>
      <c r="G252" s="43"/>
      <c r="H252" s="43"/>
      <c r="I252" s="43"/>
      <c r="J252" s="43"/>
      <c r="K252" s="27"/>
      <c r="L252" s="28"/>
      <c r="M252" s="27"/>
      <c r="N252" s="27"/>
      <c r="O252" s="18">
        <f>O253+O254</f>
        <v>3540752602.1554995</v>
      </c>
      <c r="P252" s="213">
        <v>1347744000</v>
      </c>
      <c r="Q252" s="213">
        <v>1358346169.1603303</v>
      </c>
      <c r="R252" s="27" t="s">
        <v>619</v>
      </c>
      <c r="S252" s="27"/>
      <c r="T252" s="18"/>
      <c r="U252" s="27" t="s">
        <v>777</v>
      </c>
      <c r="V252" s="27" t="s">
        <v>826</v>
      </c>
      <c r="W252" s="30">
        <v>489.24</v>
      </c>
      <c r="X252" s="27">
        <v>9</v>
      </c>
      <c r="Y252" s="27" t="s">
        <v>930</v>
      </c>
      <c r="Z252" s="27">
        <v>9</v>
      </c>
      <c r="AA252" s="27"/>
      <c r="AB252" s="27" t="s">
        <v>931</v>
      </c>
      <c r="AC252" s="273">
        <v>1347744000</v>
      </c>
      <c r="AD252" s="27">
        <v>10657705072.288368</v>
      </c>
      <c r="AE252" s="228">
        <v>0.12645724298604741</v>
      </c>
      <c r="AF252" s="27">
        <v>1223717696.4001505</v>
      </c>
      <c r="AG252" s="226">
        <v>1.1013520552695295</v>
      </c>
      <c r="AH252" s="226" t="s">
        <v>2842</v>
      </c>
      <c r="AI252" s="27">
        <v>486040000</v>
      </c>
      <c r="AJ252" s="226">
        <v>2.7729075796230762</v>
      </c>
      <c r="AK252" s="27">
        <v>106151078.06642281</v>
      </c>
      <c r="AL252" s="226">
        <v>12.696470205951792</v>
      </c>
      <c r="AM252" s="27">
        <v>211229319.90971211</v>
      </c>
      <c r="AN252" s="271">
        <v>6.3804778644180642</v>
      </c>
      <c r="AO252" s="27">
        <v>11720781</v>
      </c>
      <c r="AP252" s="27" t="s">
        <v>2842</v>
      </c>
      <c r="AQ252" s="27">
        <v>49.76985365853659</v>
      </c>
      <c r="AR252" s="27">
        <v>93.7</v>
      </c>
      <c r="AS252" s="29" t="s">
        <v>2842</v>
      </c>
      <c r="AT252" s="270">
        <v>22</v>
      </c>
      <c r="AU252" s="464" t="s">
        <v>2842</v>
      </c>
      <c r="AV252" s="29">
        <v>-1.37058406323075</v>
      </c>
      <c r="AW252" s="29">
        <v>-1.5122881189823201</v>
      </c>
      <c r="AX252" s="29">
        <v>-1.44544760515034</v>
      </c>
      <c r="AY252" s="29">
        <v>-1.0552521529166401</v>
      </c>
      <c r="AZ252" s="60">
        <v>-1.3353702560987399</v>
      </c>
    </row>
    <row r="253" spans="1:52" ht="15" customHeight="1">
      <c r="A253" s="59" t="s">
        <v>139</v>
      </c>
      <c r="B253" s="27">
        <v>2010</v>
      </c>
      <c r="C253" s="27" t="s">
        <v>133</v>
      </c>
      <c r="D253" s="39" t="s">
        <v>81</v>
      </c>
      <c r="E253" s="27" t="s">
        <v>98</v>
      </c>
      <c r="F253" s="41" t="s">
        <v>98</v>
      </c>
      <c r="G253" s="43">
        <v>44530000</v>
      </c>
      <c r="H253" s="43"/>
      <c r="I253" s="43"/>
      <c r="J253" s="43"/>
      <c r="K253" s="27" t="s">
        <v>603</v>
      </c>
      <c r="L253" s="28">
        <v>79.513869349999993</v>
      </c>
      <c r="M253" s="27" t="s">
        <v>626</v>
      </c>
      <c r="N253" s="27" t="s">
        <v>921</v>
      </c>
      <c r="O253" s="18">
        <f>G253*L253</f>
        <v>3540752602.1554995</v>
      </c>
      <c r="P253" s="213">
        <v>1347744000</v>
      </c>
      <c r="Q253" s="213">
        <v>1353645000</v>
      </c>
      <c r="R253" s="27"/>
      <c r="S253" s="27"/>
      <c r="T253" s="18"/>
      <c r="U253" s="27"/>
      <c r="V253" s="27"/>
      <c r="W253" s="30"/>
      <c r="X253" s="27">
        <v>8</v>
      </c>
      <c r="Y253" s="27" t="s">
        <v>922</v>
      </c>
      <c r="Z253" s="27">
        <v>8</v>
      </c>
      <c r="AA253" s="27"/>
      <c r="AB253" s="27"/>
      <c r="AC253" s="273">
        <v>1347744000</v>
      </c>
      <c r="AD253" s="27">
        <v>10657705072.288368</v>
      </c>
      <c r="AE253" s="228">
        <v>0.12645724298604741</v>
      </c>
      <c r="AF253" s="27">
        <v>1223717696.4001505</v>
      </c>
      <c r="AG253" s="226">
        <v>1.1013520552695295</v>
      </c>
      <c r="AH253" s="226" t="s">
        <v>2842</v>
      </c>
      <c r="AI253" s="27">
        <v>486040000</v>
      </c>
      <c r="AJ253" s="226">
        <v>2.7729075796230762</v>
      </c>
      <c r="AK253" s="27">
        <v>106151078.06642281</v>
      </c>
      <c r="AL253" s="226">
        <v>12.696470205951792</v>
      </c>
      <c r="AM253" s="27">
        <v>211229319.90971211</v>
      </c>
      <c r="AN253" s="271">
        <v>6.3804778644180642</v>
      </c>
      <c r="AO253" s="27">
        <v>11720781</v>
      </c>
      <c r="AP253" s="27" t="s">
        <v>2842</v>
      </c>
      <c r="AQ253" s="27">
        <v>49.76985365853659</v>
      </c>
      <c r="AR253" s="27">
        <v>93.7</v>
      </c>
      <c r="AS253" s="29" t="s">
        <v>2842</v>
      </c>
      <c r="AT253" s="270">
        <v>22</v>
      </c>
      <c r="AU253" s="464" t="s">
        <v>2842</v>
      </c>
      <c r="AV253" s="29">
        <v>-1.37058406323075</v>
      </c>
      <c r="AW253" s="29">
        <v>-1.5122881189823201</v>
      </c>
      <c r="AX253" s="29">
        <v>-1.44544760515034</v>
      </c>
      <c r="AY253" s="29">
        <v>-1.0552521529166401</v>
      </c>
      <c r="AZ253" s="60">
        <v>-1.3353702560987399</v>
      </c>
    </row>
    <row r="254" spans="1:52" s="287" customFormat="1" ht="15" customHeight="1">
      <c r="A254" s="344" t="s">
        <v>139</v>
      </c>
      <c r="B254" s="284">
        <v>2010</v>
      </c>
      <c r="C254" s="284" t="s">
        <v>133</v>
      </c>
      <c r="D254" s="314" t="s">
        <v>81</v>
      </c>
      <c r="E254" s="284" t="s">
        <v>19</v>
      </c>
      <c r="F254" s="315" t="s">
        <v>924</v>
      </c>
      <c r="G254" s="303">
        <v>350000</v>
      </c>
      <c r="H254" s="303"/>
      <c r="I254" s="303"/>
      <c r="J254" s="303"/>
      <c r="K254" s="284" t="s">
        <v>567</v>
      </c>
      <c r="L254" s="304">
        <v>8.42</v>
      </c>
      <c r="M254" s="284" t="s">
        <v>568</v>
      </c>
      <c r="N254" s="284" t="s">
        <v>932</v>
      </c>
      <c r="O254" s="305"/>
      <c r="P254" s="306">
        <v>0</v>
      </c>
      <c r="Q254" s="306">
        <v>4701169.1603303086</v>
      </c>
      <c r="R254" s="284"/>
      <c r="S254" s="284"/>
      <c r="T254" s="305"/>
      <c r="U254" s="284"/>
      <c r="V254" s="284"/>
      <c r="W254" s="307"/>
      <c r="X254" s="284"/>
      <c r="Y254" s="284"/>
      <c r="Z254" s="284"/>
      <c r="AA254" s="284"/>
      <c r="AB254" s="284"/>
      <c r="AC254" s="308">
        <v>1347744000</v>
      </c>
      <c r="AD254" s="284">
        <v>10657705072.288368</v>
      </c>
      <c r="AE254" s="309">
        <v>0.12645724298604741</v>
      </c>
      <c r="AF254" s="284">
        <v>1223717696.4001505</v>
      </c>
      <c r="AG254" s="310">
        <v>1.1013520552695295</v>
      </c>
      <c r="AH254" s="310" t="s">
        <v>2842</v>
      </c>
      <c r="AI254" s="284">
        <v>486040000</v>
      </c>
      <c r="AJ254" s="310">
        <v>2.7729075796230762</v>
      </c>
      <c r="AK254" s="284">
        <v>106151078.06642281</v>
      </c>
      <c r="AL254" s="310">
        <v>12.696470205951792</v>
      </c>
      <c r="AM254" s="284">
        <v>211229319.90971211</v>
      </c>
      <c r="AN254" s="311">
        <v>6.3804778644180642</v>
      </c>
      <c r="AO254" s="284">
        <v>11720781</v>
      </c>
      <c r="AP254" s="284" t="s">
        <v>2842</v>
      </c>
      <c r="AQ254" s="284">
        <v>49.76985365853659</v>
      </c>
      <c r="AR254" s="284">
        <v>93.7</v>
      </c>
      <c r="AS254" s="287" t="s">
        <v>2842</v>
      </c>
      <c r="AT254" s="312">
        <v>22</v>
      </c>
      <c r="AU254" s="465" t="s">
        <v>2842</v>
      </c>
      <c r="AV254" s="287">
        <v>-1.37058406323075</v>
      </c>
      <c r="AW254" s="287">
        <v>-1.5122881189823201</v>
      </c>
      <c r="AX254" s="287">
        <v>-1.44544760515034</v>
      </c>
      <c r="AY254" s="287">
        <v>-1.0552521529166401</v>
      </c>
      <c r="AZ254" s="313">
        <v>-1.3353702560987399</v>
      </c>
    </row>
    <row r="255" spans="1:52" s="29" customFormat="1" ht="15" customHeight="1">
      <c r="A255" s="332" t="s">
        <v>142</v>
      </c>
      <c r="B255" s="27">
        <v>2011</v>
      </c>
      <c r="C255" s="27" t="s">
        <v>133</v>
      </c>
      <c r="D255" s="39" t="s">
        <v>81</v>
      </c>
      <c r="E255" s="27" t="s">
        <v>36</v>
      </c>
      <c r="F255" s="41" t="s">
        <v>659</v>
      </c>
      <c r="G255" s="43"/>
      <c r="H255" s="43"/>
      <c r="I255" s="43"/>
      <c r="J255" s="43"/>
      <c r="K255" s="27"/>
      <c r="L255" s="28"/>
      <c r="M255" s="27"/>
      <c r="N255" s="27"/>
      <c r="O255" s="18">
        <f>O256+O257</f>
        <v>4432740495.2557497</v>
      </c>
      <c r="P255" s="213">
        <v>2146562000</v>
      </c>
      <c r="Q255" s="213">
        <v>2225298411.1675129</v>
      </c>
      <c r="R255" s="27" t="s">
        <v>619</v>
      </c>
      <c r="S255" s="27"/>
      <c r="T255" s="18"/>
      <c r="U255" s="27" t="s">
        <v>660</v>
      </c>
      <c r="V255" s="27" t="s">
        <v>826</v>
      </c>
      <c r="W255" s="30">
        <v>492.5</v>
      </c>
      <c r="X255" s="27">
        <v>12</v>
      </c>
      <c r="Y255" s="27" t="s">
        <v>933</v>
      </c>
      <c r="Z255" s="27">
        <v>12</v>
      </c>
      <c r="AA255" s="27" t="s">
        <v>934</v>
      </c>
      <c r="AB255" s="27" t="s">
        <v>935</v>
      </c>
      <c r="AC255" s="273">
        <v>2146562000</v>
      </c>
      <c r="AD255" s="27">
        <v>12156380062.047134</v>
      </c>
      <c r="AE255" s="228">
        <v>0.17657904647960793</v>
      </c>
      <c r="AF255" s="27">
        <v>1969212006.2510152</v>
      </c>
      <c r="AG255" s="226">
        <v>1.0900614018125065</v>
      </c>
      <c r="AH255" s="226" t="s">
        <v>2842</v>
      </c>
      <c r="AI255" s="27">
        <v>460190000</v>
      </c>
      <c r="AJ255" s="226">
        <v>4.6645124839740104</v>
      </c>
      <c r="AK255" s="27">
        <v>102177644.93443438</v>
      </c>
      <c r="AL255" s="226">
        <v>21.008137360940463</v>
      </c>
      <c r="AM255" s="27">
        <v>274478905.42096221</v>
      </c>
      <c r="AN255" s="271">
        <v>7.8204989804512133</v>
      </c>
      <c r="AO255" s="27">
        <v>12080037</v>
      </c>
      <c r="AP255" s="27">
        <v>46.7</v>
      </c>
      <c r="AQ255" s="27">
        <v>50.236195121951226</v>
      </c>
      <c r="AR255" s="27">
        <v>91.9</v>
      </c>
      <c r="AS255" s="29">
        <v>63.789839999999998</v>
      </c>
      <c r="AT255" s="270">
        <v>22</v>
      </c>
      <c r="AU255" s="464" t="s">
        <v>2842</v>
      </c>
      <c r="AV255" s="29">
        <v>-1.34910253217376</v>
      </c>
      <c r="AW255" s="29">
        <v>-1.3134404667769399</v>
      </c>
      <c r="AX255" s="29">
        <v>-1.3489423700241401</v>
      </c>
      <c r="AY255" s="29">
        <v>-1.01005915682657</v>
      </c>
      <c r="AZ255" s="60">
        <v>-1.2624685415010499</v>
      </c>
    </row>
    <row r="256" spans="1:52" ht="15" customHeight="1">
      <c r="A256" s="59" t="s">
        <v>142</v>
      </c>
      <c r="B256" s="27">
        <v>2011</v>
      </c>
      <c r="C256" s="27" t="s">
        <v>133</v>
      </c>
      <c r="D256" s="39" t="s">
        <v>81</v>
      </c>
      <c r="E256" s="27" t="s">
        <v>98</v>
      </c>
      <c r="F256" s="41" t="s">
        <v>98</v>
      </c>
      <c r="G256" s="43">
        <v>41610000</v>
      </c>
      <c r="H256" s="43"/>
      <c r="I256" s="43"/>
      <c r="J256" s="43"/>
      <c r="K256" s="27" t="s">
        <v>603</v>
      </c>
      <c r="L256" s="28">
        <v>106.530653575</v>
      </c>
      <c r="M256" s="27" t="s">
        <v>626</v>
      </c>
      <c r="N256" s="27" t="s">
        <v>921</v>
      </c>
      <c r="O256" s="18">
        <f>G256*L256</f>
        <v>4432740495.2557497</v>
      </c>
      <c r="P256" s="213">
        <v>2146562000</v>
      </c>
      <c r="Q256" s="213">
        <v>2223471000</v>
      </c>
      <c r="R256" s="27"/>
      <c r="S256" s="27"/>
      <c r="T256" s="18"/>
      <c r="U256" s="27"/>
      <c r="V256" s="27"/>
      <c r="W256" s="30"/>
      <c r="X256" s="27">
        <v>11</v>
      </c>
      <c r="Y256" s="27" t="s">
        <v>936</v>
      </c>
      <c r="Z256" s="27">
        <v>11</v>
      </c>
      <c r="AA256" s="27"/>
      <c r="AB256" s="27"/>
      <c r="AC256" s="273">
        <v>2146562000</v>
      </c>
      <c r="AD256" s="27">
        <v>12156380062.047134</v>
      </c>
      <c r="AE256" s="228">
        <v>0.17657904647960793</v>
      </c>
      <c r="AF256" s="27">
        <v>1969212006.2510152</v>
      </c>
      <c r="AG256" s="226">
        <v>1.0900614018125065</v>
      </c>
      <c r="AH256" s="226" t="s">
        <v>2842</v>
      </c>
      <c r="AI256" s="27">
        <v>460190000</v>
      </c>
      <c r="AJ256" s="226">
        <v>4.6645124839740104</v>
      </c>
      <c r="AK256" s="27">
        <v>102177644.93443438</v>
      </c>
      <c r="AL256" s="226">
        <v>21.008137360940463</v>
      </c>
      <c r="AM256" s="27">
        <v>274478905.42096221</v>
      </c>
      <c r="AN256" s="271">
        <v>7.8204989804512133</v>
      </c>
      <c r="AO256" s="27">
        <v>12080037</v>
      </c>
      <c r="AP256" s="27">
        <v>46.7</v>
      </c>
      <c r="AQ256" s="27">
        <v>50.236195121951226</v>
      </c>
      <c r="AR256" s="27">
        <v>91.9</v>
      </c>
      <c r="AS256" s="29">
        <v>63.789839999999998</v>
      </c>
      <c r="AT256" s="270">
        <v>22</v>
      </c>
      <c r="AU256" s="464" t="s">
        <v>2842</v>
      </c>
      <c r="AV256" s="29">
        <v>-1.34910253217376</v>
      </c>
      <c r="AW256" s="29">
        <v>-1.3134404667769399</v>
      </c>
      <c r="AX256" s="29">
        <v>-1.3489423700241401</v>
      </c>
      <c r="AY256" s="29">
        <v>-1.01005915682657</v>
      </c>
      <c r="AZ256" s="60">
        <v>-1.2624685415010499</v>
      </c>
    </row>
    <row r="257" spans="1:52" s="287" customFormat="1" ht="15" customHeight="1">
      <c r="A257" s="344" t="s">
        <v>142</v>
      </c>
      <c r="B257" s="284">
        <v>2011</v>
      </c>
      <c r="C257" s="284" t="s">
        <v>133</v>
      </c>
      <c r="D257" s="314" t="s">
        <v>81</v>
      </c>
      <c r="E257" s="284" t="s">
        <v>19</v>
      </c>
      <c r="F257" s="315" t="s">
        <v>924</v>
      </c>
      <c r="G257" s="303">
        <v>350000</v>
      </c>
      <c r="H257" s="303"/>
      <c r="I257" s="303"/>
      <c r="J257" s="303"/>
      <c r="K257" s="284" t="s">
        <v>567</v>
      </c>
      <c r="L257" s="304">
        <v>8.66</v>
      </c>
      <c r="M257" s="284" t="s">
        <v>568</v>
      </c>
      <c r="N257" s="284" t="s">
        <v>937</v>
      </c>
      <c r="O257" s="305"/>
      <c r="P257" s="306"/>
      <c r="Q257" s="306">
        <v>1827411.1675126904</v>
      </c>
      <c r="R257" s="284"/>
      <c r="S257" s="284"/>
      <c r="T257" s="305"/>
      <c r="U257" s="284"/>
      <c r="V257" s="284"/>
      <c r="W257" s="307"/>
      <c r="X257" s="284"/>
      <c r="Y257" s="284"/>
      <c r="Z257" s="284"/>
      <c r="AA257" s="284"/>
      <c r="AB257" s="284"/>
      <c r="AC257" s="308">
        <v>2146562000</v>
      </c>
      <c r="AD257" s="284">
        <v>12156380062.047134</v>
      </c>
      <c r="AE257" s="309">
        <v>0.17657904647960793</v>
      </c>
      <c r="AF257" s="284">
        <v>1969212006.2510152</v>
      </c>
      <c r="AG257" s="310">
        <v>1.0900614018125065</v>
      </c>
      <c r="AH257" s="310" t="s">
        <v>2842</v>
      </c>
      <c r="AI257" s="284">
        <v>460190000</v>
      </c>
      <c r="AJ257" s="310">
        <v>4.6645124839740104</v>
      </c>
      <c r="AK257" s="284">
        <v>102177644.93443438</v>
      </c>
      <c r="AL257" s="310">
        <v>21.008137360940463</v>
      </c>
      <c r="AM257" s="284">
        <v>274478905.42096221</v>
      </c>
      <c r="AN257" s="311">
        <v>7.8204989804512133</v>
      </c>
      <c r="AO257" s="284">
        <v>12080037</v>
      </c>
      <c r="AP257" s="284">
        <v>46.7</v>
      </c>
      <c r="AQ257" s="284">
        <v>50.236195121951226</v>
      </c>
      <c r="AR257" s="284">
        <v>91.9</v>
      </c>
      <c r="AS257" s="287">
        <v>63.789839999999998</v>
      </c>
      <c r="AT257" s="312">
        <v>22</v>
      </c>
      <c r="AU257" s="465" t="s">
        <v>2842</v>
      </c>
      <c r="AV257" s="287">
        <v>-1.34910253217376</v>
      </c>
      <c r="AW257" s="287">
        <v>-1.3134404667769399</v>
      </c>
      <c r="AX257" s="287">
        <v>-1.3489423700241401</v>
      </c>
      <c r="AY257" s="287">
        <v>-1.01005915682657</v>
      </c>
      <c r="AZ257" s="313">
        <v>-1.2624685415010499</v>
      </c>
    </row>
    <row r="258" spans="1:52" s="29" customFormat="1" ht="15" customHeight="1">
      <c r="A258" s="332" t="s">
        <v>144</v>
      </c>
      <c r="B258" s="27">
        <v>2012</v>
      </c>
      <c r="C258" s="27" t="s">
        <v>133</v>
      </c>
      <c r="D258" s="39" t="s">
        <v>81</v>
      </c>
      <c r="E258" s="27" t="s">
        <v>36</v>
      </c>
      <c r="F258" s="41" t="s">
        <v>659</v>
      </c>
      <c r="G258" s="43"/>
      <c r="H258" s="43"/>
      <c r="I258" s="43"/>
      <c r="J258" s="43"/>
      <c r="K258" s="27"/>
      <c r="L258" s="28"/>
      <c r="M258" s="27"/>
      <c r="N258" s="27"/>
      <c r="O258" s="18">
        <f>O259+O260</f>
        <v>3954577097.9020648</v>
      </c>
      <c r="P258" s="213">
        <v>2109663000</v>
      </c>
      <c r="Q258" s="213">
        <v>2107958000</v>
      </c>
      <c r="R258" s="27" t="s">
        <v>619</v>
      </c>
      <c r="S258" s="27" t="s">
        <v>938</v>
      </c>
      <c r="T258" s="18" t="s">
        <v>939</v>
      </c>
      <c r="U258" s="27" t="s">
        <v>871</v>
      </c>
      <c r="V258" s="27" t="s">
        <v>826</v>
      </c>
      <c r="W258" s="30">
        <v>503.03</v>
      </c>
      <c r="X258" s="27">
        <v>24</v>
      </c>
      <c r="Y258" s="27" t="s">
        <v>940</v>
      </c>
      <c r="Z258" s="27">
        <v>22</v>
      </c>
      <c r="AA258" s="27" t="s">
        <v>942</v>
      </c>
      <c r="AB258" s="27" t="s">
        <v>943</v>
      </c>
      <c r="AC258" s="273">
        <v>2109663000</v>
      </c>
      <c r="AD258" s="27">
        <v>12887072081.636263</v>
      </c>
      <c r="AE258" s="228">
        <v>0.16370382555756896</v>
      </c>
      <c r="AF258" s="27">
        <v>2534500466.295404</v>
      </c>
      <c r="AG258" s="226">
        <v>0.83237822523805849</v>
      </c>
      <c r="AH258" s="226" t="s">
        <v>2842</v>
      </c>
      <c r="AI258" s="27">
        <v>478590000</v>
      </c>
      <c r="AJ258" s="226">
        <v>4.4080799849558074</v>
      </c>
      <c r="AK258" s="27">
        <v>113222224.50493185</v>
      </c>
      <c r="AL258" s="226">
        <v>18.632940743079157</v>
      </c>
      <c r="AM258" s="27" t="s">
        <v>2842</v>
      </c>
      <c r="AN258" s="271" t="s">
        <v>2842</v>
      </c>
      <c r="AO258" s="27">
        <v>12448175</v>
      </c>
      <c r="AP258" s="27" t="s">
        <v>2842</v>
      </c>
      <c r="AQ258" s="27">
        <v>50.700585365853662</v>
      </c>
      <c r="AR258" s="27">
        <v>90.2</v>
      </c>
      <c r="AS258" s="29" t="s">
        <v>2842</v>
      </c>
      <c r="AT258" s="270">
        <v>22</v>
      </c>
      <c r="AU258" s="464" t="s">
        <v>2842</v>
      </c>
      <c r="AV258" s="29">
        <v>-1.3280709279366301</v>
      </c>
      <c r="AW258" s="29">
        <v>-1.0650432341870599</v>
      </c>
      <c r="AX258" s="29">
        <v>-1.49279000067873</v>
      </c>
      <c r="AY258" s="29">
        <v>-1.0795600268782799</v>
      </c>
      <c r="AZ258" s="60">
        <v>-1.25043989711329</v>
      </c>
    </row>
    <row r="259" spans="1:52" s="29" customFormat="1" ht="15" customHeight="1">
      <c r="A259" s="59" t="s">
        <v>144</v>
      </c>
      <c r="B259" s="27">
        <v>2012</v>
      </c>
      <c r="C259" s="27" t="s">
        <v>133</v>
      </c>
      <c r="D259" s="39" t="s">
        <v>81</v>
      </c>
      <c r="E259" s="27" t="s">
        <v>98</v>
      </c>
      <c r="F259" s="41" t="s">
        <v>98</v>
      </c>
      <c r="G259" s="43">
        <v>36865000</v>
      </c>
      <c r="H259" s="43"/>
      <c r="I259" s="43"/>
      <c r="J259" s="43"/>
      <c r="K259" s="27" t="s">
        <v>603</v>
      </c>
      <c r="L259" s="28">
        <v>107.27185943041</v>
      </c>
      <c r="M259" s="27" t="s">
        <v>626</v>
      </c>
      <c r="N259" s="27" t="s">
        <v>921</v>
      </c>
      <c r="O259" s="18">
        <f>G259*L259</f>
        <v>3954577097.9020648</v>
      </c>
      <c r="P259" s="213">
        <v>2109663000</v>
      </c>
      <c r="Q259" s="213">
        <v>2105905000</v>
      </c>
      <c r="R259" s="27"/>
      <c r="S259" s="27"/>
      <c r="T259" s="18"/>
      <c r="U259" s="27"/>
      <c r="V259" s="27"/>
      <c r="W259" s="30"/>
      <c r="X259" s="27">
        <v>19</v>
      </c>
      <c r="Y259" s="27" t="s">
        <v>944</v>
      </c>
      <c r="Z259" s="27"/>
      <c r="AA259" s="27"/>
      <c r="AB259" s="27"/>
      <c r="AC259" s="273">
        <v>2109663000</v>
      </c>
      <c r="AD259" s="27">
        <v>12887072081.636263</v>
      </c>
      <c r="AE259" s="228">
        <v>0.16370382555756896</v>
      </c>
      <c r="AF259" s="27">
        <v>2534500466.295404</v>
      </c>
      <c r="AG259" s="226">
        <v>0.83237822523805849</v>
      </c>
      <c r="AH259" s="226" t="s">
        <v>2842</v>
      </c>
      <c r="AI259" s="27">
        <v>478590000</v>
      </c>
      <c r="AJ259" s="226">
        <v>4.4080799849558074</v>
      </c>
      <c r="AK259" s="27">
        <v>113222224.50493185</v>
      </c>
      <c r="AL259" s="226">
        <v>18.632940743079157</v>
      </c>
      <c r="AM259" s="27" t="s">
        <v>2842</v>
      </c>
      <c r="AN259" s="271" t="s">
        <v>2842</v>
      </c>
      <c r="AO259" s="27">
        <v>12448175</v>
      </c>
      <c r="AP259" s="27" t="s">
        <v>2842</v>
      </c>
      <c r="AQ259" s="27">
        <v>50.700585365853662</v>
      </c>
      <c r="AR259" s="27">
        <v>90.2</v>
      </c>
      <c r="AS259" s="29" t="s">
        <v>2842</v>
      </c>
      <c r="AT259" s="270">
        <v>22</v>
      </c>
      <c r="AU259" s="464" t="s">
        <v>2842</v>
      </c>
      <c r="AV259" s="29">
        <v>-1.3280709279366301</v>
      </c>
      <c r="AW259" s="29">
        <v>-1.0650432341870599</v>
      </c>
      <c r="AX259" s="29">
        <v>-1.49279000067873</v>
      </c>
      <c r="AY259" s="29">
        <v>-1.0795600268782799</v>
      </c>
      <c r="AZ259" s="60">
        <v>-1.25043989711329</v>
      </c>
    </row>
    <row r="260" spans="1:52" s="232" customFormat="1" ht="15" customHeight="1" thickBot="1">
      <c r="A260" s="360" t="s">
        <v>144</v>
      </c>
      <c r="B260" s="230">
        <v>2012</v>
      </c>
      <c r="C260" s="230" t="s">
        <v>133</v>
      </c>
      <c r="D260" s="323" t="s">
        <v>81</v>
      </c>
      <c r="E260" s="230" t="s">
        <v>19</v>
      </c>
      <c r="F260" s="324" t="s">
        <v>924</v>
      </c>
      <c r="G260" s="297"/>
      <c r="H260" s="297"/>
      <c r="I260" s="297"/>
      <c r="J260" s="297"/>
      <c r="K260" s="230"/>
      <c r="L260" s="298"/>
      <c r="M260" s="230"/>
      <c r="N260" s="230"/>
      <c r="O260" s="285"/>
      <c r="P260" s="299"/>
      <c r="Q260" s="299">
        <f>2053000</f>
        <v>2053000</v>
      </c>
      <c r="R260" s="230"/>
      <c r="S260" s="230"/>
      <c r="T260" s="285"/>
      <c r="U260" s="230"/>
      <c r="V260" s="230"/>
      <c r="W260" s="300"/>
      <c r="X260" s="230"/>
      <c r="Y260" s="230"/>
      <c r="Z260" s="230"/>
      <c r="AA260" s="230"/>
      <c r="AB260" s="230" t="s">
        <v>884</v>
      </c>
      <c r="AC260" s="274">
        <v>2109663000</v>
      </c>
      <c r="AD260" s="230">
        <v>12887072081.636263</v>
      </c>
      <c r="AE260" s="229">
        <v>0.16370382555756896</v>
      </c>
      <c r="AF260" s="230">
        <v>2534500466.295404</v>
      </c>
      <c r="AG260" s="231">
        <v>0.83237822523805849</v>
      </c>
      <c r="AH260" s="231" t="s">
        <v>2842</v>
      </c>
      <c r="AI260" s="230">
        <v>478590000</v>
      </c>
      <c r="AJ260" s="231">
        <v>4.4080799849558074</v>
      </c>
      <c r="AK260" s="230">
        <v>113222224.50493185</v>
      </c>
      <c r="AL260" s="231">
        <v>18.632940743079157</v>
      </c>
      <c r="AM260" s="230" t="s">
        <v>2842</v>
      </c>
      <c r="AN260" s="275" t="s">
        <v>2842</v>
      </c>
      <c r="AO260" s="230">
        <v>12448175</v>
      </c>
      <c r="AP260" s="230" t="s">
        <v>2842</v>
      </c>
      <c r="AQ260" s="230">
        <v>50.700585365853662</v>
      </c>
      <c r="AR260" s="230">
        <v>90.2</v>
      </c>
      <c r="AS260" s="232" t="s">
        <v>2842</v>
      </c>
      <c r="AT260" s="276">
        <v>22</v>
      </c>
      <c r="AU260" s="466" t="s">
        <v>2842</v>
      </c>
      <c r="AV260" s="232">
        <v>-1.3280709279366301</v>
      </c>
      <c r="AW260" s="232">
        <v>-1.0650432341870599</v>
      </c>
      <c r="AX260" s="232">
        <v>-1.49279000067873</v>
      </c>
      <c r="AY260" s="232">
        <v>-1.0795600268782799</v>
      </c>
      <c r="AZ260" s="293">
        <v>-1.25043989711329</v>
      </c>
    </row>
    <row r="261" spans="1:52" ht="15" customHeight="1">
      <c r="A261" s="63" t="s">
        <v>147</v>
      </c>
      <c r="B261" s="27">
        <v>2006</v>
      </c>
      <c r="C261" s="27" t="s">
        <v>3542</v>
      </c>
      <c r="D261" s="27" t="s">
        <v>81</v>
      </c>
      <c r="E261" s="27" t="s">
        <v>50</v>
      </c>
      <c r="F261" s="41" t="s">
        <v>659</v>
      </c>
      <c r="G261" s="43"/>
      <c r="H261" s="43"/>
      <c r="I261" s="43"/>
      <c r="J261" s="43"/>
      <c r="K261" s="27"/>
      <c r="L261" s="28"/>
      <c r="M261" s="27"/>
      <c r="N261" s="27"/>
      <c r="O261" s="18">
        <f>SUM(O262:O263)</f>
        <v>1817411656.9384499</v>
      </c>
      <c r="P261" s="213">
        <v>84482680</v>
      </c>
      <c r="Q261" s="213">
        <v>69730440</v>
      </c>
      <c r="R261" s="27" t="s">
        <v>3693</v>
      </c>
      <c r="S261" s="27"/>
      <c r="T261" s="18"/>
      <c r="U261" s="27" t="s">
        <v>820</v>
      </c>
      <c r="V261" s="27"/>
      <c r="W261" s="30">
        <v>522.89</v>
      </c>
      <c r="X261" s="27"/>
      <c r="Y261" s="27"/>
      <c r="Z261" s="27">
        <v>5</v>
      </c>
      <c r="AA261" s="27"/>
      <c r="AB261" s="27"/>
      <c r="AC261" s="273">
        <v>84482680</v>
      </c>
      <c r="AD261" s="27">
        <v>17800887469.314571</v>
      </c>
      <c r="AE261" s="228">
        <v>4.7459813532124435E-3</v>
      </c>
      <c r="AF261" s="27">
        <v>3169982040.5355387</v>
      </c>
      <c r="AG261" s="226">
        <v>2.6650838686053707E-2</v>
      </c>
      <c r="AH261" s="226" t="s">
        <v>2842</v>
      </c>
      <c r="AI261" s="27">
        <v>247140000</v>
      </c>
      <c r="AJ261" s="226">
        <v>0.34184138544954279</v>
      </c>
      <c r="AK261" s="27">
        <v>247844833.57979783</v>
      </c>
      <c r="AL261" s="226">
        <v>0.34086923975681493</v>
      </c>
      <c r="AM261" s="27">
        <v>750754209.10708892</v>
      </c>
      <c r="AN261" s="271">
        <v>0.11253041138521175</v>
      </c>
      <c r="AO261" s="27">
        <v>17662417</v>
      </c>
      <c r="AP261" s="27" t="s">
        <v>2842</v>
      </c>
      <c r="AQ261" s="27">
        <v>47.742658536585374</v>
      </c>
      <c r="AR261" s="27">
        <v>86.6</v>
      </c>
      <c r="AS261" s="29" t="s">
        <v>2842</v>
      </c>
      <c r="AT261" s="270" t="s">
        <v>2842</v>
      </c>
      <c r="AU261" s="464" t="s">
        <v>2842</v>
      </c>
      <c r="AV261" s="29" t="s">
        <v>2842</v>
      </c>
      <c r="AW261" s="29" t="s">
        <v>2842</v>
      </c>
      <c r="AX261" s="29" t="s">
        <v>2842</v>
      </c>
      <c r="AY261" s="29" t="s">
        <v>2842</v>
      </c>
      <c r="AZ261" s="60" t="s">
        <v>2842</v>
      </c>
    </row>
    <row r="262" spans="1:52" ht="15" customHeight="1">
      <c r="A262" s="63" t="s">
        <v>147</v>
      </c>
      <c r="B262" s="27">
        <v>2006</v>
      </c>
      <c r="C262" s="27" t="s">
        <v>3542</v>
      </c>
      <c r="D262" s="27" t="s">
        <v>81</v>
      </c>
      <c r="E262" s="27" t="s">
        <v>552</v>
      </c>
      <c r="F262" s="41" t="s">
        <v>552</v>
      </c>
      <c r="G262" s="43">
        <f>46000000000*0.0283168</f>
        <v>1302572800</v>
      </c>
      <c r="H262" s="43"/>
      <c r="I262" s="43"/>
      <c r="J262" s="43"/>
      <c r="K262" s="27" t="s">
        <v>599</v>
      </c>
      <c r="L262" s="28">
        <v>0.243474</v>
      </c>
      <c r="M262" s="27" t="s">
        <v>600</v>
      </c>
      <c r="N262" s="27" t="s">
        <v>816</v>
      </c>
      <c r="O262" s="18">
        <f>G262*L262</f>
        <v>317142609.90719998</v>
      </c>
      <c r="P262" s="213"/>
      <c r="Q262" s="213"/>
      <c r="R262" s="27"/>
      <c r="S262" s="27"/>
      <c r="T262" s="18"/>
      <c r="U262" s="27"/>
      <c r="V262" s="27"/>
      <c r="W262" s="30"/>
      <c r="X262" s="27"/>
      <c r="Y262" s="27"/>
      <c r="Z262" s="27"/>
      <c r="AA262" s="27"/>
      <c r="AB262" s="27"/>
      <c r="AC262" s="273">
        <v>84482680</v>
      </c>
      <c r="AD262" s="27">
        <v>17800887469.314571</v>
      </c>
      <c r="AE262" s="228">
        <v>4.7459813532124435E-3</v>
      </c>
      <c r="AF262" s="27">
        <v>3169982040.5355387</v>
      </c>
      <c r="AG262" s="226">
        <v>2.6650838686053707E-2</v>
      </c>
      <c r="AH262" s="226" t="s">
        <v>2842</v>
      </c>
      <c r="AI262" s="27">
        <v>247140000</v>
      </c>
      <c r="AJ262" s="226">
        <v>0.34184138544954279</v>
      </c>
      <c r="AK262" s="27">
        <v>247844833.57979783</v>
      </c>
      <c r="AL262" s="226">
        <v>0.34086923975681493</v>
      </c>
      <c r="AM262" s="27">
        <v>750754209.10708892</v>
      </c>
      <c r="AN262" s="271">
        <v>0.11253041138521175</v>
      </c>
      <c r="AO262" s="27">
        <v>17662417</v>
      </c>
      <c r="AP262" s="27" t="s">
        <v>2842</v>
      </c>
      <c r="AQ262" s="27">
        <v>47.742658536585374</v>
      </c>
      <c r="AR262" s="27">
        <v>86.6</v>
      </c>
      <c r="AS262" s="29" t="s">
        <v>2842</v>
      </c>
      <c r="AT262" s="270" t="s">
        <v>2842</v>
      </c>
      <c r="AU262" s="464" t="s">
        <v>2842</v>
      </c>
      <c r="AV262" s="29" t="s">
        <v>2842</v>
      </c>
      <c r="AW262" s="29" t="s">
        <v>2842</v>
      </c>
      <c r="AX262" s="29" t="s">
        <v>2842</v>
      </c>
      <c r="AY262" s="29" t="s">
        <v>2842</v>
      </c>
      <c r="AZ262" s="60" t="s">
        <v>2842</v>
      </c>
    </row>
    <row r="263" spans="1:52" s="287" customFormat="1" ht="15" customHeight="1">
      <c r="A263" s="359" t="s">
        <v>147</v>
      </c>
      <c r="B263" s="284">
        <v>2006</v>
      </c>
      <c r="C263" s="284" t="s">
        <v>3542</v>
      </c>
      <c r="D263" s="284" t="s">
        <v>81</v>
      </c>
      <c r="E263" s="284" t="s">
        <v>98</v>
      </c>
      <c r="F263" s="315" t="s">
        <v>98</v>
      </c>
      <c r="G263" s="303">
        <v>23104500</v>
      </c>
      <c r="H263" s="365"/>
      <c r="I263" s="365"/>
      <c r="J263" s="365"/>
      <c r="K263" s="284" t="s">
        <v>603</v>
      </c>
      <c r="L263" s="304">
        <v>64.934062499999996</v>
      </c>
      <c r="M263" s="284" t="s">
        <v>626</v>
      </c>
      <c r="N263" s="284" t="s">
        <v>947</v>
      </c>
      <c r="O263" s="305">
        <f>G263*L263</f>
        <v>1500269047.03125</v>
      </c>
      <c r="P263" s="306"/>
      <c r="Q263" s="306"/>
      <c r="R263" s="284"/>
      <c r="S263" s="284"/>
      <c r="T263" s="305"/>
      <c r="U263" s="284"/>
      <c r="V263" s="284"/>
      <c r="W263" s="307"/>
      <c r="X263" s="284"/>
      <c r="Y263" s="284"/>
      <c r="Z263" s="284"/>
      <c r="AA263" s="284"/>
      <c r="AB263" s="284"/>
      <c r="AC263" s="308">
        <v>84482680</v>
      </c>
      <c r="AD263" s="284">
        <v>17800887469.314571</v>
      </c>
      <c r="AE263" s="309">
        <v>4.7459813532124435E-3</v>
      </c>
      <c r="AF263" s="284">
        <v>3169982040.5355387</v>
      </c>
      <c r="AG263" s="310">
        <v>2.6650838686053707E-2</v>
      </c>
      <c r="AH263" s="310" t="s">
        <v>2842</v>
      </c>
      <c r="AI263" s="284">
        <v>247140000</v>
      </c>
      <c r="AJ263" s="310">
        <v>0.34184138544954279</v>
      </c>
      <c r="AK263" s="284">
        <v>247844833.57979783</v>
      </c>
      <c r="AL263" s="310">
        <v>0.34086923975681493</v>
      </c>
      <c r="AM263" s="284">
        <v>750754209.10708892</v>
      </c>
      <c r="AN263" s="311">
        <v>0.11253041138521175</v>
      </c>
      <c r="AO263" s="284">
        <v>17662417</v>
      </c>
      <c r="AP263" s="284" t="s">
        <v>2842</v>
      </c>
      <c r="AQ263" s="284">
        <v>47.742658536585374</v>
      </c>
      <c r="AR263" s="284">
        <v>86.6</v>
      </c>
      <c r="AS263" s="287" t="s">
        <v>2842</v>
      </c>
      <c r="AT263" s="312" t="s">
        <v>2842</v>
      </c>
      <c r="AU263" s="465" t="s">
        <v>2842</v>
      </c>
      <c r="AV263" s="287" t="s">
        <v>2842</v>
      </c>
      <c r="AW263" s="287" t="s">
        <v>2842</v>
      </c>
      <c r="AX263" s="287" t="s">
        <v>2842</v>
      </c>
      <c r="AY263" s="287" t="s">
        <v>2842</v>
      </c>
      <c r="AZ263" s="313" t="s">
        <v>2842</v>
      </c>
    </row>
    <row r="264" spans="1:52" s="29" customFormat="1" ht="15" customHeight="1">
      <c r="A264" s="347" t="s">
        <v>151</v>
      </c>
      <c r="B264" s="27">
        <v>2007</v>
      </c>
      <c r="C264" s="27" t="s">
        <v>3542</v>
      </c>
      <c r="D264" s="27" t="s">
        <v>81</v>
      </c>
      <c r="E264" s="27" t="s">
        <v>50</v>
      </c>
      <c r="F264" s="41" t="s">
        <v>659</v>
      </c>
      <c r="G264" s="43"/>
      <c r="H264" s="43"/>
      <c r="I264" s="43"/>
      <c r="J264" s="43"/>
      <c r="K264" s="27"/>
      <c r="L264" s="28"/>
      <c r="M264" s="27"/>
      <c r="N264" s="27"/>
      <c r="O264" s="18">
        <f>SUM(O265:O266)</f>
        <v>1731008332.1887999</v>
      </c>
      <c r="P264" s="213">
        <v>121454480.00000001</v>
      </c>
      <c r="Q264" s="213">
        <v>95440290.000000015</v>
      </c>
      <c r="R264" s="27" t="s">
        <v>3693</v>
      </c>
      <c r="S264" s="27"/>
      <c r="T264" s="18"/>
      <c r="U264" s="27" t="s">
        <v>820</v>
      </c>
      <c r="V264" s="27"/>
      <c r="W264" s="30">
        <v>522.89</v>
      </c>
      <c r="X264" s="27"/>
      <c r="Y264" s="27"/>
      <c r="Z264" s="27">
        <v>5</v>
      </c>
      <c r="AA264" s="27"/>
      <c r="AB264" s="27"/>
      <c r="AC264" s="273">
        <v>121454480.00000001</v>
      </c>
      <c r="AD264" s="27">
        <v>20343636058.732971</v>
      </c>
      <c r="AE264" s="228">
        <v>5.9701461257641256E-3</v>
      </c>
      <c r="AF264" s="27">
        <v>3766420779.9138222</v>
      </c>
      <c r="AG264" s="226">
        <v>3.2246657263498575E-2</v>
      </c>
      <c r="AH264" s="226" t="s">
        <v>2842</v>
      </c>
      <c r="AI264" s="27">
        <v>171080000</v>
      </c>
      <c r="AJ264" s="226">
        <v>0.70992798690671044</v>
      </c>
      <c r="AK264" s="27">
        <v>298592833.54204965</v>
      </c>
      <c r="AL264" s="226">
        <v>0.4067561788380834</v>
      </c>
      <c r="AM264" s="27">
        <v>898450239.80706537</v>
      </c>
      <c r="AN264" s="271">
        <v>0.13518219999148906</v>
      </c>
      <c r="AO264" s="27">
        <v>17949061</v>
      </c>
      <c r="AP264" s="27" t="s">
        <v>2842</v>
      </c>
      <c r="AQ264" s="27">
        <v>48.273707317073168</v>
      </c>
      <c r="AR264" s="27">
        <v>84</v>
      </c>
      <c r="AS264" s="29" t="s">
        <v>2842</v>
      </c>
      <c r="AT264" s="270" t="s">
        <v>2842</v>
      </c>
      <c r="AU264" s="464" t="s">
        <v>2842</v>
      </c>
      <c r="AV264" s="29" t="s">
        <v>2842</v>
      </c>
      <c r="AW264" s="29" t="s">
        <v>2842</v>
      </c>
      <c r="AX264" s="29" t="s">
        <v>2842</v>
      </c>
      <c r="AY264" s="29" t="s">
        <v>2842</v>
      </c>
      <c r="AZ264" s="60" t="s">
        <v>2842</v>
      </c>
    </row>
    <row r="265" spans="1:52" s="29" customFormat="1" ht="15" customHeight="1">
      <c r="A265" s="63" t="s">
        <v>151</v>
      </c>
      <c r="B265" s="27">
        <v>2007</v>
      </c>
      <c r="C265" s="27" t="s">
        <v>3542</v>
      </c>
      <c r="D265" s="27" t="s">
        <v>81</v>
      </c>
      <c r="E265" s="27" t="s">
        <v>552</v>
      </c>
      <c r="F265" s="41" t="s">
        <v>552</v>
      </c>
      <c r="G265" s="43">
        <f>53000000000*0.0283168</f>
        <v>1500790400</v>
      </c>
      <c r="H265" s="43"/>
      <c r="I265" s="43"/>
      <c r="J265" s="43"/>
      <c r="K265" s="27" t="s">
        <v>599</v>
      </c>
      <c r="L265" s="28">
        <v>0.22764700000000004</v>
      </c>
      <c r="M265" s="27" t="s">
        <v>600</v>
      </c>
      <c r="N265" s="27" t="s">
        <v>816</v>
      </c>
      <c r="O265" s="18">
        <f>G265*L265</f>
        <v>341650432.18880004</v>
      </c>
      <c r="P265" s="213"/>
      <c r="Q265" s="213"/>
      <c r="R265" s="27"/>
      <c r="S265" s="27"/>
      <c r="T265" s="18"/>
      <c r="U265" s="27"/>
      <c r="V265" s="27"/>
      <c r="W265" s="30"/>
      <c r="X265" s="27"/>
      <c r="Y265" s="27"/>
      <c r="Z265" s="27"/>
      <c r="AA265" s="27"/>
      <c r="AB265" s="27"/>
      <c r="AC265" s="273">
        <v>121454480.00000001</v>
      </c>
      <c r="AD265" s="27">
        <v>20343636058.732971</v>
      </c>
      <c r="AE265" s="228">
        <v>5.9701461257641256E-3</v>
      </c>
      <c r="AF265" s="27">
        <v>3766420779.9138222</v>
      </c>
      <c r="AG265" s="226">
        <v>3.2246657263498575E-2</v>
      </c>
      <c r="AH265" s="226" t="s">
        <v>2842</v>
      </c>
      <c r="AI265" s="27">
        <v>171080000</v>
      </c>
      <c r="AJ265" s="226">
        <v>0.70992798690671044</v>
      </c>
      <c r="AK265" s="27">
        <v>298592833.54204965</v>
      </c>
      <c r="AL265" s="226">
        <v>0.4067561788380834</v>
      </c>
      <c r="AM265" s="27">
        <v>898450239.80706537</v>
      </c>
      <c r="AN265" s="271">
        <v>0.13518219999148906</v>
      </c>
      <c r="AO265" s="27">
        <v>17949061</v>
      </c>
      <c r="AP265" s="27" t="s">
        <v>2842</v>
      </c>
      <c r="AQ265" s="27">
        <v>48.273707317073168</v>
      </c>
      <c r="AR265" s="27">
        <v>84</v>
      </c>
      <c r="AS265" s="29" t="s">
        <v>2842</v>
      </c>
      <c r="AT265" s="270" t="s">
        <v>2842</v>
      </c>
      <c r="AU265" s="464" t="s">
        <v>2842</v>
      </c>
      <c r="AV265" s="29" t="s">
        <v>2842</v>
      </c>
      <c r="AW265" s="29" t="s">
        <v>2842</v>
      </c>
      <c r="AX265" s="29" t="s">
        <v>2842</v>
      </c>
      <c r="AY265" s="29" t="s">
        <v>2842</v>
      </c>
      <c r="AZ265" s="60" t="s">
        <v>2842</v>
      </c>
    </row>
    <row r="266" spans="1:52" s="287" customFormat="1" ht="15" customHeight="1">
      <c r="A266" s="359" t="s">
        <v>151</v>
      </c>
      <c r="B266" s="284">
        <v>2007</v>
      </c>
      <c r="C266" s="284" t="s">
        <v>3542</v>
      </c>
      <c r="D266" s="284" t="s">
        <v>81</v>
      </c>
      <c r="E266" s="284" t="s">
        <v>98</v>
      </c>
      <c r="F266" s="315" t="s">
        <v>98</v>
      </c>
      <c r="G266" s="303">
        <v>19345000</v>
      </c>
      <c r="H266" s="303"/>
      <c r="I266" s="303"/>
      <c r="J266" s="303"/>
      <c r="K266" s="284" t="s">
        <v>603</v>
      </c>
      <c r="L266" s="304">
        <v>71.819999999999993</v>
      </c>
      <c r="M266" s="284" t="s">
        <v>626</v>
      </c>
      <c r="N266" s="284" t="s">
        <v>947</v>
      </c>
      <c r="O266" s="305">
        <f>G266*L266</f>
        <v>1389357899.9999998</v>
      </c>
      <c r="P266" s="306"/>
      <c r="Q266" s="306"/>
      <c r="R266" s="284"/>
      <c r="S266" s="284"/>
      <c r="T266" s="305"/>
      <c r="U266" s="284"/>
      <c r="V266" s="284"/>
      <c r="W266" s="307"/>
      <c r="X266" s="284"/>
      <c r="Y266" s="284"/>
      <c r="Z266" s="284"/>
      <c r="AA266" s="284"/>
      <c r="AB266" s="284"/>
      <c r="AC266" s="308">
        <v>121454480.00000001</v>
      </c>
      <c r="AD266" s="284">
        <v>20343636058.732971</v>
      </c>
      <c r="AE266" s="309">
        <v>5.9701461257641256E-3</v>
      </c>
      <c r="AF266" s="284">
        <v>3766420779.9138222</v>
      </c>
      <c r="AG266" s="310">
        <v>3.2246657263498575E-2</v>
      </c>
      <c r="AH266" s="310" t="s">
        <v>2842</v>
      </c>
      <c r="AI266" s="284">
        <v>171080000</v>
      </c>
      <c r="AJ266" s="310">
        <v>0.70992798690671044</v>
      </c>
      <c r="AK266" s="284">
        <v>298592833.54204965</v>
      </c>
      <c r="AL266" s="310">
        <v>0.4067561788380834</v>
      </c>
      <c r="AM266" s="284">
        <v>898450239.80706537</v>
      </c>
      <c r="AN266" s="311">
        <v>0.13518219999148906</v>
      </c>
      <c r="AO266" s="284">
        <v>17949061</v>
      </c>
      <c r="AP266" s="284" t="s">
        <v>2842</v>
      </c>
      <c r="AQ266" s="284">
        <v>48.273707317073168</v>
      </c>
      <c r="AR266" s="284">
        <v>84</v>
      </c>
      <c r="AS266" s="287" t="s">
        <v>2842</v>
      </c>
      <c r="AT266" s="312" t="s">
        <v>2842</v>
      </c>
      <c r="AU266" s="465" t="s">
        <v>2842</v>
      </c>
      <c r="AV266" s="287" t="s">
        <v>2842</v>
      </c>
      <c r="AW266" s="287" t="s">
        <v>2842</v>
      </c>
      <c r="AX266" s="287" t="s">
        <v>2842</v>
      </c>
      <c r="AY266" s="287" t="s">
        <v>2842</v>
      </c>
      <c r="AZ266" s="313" t="s">
        <v>2842</v>
      </c>
    </row>
    <row r="267" spans="1:52" ht="15" customHeight="1">
      <c r="A267" s="347" t="s">
        <v>153</v>
      </c>
      <c r="B267" s="27">
        <v>2008</v>
      </c>
      <c r="C267" s="27" t="s">
        <v>3542</v>
      </c>
      <c r="D267" s="27" t="s">
        <v>81</v>
      </c>
      <c r="E267" s="27" t="s">
        <v>30</v>
      </c>
      <c r="F267" s="41" t="s">
        <v>659</v>
      </c>
      <c r="G267" s="43"/>
      <c r="H267" s="43"/>
      <c r="I267" s="43"/>
      <c r="J267" s="43"/>
      <c r="K267" s="27"/>
      <c r="L267" s="28"/>
      <c r="M267" s="27"/>
      <c r="N267" s="27"/>
      <c r="O267" s="18">
        <f>O268+O271</f>
        <v>2763700686.6851001</v>
      </c>
      <c r="P267" s="213">
        <v>594748911.30207145</v>
      </c>
      <c r="Q267" s="213">
        <v>665559303.05941272</v>
      </c>
      <c r="R267" s="27" t="s">
        <v>3693</v>
      </c>
      <c r="S267" s="42"/>
      <c r="T267" s="18"/>
      <c r="U267" s="27" t="s">
        <v>948</v>
      </c>
      <c r="V267" s="27" t="s">
        <v>778</v>
      </c>
      <c r="W267" s="30">
        <v>439.3</v>
      </c>
      <c r="X267" s="27">
        <v>22</v>
      </c>
      <c r="Y267" s="27" t="s">
        <v>949</v>
      </c>
      <c r="Z267" s="27">
        <v>17</v>
      </c>
      <c r="AA267" s="27" t="s">
        <v>950</v>
      </c>
      <c r="AB267" s="27" t="s">
        <v>951</v>
      </c>
      <c r="AC267" s="273">
        <v>594748911</v>
      </c>
      <c r="AD267" s="27">
        <v>24224905503.655437</v>
      </c>
      <c r="AE267" s="228">
        <v>2.4551134406293345E-2</v>
      </c>
      <c r="AF267" s="27">
        <v>4258496138.4875894</v>
      </c>
      <c r="AG267" s="226">
        <v>0.13966172368333435</v>
      </c>
      <c r="AH267" s="226" t="s">
        <v>2842</v>
      </c>
      <c r="AI267" s="27">
        <v>625670000</v>
      </c>
      <c r="AJ267" s="226">
        <v>0.95057923665830235</v>
      </c>
      <c r="AK267" s="27">
        <v>383129025.35603434</v>
      </c>
      <c r="AL267" s="226">
        <v>1.5523462636309306</v>
      </c>
      <c r="AM267" s="27">
        <v>1115069977.8427093</v>
      </c>
      <c r="AN267" s="271">
        <v>0.53337362032707758</v>
      </c>
      <c r="AO267" s="27">
        <v>18260044</v>
      </c>
      <c r="AP267" s="27">
        <v>42.7</v>
      </c>
      <c r="AQ267" s="27">
        <v>48.78663414634147</v>
      </c>
      <c r="AR267" s="27">
        <v>81.5</v>
      </c>
      <c r="AS267" s="29" t="s">
        <v>2842</v>
      </c>
      <c r="AT267" s="270" t="s">
        <v>2842</v>
      </c>
      <c r="AU267" s="464" t="s">
        <v>2842</v>
      </c>
      <c r="AV267" s="29" t="s">
        <v>2842</v>
      </c>
      <c r="AW267" s="29" t="s">
        <v>2842</v>
      </c>
      <c r="AX267" s="29" t="s">
        <v>2842</v>
      </c>
      <c r="AY267" s="29" t="s">
        <v>2842</v>
      </c>
      <c r="AZ267" s="60" t="s">
        <v>2842</v>
      </c>
    </row>
    <row r="268" spans="1:52" ht="15" customHeight="1">
      <c r="A268" s="63" t="s">
        <v>153</v>
      </c>
      <c r="B268" s="27">
        <v>2008</v>
      </c>
      <c r="C268" s="33" t="s">
        <v>3542</v>
      </c>
      <c r="D268" s="27" t="s">
        <v>81</v>
      </c>
      <c r="E268" s="27" t="s">
        <v>50</v>
      </c>
      <c r="F268" s="41" t="s">
        <v>597</v>
      </c>
      <c r="G268" s="43"/>
      <c r="H268" s="43"/>
      <c r="I268" s="43"/>
      <c r="J268" s="43"/>
      <c r="K268" s="27"/>
      <c r="L268" s="28"/>
      <c r="M268" s="27"/>
      <c r="N268" s="27"/>
      <c r="O268" s="18">
        <f>SUM(O269:O270)</f>
        <v>2679258279.0081</v>
      </c>
      <c r="P268" s="213">
        <v>589778446.23719549</v>
      </c>
      <c r="Q268" s="213">
        <v>660341840.62371957</v>
      </c>
      <c r="R268" s="27"/>
      <c r="S268" s="42"/>
      <c r="T268" s="18"/>
      <c r="U268" s="27"/>
      <c r="V268" s="27"/>
      <c r="W268" s="30"/>
      <c r="X268" s="27"/>
      <c r="Y268" s="27"/>
      <c r="Z268" s="27"/>
      <c r="AA268" s="27"/>
      <c r="AB268" s="27"/>
      <c r="AC268" s="273">
        <v>594748911</v>
      </c>
      <c r="AD268" s="27">
        <v>24224905503.655437</v>
      </c>
      <c r="AE268" s="228">
        <v>2.4551134406293345E-2</v>
      </c>
      <c r="AF268" s="27">
        <v>4258496138.4875894</v>
      </c>
      <c r="AG268" s="226">
        <v>0.13966172368333435</v>
      </c>
      <c r="AH268" s="226" t="s">
        <v>2842</v>
      </c>
      <c r="AI268" s="27">
        <v>625670000</v>
      </c>
      <c r="AJ268" s="226">
        <v>0.95057923665830235</v>
      </c>
      <c r="AK268" s="27">
        <v>383129025.35603434</v>
      </c>
      <c r="AL268" s="226">
        <v>1.5523462636309306</v>
      </c>
      <c r="AM268" s="27">
        <v>1115069977.8427093</v>
      </c>
      <c r="AN268" s="271">
        <v>0.53337362032707758</v>
      </c>
      <c r="AO268" s="27">
        <v>18260044</v>
      </c>
      <c r="AP268" s="27">
        <v>42.7</v>
      </c>
      <c r="AQ268" s="27">
        <v>48.78663414634147</v>
      </c>
      <c r="AR268" s="27">
        <v>81.5</v>
      </c>
      <c r="AS268" s="29" t="s">
        <v>2842</v>
      </c>
      <c r="AT268" s="270" t="s">
        <v>2842</v>
      </c>
      <c r="AU268" s="464" t="s">
        <v>2842</v>
      </c>
      <c r="AV268" s="29" t="s">
        <v>2842</v>
      </c>
      <c r="AW268" s="29" t="s">
        <v>2842</v>
      </c>
      <c r="AX268" s="29" t="s">
        <v>2842</v>
      </c>
      <c r="AY268" s="29" t="s">
        <v>2842</v>
      </c>
      <c r="AZ268" s="60" t="s">
        <v>2842</v>
      </c>
    </row>
    <row r="269" spans="1:52" ht="15" customHeight="1">
      <c r="A269" s="63" t="s">
        <v>153</v>
      </c>
      <c r="B269" s="27">
        <v>2008</v>
      </c>
      <c r="C269" s="33" t="s">
        <v>3542</v>
      </c>
      <c r="D269" s="27" t="s">
        <v>81</v>
      </c>
      <c r="E269" s="27" t="s">
        <v>552</v>
      </c>
      <c r="F269" s="41" t="s">
        <v>552</v>
      </c>
      <c r="G269" s="43">
        <f>57000000000*0.0283168</f>
        <v>1614057600</v>
      </c>
      <c r="H269" s="43"/>
      <c r="I269" s="43"/>
      <c r="J269" s="43"/>
      <c r="K269" s="27" t="s">
        <v>599</v>
      </c>
      <c r="L269" s="28">
        <v>0.32879700000000006</v>
      </c>
      <c r="M269" s="27" t="s">
        <v>600</v>
      </c>
      <c r="N269" s="27" t="s">
        <v>816</v>
      </c>
      <c r="O269" s="18">
        <f>G269*L269</f>
        <v>530697296.70720011</v>
      </c>
      <c r="P269" s="213"/>
      <c r="Q269" s="213"/>
      <c r="R269" s="27"/>
      <c r="S269" s="42">
        <f>(28495000000+10968000000)*0.0283168</f>
        <v>1117465878.4000001</v>
      </c>
      <c r="T269" s="18" t="s">
        <v>871</v>
      </c>
      <c r="U269" s="27"/>
      <c r="V269" s="27"/>
      <c r="W269" s="30"/>
      <c r="X269" s="27"/>
      <c r="Y269" s="27"/>
      <c r="Z269" s="27"/>
      <c r="AA269" s="27"/>
      <c r="AB269" s="27" t="s">
        <v>952</v>
      </c>
      <c r="AC269" s="273">
        <v>594748911</v>
      </c>
      <c r="AD269" s="27">
        <v>24224905503.655437</v>
      </c>
      <c r="AE269" s="228">
        <v>2.4551134406293345E-2</v>
      </c>
      <c r="AF269" s="27">
        <v>4258496138.4875894</v>
      </c>
      <c r="AG269" s="226">
        <v>0.13966172368333435</v>
      </c>
      <c r="AH269" s="226" t="s">
        <v>2842</v>
      </c>
      <c r="AI269" s="27">
        <v>625670000</v>
      </c>
      <c r="AJ269" s="226">
        <v>0.95057923665830235</v>
      </c>
      <c r="AK269" s="27">
        <v>383129025.35603434</v>
      </c>
      <c r="AL269" s="226">
        <v>1.5523462636309306</v>
      </c>
      <c r="AM269" s="27">
        <v>1115069977.8427093</v>
      </c>
      <c r="AN269" s="271">
        <v>0.53337362032707758</v>
      </c>
      <c r="AO269" s="27">
        <v>18260044</v>
      </c>
      <c r="AP269" s="27">
        <v>42.7</v>
      </c>
      <c r="AQ269" s="27">
        <v>48.78663414634147</v>
      </c>
      <c r="AR269" s="27">
        <v>81.5</v>
      </c>
      <c r="AS269" s="29" t="s">
        <v>2842</v>
      </c>
      <c r="AT269" s="270" t="s">
        <v>2842</v>
      </c>
      <c r="AU269" s="464" t="s">
        <v>2842</v>
      </c>
      <c r="AV269" s="29" t="s">
        <v>2842</v>
      </c>
      <c r="AW269" s="29" t="s">
        <v>2842</v>
      </c>
      <c r="AX269" s="29" t="s">
        <v>2842</v>
      </c>
      <c r="AY269" s="29" t="s">
        <v>2842</v>
      </c>
      <c r="AZ269" s="60" t="s">
        <v>2842</v>
      </c>
    </row>
    <row r="270" spans="1:52" ht="15" customHeight="1">
      <c r="A270" s="63" t="s">
        <v>153</v>
      </c>
      <c r="B270" s="27">
        <v>2008</v>
      </c>
      <c r="C270" s="33" t="s">
        <v>3542</v>
      </c>
      <c r="D270" s="27" t="s">
        <v>81</v>
      </c>
      <c r="E270" s="27" t="s">
        <v>98</v>
      </c>
      <c r="F270" s="41" t="s">
        <v>98</v>
      </c>
      <c r="G270" s="43">
        <v>21863500</v>
      </c>
      <c r="H270" s="43"/>
      <c r="I270" s="43"/>
      <c r="J270" s="43"/>
      <c r="K270" s="27" t="s">
        <v>603</v>
      </c>
      <c r="L270" s="28">
        <v>98.2715934</v>
      </c>
      <c r="M270" s="27" t="s">
        <v>626</v>
      </c>
      <c r="N270" s="27" t="s">
        <v>947</v>
      </c>
      <c r="O270" s="18">
        <f>G270*L270</f>
        <v>2148560982.3009</v>
      </c>
      <c r="P270" s="213"/>
      <c r="Q270" s="213"/>
      <c r="R270" s="27"/>
      <c r="S270" s="42">
        <f>4873983+803594</f>
        <v>5677577</v>
      </c>
      <c r="T270" s="18" t="s">
        <v>871</v>
      </c>
      <c r="U270" s="27"/>
      <c r="V270" s="27"/>
      <c r="W270" s="30"/>
      <c r="X270" s="27"/>
      <c r="Y270" s="27"/>
      <c r="Z270" s="27"/>
      <c r="AA270" s="27"/>
      <c r="AB270" s="27" t="s">
        <v>953</v>
      </c>
      <c r="AC270" s="273">
        <v>594748911</v>
      </c>
      <c r="AD270" s="27">
        <v>24224905503.655437</v>
      </c>
      <c r="AE270" s="228">
        <v>2.4551134406293345E-2</v>
      </c>
      <c r="AF270" s="27">
        <v>4258496138.4875894</v>
      </c>
      <c r="AG270" s="226">
        <v>0.13966172368333435</v>
      </c>
      <c r="AH270" s="226" t="s">
        <v>2842</v>
      </c>
      <c r="AI270" s="27">
        <v>625670000</v>
      </c>
      <c r="AJ270" s="226">
        <v>0.95057923665830235</v>
      </c>
      <c r="AK270" s="27">
        <v>383129025.35603434</v>
      </c>
      <c r="AL270" s="226">
        <v>1.5523462636309306</v>
      </c>
      <c r="AM270" s="27">
        <v>1115069977.8427093</v>
      </c>
      <c r="AN270" s="271">
        <v>0.53337362032707758</v>
      </c>
      <c r="AO270" s="27">
        <v>18260044</v>
      </c>
      <c r="AP270" s="27">
        <v>42.7</v>
      </c>
      <c r="AQ270" s="27">
        <v>48.78663414634147</v>
      </c>
      <c r="AR270" s="27">
        <v>81.5</v>
      </c>
      <c r="AS270" s="29" t="s">
        <v>2842</v>
      </c>
      <c r="AT270" s="270" t="s">
        <v>2842</v>
      </c>
      <c r="AU270" s="464" t="s">
        <v>2842</v>
      </c>
      <c r="AV270" s="29" t="s">
        <v>2842</v>
      </c>
      <c r="AW270" s="29" t="s">
        <v>2842</v>
      </c>
      <c r="AX270" s="29" t="s">
        <v>2842</v>
      </c>
      <c r="AY270" s="29" t="s">
        <v>2842</v>
      </c>
      <c r="AZ270" s="60" t="s">
        <v>2842</v>
      </c>
    </row>
    <row r="271" spans="1:52" ht="15" customHeight="1">
      <c r="A271" s="63" t="s">
        <v>153</v>
      </c>
      <c r="B271" s="27">
        <v>2008</v>
      </c>
      <c r="C271" s="33" t="s">
        <v>3542</v>
      </c>
      <c r="D271" s="27" t="s">
        <v>81</v>
      </c>
      <c r="E271" s="27" t="s">
        <v>19</v>
      </c>
      <c r="F271" s="41" t="s">
        <v>559</v>
      </c>
      <c r="G271" s="43"/>
      <c r="H271" s="43"/>
      <c r="I271" s="43"/>
      <c r="J271" s="43"/>
      <c r="K271" s="27"/>
      <c r="L271" s="28"/>
      <c r="M271" s="27"/>
      <c r="N271" s="27"/>
      <c r="O271" s="18">
        <f>SUM(O272:O275)</f>
        <v>84442407.677000001</v>
      </c>
      <c r="P271" s="213">
        <v>4970465.0648759389</v>
      </c>
      <c r="Q271" s="213">
        <v>5217462.4356931476</v>
      </c>
      <c r="R271" s="27"/>
      <c r="S271" s="42"/>
      <c r="T271" s="18"/>
      <c r="U271" s="27"/>
      <c r="V271" s="27"/>
      <c r="W271" s="30"/>
      <c r="X271" s="27"/>
      <c r="Y271" s="27"/>
      <c r="Z271" s="27"/>
      <c r="AA271" s="27"/>
      <c r="AB271" s="27" t="s">
        <v>954</v>
      </c>
      <c r="AC271" s="273">
        <v>594748911</v>
      </c>
      <c r="AD271" s="27">
        <v>24224905503.655437</v>
      </c>
      <c r="AE271" s="228">
        <v>2.4551134406293345E-2</v>
      </c>
      <c r="AF271" s="27">
        <v>4258496138.4875894</v>
      </c>
      <c r="AG271" s="226">
        <v>0.13966172368333435</v>
      </c>
      <c r="AH271" s="226" t="s">
        <v>2842</v>
      </c>
      <c r="AI271" s="27">
        <v>625670000</v>
      </c>
      <c r="AJ271" s="226">
        <v>0.95057923665830235</v>
      </c>
      <c r="AK271" s="27">
        <v>383129025.35603434</v>
      </c>
      <c r="AL271" s="226">
        <v>1.5523462636309306</v>
      </c>
      <c r="AM271" s="27">
        <v>1115069977.8427093</v>
      </c>
      <c r="AN271" s="271">
        <v>0.53337362032707758</v>
      </c>
      <c r="AO271" s="27">
        <v>18260044</v>
      </c>
      <c r="AP271" s="27">
        <v>42.7</v>
      </c>
      <c r="AQ271" s="27">
        <v>48.78663414634147</v>
      </c>
      <c r="AR271" s="27">
        <v>81.5</v>
      </c>
      <c r="AS271" s="29" t="s">
        <v>2842</v>
      </c>
      <c r="AT271" s="270" t="s">
        <v>2842</v>
      </c>
      <c r="AU271" s="464" t="s">
        <v>2842</v>
      </c>
      <c r="AV271" s="29" t="s">
        <v>2842</v>
      </c>
      <c r="AW271" s="29" t="s">
        <v>2842</v>
      </c>
      <c r="AX271" s="29" t="s">
        <v>2842</v>
      </c>
      <c r="AY271" s="29" t="s">
        <v>2842</v>
      </c>
      <c r="AZ271" s="60" t="s">
        <v>2842</v>
      </c>
    </row>
    <row r="272" spans="1:52" ht="15" customHeight="1">
      <c r="A272" s="63" t="s">
        <v>153</v>
      </c>
      <c r="B272" s="27">
        <v>2008</v>
      </c>
      <c r="C272" s="33" t="s">
        <v>3542</v>
      </c>
      <c r="D272" s="27" t="s">
        <v>81</v>
      </c>
      <c r="E272" s="27" t="s">
        <v>19</v>
      </c>
      <c r="F272" s="41" t="s">
        <v>730</v>
      </c>
      <c r="G272" s="595">
        <f>4205*32.150743126506</f>
        <v>135193.87484695774</v>
      </c>
      <c r="H272" s="595">
        <v>96452</v>
      </c>
      <c r="I272" s="43"/>
      <c r="J272" s="43"/>
      <c r="K272" s="27" t="s">
        <v>731</v>
      </c>
      <c r="L272" s="28">
        <v>871.70725000000004</v>
      </c>
      <c r="M272" s="27" t="s">
        <v>732</v>
      </c>
      <c r="N272" s="27" t="s">
        <v>733</v>
      </c>
      <c r="O272" s="18">
        <f>H272*L272</f>
        <v>84077907.677000001</v>
      </c>
      <c r="P272" s="213"/>
      <c r="Q272" s="213"/>
      <c r="R272" s="27"/>
      <c r="S272" s="42"/>
      <c r="T272" s="18"/>
      <c r="U272" s="27"/>
      <c r="V272" s="27"/>
      <c r="W272" s="30"/>
      <c r="X272" s="27"/>
      <c r="Y272" s="27"/>
      <c r="Z272" s="27"/>
      <c r="AA272" s="27"/>
      <c r="AB272" s="27" t="s">
        <v>3788</v>
      </c>
      <c r="AC272" s="273">
        <v>594748911</v>
      </c>
      <c r="AD272" s="27">
        <v>24224905503.655437</v>
      </c>
      <c r="AE272" s="228">
        <v>2.4551134406293345E-2</v>
      </c>
      <c r="AF272" s="27">
        <v>4258496138.4875894</v>
      </c>
      <c r="AG272" s="226">
        <v>0.13966172368333435</v>
      </c>
      <c r="AH272" s="226" t="s">
        <v>2842</v>
      </c>
      <c r="AI272" s="27">
        <v>625670000</v>
      </c>
      <c r="AJ272" s="226">
        <v>0.95057923665830235</v>
      </c>
      <c r="AK272" s="27">
        <v>383129025.35603434</v>
      </c>
      <c r="AL272" s="226">
        <v>1.5523462636309306</v>
      </c>
      <c r="AM272" s="27">
        <v>1115069977.8427093</v>
      </c>
      <c r="AN272" s="271">
        <v>0.53337362032707758</v>
      </c>
      <c r="AO272" s="27">
        <v>18260044</v>
      </c>
      <c r="AP272" s="27">
        <v>42.7</v>
      </c>
      <c r="AQ272" s="27">
        <v>48.78663414634147</v>
      </c>
      <c r="AR272" s="27">
        <v>81.5</v>
      </c>
      <c r="AS272" s="29" t="s">
        <v>2842</v>
      </c>
      <c r="AT272" s="270" t="s">
        <v>2842</v>
      </c>
      <c r="AU272" s="464" t="s">
        <v>2842</v>
      </c>
      <c r="AV272" s="29" t="s">
        <v>2842</v>
      </c>
      <c r="AW272" s="29" t="s">
        <v>2842</v>
      </c>
      <c r="AX272" s="29" t="s">
        <v>2842</v>
      </c>
      <c r="AY272" s="29" t="s">
        <v>2842</v>
      </c>
      <c r="AZ272" s="60" t="s">
        <v>2842</v>
      </c>
    </row>
    <row r="273" spans="1:52" ht="15" customHeight="1">
      <c r="A273" s="63" t="s">
        <v>153</v>
      </c>
      <c r="B273" s="27">
        <v>2008</v>
      </c>
      <c r="C273" s="33" t="s">
        <v>3542</v>
      </c>
      <c r="D273" s="27" t="s">
        <v>81</v>
      </c>
      <c r="E273" s="27" t="s">
        <v>19</v>
      </c>
      <c r="F273" s="41" t="s">
        <v>784</v>
      </c>
      <c r="G273" s="43"/>
      <c r="H273" s="43">
        <v>30000</v>
      </c>
      <c r="I273" s="43"/>
      <c r="J273" s="43"/>
      <c r="K273" s="27" t="s">
        <v>567</v>
      </c>
      <c r="L273" s="28">
        <v>12.15</v>
      </c>
      <c r="M273" s="27" t="s">
        <v>568</v>
      </c>
      <c r="N273" s="27" t="s">
        <v>785</v>
      </c>
      <c r="O273" s="18">
        <f>H273*L273</f>
        <v>364500</v>
      </c>
      <c r="P273" s="213"/>
      <c r="Q273" s="213"/>
      <c r="R273" s="27"/>
      <c r="S273" s="42"/>
      <c r="T273" s="18"/>
      <c r="U273" s="27"/>
      <c r="V273" s="27"/>
      <c r="W273" s="30"/>
      <c r="X273" s="27"/>
      <c r="Y273" s="27"/>
      <c r="Z273" s="27"/>
      <c r="AA273" s="27"/>
      <c r="AB273" s="41"/>
      <c r="AC273" s="273">
        <v>594748911</v>
      </c>
      <c r="AD273" s="27">
        <v>24224905503.655437</v>
      </c>
      <c r="AE273" s="228">
        <v>2.4551134406293345E-2</v>
      </c>
      <c r="AF273" s="27">
        <v>4258496138.4875894</v>
      </c>
      <c r="AG273" s="226">
        <v>0.13966172368333435</v>
      </c>
      <c r="AH273" s="226" t="s">
        <v>2842</v>
      </c>
      <c r="AI273" s="27">
        <v>625670000</v>
      </c>
      <c r="AJ273" s="226">
        <v>0.95057923665830235</v>
      </c>
      <c r="AK273" s="27">
        <v>383129025.35603434</v>
      </c>
      <c r="AL273" s="226">
        <v>1.5523462636309306</v>
      </c>
      <c r="AM273" s="27">
        <v>1115069977.8427093</v>
      </c>
      <c r="AN273" s="271">
        <v>0.53337362032707758</v>
      </c>
      <c r="AO273" s="27">
        <v>18260044</v>
      </c>
      <c r="AP273" s="27">
        <v>42.7</v>
      </c>
      <c r="AQ273" s="27">
        <v>48.78663414634147</v>
      </c>
      <c r="AR273" s="27">
        <v>81.5</v>
      </c>
      <c r="AS273" s="29" t="s">
        <v>2842</v>
      </c>
      <c r="AT273" s="270" t="s">
        <v>2842</v>
      </c>
      <c r="AU273" s="464" t="s">
        <v>2842</v>
      </c>
      <c r="AV273" s="29" t="s">
        <v>2842</v>
      </c>
      <c r="AW273" s="29" t="s">
        <v>2842</v>
      </c>
      <c r="AX273" s="29" t="s">
        <v>2842</v>
      </c>
      <c r="AY273" s="29" t="s">
        <v>2842</v>
      </c>
      <c r="AZ273" s="60" t="s">
        <v>2842</v>
      </c>
    </row>
    <row r="274" spans="1:52" ht="15" customHeight="1">
      <c r="A274" s="63" t="s">
        <v>153</v>
      </c>
      <c r="B274" s="27">
        <v>2008</v>
      </c>
      <c r="C274" s="33" t="s">
        <v>3542</v>
      </c>
      <c r="D274" s="27" t="s">
        <v>81</v>
      </c>
      <c r="E274" s="27" t="s">
        <v>19</v>
      </c>
      <c r="F274" s="41" t="s">
        <v>955</v>
      </c>
      <c r="G274" s="43">
        <v>176561</v>
      </c>
      <c r="H274" s="43"/>
      <c r="I274" s="43"/>
      <c r="J274" s="43"/>
      <c r="K274" s="27" t="s">
        <v>567</v>
      </c>
      <c r="L274" s="28"/>
      <c r="M274" s="27"/>
      <c r="N274" s="27" t="s">
        <v>636</v>
      </c>
      <c r="O274" s="18"/>
      <c r="P274" s="213"/>
      <c r="Q274" s="213"/>
      <c r="R274" s="27"/>
      <c r="S274" s="42"/>
      <c r="T274" s="18"/>
      <c r="U274" s="27"/>
      <c r="V274" s="27"/>
      <c r="W274" s="30"/>
      <c r="X274" s="27"/>
      <c r="Y274" s="27"/>
      <c r="Z274" s="27"/>
      <c r="AA274" s="27"/>
      <c r="AB274" s="27"/>
      <c r="AC274" s="273">
        <v>594748911</v>
      </c>
      <c r="AD274" s="27">
        <v>24224905503.655437</v>
      </c>
      <c r="AE274" s="228">
        <v>2.4551134406293345E-2</v>
      </c>
      <c r="AF274" s="27">
        <v>4258496138.4875894</v>
      </c>
      <c r="AG274" s="226">
        <v>0.13966172368333435</v>
      </c>
      <c r="AH274" s="226" t="s">
        <v>2842</v>
      </c>
      <c r="AI274" s="27">
        <v>625670000</v>
      </c>
      <c r="AJ274" s="226">
        <v>0.95057923665830235</v>
      </c>
      <c r="AK274" s="27">
        <v>383129025.35603434</v>
      </c>
      <c r="AL274" s="226">
        <v>1.5523462636309306</v>
      </c>
      <c r="AM274" s="27">
        <v>1115069977.8427093</v>
      </c>
      <c r="AN274" s="271">
        <v>0.53337362032707758</v>
      </c>
      <c r="AO274" s="27">
        <v>18260044</v>
      </c>
      <c r="AP274" s="27">
        <v>42.7</v>
      </c>
      <c r="AQ274" s="27">
        <v>48.78663414634147</v>
      </c>
      <c r="AR274" s="27">
        <v>81.5</v>
      </c>
      <c r="AS274" s="29" t="s">
        <v>2842</v>
      </c>
      <c r="AT274" s="270" t="s">
        <v>2842</v>
      </c>
      <c r="AU274" s="464" t="s">
        <v>2842</v>
      </c>
      <c r="AV274" s="29" t="s">
        <v>2842</v>
      </c>
      <c r="AW274" s="29" t="s">
        <v>2842</v>
      </c>
      <c r="AX274" s="29" t="s">
        <v>2842</v>
      </c>
      <c r="AY274" s="29" t="s">
        <v>2842</v>
      </c>
      <c r="AZ274" s="60" t="s">
        <v>2842</v>
      </c>
    </row>
    <row r="275" spans="1:52" s="287" customFormat="1" ht="15" customHeight="1">
      <c r="A275" s="359" t="s">
        <v>153</v>
      </c>
      <c r="B275" s="284">
        <v>2008</v>
      </c>
      <c r="C275" s="236" t="s">
        <v>3542</v>
      </c>
      <c r="D275" s="284" t="s">
        <v>81</v>
      </c>
      <c r="E275" s="284" t="s">
        <v>19</v>
      </c>
      <c r="F275" s="315" t="s">
        <v>789</v>
      </c>
      <c r="G275" s="303">
        <v>75921</v>
      </c>
      <c r="H275" s="303"/>
      <c r="I275" s="303"/>
      <c r="J275" s="303"/>
      <c r="K275" s="284" t="s">
        <v>567</v>
      </c>
      <c r="L275" s="304"/>
      <c r="M275" s="284"/>
      <c r="N275" s="284" t="s">
        <v>636</v>
      </c>
      <c r="O275" s="305"/>
      <c r="P275" s="306"/>
      <c r="Q275" s="306"/>
      <c r="R275" s="284"/>
      <c r="S275" s="366"/>
      <c r="T275" s="305"/>
      <c r="U275" s="284"/>
      <c r="V275" s="284"/>
      <c r="W275" s="307"/>
      <c r="X275" s="284"/>
      <c r="Y275" s="284"/>
      <c r="Z275" s="284"/>
      <c r="AA275" s="284"/>
      <c r="AB275" s="284"/>
      <c r="AC275" s="308">
        <v>594748911</v>
      </c>
      <c r="AD275" s="284">
        <v>24224905503.655437</v>
      </c>
      <c r="AE275" s="309">
        <v>2.4551134406293345E-2</v>
      </c>
      <c r="AF275" s="284">
        <v>4258496138.4875894</v>
      </c>
      <c r="AG275" s="310">
        <v>0.13966172368333435</v>
      </c>
      <c r="AH275" s="310" t="s">
        <v>2842</v>
      </c>
      <c r="AI275" s="284">
        <v>625670000</v>
      </c>
      <c r="AJ275" s="310">
        <v>0.95057923665830235</v>
      </c>
      <c r="AK275" s="284">
        <v>383129025.35603434</v>
      </c>
      <c r="AL275" s="310">
        <v>1.5523462636309306</v>
      </c>
      <c r="AM275" s="284">
        <v>1115069977.8427093</v>
      </c>
      <c r="AN275" s="311">
        <v>0.53337362032707758</v>
      </c>
      <c r="AO275" s="284">
        <v>18260044</v>
      </c>
      <c r="AP275" s="284">
        <v>42.7</v>
      </c>
      <c r="AQ275" s="284">
        <v>48.78663414634147</v>
      </c>
      <c r="AR275" s="284">
        <v>81.5</v>
      </c>
      <c r="AS275" s="287" t="s">
        <v>2842</v>
      </c>
      <c r="AT275" s="312" t="s">
        <v>2842</v>
      </c>
      <c r="AU275" s="465" t="s">
        <v>2842</v>
      </c>
      <c r="AV275" s="287" t="s">
        <v>2842</v>
      </c>
      <c r="AW275" s="287" t="s">
        <v>2842</v>
      </c>
      <c r="AX275" s="287" t="s">
        <v>2842</v>
      </c>
      <c r="AY275" s="287" t="s">
        <v>2842</v>
      </c>
      <c r="AZ275" s="313" t="s">
        <v>2842</v>
      </c>
    </row>
    <row r="276" spans="1:52" s="29" customFormat="1" ht="15" customHeight="1">
      <c r="A276" s="347" t="s">
        <v>156</v>
      </c>
      <c r="B276" s="27">
        <v>2009</v>
      </c>
      <c r="C276" s="27" t="s">
        <v>3542</v>
      </c>
      <c r="D276" s="27" t="s">
        <v>81</v>
      </c>
      <c r="E276" s="27" t="s">
        <v>30</v>
      </c>
      <c r="F276" s="41" t="s">
        <v>659</v>
      </c>
      <c r="G276" s="43"/>
      <c r="H276" s="43"/>
      <c r="I276" s="43"/>
      <c r="J276" s="43"/>
      <c r="K276" s="27"/>
      <c r="L276" s="28"/>
      <c r="M276" s="27"/>
      <c r="N276" s="27"/>
      <c r="O276" s="18">
        <f>O277+O280</f>
        <v>1778179718.4403424</v>
      </c>
      <c r="P276" s="213">
        <v>284861428.97265005</v>
      </c>
      <c r="Q276" s="213">
        <v>285117107.7502619</v>
      </c>
      <c r="R276" s="27" t="s">
        <v>3693</v>
      </c>
      <c r="S276" s="42"/>
      <c r="T276" s="18"/>
      <c r="U276" s="27" t="s">
        <v>948</v>
      </c>
      <c r="V276" s="27" t="s">
        <v>778</v>
      </c>
      <c r="W276" s="30">
        <v>448.63</v>
      </c>
      <c r="X276" s="27">
        <v>22</v>
      </c>
      <c r="Y276" s="27" t="s">
        <v>949</v>
      </c>
      <c r="Z276" s="27">
        <v>17</v>
      </c>
      <c r="AA276" s="27" t="s">
        <v>950</v>
      </c>
      <c r="AB276" s="27" t="s">
        <v>956</v>
      </c>
      <c r="AC276" s="273">
        <v>284861428.97265005</v>
      </c>
      <c r="AD276" s="27">
        <v>24277494337.400372</v>
      </c>
      <c r="AE276" s="228">
        <v>1.1733559691693988E-2</v>
      </c>
      <c r="AF276" s="27">
        <v>4474827756.2696371</v>
      </c>
      <c r="AG276" s="226">
        <v>6.3658635480110609E-2</v>
      </c>
      <c r="AH276" s="226" t="s">
        <v>2842</v>
      </c>
      <c r="AI276" s="27">
        <v>2401600000</v>
      </c>
      <c r="AJ276" s="226">
        <v>0.11861318661419472</v>
      </c>
      <c r="AK276" s="27">
        <v>434038096.40930182</v>
      </c>
      <c r="AL276" s="226">
        <v>0.65630512927147111</v>
      </c>
      <c r="AM276" s="27" t="s">
        <v>2842</v>
      </c>
      <c r="AN276" s="271" t="s">
        <v>2842</v>
      </c>
      <c r="AO276" s="27">
        <v>18601342</v>
      </c>
      <c r="AP276" s="27" t="s">
        <v>2842</v>
      </c>
      <c r="AQ276" s="27">
        <v>49.256829268292691</v>
      </c>
      <c r="AR276" s="27">
        <v>79.3</v>
      </c>
      <c r="AS276" s="29" t="s">
        <v>2842</v>
      </c>
      <c r="AT276" s="270" t="s">
        <v>2842</v>
      </c>
      <c r="AU276" s="464" t="s">
        <v>2842</v>
      </c>
      <c r="AV276" s="29" t="s">
        <v>2842</v>
      </c>
      <c r="AW276" s="29" t="s">
        <v>2842</v>
      </c>
      <c r="AX276" s="29" t="s">
        <v>2842</v>
      </c>
      <c r="AY276" s="29" t="s">
        <v>2842</v>
      </c>
      <c r="AZ276" s="60" t="s">
        <v>2842</v>
      </c>
    </row>
    <row r="277" spans="1:52" s="29" customFormat="1" ht="15" customHeight="1">
      <c r="A277" s="63" t="s">
        <v>156</v>
      </c>
      <c r="B277" s="27">
        <v>2009</v>
      </c>
      <c r="C277" s="33" t="s">
        <v>3542</v>
      </c>
      <c r="D277" s="27" t="s">
        <v>81</v>
      </c>
      <c r="E277" s="27" t="s">
        <v>50</v>
      </c>
      <c r="F277" s="41" t="s">
        <v>597</v>
      </c>
      <c r="G277" s="43"/>
      <c r="H277" s="43"/>
      <c r="I277" s="43"/>
      <c r="J277" s="43"/>
      <c r="K277" s="27"/>
      <c r="L277" s="28"/>
      <c r="M277" s="27"/>
      <c r="N277" s="27"/>
      <c r="O277" s="18">
        <f>SUM(O278:O279)</f>
        <v>1558413874.064925</v>
      </c>
      <c r="P277" s="213">
        <v>267429935.94275907</v>
      </c>
      <c r="Q277" s="213">
        <v>267941686.52341574</v>
      </c>
      <c r="R277" s="27"/>
      <c r="S277" s="42"/>
      <c r="T277" s="18"/>
      <c r="U277" s="27"/>
      <c r="V277" s="27"/>
      <c r="W277" s="30"/>
      <c r="X277" s="27"/>
      <c r="Y277" s="27"/>
      <c r="Z277" s="27"/>
      <c r="AA277" s="27"/>
      <c r="AB277" s="27"/>
      <c r="AC277" s="273">
        <v>284861428.97265005</v>
      </c>
      <c r="AD277" s="27">
        <v>24277494337.400372</v>
      </c>
      <c r="AE277" s="228">
        <v>1.1733559691693988E-2</v>
      </c>
      <c r="AF277" s="27">
        <v>4474827756.2696371</v>
      </c>
      <c r="AG277" s="226">
        <v>6.3658635480110609E-2</v>
      </c>
      <c r="AH277" s="226" t="s">
        <v>2842</v>
      </c>
      <c r="AI277" s="27">
        <v>2401600000</v>
      </c>
      <c r="AJ277" s="226">
        <v>0.11861318661419472</v>
      </c>
      <c r="AK277" s="27">
        <v>434038096.40930182</v>
      </c>
      <c r="AL277" s="226">
        <v>0.65630512927147111</v>
      </c>
      <c r="AM277" s="27" t="s">
        <v>2842</v>
      </c>
      <c r="AN277" s="271" t="s">
        <v>2842</v>
      </c>
      <c r="AO277" s="27">
        <v>18601342</v>
      </c>
      <c r="AP277" s="27" t="s">
        <v>2842</v>
      </c>
      <c r="AQ277" s="27">
        <v>49.256829268292691</v>
      </c>
      <c r="AR277" s="27">
        <v>79.3</v>
      </c>
      <c r="AS277" s="29" t="s">
        <v>2842</v>
      </c>
      <c r="AT277" s="270" t="s">
        <v>2842</v>
      </c>
      <c r="AU277" s="464" t="s">
        <v>2842</v>
      </c>
      <c r="AV277" s="29" t="s">
        <v>2842</v>
      </c>
      <c r="AW277" s="29" t="s">
        <v>2842</v>
      </c>
      <c r="AX277" s="29" t="s">
        <v>2842</v>
      </c>
      <c r="AY277" s="29" t="s">
        <v>2842</v>
      </c>
      <c r="AZ277" s="60" t="s">
        <v>2842</v>
      </c>
    </row>
    <row r="278" spans="1:52" s="29" customFormat="1" ht="15" customHeight="1">
      <c r="A278" s="63" t="s">
        <v>156</v>
      </c>
      <c r="B278" s="27">
        <v>2009</v>
      </c>
      <c r="C278" s="33" t="s">
        <v>3542</v>
      </c>
      <c r="D278" s="27" t="s">
        <v>81</v>
      </c>
      <c r="E278" s="27" t="s">
        <v>552</v>
      </c>
      <c r="F278" s="41" t="s">
        <v>552</v>
      </c>
      <c r="G278" s="43">
        <f>57000000000*0.0283168</f>
        <v>1614057600</v>
      </c>
      <c r="H278" s="43"/>
      <c r="I278" s="43"/>
      <c r="J278" s="43"/>
      <c r="K278" s="27" t="s">
        <v>599</v>
      </c>
      <c r="L278" s="28">
        <v>0.14422800000000002</v>
      </c>
      <c r="M278" s="27" t="s">
        <v>600</v>
      </c>
      <c r="N278" s="27" t="s">
        <v>816</v>
      </c>
      <c r="O278" s="18">
        <f>G278*L278</f>
        <v>232792299.53280005</v>
      </c>
      <c r="P278" s="213"/>
      <c r="Q278" s="213"/>
      <c r="R278" s="27"/>
      <c r="S278" s="42">
        <v>1143489017.5999999</v>
      </c>
      <c r="T278" s="18" t="s">
        <v>871</v>
      </c>
      <c r="U278" s="27"/>
      <c r="V278" s="27"/>
      <c r="W278" s="30"/>
      <c r="X278" s="27"/>
      <c r="Y278" s="27"/>
      <c r="Z278" s="27"/>
      <c r="AA278" s="27"/>
      <c r="AB278" s="27" t="s">
        <v>957</v>
      </c>
      <c r="AC278" s="273">
        <v>284861428.97265005</v>
      </c>
      <c r="AD278" s="27">
        <v>24277494337.400372</v>
      </c>
      <c r="AE278" s="228">
        <v>1.1733559691693988E-2</v>
      </c>
      <c r="AF278" s="27">
        <v>4474827756.2696371</v>
      </c>
      <c r="AG278" s="226">
        <v>6.3658635480110609E-2</v>
      </c>
      <c r="AH278" s="226" t="s">
        <v>2842</v>
      </c>
      <c r="AI278" s="27">
        <v>2401600000</v>
      </c>
      <c r="AJ278" s="226">
        <v>0.11861318661419472</v>
      </c>
      <c r="AK278" s="27">
        <v>434038096.40930182</v>
      </c>
      <c r="AL278" s="226">
        <v>0.65630512927147111</v>
      </c>
      <c r="AM278" s="27" t="s">
        <v>2842</v>
      </c>
      <c r="AN278" s="271" t="s">
        <v>2842</v>
      </c>
      <c r="AO278" s="27">
        <v>18601342</v>
      </c>
      <c r="AP278" s="27" t="s">
        <v>2842</v>
      </c>
      <c r="AQ278" s="27">
        <v>49.256829268292691</v>
      </c>
      <c r="AR278" s="27">
        <v>79.3</v>
      </c>
      <c r="AS278" s="29" t="s">
        <v>2842</v>
      </c>
      <c r="AT278" s="270" t="s">
        <v>2842</v>
      </c>
      <c r="AU278" s="464" t="s">
        <v>2842</v>
      </c>
      <c r="AV278" s="29" t="s">
        <v>2842</v>
      </c>
      <c r="AW278" s="29" t="s">
        <v>2842</v>
      </c>
      <c r="AX278" s="29" t="s">
        <v>2842</v>
      </c>
      <c r="AY278" s="29" t="s">
        <v>2842</v>
      </c>
      <c r="AZ278" s="60" t="s">
        <v>2842</v>
      </c>
    </row>
    <row r="279" spans="1:52" s="29" customFormat="1" ht="15" customHeight="1">
      <c r="A279" s="63" t="s">
        <v>156</v>
      </c>
      <c r="B279" s="27">
        <v>2009</v>
      </c>
      <c r="C279" s="33" t="s">
        <v>3542</v>
      </c>
      <c r="D279" s="27" t="s">
        <v>81</v>
      </c>
      <c r="E279" s="27" t="s">
        <v>98</v>
      </c>
      <c r="F279" s="41" t="s">
        <v>98</v>
      </c>
      <c r="G279" s="43">
        <v>21352500</v>
      </c>
      <c r="H279" s="43"/>
      <c r="I279" s="43"/>
      <c r="J279" s="43"/>
      <c r="K279" s="27" t="s">
        <v>603</v>
      </c>
      <c r="L279" s="28">
        <v>62.082733849999997</v>
      </c>
      <c r="M279" s="27" t="s">
        <v>626</v>
      </c>
      <c r="N279" s="27" t="s">
        <v>947</v>
      </c>
      <c r="O279" s="18">
        <f>G279*L279</f>
        <v>1325621574.532125</v>
      </c>
      <c r="P279" s="213"/>
      <c r="Q279" s="213"/>
      <c r="R279" s="27"/>
      <c r="S279" s="42">
        <v>3008412</v>
      </c>
      <c r="T279" s="18" t="s">
        <v>871</v>
      </c>
      <c r="U279" s="27"/>
      <c r="V279" s="27"/>
      <c r="W279" s="30"/>
      <c r="X279" s="27"/>
      <c r="Y279" s="27"/>
      <c r="Z279" s="27"/>
      <c r="AA279" s="27"/>
      <c r="AB279" s="27" t="s">
        <v>958</v>
      </c>
      <c r="AC279" s="273">
        <v>284861428.97265005</v>
      </c>
      <c r="AD279" s="27">
        <v>24277494337.400372</v>
      </c>
      <c r="AE279" s="228">
        <v>1.1733559691693988E-2</v>
      </c>
      <c r="AF279" s="27">
        <v>4474827756.2696371</v>
      </c>
      <c r="AG279" s="226">
        <v>6.3658635480110609E-2</v>
      </c>
      <c r="AH279" s="226" t="s">
        <v>2842</v>
      </c>
      <c r="AI279" s="27">
        <v>2401600000</v>
      </c>
      <c r="AJ279" s="226">
        <v>0.11861318661419472</v>
      </c>
      <c r="AK279" s="27">
        <v>434038096.40930182</v>
      </c>
      <c r="AL279" s="226">
        <v>0.65630512927147111</v>
      </c>
      <c r="AM279" s="27" t="s">
        <v>2842</v>
      </c>
      <c r="AN279" s="271" t="s">
        <v>2842</v>
      </c>
      <c r="AO279" s="27">
        <v>18601342</v>
      </c>
      <c r="AP279" s="27" t="s">
        <v>2842</v>
      </c>
      <c r="AQ279" s="27">
        <v>49.256829268292691</v>
      </c>
      <c r="AR279" s="27">
        <v>79.3</v>
      </c>
      <c r="AS279" s="29" t="s">
        <v>2842</v>
      </c>
      <c r="AT279" s="270" t="s">
        <v>2842</v>
      </c>
      <c r="AU279" s="464" t="s">
        <v>2842</v>
      </c>
      <c r="AV279" s="29" t="s">
        <v>2842</v>
      </c>
      <c r="AW279" s="29" t="s">
        <v>2842</v>
      </c>
      <c r="AX279" s="29" t="s">
        <v>2842</v>
      </c>
      <c r="AY279" s="29" t="s">
        <v>2842</v>
      </c>
      <c r="AZ279" s="60" t="s">
        <v>2842</v>
      </c>
    </row>
    <row r="280" spans="1:52" s="29" customFormat="1" ht="15" customHeight="1">
      <c r="A280" s="63" t="s">
        <v>156</v>
      </c>
      <c r="B280" s="27">
        <v>2009</v>
      </c>
      <c r="C280" s="33" t="s">
        <v>3542</v>
      </c>
      <c r="D280" s="27" t="s">
        <v>81</v>
      </c>
      <c r="E280" s="27" t="s">
        <v>19</v>
      </c>
      <c r="F280" s="41" t="s">
        <v>559</v>
      </c>
      <c r="G280" s="43"/>
      <c r="H280" s="43"/>
      <c r="I280" s="43"/>
      <c r="J280" s="43"/>
      <c r="K280" s="27"/>
      <c r="L280" s="28"/>
      <c r="M280" s="27"/>
      <c r="N280" s="27"/>
      <c r="O280" s="18">
        <f>SUM(O281:O284)</f>
        <v>219765844.37541741</v>
      </c>
      <c r="P280" s="213">
        <v>17431493.029891003</v>
      </c>
      <c r="Q280" s="213">
        <v>17175421.226846177</v>
      </c>
      <c r="R280" s="27"/>
      <c r="S280" s="42"/>
      <c r="T280" s="18"/>
      <c r="U280" s="27"/>
      <c r="V280" s="27"/>
      <c r="W280" s="30"/>
      <c r="X280" s="27"/>
      <c r="Y280" s="27"/>
      <c r="Z280" s="27"/>
      <c r="AA280" s="27"/>
      <c r="AB280" s="27"/>
      <c r="AC280" s="273">
        <v>284861428.97265005</v>
      </c>
      <c r="AD280" s="27">
        <v>24277494337.400372</v>
      </c>
      <c r="AE280" s="228">
        <v>1.1733559691693988E-2</v>
      </c>
      <c r="AF280" s="27">
        <v>4474827756.2696371</v>
      </c>
      <c r="AG280" s="226">
        <v>6.3658635480110609E-2</v>
      </c>
      <c r="AH280" s="226" t="s">
        <v>2842</v>
      </c>
      <c r="AI280" s="27">
        <v>2401600000</v>
      </c>
      <c r="AJ280" s="226">
        <v>0.11861318661419472</v>
      </c>
      <c r="AK280" s="27">
        <v>434038096.40930182</v>
      </c>
      <c r="AL280" s="226">
        <v>0.65630512927147111</v>
      </c>
      <c r="AM280" s="27" t="s">
        <v>2842</v>
      </c>
      <c r="AN280" s="271" t="s">
        <v>2842</v>
      </c>
      <c r="AO280" s="27">
        <v>18601342</v>
      </c>
      <c r="AP280" s="27" t="s">
        <v>2842</v>
      </c>
      <c r="AQ280" s="27">
        <v>49.256829268292691</v>
      </c>
      <c r="AR280" s="27">
        <v>79.3</v>
      </c>
      <c r="AS280" s="29" t="s">
        <v>2842</v>
      </c>
      <c r="AT280" s="270" t="s">
        <v>2842</v>
      </c>
      <c r="AU280" s="464" t="s">
        <v>2842</v>
      </c>
      <c r="AV280" s="29" t="s">
        <v>2842</v>
      </c>
      <c r="AW280" s="29" t="s">
        <v>2842</v>
      </c>
      <c r="AX280" s="29" t="s">
        <v>2842</v>
      </c>
      <c r="AY280" s="29" t="s">
        <v>2842</v>
      </c>
      <c r="AZ280" s="60" t="s">
        <v>2842</v>
      </c>
    </row>
    <row r="281" spans="1:52" s="29" customFormat="1" ht="15" customHeight="1">
      <c r="A281" s="63" t="s">
        <v>156</v>
      </c>
      <c r="B281" s="27">
        <v>2009</v>
      </c>
      <c r="C281" s="33" t="s">
        <v>3542</v>
      </c>
      <c r="D281" s="27" t="s">
        <v>81</v>
      </c>
      <c r="E281" s="27" t="s">
        <v>19</v>
      </c>
      <c r="F281" s="41" t="s">
        <v>730</v>
      </c>
      <c r="G281" s="43">
        <f>6947*32.150743126506</f>
        <v>223351.21249983719</v>
      </c>
      <c r="H281" s="43">
        <v>225055</v>
      </c>
      <c r="I281" s="43"/>
      <c r="J281" s="43"/>
      <c r="K281" s="27" t="s">
        <v>731</v>
      </c>
      <c r="L281" s="28">
        <v>972.96591666666995</v>
      </c>
      <c r="M281" s="27" t="s">
        <v>732</v>
      </c>
      <c r="N281" s="27" t="s">
        <v>733</v>
      </c>
      <c r="O281" s="18">
        <f>H281*L281</f>
        <v>218970844.37541741</v>
      </c>
      <c r="P281" s="213"/>
      <c r="Q281" s="213"/>
      <c r="R281" s="27"/>
      <c r="S281" s="42"/>
      <c r="T281" s="18"/>
      <c r="U281" s="27"/>
      <c r="V281" s="27"/>
      <c r="W281" s="30"/>
      <c r="X281" s="27"/>
      <c r="Y281" s="27"/>
      <c r="Z281" s="27"/>
      <c r="AA281" s="27"/>
      <c r="AB281" s="27"/>
      <c r="AC281" s="273">
        <v>284861428.97265005</v>
      </c>
      <c r="AD281" s="27">
        <v>24277494337.400372</v>
      </c>
      <c r="AE281" s="228">
        <v>1.1733559691693988E-2</v>
      </c>
      <c r="AF281" s="27">
        <v>4474827756.2696371</v>
      </c>
      <c r="AG281" s="226">
        <v>6.3658635480110609E-2</v>
      </c>
      <c r="AH281" s="226" t="s">
        <v>2842</v>
      </c>
      <c r="AI281" s="27">
        <v>2401600000</v>
      </c>
      <c r="AJ281" s="226">
        <v>0.11861318661419472</v>
      </c>
      <c r="AK281" s="27">
        <v>434038096.40930182</v>
      </c>
      <c r="AL281" s="226">
        <v>0.65630512927147111</v>
      </c>
      <c r="AM281" s="27" t="s">
        <v>2842</v>
      </c>
      <c r="AN281" s="271" t="s">
        <v>2842</v>
      </c>
      <c r="AO281" s="27">
        <v>18601342</v>
      </c>
      <c r="AP281" s="27" t="s">
        <v>2842</v>
      </c>
      <c r="AQ281" s="27">
        <v>49.256829268292691</v>
      </c>
      <c r="AR281" s="27">
        <v>79.3</v>
      </c>
      <c r="AS281" s="29" t="s">
        <v>2842</v>
      </c>
      <c r="AT281" s="270" t="s">
        <v>2842</v>
      </c>
      <c r="AU281" s="464" t="s">
        <v>2842</v>
      </c>
      <c r="AV281" s="29" t="s">
        <v>2842</v>
      </c>
      <c r="AW281" s="29" t="s">
        <v>2842</v>
      </c>
      <c r="AX281" s="29" t="s">
        <v>2842</v>
      </c>
      <c r="AY281" s="29" t="s">
        <v>2842</v>
      </c>
      <c r="AZ281" s="60" t="s">
        <v>2842</v>
      </c>
    </row>
    <row r="282" spans="1:52" s="29" customFormat="1" ht="15" customHeight="1">
      <c r="A282" s="63" t="s">
        <v>156</v>
      </c>
      <c r="B282" s="27">
        <v>2009</v>
      </c>
      <c r="C282" s="33" t="s">
        <v>3542</v>
      </c>
      <c r="D282" s="27" t="s">
        <v>81</v>
      </c>
      <c r="E282" s="27" t="s">
        <v>19</v>
      </c>
      <c r="F282" s="41" t="s">
        <v>784</v>
      </c>
      <c r="G282" s="43"/>
      <c r="H282" s="43">
        <v>100000</v>
      </c>
      <c r="I282" s="43"/>
      <c r="J282" s="43"/>
      <c r="K282" s="27"/>
      <c r="L282" s="28">
        <v>7.95</v>
      </c>
      <c r="M282" s="27" t="s">
        <v>568</v>
      </c>
      <c r="N282" s="27" t="s">
        <v>785</v>
      </c>
      <c r="O282" s="18">
        <f>H282*L282</f>
        <v>795000</v>
      </c>
      <c r="P282" s="213"/>
      <c r="Q282" s="213"/>
      <c r="R282" s="27"/>
      <c r="S282" s="42"/>
      <c r="T282" s="18"/>
      <c r="U282" s="27"/>
      <c r="V282" s="27"/>
      <c r="W282" s="30"/>
      <c r="X282" s="27"/>
      <c r="Y282" s="27"/>
      <c r="Z282" s="27"/>
      <c r="AA282" s="27"/>
      <c r="AB282" s="27"/>
      <c r="AC282" s="273">
        <v>284861428.97265005</v>
      </c>
      <c r="AD282" s="27">
        <v>24277494337.400372</v>
      </c>
      <c r="AE282" s="228">
        <v>1.1733559691693988E-2</v>
      </c>
      <c r="AF282" s="27">
        <v>4474827756.2696371</v>
      </c>
      <c r="AG282" s="226">
        <v>6.3658635480110609E-2</v>
      </c>
      <c r="AH282" s="226" t="s">
        <v>2842</v>
      </c>
      <c r="AI282" s="27">
        <v>2401600000</v>
      </c>
      <c r="AJ282" s="226">
        <v>0.11861318661419472</v>
      </c>
      <c r="AK282" s="27">
        <v>434038096.40930182</v>
      </c>
      <c r="AL282" s="226">
        <v>0.65630512927147111</v>
      </c>
      <c r="AM282" s="27" t="s">
        <v>2842</v>
      </c>
      <c r="AN282" s="271" t="s">
        <v>2842</v>
      </c>
      <c r="AO282" s="27">
        <v>18601342</v>
      </c>
      <c r="AP282" s="27" t="s">
        <v>2842</v>
      </c>
      <c r="AQ282" s="27">
        <v>49.256829268292691</v>
      </c>
      <c r="AR282" s="27">
        <v>79.3</v>
      </c>
      <c r="AS282" s="29" t="s">
        <v>2842</v>
      </c>
      <c r="AT282" s="270" t="s">
        <v>2842</v>
      </c>
      <c r="AU282" s="464" t="s">
        <v>2842</v>
      </c>
      <c r="AV282" s="29" t="s">
        <v>2842</v>
      </c>
      <c r="AW282" s="29" t="s">
        <v>2842</v>
      </c>
      <c r="AX282" s="29" t="s">
        <v>2842</v>
      </c>
      <c r="AY282" s="29" t="s">
        <v>2842</v>
      </c>
      <c r="AZ282" s="60" t="s">
        <v>2842</v>
      </c>
    </row>
    <row r="283" spans="1:52" s="29" customFormat="1" ht="15" customHeight="1">
      <c r="A283" s="63" t="s">
        <v>156</v>
      </c>
      <c r="B283" s="27">
        <v>2009</v>
      </c>
      <c r="C283" s="33" t="s">
        <v>3542</v>
      </c>
      <c r="D283" s="27" t="s">
        <v>81</v>
      </c>
      <c r="E283" s="27" t="s">
        <v>19</v>
      </c>
      <c r="F283" s="41" t="s">
        <v>955</v>
      </c>
      <c r="G283" s="43">
        <v>161300</v>
      </c>
      <c r="H283" s="43"/>
      <c r="I283" s="43"/>
      <c r="J283" s="43"/>
      <c r="K283" s="27" t="s">
        <v>567</v>
      </c>
      <c r="L283" s="28"/>
      <c r="M283" s="27"/>
      <c r="N283" s="27" t="s">
        <v>636</v>
      </c>
      <c r="O283" s="18"/>
      <c r="P283" s="213"/>
      <c r="Q283" s="213"/>
      <c r="R283" s="27"/>
      <c r="S283" s="42"/>
      <c r="T283" s="18"/>
      <c r="U283" s="27"/>
      <c r="V283" s="27"/>
      <c r="W283" s="30"/>
      <c r="X283" s="27"/>
      <c r="Y283" s="27"/>
      <c r="Z283" s="27"/>
      <c r="AA283" s="27"/>
      <c r="AB283" s="27"/>
      <c r="AC283" s="273">
        <v>284861428.97265005</v>
      </c>
      <c r="AD283" s="27">
        <v>24277494337.400372</v>
      </c>
      <c r="AE283" s="228">
        <v>1.1733559691693988E-2</v>
      </c>
      <c r="AF283" s="27">
        <v>4474827756.2696371</v>
      </c>
      <c r="AG283" s="226">
        <v>6.3658635480110609E-2</v>
      </c>
      <c r="AH283" s="226" t="s">
        <v>2842</v>
      </c>
      <c r="AI283" s="27">
        <v>2401600000</v>
      </c>
      <c r="AJ283" s="226">
        <v>0.11861318661419472</v>
      </c>
      <c r="AK283" s="27">
        <v>434038096.40930182</v>
      </c>
      <c r="AL283" s="226">
        <v>0.65630512927147111</v>
      </c>
      <c r="AM283" s="27" t="s">
        <v>2842</v>
      </c>
      <c r="AN283" s="271" t="s">
        <v>2842</v>
      </c>
      <c r="AO283" s="27">
        <v>18601342</v>
      </c>
      <c r="AP283" s="27" t="s">
        <v>2842</v>
      </c>
      <c r="AQ283" s="27">
        <v>49.256829268292691</v>
      </c>
      <c r="AR283" s="27">
        <v>79.3</v>
      </c>
      <c r="AS283" s="29" t="s">
        <v>2842</v>
      </c>
      <c r="AT283" s="270" t="s">
        <v>2842</v>
      </c>
      <c r="AU283" s="464" t="s">
        <v>2842</v>
      </c>
      <c r="AV283" s="29" t="s">
        <v>2842</v>
      </c>
      <c r="AW283" s="29" t="s">
        <v>2842</v>
      </c>
      <c r="AX283" s="29" t="s">
        <v>2842</v>
      </c>
      <c r="AY283" s="29" t="s">
        <v>2842</v>
      </c>
      <c r="AZ283" s="60" t="s">
        <v>2842</v>
      </c>
    </row>
    <row r="284" spans="1:52" s="287" customFormat="1" ht="15" customHeight="1">
      <c r="A284" s="359" t="s">
        <v>156</v>
      </c>
      <c r="B284" s="284">
        <v>2009</v>
      </c>
      <c r="C284" s="236" t="s">
        <v>3542</v>
      </c>
      <c r="D284" s="284" t="s">
        <v>81</v>
      </c>
      <c r="E284" s="284" t="s">
        <v>19</v>
      </c>
      <c r="F284" s="315" t="s">
        <v>789</v>
      </c>
      <c r="G284" s="303">
        <v>72585</v>
      </c>
      <c r="H284" s="303"/>
      <c r="I284" s="303"/>
      <c r="J284" s="303"/>
      <c r="K284" s="284" t="s">
        <v>567</v>
      </c>
      <c r="L284" s="304"/>
      <c r="M284" s="284"/>
      <c r="N284" s="284" t="s">
        <v>636</v>
      </c>
      <c r="O284" s="305"/>
      <c r="P284" s="306"/>
      <c r="Q284" s="306"/>
      <c r="R284" s="284"/>
      <c r="S284" s="284"/>
      <c r="T284" s="305"/>
      <c r="U284" s="284"/>
      <c r="V284" s="284"/>
      <c r="W284" s="307"/>
      <c r="X284" s="284"/>
      <c r="Y284" s="284"/>
      <c r="Z284" s="284"/>
      <c r="AA284" s="284"/>
      <c r="AB284" s="284"/>
      <c r="AC284" s="308">
        <v>284861428.97265005</v>
      </c>
      <c r="AD284" s="284">
        <v>24277494337.400372</v>
      </c>
      <c r="AE284" s="309">
        <v>1.1733559691693988E-2</v>
      </c>
      <c r="AF284" s="284">
        <v>4474827756.2696371</v>
      </c>
      <c r="AG284" s="310">
        <v>6.3658635480110609E-2</v>
      </c>
      <c r="AH284" s="310" t="s">
        <v>2842</v>
      </c>
      <c r="AI284" s="284">
        <v>2401600000</v>
      </c>
      <c r="AJ284" s="310">
        <v>0.11861318661419472</v>
      </c>
      <c r="AK284" s="284">
        <v>434038096.40930182</v>
      </c>
      <c r="AL284" s="310">
        <v>0.65630512927147111</v>
      </c>
      <c r="AM284" s="284" t="s">
        <v>2842</v>
      </c>
      <c r="AN284" s="311" t="s">
        <v>2842</v>
      </c>
      <c r="AO284" s="284">
        <v>18601342</v>
      </c>
      <c r="AP284" s="284" t="s">
        <v>2842</v>
      </c>
      <c r="AQ284" s="284">
        <v>49.256829268292691</v>
      </c>
      <c r="AR284" s="284">
        <v>79.3</v>
      </c>
      <c r="AS284" s="287" t="s">
        <v>2842</v>
      </c>
      <c r="AT284" s="312" t="s">
        <v>2842</v>
      </c>
      <c r="AU284" s="465" t="s">
        <v>2842</v>
      </c>
      <c r="AV284" s="287" t="s">
        <v>2842</v>
      </c>
      <c r="AW284" s="287" t="s">
        <v>2842</v>
      </c>
      <c r="AX284" s="287" t="s">
        <v>2842</v>
      </c>
      <c r="AY284" s="287" t="s">
        <v>2842</v>
      </c>
      <c r="AZ284" s="313" t="s">
        <v>2842</v>
      </c>
    </row>
    <row r="285" spans="1:52" ht="15" customHeight="1">
      <c r="A285" s="347" t="s">
        <v>158</v>
      </c>
      <c r="B285" s="27">
        <v>2010</v>
      </c>
      <c r="C285" s="27" t="s">
        <v>3542</v>
      </c>
      <c r="D285" s="27" t="s">
        <v>81</v>
      </c>
      <c r="E285" s="27" t="s">
        <v>30</v>
      </c>
      <c r="F285" s="41" t="s">
        <v>659</v>
      </c>
      <c r="G285" s="43"/>
      <c r="H285" s="43"/>
      <c r="I285" s="43"/>
      <c r="J285" s="43"/>
      <c r="K285" s="27"/>
      <c r="L285" s="28"/>
      <c r="M285" s="27"/>
      <c r="N285" s="27"/>
      <c r="O285" s="18">
        <f>O286+O289</f>
        <v>1750346490.389488</v>
      </c>
      <c r="P285" s="213">
        <v>245231916.38661528</v>
      </c>
      <c r="Q285" s="213">
        <v>268224380.18679258</v>
      </c>
      <c r="R285" s="27" t="s">
        <v>3693</v>
      </c>
      <c r="S285" s="27"/>
      <c r="T285" s="18"/>
      <c r="U285" s="27" t="s">
        <v>948</v>
      </c>
      <c r="V285" s="27" t="s">
        <v>778</v>
      </c>
      <c r="W285" s="30">
        <v>485.03</v>
      </c>
      <c r="X285" s="27">
        <v>22</v>
      </c>
      <c r="Y285" s="27" t="s">
        <v>949</v>
      </c>
      <c r="Z285" s="27">
        <v>17</v>
      </c>
      <c r="AA285" s="27" t="s">
        <v>950</v>
      </c>
      <c r="AB285" s="27" t="s">
        <v>959</v>
      </c>
      <c r="AC285" s="273">
        <v>245231916.38661528</v>
      </c>
      <c r="AD285" s="27">
        <v>24884503950.681389</v>
      </c>
      <c r="AE285" s="228">
        <v>9.8548042939750995E-3</v>
      </c>
      <c r="AF285" s="27">
        <v>4515044396.8116312</v>
      </c>
      <c r="AG285" s="226">
        <v>5.431439756379574E-2</v>
      </c>
      <c r="AH285" s="226" t="s">
        <v>2842</v>
      </c>
      <c r="AI285" s="27">
        <v>844960000</v>
      </c>
      <c r="AJ285" s="226">
        <v>0.29022902431667214</v>
      </c>
      <c r="AK285" s="27">
        <v>452842356.3949247</v>
      </c>
      <c r="AL285" s="226">
        <v>0.5415392639922314</v>
      </c>
      <c r="AM285" s="27" t="s">
        <v>2842</v>
      </c>
      <c r="AN285" s="271" t="s">
        <v>2842</v>
      </c>
      <c r="AO285" s="27">
        <v>18976588</v>
      </c>
      <c r="AP285" s="27" t="s">
        <v>2842</v>
      </c>
      <c r="AQ285" s="27">
        <v>49.67529268292683</v>
      </c>
      <c r="AR285" s="27">
        <v>76.900000000000006</v>
      </c>
      <c r="AS285" s="29" t="s">
        <v>2842</v>
      </c>
      <c r="AT285" s="270" t="s">
        <v>2842</v>
      </c>
      <c r="AU285" s="464" t="s">
        <v>2842</v>
      </c>
      <c r="AV285" s="29" t="s">
        <v>2842</v>
      </c>
      <c r="AW285" s="29" t="s">
        <v>2842</v>
      </c>
      <c r="AX285" s="29" t="s">
        <v>2842</v>
      </c>
      <c r="AY285" s="29" t="s">
        <v>2842</v>
      </c>
      <c r="AZ285" s="60" t="s">
        <v>2842</v>
      </c>
    </row>
    <row r="286" spans="1:52" ht="15" customHeight="1">
      <c r="A286" s="63" t="s">
        <v>158</v>
      </c>
      <c r="B286" s="27">
        <v>2010</v>
      </c>
      <c r="C286" s="33" t="s">
        <v>3542</v>
      </c>
      <c r="D286" s="27" t="s">
        <v>81</v>
      </c>
      <c r="E286" s="27" t="s">
        <v>50</v>
      </c>
      <c r="F286" s="41" t="s">
        <v>597</v>
      </c>
      <c r="G286" s="43"/>
      <c r="H286" s="43"/>
      <c r="I286" s="43"/>
      <c r="J286" s="43"/>
      <c r="K286" s="27"/>
      <c r="L286" s="28"/>
      <c r="M286" s="27"/>
      <c r="N286" s="27"/>
      <c r="O286" s="18">
        <f>SUM(O287:O288)</f>
        <v>1552803238.2092381</v>
      </c>
      <c r="P286" s="213">
        <v>225299829.27653959</v>
      </c>
      <c r="Q286" s="213">
        <v>248262157.9077583</v>
      </c>
      <c r="R286" s="27"/>
      <c r="S286" s="27"/>
      <c r="T286" s="18"/>
      <c r="U286" s="27"/>
      <c r="V286" s="27"/>
      <c r="W286" s="30"/>
      <c r="X286" s="27"/>
      <c r="Y286" s="27"/>
      <c r="Z286" s="27"/>
      <c r="AA286" s="27"/>
      <c r="AB286" s="27" t="s">
        <v>960</v>
      </c>
      <c r="AC286" s="273">
        <v>245231916.38661528</v>
      </c>
      <c r="AD286" s="27">
        <v>24884503950.681389</v>
      </c>
      <c r="AE286" s="228">
        <v>9.8548042939750995E-3</v>
      </c>
      <c r="AF286" s="27">
        <v>4515044396.8116312</v>
      </c>
      <c r="AG286" s="226">
        <v>5.431439756379574E-2</v>
      </c>
      <c r="AH286" s="226" t="s">
        <v>2842</v>
      </c>
      <c r="AI286" s="27">
        <v>844960000</v>
      </c>
      <c r="AJ286" s="226">
        <v>0.29022902431667214</v>
      </c>
      <c r="AK286" s="27">
        <v>452842356.3949247</v>
      </c>
      <c r="AL286" s="226">
        <v>0.5415392639922314</v>
      </c>
      <c r="AM286" s="27" t="s">
        <v>2842</v>
      </c>
      <c r="AN286" s="271" t="s">
        <v>2842</v>
      </c>
      <c r="AO286" s="27">
        <v>18976588</v>
      </c>
      <c r="AP286" s="27" t="s">
        <v>2842</v>
      </c>
      <c r="AQ286" s="27">
        <v>49.67529268292683</v>
      </c>
      <c r="AR286" s="27">
        <v>76.900000000000006</v>
      </c>
      <c r="AS286" s="29" t="s">
        <v>2842</v>
      </c>
      <c r="AT286" s="270" t="s">
        <v>2842</v>
      </c>
      <c r="AU286" s="464" t="s">
        <v>2842</v>
      </c>
      <c r="AV286" s="29" t="s">
        <v>2842</v>
      </c>
      <c r="AW286" s="29" t="s">
        <v>2842</v>
      </c>
      <c r="AX286" s="29" t="s">
        <v>2842</v>
      </c>
      <c r="AY286" s="29" t="s">
        <v>2842</v>
      </c>
      <c r="AZ286" s="60" t="s">
        <v>2842</v>
      </c>
    </row>
    <row r="287" spans="1:52" ht="15" customHeight="1">
      <c r="A287" s="63" t="s">
        <v>158</v>
      </c>
      <c r="B287" s="27">
        <v>2010</v>
      </c>
      <c r="C287" s="33" t="s">
        <v>3542</v>
      </c>
      <c r="D287" s="27" t="s">
        <v>81</v>
      </c>
      <c r="E287" s="27" t="s">
        <v>552</v>
      </c>
      <c r="F287" s="41" t="s">
        <v>552</v>
      </c>
      <c r="G287" s="43">
        <f>53000000000*0.0283168</f>
        <v>1500790400</v>
      </c>
      <c r="H287" s="43"/>
      <c r="I287" s="43"/>
      <c r="J287" s="43"/>
      <c r="K287" s="27" t="s">
        <v>599</v>
      </c>
      <c r="L287" s="28">
        <v>0.1741077336927683</v>
      </c>
      <c r="M287" s="27" t="s">
        <v>600</v>
      </c>
      <c r="N287" s="27" t="s">
        <v>816</v>
      </c>
      <c r="O287" s="18">
        <f>G287*L287</f>
        <v>261299215.2918632</v>
      </c>
      <c r="P287" s="213"/>
      <c r="Q287" s="213"/>
      <c r="R287" s="27"/>
      <c r="S287" s="42">
        <f>(29336000000+12029000000)*0.0283168</f>
        <v>1171324432</v>
      </c>
      <c r="T287" s="18" t="s">
        <v>871</v>
      </c>
      <c r="U287" s="27"/>
      <c r="V287" s="27"/>
      <c r="W287" s="30"/>
      <c r="X287" s="27"/>
      <c r="Y287" s="27"/>
      <c r="Z287" s="27"/>
      <c r="AA287" s="27"/>
      <c r="AB287" s="27" t="s">
        <v>957</v>
      </c>
      <c r="AC287" s="273">
        <v>245231916.38661528</v>
      </c>
      <c r="AD287" s="27">
        <v>24884503950.681389</v>
      </c>
      <c r="AE287" s="228">
        <v>9.8548042939750995E-3</v>
      </c>
      <c r="AF287" s="27">
        <v>4515044396.8116312</v>
      </c>
      <c r="AG287" s="226">
        <v>5.431439756379574E-2</v>
      </c>
      <c r="AH287" s="226" t="s">
        <v>2842</v>
      </c>
      <c r="AI287" s="27">
        <v>844960000</v>
      </c>
      <c r="AJ287" s="226">
        <v>0.29022902431667214</v>
      </c>
      <c r="AK287" s="27">
        <v>452842356.3949247</v>
      </c>
      <c r="AL287" s="226">
        <v>0.5415392639922314</v>
      </c>
      <c r="AM287" s="27" t="s">
        <v>2842</v>
      </c>
      <c r="AN287" s="271" t="s">
        <v>2842</v>
      </c>
      <c r="AO287" s="27">
        <v>18976588</v>
      </c>
      <c r="AP287" s="27" t="s">
        <v>2842</v>
      </c>
      <c r="AQ287" s="27">
        <v>49.67529268292683</v>
      </c>
      <c r="AR287" s="27">
        <v>76.900000000000006</v>
      </c>
      <c r="AS287" s="29" t="s">
        <v>2842</v>
      </c>
      <c r="AT287" s="270" t="s">
        <v>2842</v>
      </c>
      <c r="AU287" s="464" t="s">
        <v>2842</v>
      </c>
      <c r="AV287" s="29" t="s">
        <v>2842</v>
      </c>
      <c r="AW287" s="29" t="s">
        <v>2842</v>
      </c>
      <c r="AX287" s="29" t="s">
        <v>2842</v>
      </c>
      <c r="AY287" s="29" t="s">
        <v>2842</v>
      </c>
      <c r="AZ287" s="60" t="s">
        <v>2842</v>
      </c>
    </row>
    <row r="288" spans="1:52" ht="15" customHeight="1">
      <c r="A288" s="63" t="s">
        <v>158</v>
      </c>
      <c r="B288" s="27">
        <v>2010</v>
      </c>
      <c r="C288" s="33" t="s">
        <v>3542</v>
      </c>
      <c r="D288" s="27" t="s">
        <v>81</v>
      </c>
      <c r="E288" s="27" t="s">
        <v>98</v>
      </c>
      <c r="F288" s="41" t="s">
        <v>98</v>
      </c>
      <c r="G288" s="43">
        <v>16242500</v>
      </c>
      <c r="H288" s="43"/>
      <c r="I288" s="43"/>
      <c r="J288" s="43"/>
      <c r="K288" s="27" t="s">
        <v>603</v>
      </c>
      <c r="L288" s="28">
        <v>79.513869349999993</v>
      </c>
      <c r="M288" s="27" t="s">
        <v>626</v>
      </c>
      <c r="N288" s="27" t="s">
        <v>947</v>
      </c>
      <c r="O288" s="18">
        <f>G288*L288</f>
        <v>1291504022.9173748</v>
      </c>
      <c r="P288" s="213"/>
      <c r="Q288" s="213"/>
      <c r="R288" s="27"/>
      <c r="S288" s="42">
        <f>2174924+854090</f>
        <v>3029014</v>
      </c>
      <c r="T288" s="18" t="s">
        <v>871</v>
      </c>
      <c r="U288" s="27"/>
      <c r="V288" s="27"/>
      <c r="W288" s="30"/>
      <c r="X288" s="27"/>
      <c r="Y288" s="27"/>
      <c r="Z288" s="27"/>
      <c r="AA288" s="27"/>
      <c r="AB288" s="27" t="s">
        <v>958</v>
      </c>
      <c r="AC288" s="273">
        <v>245231916.38661528</v>
      </c>
      <c r="AD288" s="27">
        <v>24884503950.681389</v>
      </c>
      <c r="AE288" s="228">
        <v>9.8548042939750995E-3</v>
      </c>
      <c r="AF288" s="27">
        <v>4515044396.8116312</v>
      </c>
      <c r="AG288" s="226">
        <v>5.431439756379574E-2</v>
      </c>
      <c r="AH288" s="226" t="s">
        <v>2842</v>
      </c>
      <c r="AI288" s="27">
        <v>844960000</v>
      </c>
      <c r="AJ288" s="226">
        <v>0.29022902431667214</v>
      </c>
      <c r="AK288" s="27">
        <v>452842356.3949247</v>
      </c>
      <c r="AL288" s="226">
        <v>0.5415392639922314</v>
      </c>
      <c r="AM288" s="27" t="s">
        <v>2842</v>
      </c>
      <c r="AN288" s="271" t="s">
        <v>2842</v>
      </c>
      <c r="AO288" s="27">
        <v>18976588</v>
      </c>
      <c r="AP288" s="27" t="s">
        <v>2842</v>
      </c>
      <c r="AQ288" s="27">
        <v>49.67529268292683</v>
      </c>
      <c r="AR288" s="27">
        <v>76.900000000000006</v>
      </c>
      <c r="AS288" s="29" t="s">
        <v>2842</v>
      </c>
      <c r="AT288" s="270" t="s">
        <v>2842</v>
      </c>
      <c r="AU288" s="464" t="s">
        <v>2842</v>
      </c>
      <c r="AV288" s="29" t="s">
        <v>2842</v>
      </c>
      <c r="AW288" s="29" t="s">
        <v>2842</v>
      </c>
      <c r="AX288" s="29" t="s">
        <v>2842</v>
      </c>
      <c r="AY288" s="29" t="s">
        <v>2842</v>
      </c>
      <c r="AZ288" s="60" t="s">
        <v>2842</v>
      </c>
    </row>
    <row r="289" spans="1:52" ht="15" customHeight="1">
      <c r="A289" s="63" t="s">
        <v>158</v>
      </c>
      <c r="B289" s="27">
        <v>2010</v>
      </c>
      <c r="C289" s="33" t="s">
        <v>3542</v>
      </c>
      <c r="D289" s="27" t="s">
        <v>81</v>
      </c>
      <c r="E289" s="27" t="s">
        <v>19</v>
      </c>
      <c r="F289" s="41" t="s">
        <v>559</v>
      </c>
      <c r="G289" s="43"/>
      <c r="H289" s="43"/>
      <c r="I289" s="43"/>
      <c r="J289" s="43"/>
      <c r="K289" s="27"/>
      <c r="L289" s="28"/>
      <c r="M289" s="27"/>
      <c r="N289" s="27"/>
      <c r="O289" s="18">
        <f>SUM(O290:O293)</f>
        <v>197543252.18025002</v>
      </c>
      <c r="P289" s="213">
        <v>19932087.110075668</v>
      </c>
      <c r="Q289" s="213">
        <v>19962222.279034287</v>
      </c>
      <c r="R289" s="27"/>
      <c r="S289" s="42"/>
      <c r="T289" s="18"/>
      <c r="U289" s="27"/>
      <c r="V289" s="27"/>
      <c r="W289" s="30"/>
      <c r="X289" s="27"/>
      <c r="Y289" s="27"/>
      <c r="Z289" s="27"/>
      <c r="AA289" s="27"/>
      <c r="AB289" s="27" t="s">
        <v>961</v>
      </c>
      <c r="AC289" s="273">
        <v>245231916.38661528</v>
      </c>
      <c r="AD289" s="27">
        <v>24884503950.681389</v>
      </c>
      <c r="AE289" s="228">
        <v>9.8548042939750995E-3</v>
      </c>
      <c r="AF289" s="27">
        <v>4515044396.8116312</v>
      </c>
      <c r="AG289" s="226">
        <v>5.431439756379574E-2</v>
      </c>
      <c r="AH289" s="226" t="s">
        <v>2842</v>
      </c>
      <c r="AI289" s="27">
        <v>844960000</v>
      </c>
      <c r="AJ289" s="226">
        <v>0.29022902431667214</v>
      </c>
      <c r="AK289" s="27">
        <v>452842356.3949247</v>
      </c>
      <c r="AL289" s="226">
        <v>0.5415392639922314</v>
      </c>
      <c r="AM289" s="27" t="s">
        <v>2842</v>
      </c>
      <c r="AN289" s="271" t="s">
        <v>2842</v>
      </c>
      <c r="AO289" s="27">
        <v>18976588</v>
      </c>
      <c r="AP289" s="27" t="s">
        <v>2842</v>
      </c>
      <c r="AQ289" s="27">
        <v>49.67529268292683</v>
      </c>
      <c r="AR289" s="27">
        <v>76.900000000000006</v>
      </c>
      <c r="AS289" s="29" t="s">
        <v>2842</v>
      </c>
      <c r="AT289" s="270" t="s">
        <v>2842</v>
      </c>
      <c r="AU289" s="464" t="s">
        <v>2842</v>
      </c>
      <c r="AV289" s="29" t="s">
        <v>2842</v>
      </c>
      <c r="AW289" s="29" t="s">
        <v>2842</v>
      </c>
      <c r="AX289" s="29" t="s">
        <v>2842</v>
      </c>
      <c r="AY289" s="29" t="s">
        <v>2842</v>
      </c>
      <c r="AZ289" s="60" t="s">
        <v>2842</v>
      </c>
    </row>
    <row r="290" spans="1:52" ht="15" customHeight="1">
      <c r="A290" s="63" t="s">
        <v>158</v>
      </c>
      <c r="B290" s="27">
        <v>2010</v>
      </c>
      <c r="C290" s="33" t="s">
        <v>3542</v>
      </c>
      <c r="D290" s="27" t="s">
        <v>81</v>
      </c>
      <c r="E290" s="27" t="s">
        <v>19</v>
      </c>
      <c r="F290" s="41" t="s">
        <v>730</v>
      </c>
      <c r="G290" s="43">
        <f>5310*32.150743126506</f>
        <v>170720.44600174687</v>
      </c>
      <c r="H290" s="43">
        <v>160753</v>
      </c>
      <c r="I290" s="43"/>
      <c r="J290" s="43"/>
      <c r="K290" s="27" t="s">
        <v>731</v>
      </c>
      <c r="L290" s="28">
        <v>1224.66425</v>
      </c>
      <c r="M290" s="27" t="s">
        <v>732</v>
      </c>
      <c r="N290" s="27" t="s">
        <v>733</v>
      </c>
      <c r="O290" s="18">
        <f>H290*L290</f>
        <v>196868452.18025002</v>
      </c>
      <c r="P290" s="213"/>
      <c r="Q290" s="213"/>
      <c r="R290" s="27"/>
      <c r="S290" s="42"/>
      <c r="T290" s="18"/>
      <c r="U290" s="27"/>
      <c r="V290" s="27"/>
      <c r="W290" s="30"/>
      <c r="X290" s="27"/>
      <c r="Y290" s="27"/>
      <c r="Z290" s="27"/>
      <c r="AA290" s="27"/>
      <c r="AB290" s="27"/>
      <c r="AC290" s="273">
        <v>245231916.38661528</v>
      </c>
      <c r="AD290" s="27">
        <v>24884503950.681389</v>
      </c>
      <c r="AE290" s="228">
        <v>9.8548042939750995E-3</v>
      </c>
      <c r="AF290" s="27">
        <v>4515044396.8116312</v>
      </c>
      <c r="AG290" s="226">
        <v>5.431439756379574E-2</v>
      </c>
      <c r="AH290" s="226" t="s">
        <v>2842</v>
      </c>
      <c r="AI290" s="27">
        <v>844960000</v>
      </c>
      <c r="AJ290" s="226">
        <v>0.29022902431667214</v>
      </c>
      <c r="AK290" s="27">
        <v>452842356.3949247</v>
      </c>
      <c r="AL290" s="226">
        <v>0.5415392639922314</v>
      </c>
      <c r="AM290" s="27" t="s">
        <v>2842</v>
      </c>
      <c r="AN290" s="271" t="s">
        <v>2842</v>
      </c>
      <c r="AO290" s="27">
        <v>18976588</v>
      </c>
      <c r="AP290" s="27" t="s">
        <v>2842</v>
      </c>
      <c r="AQ290" s="27">
        <v>49.67529268292683</v>
      </c>
      <c r="AR290" s="27">
        <v>76.900000000000006</v>
      </c>
      <c r="AS290" s="29" t="s">
        <v>2842</v>
      </c>
      <c r="AT290" s="270" t="s">
        <v>2842</v>
      </c>
      <c r="AU290" s="464" t="s">
        <v>2842</v>
      </c>
      <c r="AV290" s="29" t="s">
        <v>2842</v>
      </c>
      <c r="AW290" s="29" t="s">
        <v>2842</v>
      </c>
      <c r="AX290" s="29" t="s">
        <v>2842</v>
      </c>
      <c r="AY290" s="29" t="s">
        <v>2842</v>
      </c>
      <c r="AZ290" s="60" t="s">
        <v>2842</v>
      </c>
    </row>
    <row r="291" spans="1:52" ht="15" customHeight="1">
      <c r="A291" s="63" t="s">
        <v>158</v>
      </c>
      <c r="B291" s="27">
        <v>2010</v>
      </c>
      <c r="C291" s="33" t="s">
        <v>3542</v>
      </c>
      <c r="D291" s="27" t="s">
        <v>81</v>
      </c>
      <c r="E291" s="27" t="s">
        <v>19</v>
      </c>
      <c r="F291" s="41" t="s">
        <v>784</v>
      </c>
      <c r="G291" s="43"/>
      <c r="H291" s="43">
        <v>70000</v>
      </c>
      <c r="I291" s="43"/>
      <c r="J291" s="43"/>
      <c r="K291" s="27" t="s">
        <v>567</v>
      </c>
      <c r="L291" s="28">
        <v>9.64</v>
      </c>
      <c r="M291" s="27" t="s">
        <v>568</v>
      </c>
      <c r="N291" s="27" t="s">
        <v>785</v>
      </c>
      <c r="O291" s="18">
        <f>H291*L291</f>
        <v>674800</v>
      </c>
      <c r="P291" s="213"/>
      <c r="Q291" s="213"/>
      <c r="R291" s="27"/>
      <c r="S291" s="42"/>
      <c r="T291" s="18"/>
      <c r="U291" s="27"/>
      <c r="V291" s="27"/>
      <c r="W291" s="30"/>
      <c r="X291" s="27"/>
      <c r="Y291" s="27"/>
      <c r="Z291" s="27"/>
      <c r="AA291" s="27"/>
      <c r="AB291" s="27"/>
      <c r="AC291" s="273">
        <v>245231916.38661528</v>
      </c>
      <c r="AD291" s="27">
        <v>24884503950.681389</v>
      </c>
      <c r="AE291" s="228">
        <v>9.8548042939750995E-3</v>
      </c>
      <c r="AF291" s="27">
        <v>4515044396.8116312</v>
      </c>
      <c r="AG291" s="226">
        <v>5.431439756379574E-2</v>
      </c>
      <c r="AH291" s="226" t="s">
        <v>2842</v>
      </c>
      <c r="AI291" s="27">
        <v>844960000</v>
      </c>
      <c r="AJ291" s="226">
        <v>0.29022902431667214</v>
      </c>
      <c r="AK291" s="27">
        <v>452842356.3949247</v>
      </c>
      <c r="AL291" s="226">
        <v>0.5415392639922314</v>
      </c>
      <c r="AM291" s="27" t="s">
        <v>2842</v>
      </c>
      <c r="AN291" s="271" t="s">
        <v>2842</v>
      </c>
      <c r="AO291" s="27">
        <v>18976588</v>
      </c>
      <c r="AP291" s="27" t="s">
        <v>2842</v>
      </c>
      <c r="AQ291" s="27">
        <v>49.67529268292683</v>
      </c>
      <c r="AR291" s="27">
        <v>76.900000000000006</v>
      </c>
      <c r="AS291" s="29" t="s">
        <v>2842</v>
      </c>
      <c r="AT291" s="270" t="s">
        <v>2842</v>
      </c>
      <c r="AU291" s="464" t="s">
        <v>2842</v>
      </c>
      <c r="AV291" s="29" t="s">
        <v>2842</v>
      </c>
      <c r="AW291" s="29" t="s">
        <v>2842</v>
      </c>
      <c r="AX291" s="29" t="s">
        <v>2842</v>
      </c>
      <c r="AY291" s="29" t="s">
        <v>2842</v>
      </c>
      <c r="AZ291" s="60" t="s">
        <v>2842</v>
      </c>
    </row>
    <row r="292" spans="1:52" ht="15" customHeight="1">
      <c r="A292" s="63" t="s">
        <v>158</v>
      </c>
      <c r="B292" s="27">
        <v>2010</v>
      </c>
      <c r="C292" s="33" t="s">
        <v>3542</v>
      </c>
      <c r="D292" s="27" t="s">
        <v>81</v>
      </c>
      <c r="E292" s="27" t="s">
        <v>19</v>
      </c>
      <c r="F292" s="41" t="s">
        <v>955</v>
      </c>
      <c r="G292" s="43">
        <v>87400</v>
      </c>
      <c r="H292" s="43"/>
      <c r="I292" s="43"/>
      <c r="J292" s="43"/>
      <c r="K292" s="27" t="s">
        <v>567</v>
      </c>
      <c r="L292" s="28"/>
      <c r="M292" s="27"/>
      <c r="N292" s="27" t="s">
        <v>636</v>
      </c>
      <c r="O292" s="18"/>
      <c r="P292" s="213"/>
      <c r="Q292" s="213"/>
      <c r="R292" s="27"/>
      <c r="S292" s="42"/>
      <c r="T292" s="18"/>
      <c r="U292" s="27"/>
      <c r="V292" s="27"/>
      <c r="W292" s="30"/>
      <c r="X292" s="27"/>
      <c r="Y292" s="27"/>
      <c r="Z292" s="27"/>
      <c r="AA292" s="27"/>
      <c r="AB292" s="27"/>
      <c r="AC292" s="273">
        <v>245231916.38661528</v>
      </c>
      <c r="AD292" s="27">
        <v>24884503950.681389</v>
      </c>
      <c r="AE292" s="228">
        <v>9.8548042939750995E-3</v>
      </c>
      <c r="AF292" s="27">
        <v>4515044396.8116312</v>
      </c>
      <c r="AG292" s="226">
        <v>5.431439756379574E-2</v>
      </c>
      <c r="AH292" s="226" t="s">
        <v>2842</v>
      </c>
      <c r="AI292" s="27">
        <v>844960000</v>
      </c>
      <c r="AJ292" s="226">
        <v>0.29022902431667214</v>
      </c>
      <c r="AK292" s="27">
        <v>452842356.3949247</v>
      </c>
      <c r="AL292" s="226">
        <v>0.5415392639922314</v>
      </c>
      <c r="AM292" s="27" t="s">
        <v>2842</v>
      </c>
      <c r="AN292" s="271" t="s">
        <v>2842</v>
      </c>
      <c r="AO292" s="27">
        <v>18976588</v>
      </c>
      <c r="AP292" s="27" t="s">
        <v>2842</v>
      </c>
      <c r="AQ292" s="27">
        <v>49.67529268292683</v>
      </c>
      <c r="AR292" s="27">
        <v>76.900000000000006</v>
      </c>
      <c r="AS292" s="29" t="s">
        <v>2842</v>
      </c>
      <c r="AT292" s="270" t="s">
        <v>2842</v>
      </c>
      <c r="AU292" s="464" t="s">
        <v>2842</v>
      </c>
      <c r="AV292" s="29" t="s">
        <v>2842</v>
      </c>
      <c r="AW292" s="29" t="s">
        <v>2842</v>
      </c>
      <c r="AX292" s="29" t="s">
        <v>2842</v>
      </c>
      <c r="AY292" s="29" t="s">
        <v>2842</v>
      </c>
      <c r="AZ292" s="60" t="s">
        <v>2842</v>
      </c>
    </row>
    <row r="293" spans="1:52" s="287" customFormat="1" ht="15" customHeight="1">
      <c r="A293" s="359" t="s">
        <v>158</v>
      </c>
      <c r="B293" s="284">
        <v>2010</v>
      </c>
      <c r="C293" s="236" t="s">
        <v>3542</v>
      </c>
      <c r="D293" s="284" t="s">
        <v>81</v>
      </c>
      <c r="E293" s="284" t="s">
        <v>19</v>
      </c>
      <c r="F293" s="315" t="s">
        <v>789</v>
      </c>
      <c r="G293" s="303">
        <v>39330</v>
      </c>
      <c r="H293" s="303"/>
      <c r="I293" s="303"/>
      <c r="J293" s="303"/>
      <c r="K293" s="284" t="s">
        <v>567</v>
      </c>
      <c r="L293" s="304"/>
      <c r="M293" s="284"/>
      <c r="N293" s="284" t="s">
        <v>636</v>
      </c>
      <c r="O293" s="305"/>
      <c r="P293" s="306"/>
      <c r="Q293" s="306"/>
      <c r="R293" s="284"/>
      <c r="S293" s="366"/>
      <c r="T293" s="305"/>
      <c r="U293" s="284"/>
      <c r="V293" s="284"/>
      <c r="W293" s="307"/>
      <c r="X293" s="284"/>
      <c r="Y293" s="284"/>
      <c r="Z293" s="284"/>
      <c r="AA293" s="284"/>
      <c r="AB293" s="284"/>
      <c r="AC293" s="308">
        <v>245231916.38661528</v>
      </c>
      <c r="AD293" s="284">
        <v>24884503950.681389</v>
      </c>
      <c r="AE293" s="309">
        <v>9.8548042939750995E-3</v>
      </c>
      <c r="AF293" s="284">
        <v>4515044396.8116312</v>
      </c>
      <c r="AG293" s="310">
        <v>5.431439756379574E-2</v>
      </c>
      <c r="AH293" s="310" t="s">
        <v>2842</v>
      </c>
      <c r="AI293" s="284">
        <v>844960000</v>
      </c>
      <c r="AJ293" s="310">
        <v>0.29022902431667214</v>
      </c>
      <c r="AK293" s="284">
        <v>452842356.3949247</v>
      </c>
      <c r="AL293" s="310">
        <v>0.5415392639922314</v>
      </c>
      <c r="AM293" s="284" t="s">
        <v>2842</v>
      </c>
      <c r="AN293" s="311" t="s">
        <v>2842</v>
      </c>
      <c r="AO293" s="284">
        <v>18976588</v>
      </c>
      <c r="AP293" s="284" t="s">
        <v>2842</v>
      </c>
      <c r="AQ293" s="284">
        <v>49.67529268292683</v>
      </c>
      <c r="AR293" s="284">
        <v>76.900000000000006</v>
      </c>
      <c r="AS293" s="287" t="s">
        <v>2842</v>
      </c>
      <c r="AT293" s="312" t="s">
        <v>2842</v>
      </c>
      <c r="AU293" s="465" t="s">
        <v>2842</v>
      </c>
      <c r="AV293" s="287" t="s">
        <v>2842</v>
      </c>
      <c r="AW293" s="287" t="s">
        <v>2842</v>
      </c>
      <c r="AX293" s="287" t="s">
        <v>2842</v>
      </c>
      <c r="AY293" s="287" t="s">
        <v>2842</v>
      </c>
      <c r="AZ293" s="313" t="s">
        <v>2842</v>
      </c>
    </row>
    <row r="294" spans="1:52" s="29" customFormat="1" ht="15" customHeight="1">
      <c r="A294" s="347" t="s">
        <v>160</v>
      </c>
      <c r="B294" s="27">
        <v>2011</v>
      </c>
      <c r="C294" s="27" t="s">
        <v>3542</v>
      </c>
      <c r="D294" s="27" t="s">
        <v>81</v>
      </c>
      <c r="E294" s="27" t="s">
        <v>30</v>
      </c>
      <c r="F294" s="41" t="s">
        <v>659</v>
      </c>
      <c r="G294" s="43"/>
      <c r="H294" s="43"/>
      <c r="I294" s="43"/>
      <c r="J294" s="43"/>
      <c r="K294" s="27"/>
      <c r="L294" s="28"/>
      <c r="M294" s="27"/>
      <c r="N294" s="27"/>
      <c r="O294" s="18">
        <f>O295+O298</f>
        <v>2356429709.994287</v>
      </c>
      <c r="P294" s="213">
        <v>389368836.09803921</v>
      </c>
      <c r="Q294" s="213">
        <v>397882411.3509804</v>
      </c>
      <c r="R294" s="27" t="s">
        <v>3693</v>
      </c>
      <c r="S294" s="42"/>
      <c r="T294" s="18"/>
      <c r="U294" s="27" t="s">
        <v>962</v>
      </c>
      <c r="V294" s="27" t="s">
        <v>778</v>
      </c>
      <c r="W294" s="30">
        <v>510</v>
      </c>
      <c r="X294" s="27">
        <v>35</v>
      </c>
      <c r="Y294" s="27" t="s">
        <v>963</v>
      </c>
      <c r="Z294" s="27">
        <v>34</v>
      </c>
      <c r="AA294" s="27" t="s">
        <v>964</v>
      </c>
      <c r="AB294" s="27" t="s">
        <v>965</v>
      </c>
      <c r="AC294" s="273">
        <v>389368836.09803921</v>
      </c>
      <c r="AD294" s="27">
        <v>25381617035.70116</v>
      </c>
      <c r="AE294" s="228">
        <v>1.5340584311486638E-2</v>
      </c>
      <c r="AF294" s="27">
        <v>4828345008.7014322</v>
      </c>
      <c r="AG294" s="226">
        <v>8.0642297805218088E-2</v>
      </c>
      <c r="AH294" s="226" t="s">
        <v>2842</v>
      </c>
      <c r="AI294" s="27">
        <v>1436000000</v>
      </c>
      <c r="AJ294" s="226">
        <v>0.27114821455295207</v>
      </c>
      <c r="AK294" s="27">
        <v>421738112.76367164</v>
      </c>
      <c r="AL294" s="226">
        <v>0.92324792166988445</v>
      </c>
      <c r="AM294" s="27" t="s">
        <v>2842</v>
      </c>
      <c r="AN294" s="271" t="s">
        <v>2842</v>
      </c>
      <c r="AO294" s="27">
        <v>19389954</v>
      </c>
      <c r="AP294" s="27" t="s">
        <v>2842</v>
      </c>
      <c r="AQ294" s="27">
        <v>50.047560975609755</v>
      </c>
      <c r="AR294" s="27">
        <v>75.2</v>
      </c>
      <c r="AS294" s="29" t="s">
        <v>2842</v>
      </c>
      <c r="AT294" s="270" t="s">
        <v>2842</v>
      </c>
      <c r="AU294" s="464" t="s">
        <v>2842</v>
      </c>
      <c r="AV294" s="29" t="s">
        <v>2842</v>
      </c>
      <c r="AW294" s="29" t="s">
        <v>2842</v>
      </c>
      <c r="AX294" s="29" t="s">
        <v>2842</v>
      </c>
      <c r="AY294" s="29" t="s">
        <v>2842</v>
      </c>
      <c r="AZ294" s="60" t="s">
        <v>2842</v>
      </c>
    </row>
    <row r="295" spans="1:52" s="29" customFormat="1" ht="15" customHeight="1">
      <c r="A295" s="63" t="s">
        <v>160</v>
      </c>
      <c r="B295" s="27">
        <v>2011</v>
      </c>
      <c r="C295" s="33" t="s">
        <v>3542</v>
      </c>
      <c r="D295" s="27" t="s">
        <v>81</v>
      </c>
      <c r="E295" s="27" t="s">
        <v>50</v>
      </c>
      <c r="F295" s="41" t="s">
        <v>597</v>
      </c>
      <c r="G295" s="43"/>
      <c r="H295" s="43"/>
      <c r="I295" s="43"/>
      <c r="J295" s="43"/>
      <c r="K295" s="27"/>
      <c r="L295" s="28"/>
      <c r="M295" s="27"/>
      <c r="N295" s="27"/>
      <c r="O295" s="18">
        <f>SUM(O296:O297)</f>
        <v>1858270377.2353683</v>
      </c>
      <c r="P295" s="213">
        <v>364561103.48039216</v>
      </c>
      <c r="Q295" s="213">
        <v>372266022.58039218</v>
      </c>
      <c r="R295" s="27"/>
      <c r="S295" s="42"/>
      <c r="T295" s="18"/>
      <c r="U295" s="27"/>
      <c r="V295" s="27"/>
      <c r="W295" s="30"/>
      <c r="X295" s="27"/>
      <c r="Y295" s="27"/>
      <c r="Z295" s="27"/>
      <c r="AA295" s="27"/>
      <c r="AB295" s="27" t="s">
        <v>966</v>
      </c>
      <c r="AC295" s="273">
        <v>389368836.09803921</v>
      </c>
      <c r="AD295" s="27">
        <v>25381617035.70116</v>
      </c>
      <c r="AE295" s="228">
        <v>1.5340584311486638E-2</v>
      </c>
      <c r="AF295" s="27">
        <v>4828345008.7014322</v>
      </c>
      <c r="AG295" s="226">
        <v>8.0642297805218088E-2</v>
      </c>
      <c r="AH295" s="226" t="s">
        <v>2842</v>
      </c>
      <c r="AI295" s="27">
        <v>1436000000</v>
      </c>
      <c r="AJ295" s="226">
        <v>0.27114821455295207</v>
      </c>
      <c r="AK295" s="27">
        <v>421738112.76367164</v>
      </c>
      <c r="AL295" s="226">
        <v>0.92324792166988445</v>
      </c>
      <c r="AM295" s="27" t="s">
        <v>2842</v>
      </c>
      <c r="AN295" s="271" t="s">
        <v>2842</v>
      </c>
      <c r="AO295" s="27">
        <v>19389954</v>
      </c>
      <c r="AP295" s="27" t="s">
        <v>2842</v>
      </c>
      <c r="AQ295" s="27">
        <v>50.047560975609755</v>
      </c>
      <c r="AR295" s="27">
        <v>75.2</v>
      </c>
      <c r="AS295" s="29" t="s">
        <v>2842</v>
      </c>
      <c r="AT295" s="270" t="s">
        <v>2842</v>
      </c>
      <c r="AU295" s="464" t="s">
        <v>2842</v>
      </c>
      <c r="AV295" s="29" t="s">
        <v>2842</v>
      </c>
      <c r="AW295" s="29" t="s">
        <v>2842</v>
      </c>
      <c r="AX295" s="29" t="s">
        <v>2842</v>
      </c>
      <c r="AY295" s="29" t="s">
        <v>2842</v>
      </c>
      <c r="AZ295" s="60" t="s">
        <v>2842</v>
      </c>
    </row>
    <row r="296" spans="1:52" s="29" customFormat="1" ht="15" customHeight="1">
      <c r="A296" s="63" t="s">
        <v>160</v>
      </c>
      <c r="B296" s="27">
        <v>2011</v>
      </c>
      <c r="C296" s="33" t="s">
        <v>3542</v>
      </c>
      <c r="D296" s="27" t="s">
        <v>81</v>
      </c>
      <c r="E296" s="27" t="s">
        <v>552</v>
      </c>
      <c r="F296" s="41" t="s">
        <v>552</v>
      </c>
      <c r="G296" s="43">
        <f>53000000000*0.0283168</f>
        <v>1500790400</v>
      </c>
      <c r="H296" s="43"/>
      <c r="I296" s="43"/>
      <c r="J296" s="43"/>
      <c r="K296" s="27" t="s">
        <v>599</v>
      </c>
      <c r="L296" s="28">
        <v>0.19666043794616025</v>
      </c>
      <c r="M296" s="27" t="s">
        <v>600</v>
      </c>
      <c r="N296" s="27" t="s">
        <v>816</v>
      </c>
      <c r="O296" s="18">
        <f>G296*L296</f>
        <v>295146097.32939303</v>
      </c>
      <c r="P296" s="213"/>
      <c r="Q296" s="213"/>
      <c r="R296" s="27"/>
      <c r="S296" s="42">
        <v>1346389800</v>
      </c>
      <c r="T296" s="18" t="s">
        <v>871</v>
      </c>
      <c r="U296" s="27"/>
      <c r="V296" s="27"/>
      <c r="W296" s="30"/>
      <c r="X296" s="27"/>
      <c r="Y296" s="27"/>
      <c r="Z296" s="27"/>
      <c r="AA296" s="27"/>
      <c r="AB296" s="27" t="s">
        <v>967</v>
      </c>
      <c r="AC296" s="273">
        <v>389368836.09803921</v>
      </c>
      <c r="AD296" s="27">
        <v>25381617035.70116</v>
      </c>
      <c r="AE296" s="228">
        <v>1.5340584311486638E-2</v>
      </c>
      <c r="AF296" s="27">
        <v>4828345008.7014322</v>
      </c>
      <c r="AG296" s="226">
        <v>8.0642297805218088E-2</v>
      </c>
      <c r="AH296" s="226" t="s">
        <v>2842</v>
      </c>
      <c r="AI296" s="27">
        <v>1436000000</v>
      </c>
      <c r="AJ296" s="226">
        <v>0.27114821455295207</v>
      </c>
      <c r="AK296" s="27">
        <v>421738112.76367164</v>
      </c>
      <c r="AL296" s="226">
        <v>0.92324792166988445</v>
      </c>
      <c r="AM296" s="27" t="s">
        <v>2842</v>
      </c>
      <c r="AN296" s="271" t="s">
        <v>2842</v>
      </c>
      <c r="AO296" s="27">
        <v>19389954</v>
      </c>
      <c r="AP296" s="27" t="s">
        <v>2842</v>
      </c>
      <c r="AQ296" s="27">
        <v>50.047560975609755</v>
      </c>
      <c r="AR296" s="27">
        <v>75.2</v>
      </c>
      <c r="AS296" s="29" t="s">
        <v>2842</v>
      </c>
      <c r="AT296" s="270" t="s">
        <v>2842</v>
      </c>
      <c r="AU296" s="464" t="s">
        <v>2842</v>
      </c>
      <c r="AV296" s="29" t="s">
        <v>2842</v>
      </c>
      <c r="AW296" s="29" t="s">
        <v>2842</v>
      </c>
      <c r="AX296" s="29" t="s">
        <v>2842</v>
      </c>
      <c r="AY296" s="29" t="s">
        <v>2842</v>
      </c>
      <c r="AZ296" s="60" t="s">
        <v>2842</v>
      </c>
    </row>
    <row r="297" spans="1:52" s="29" customFormat="1" ht="15" customHeight="1">
      <c r="A297" s="63" t="s">
        <v>160</v>
      </c>
      <c r="B297" s="27">
        <v>2011</v>
      </c>
      <c r="C297" s="33" t="s">
        <v>3542</v>
      </c>
      <c r="D297" s="27" t="s">
        <v>81</v>
      </c>
      <c r="E297" s="27" t="s">
        <v>98</v>
      </c>
      <c r="F297" s="41" t="s">
        <v>98</v>
      </c>
      <c r="G297" s="43">
        <v>14673000</v>
      </c>
      <c r="H297" s="43"/>
      <c r="I297" s="43"/>
      <c r="J297" s="43"/>
      <c r="K297" s="27" t="s">
        <v>603</v>
      </c>
      <c r="L297" s="28">
        <v>106.530653575</v>
      </c>
      <c r="M297" s="27" t="s">
        <v>626</v>
      </c>
      <c r="N297" s="27" t="s">
        <v>947</v>
      </c>
      <c r="O297" s="18">
        <f>G297*L297</f>
        <v>1563124279.9059751</v>
      </c>
      <c r="P297" s="213"/>
      <c r="Q297" s="213"/>
      <c r="R297" s="27"/>
      <c r="S297" s="42">
        <v>4319000</v>
      </c>
      <c r="T297" s="18" t="s">
        <v>871</v>
      </c>
      <c r="U297" s="27"/>
      <c r="V297" s="27"/>
      <c r="W297" s="30"/>
      <c r="X297" s="27"/>
      <c r="Y297" s="27"/>
      <c r="Z297" s="27"/>
      <c r="AA297" s="27"/>
      <c r="AB297" s="27" t="s">
        <v>968</v>
      </c>
      <c r="AC297" s="273">
        <v>389368836.09803921</v>
      </c>
      <c r="AD297" s="27">
        <v>25381617035.70116</v>
      </c>
      <c r="AE297" s="228">
        <v>1.5340584311486638E-2</v>
      </c>
      <c r="AF297" s="27">
        <v>4828345008.7014322</v>
      </c>
      <c r="AG297" s="226">
        <v>8.0642297805218088E-2</v>
      </c>
      <c r="AH297" s="226" t="s">
        <v>2842</v>
      </c>
      <c r="AI297" s="27">
        <v>1436000000</v>
      </c>
      <c r="AJ297" s="226">
        <v>0.27114821455295207</v>
      </c>
      <c r="AK297" s="27">
        <v>421738112.76367164</v>
      </c>
      <c r="AL297" s="226">
        <v>0.92324792166988445</v>
      </c>
      <c r="AM297" s="27" t="s">
        <v>2842</v>
      </c>
      <c r="AN297" s="271" t="s">
        <v>2842</v>
      </c>
      <c r="AO297" s="27">
        <v>19389954</v>
      </c>
      <c r="AP297" s="27" t="s">
        <v>2842</v>
      </c>
      <c r="AQ297" s="27">
        <v>50.047560975609755</v>
      </c>
      <c r="AR297" s="27">
        <v>75.2</v>
      </c>
      <c r="AS297" s="29" t="s">
        <v>2842</v>
      </c>
      <c r="AT297" s="270" t="s">
        <v>2842</v>
      </c>
      <c r="AU297" s="464" t="s">
        <v>2842</v>
      </c>
      <c r="AV297" s="29" t="s">
        <v>2842</v>
      </c>
      <c r="AW297" s="29" t="s">
        <v>2842</v>
      </c>
      <c r="AX297" s="29" t="s">
        <v>2842</v>
      </c>
      <c r="AY297" s="29" t="s">
        <v>2842</v>
      </c>
      <c r="AZ297" s="60" t="s">
        <v>2842</v>
      </c>
    </row>
    <row r="298" spans="1:52" s="29" customFormat="1" ht="15" customHeight="1">
      <c r="A298" s="63" t="s">
        <v>160</v>
      </c>
      <c r="B298" s="27">
        <v>2011</v>
      </c>
      <c r="C298" s="33" t="s">
        <v>3542</v>
      </c>
      <c r="D298" s="27" t="s">
        <v>81</v>
      </c>
      <c r="E298" s="27" t="s">
        <v>19</v>
      </c>
      <c r="F298" s="41" t="s">
        <v>559</v>
      </c>
      <c r="G298" s="43"/>
      <c r="H298" s="43"/>
      <c r="I298" s="43"/>
      <c r="J298" s="43"/>
      <c r="K298" s="27"/>
      <c r="L298" s="28"/>
      <c r="M298" s="27"/>
      <c r="N298" s="27"/>
      <c r="O298" s="18">
        <f>SUM(O299:O302)</f>
        <v>498159332.75891894</v>
      </c>
      <c r="P298" s="213">
        <v>24807732.617647059</v>
      </c>
      <c r="Q298" s="213">
        <v>25616388.770588234</v>
      </c>
      <c r="R298" s="27"/>
      <c r="S298" s="42"/>
      <c r="T298" s="18"/>
      <c r="U298" s="27"/>
      <c r="V298" s="27"/>
      <c r="W298" s="30"/>
      <c r="X298" s="27"/>
      <c r="Y298" s="27"/>
      <c r="Z298" s="27"/>
      <c r="AA298" s="27"/>
      <c r="AB298" s="27" t="s">
        <v>969</v>
      </c>
      <c r="AC298" s="273">
        <v>389368836.09803921</v>
      </c>
      <c r="AD298" s="27">
        <v>25381617035.70116</v>
      </c>
      <c r="AE298" s="228">
        <v>1.5340584311486638E-2</v>
      </c>
      <c r="AF298" s="27">
        <v>4828345008.7014322</v>
      </c>
      <c r="AG298" s="226">
        <v>8.0642297805218088E-2</v>
      </c>
      <c r="AH298" s="226" t="s">
        <v>2842</v>
      </c>
      <c r="AI298" s="27">
        <v>1436000000</v>
      </c>
      <c r="AJ298" s="226">
        <v>0.27114821455295207</v>
      </c>
      <c r="AK298" s="27">
        <v>421738112.76367164</v>
      </c>
      <c r="AL298" s="226">
        <v>0.92324792166988445</v>
      </c>
      <c r="AM298" s="27" t="s">
        <v>2842</v>
      </c>
      <c r="AN298" s="271" t="s">
        <v>2842</v>
      </c>
      <c r="AO298" s="27">
        <v>19389954</v>
      </c>
      <c r="AP298" s="27" t="s">
        <v>2842</v>
      </c>
      <c r="AQ298" s="27">
        <v>50.047560975609755</v>
      </c>
      <c r="AR298" s="27">
        <v>75.2</v>
      </c>
      <c r="AS298" s="29" t="s">
        <v>2842</v>
      </c>
      <c r="AT298" s="270" t="s">
        <v>2842</v>
      </c>
      <c r="AU298" s="464" t="s">
        <v>2842</v>
      </c>
      <c r="AV298" s="29" t="s">
        <v>2842</v>
      </c>
      <c r="AW298" s="29" t="s">
        <v>2842</v>
      </c>
      <c r="AX298" s="29" t="s">
        <v>2842</v>
      </c>
      <c r="AY298" s="29" t="s">
        <v>2842</v>
      </c>
      <c r="AZ298" s="60" t="s">
        <v>2842</v>
      </c>
    </row>
    <row r="299" spans="1:52" s="29" customFormat="1" ht="15" customHeight="1">
      <c r="A299" s="63" t="s">
        <v>160</v>
      </c>
      <c r="B299" s="27">
        <v>2011</v>
      </c>
      <c r="C299" s="33" t="s">
        <v>3542</v>
      </c>
      <c r="D299" s="27" t="s">
        <v>81</v>
      </c>
      <c r="E299" s="27" t="s">
        <v>19</v>
      </c>
      <c r="F299" s="41" t="s">
        <v>730</v>
      </c>
      <c r="G299" s="43">
        <f>9871*32.150743126506</f>
        <v>317359.98540174071</v>
      </c>
      <c r="H299" s="43"/>
      <c r="I299" s="43"/>
      <c r="J299" s="43"/>
      <c r="K299" s="27" t="s">
        <v>731</v>
      </c>
      <c r="L299" s="28">
        <v>1569.2108333333299</v>
      </c>
      <c r="M299" s="27" t="s">
        <v>732</v>
      </c>
      <c r="N299" s="27" t="s">
        <v>733</v>
      </c>
      <c r="O299" s="18">
        <f>G299*L299</f>
        <v>498004727.15891892</v>
      </c>
      <c r="P299" s="213"/>
      <c r="Q299" s="213"/>
      <c r="R299" s="27"/>
      <c r="S299" s="27"/>
      <c r="T299" s="18"/>
      <c r="U299" s="27"/>
      <c r="V299" s="27"/>
      <c r="W299" s="30"/>
      <c r="X299" s="27"/>
      <c r="Y299" s="27"/>
      <c r="Z299" s="27"/>
      <c r="AA299" s="27"/>
      <c r="AB299" s="27" t="s">
        <v>970</v>
      </c>
      <c r="AC299" s="273">
        <v>389368836.09803921</v>
      </c>
      <c r="AD299" s="27">
        <v>25381617035.70116</v>
      </c>
      <c r="AE299" s="228">
        <v>1.5340584311486638E-2</v>
      </c>
      <c r="AF299" s="27">
        <v>4828345008.7014322</v>
      </c>
      <c r="AG299" s="226">
        <v>8.0642297805218088E-2</v>
      </c>
      <c r="AH299" s="226" t="s">
        <v>2842</v>
      </c>
      <c r="AI299" s="27">
        <v>1436000000</v>
      </c>
      <c r="AJ299" s="226">
        <v>0.27114821455295207</v>
      </c>
      <c r="AK299" s="27">
        <v>421738112.76367164</v>
      </c>
      <c r="AL299" s="226">
        <v>0.92324792166988445</v>
      </c>
      <c r="AM299" s="27" t="s">
        <v>2842</v>
      </c>
      <c r="AN299" s="271" t="s">
        <v>2842</v>
      </c>
      <c r="AO299" s="27">
        <v>19389954</v>
      </c>
      <c r="AP299" s="27" t="s">
        <v>2842</v>
      </c>
      <c r="AQ299" s="27">
        <v>50.047560975609755</v>
      </c>
      <c r="AR299" s="27">
        <v>75.2</v>
      </c>
      <c r="AS299" s="29" t="s">
        <v>2842</v>
      </c>
      <c r="AT299" s="270" t="s">
        <v>2842</v>
      </c>
      <c r="AU299" s="464" t="s">
        <v>2842</v>
      </c>
      <c r="AV299" s="29" t="s">
        <v>2842</v>
      </c>
      <c r="AW299" s="29" t="s">
        <v>2842</v>
      </c>
      <c r="AX299" s="29" t="s">
        <v>2842</v>
      </c>
      <c r="AY299" s="29" t="s">
        <v>2842</v>
      </c>
      <c r="AZ299" s="60" t="s">
        <v>2842</v>
      </c>
    </row>
    <row r="300" spans="1:52" s="29" customFormat="1" ht="15" customHeight="1">
      <c r="A300" s="63" t="s">
        <v>160</v>
      </c>
      <c r="B300" s="27">
        <v>2011</v>
      </c>
      <c r="C300" s="33" t="s">
        <v>3542</v>
      </c>
      <c r="D300" s="27" t="s">
        <v>81</v>
      </c>
      <c r="E300" s="27" t="s">
        <v>19</v>
      </c>
      <c r="F300" s="41" t="s">
        <v>784</v>
      </c>
      <c r="G300" s="43"/>
      <c r="H300" s="43"/>
      <c r="I300" s="43"/>
      <c r="J300" s="43"/>
      <c r="K300" s="27"/>
      <c r="L300" s="28">
        <v>7.88</v>
      </c>
      <c r="M300" s="27" t="s">
        <v>568</v>
      </c>
      <c r="N300" s="27" t="s">
        <v>785</v>
      </c>
      <c r="O300" s="18">
        <f>G302*L300</f>
        <v>154605.6</v>
      </c>
      <c r="P300" s="213"/>
      <c r="Q300" s="213"/>
      <c r="R300" s="27"/>
      <c r="S300" s="27"/>
      <c r="T300" s="18"/>
      <c r="U300" s="27"/>
      <c r="V300" s="27"/>
      <c r="W300" s="30"/>
      <c r="X300" s="27"/>
      <c r="Y300" s="27"/>
      <c r="Z300" s="27"/>
      <c r="AA300" s="27"/>
      <c r="AB300" s="27"/>
      <c r="AC300" s="273">
        <v>389368836.09803921</v>
      </c>
      <c r="AD300" s="27">
        <v>25381617035.70116</v>
      </c>
      <c r="AE300" s="228">
        <v>1.5340584311486638E-2</v>
      </c>
      <c r="AF300" s="27">
        <v>4828345008.7014322</v>
      </c>
      <c r="AG300" s="226">
        <v>8.0642297805218088E-2</v>
      </c>
      <c r="AH300" s="226" t="s">
        <v>2842</v>
      </c>
      <c r="AI300" s="27">
        <v>1436000000</v>
      </c>
      <c r="AJ300" s="226">
        <v>0.27114821455295207</v>
      </c>
      <c r="AK300" s="27">
        <v>421738112.76367164</v>
      </c>
      <c r="AL300" s="226">
        <v>0.92324792166988445</v>
      </c>
      <c r="AM300" s="27" t="s">
        <v>2842</v>
      </c>
      <c r="AN300" s="271" t="s">
        <v>2842</v>
      </c>
      <c r="AO300" s="27">
        <v>19389954</v>
      </c>
      <c r="AP300" s="27" t="s">
        <v>2842</v>
      </c>
      <c r="AQ300" s="27">
        <v>50.047560975609755</v>
      </c>
      <c r="AR300" s="27">
        <v>75.2</v>
      </c>
      <c r="AS300" s="29" t="s">
        <v>2842</v>
      </c>
      <c r="AT300" s="270" t="s">
        <v>2842</v>
      </c>
      <c r="AU300" s="464" t="s">
        <v>2842</v>
      </c>
      <c r="AV300" s="29" t="s">
        <v>2842</v>
      </c>
      <c r="AW300" s="29" t="s">
        <v>2842</v>
      </c>
      <c r="AX300" s="29" t="s">
        <v>2842</v>
      </c>
      <c r="AY300" s="29" t="s">
        <v>2842</v>
      </c>
      <c r="AZ300" s="60" t="s">
        <v>2842</v>
      </c>
    </row>
    <row r="301" spans="1:52" s="29" customFormat="1" ht="15" customHeight="1">
      <c r="A301" s="63" t="s">
        <v>160</v>
      </c>
      <c r="B301" s="27">
        <v>2011</v>
      </c>
      <c r="C301" s="33" t="s">
        <v>3542</v>
      </c>
      <c r="D301" s="27" t="s">
        <v>81</v>
      </c>
      <c r="E301" s="27" t="s">
        <v>19</v>
      </c>
      <c r="F301" s="41" t="s">
        <v>955</v>
      </c>
      <c r="G301" s="43">
        <v>43600</v>
      </c>
      <c r="H301" s="43"/>
      <c r="I301" s="43"/>
      <c r="J301" s="43"/>
      <c r="K301" s="27" t="s">
        <v>567</v>
      </c>
      <c r="L301" s="28"/>
      <c r="M301" s="27"/>
      <c r="N301" s="27" t="s">
        <v>636</v>
      </c>
      <c r="O301" s="18"/>
      <c r="P301" s="213"/>
      <c r="Q301" s="213"/>
      <c r="R301" s="27"/>
      <c r="S301" s="27"/>
      <c r="T301" s="18"/>
      <c r="U301" s="27"/>
      <c r="V301" s="27"/>
      <c r="W301" s="30"/>
      <c r="X301" s="27"/>
      <c r="Y301" s="27"/>
      <c r="Z301" s="27"/>
      <c r="AA301" s="27"/>
      <c r="AB301" s="27"/>
      <c r="AC301" s="273">
        <v>389368836.09803921</v>
      </c>
      <c r="AD301" s="27">
        <v>25381617035.70116</v>
      </c>
      <c r="AE301" s="228">
        <v>1.5340584311486638E-2</v>
      </c>
      <c r="AF301" s="27">
        <v>4828345008.7014322</v>
      </c>
      <c r="AG301" s="226">
        <v>8.0642297805218088E-2</v>
      </c>
      <c r="AH301" s="226" t="s">
        <v>2842</v>
      </c>
      <c r="AI301" s="27">
        <v>1436000000</v>
      </c>
      <c r="AJ301" s="226">
        <v>0.27114821455295207</v>
      </c>
      <c r="AK301" s="27">
        <v>421738112.76367164</v>
      </c>
      <c r="AL301" s="226">
        <v>0.92324792166988445</v>
      </c>
      <c r="AM301" s="27" t="s">
        <v>2842</v>
      </c>
      <c r="AN301" s="271" t="s">
        <v>2842</v>
      </c>
      <c r="AO301" s="27">
        <v>19389954</v>
      </c>
      <c r="AP301" s="27" t="s">
        <v>2842</v>
      </c>
      <c r="AQ301" s="27">
        <v>50.047560975609755</v>
      </c>
      <c r="AR301" s="27">
        <v>75.2</v>
      </c>
      <c r="AS301" s="29" t="s">
        <v>2842</v>
      </c>
      <c r="AT301" s="270" t="s">
        <v>2842</v>
      </c>
      <c r="AU301" s="464" t="s">
        <v>2842</v>
      </c>
      <c r="AV301" s="29" t="s">
        <v>2842</v>
      </c>
      <c r="AW301" s="29" t="s">
        <v>2842</v>
      </c>
      <c r="AX301" s="29" t="s">
        <v>2842</v>
      </c>
      <c r="AY301" s="29" t="s">
        <v>2842</v>
      </c>
      <c r="AZ301" s="60" t="s">
        <v>2842</v>
      </c>
    </row>
    <row r="302" spans="1:52" s="287" customFormat="1" ht="15" customHeight="1">
      <c r="A302" s="359" t="s">
        <v>160</v>
      </c>
      <c r="B302" s="284">
        <v>2011</v>
      </c>
      <c r="C302" s="236" t="s">
        <v>3542</v>
      </c>
      <c r="D302" s="284" t="s">
        <v>81</v>
      </c>
      <c r="E302" s="284" t="s">
        <v>19</v>
      </c>
      <c r="F302" s="315" t="s">
        <v>789</v>
      </c>
      <c r="G302" s="303">
        <v>19620</v>
      </c>
      <c r="H302" s="303"/>
      <c r="I302" s="303"/>
      <c r="J302" s="303"/>
      <c r="K302" s="284" t="s">
        <v>567</v>
      </c>
      <c r="L302" s="304"/>
      <c r="M302" s="284"/>
      <c r="N302" s="284" t="s">
        <v>636</v>
      </c>
      <c r="O302" s="305"/>
      <c r="P302" s="306"/>
      <c r="Q302" s="306"/>
      <c r="R302" s="284"/>
      <c r="S302" s="284"/>
      <c r="T302" s="305"/>
      <c r="U302" s="284"/>
      <c r="V302" s="284"/>
      <c r="W302" s="307"/>
      <c r="X302" s="284"/>
      <c r="Y302" s="284"/>
      <c r="Z302" s="284"/>
      <c r="AA302" s="284"/>
      <c r="AB302" s="284"/>
      <c r="AC302" s="308">
        <v>389368836.09803921</v>
      </c>
      <c r="AD302" s="284">
        <v>25381617035.70116</v>
      </c>
      <c r="AE302" s="309">
        <v>1.5340584311486638E-2</v>
      </c>
      <c r="AF302" s="284">
        <v>4828345008.7014322</v>
      </c>
      <c r="AG302" s="310">
        <v>8.0642297805218088E-2</v>
      </c>
      <c r="AH302" s="310" t="s">
        <v>2842</v>
      </c>
      <c r="AI302" s="284">
        <v>1436000000</v>
      </c>
      <c r="AJ302" s="310">
        <v>0.27114821455295207</v>
      </c>
      <c r="AK302" s="284">
        <v>421738112.76367164</v>
      </c>
      <c r="AL302" s="310">
        <v>0.92324792166988445</v>
      </c>
      <c r="AM302" s="284" t="s">
        <v>2842</v>
      </c>
      <c r="AN302" s="311" t="s">
        <v>2842</v>
      </c>
      <c r="AO302" s="284">
        <v>19389954</v>
      </c>
      <c r="AP302" s="284" t="s">
        <v>2842</v>
      </c>
      <c r="AQ302" s="284">
        <v>50.047560975609755</v>
      </c>
      <c r="AR302" s="284">
        <v>75.2</v>
      </c>
      <c r="AS302" s="287" t="s">
        <v>2842</v>
      </c>
      <c r="AT302" s="312" t="s">
        <v>2842</v>
      </c>
      <c r="AU302" s="465" t="s">
        <v>2842</v>
      </c>
      <c r="AV302" s="287" t="s">
        <v>2842</v>
      </c>
      <c r="AW302" s="287" t="s">
        <v>2842</v>
      </c>
      <c r="AX302" s="287" t="s">
        <v>2842</v>
      </c>
      <c r="AY302" s="287" t="s">
        <v>2842</v>
      </c>
      <c r="AZ302" s="313" t="s">
        <v>2842</v>
      </c>
    </row>
    <row r="303" spans="1:52" ht="15" customHeight="1">
      <c r="A303" s="332" t="s">
        <v>162</v>
      </c>
      <c r="B303" s="27">
        <v>2012</v>
      </c>
      <c r="C303" s="27" t="s">
        <v>3542</v>
      </c>
      <c r="D303" s="27" t="s">
        <v>81</v>
      </c>
      <c r="E303" s="27" t="s">
        <v>30</v>
      </c>
      <c r="F303" s="27" t="s">
        <v>659</v>
      </c>
      <c r="G303" s="176"/>
      <c r="H303" s="176"/>
      <c r="I303" s="27"/>
      <c r="J303" s="176"/>
      <c r="K303" s="27"/>
      <c r="L303" s="28"/>
      <c r="M303" s="27"/>
      <c r="N303" s="27" t="s">
        <v>674</v>
      </c>
      <c r="O303" s="27"/>
      <c r="P303" s="214">
        <v>615027475</v>
      </c>
      <c r="Q303" s="214">
        <v>605454283.42999995</v>
      </c>
      <c r="R303" s="27" t="s">
        <v>3693</v>
      </c>
      <c r="S303" s="27"/>
      <c r="T303" s="18"/>
      <c r="U303" s="27" t="s">
        <v>971</v>
      </c>
      <c r="V303" s="27" t="s">
        <v>778</v>
      </c>
      <c r="W303" s="30">
        <v>503.06799999999998</v>
      </c>
      <c r="X303" s="27">
        <v>53</v>
      </c>
      <c r="Y303" s="27" t="s">
        <v>972</v>
      </c>
      <c r="Z303" s="27">
        <v>37</v>
      </c>
      <c r="AA303" s="27"/>
      <c r="AB303" s="27" t="s">
        <v>973</v>
      </c>
      <c r="AC303" s="273">
        <v>615027475</v>
      </c>
      <c r="AD303" s="27">
        <v>27098590232.320923</v>
      </c>
      <c r="AE303" s="228">
        <v>2.2695921438246884E-2</v>
      </c>
      <c r="AF303" s="27">
        <v>5344654951.5206556</v>
      </c>
      <c r="AG303" s="226">
        <v>0.11507337341300453</v>
      </c>
      <c r="AH303" s="226" t="s">
        <v>2842</v>
      </c>
      <c r="AI303" s="27">
        <v>2635630000</v>
      </c>
      <c r="AJ303" s="226">
        <v>0.23335121963249772</v>
      </c>
      <c r="AK303" s="27">
        <v>526142535.3915627</v>
      </c>
      <c r="AL303" s="226">
        <v>1.1689369964021021</v>
      </c>
      <c r="AM303" s="27" t="s">
        <v>2842</v>
      </c>
      <c r="AN303" s="271" t="s">
        <v>2842</v>
      </c>
      <c r="AO303" s="27">
        <v>19839750</v>
      </c>
      <c r="AP303" s="27" t="s">
        <v>2842</v>
      </c>
      <c r="AQ303" s="27">
        <v>50.401731707317076</v>
      </c>
      <c r="AR303" s="27">
        <v>73.2</v>
      </c>
      <c r="AS303" s="29" t="s">
        <v>2842</v>
      </c>
      <c r="AT303" s="270" t="s">
        <v>2842</v>
      </c>
      <c r="AU303" s="464" t="s">
        <v>2842</v>
      </c>
      <c r="AV303" s="29" t="s">
        <v>2842</v>
      </c>
      <c r="AW303" s="29" t="s">
        <v>2842</v>
      </c>
      <c r="AX303" s="29" t="s">
        <v>2842</v>
      </c>
      <c r="AY303" s="29" t="s">
        <v>2842</v>
      </c>
      <c r="AZ303" s="60" t="s">
        <v>2842</v>
      </c>
    </row>
    <row r="304" spans="1:52" ht="15" customHeight="1">
      <c r="A304" s="59" t="s">
        <v>162</v>
      </c>
      <c r="B304" s="27">
        <v>2012</v>
      </c>
      <c r="C304" s="33" t="s">
        <v>3542</v>
      </c>
      <c r="D304" s="27" t="s">
        <v>81</v>
      </c>
      <c r="E304" s="27" t="s">
        <v>98</v>
      </c>
      <c r="F304" s="27" t="s">
        <v>98</v>
      </c>
      <c r="G304" s="176"/>
      <c r="H304" s="176"/>
      <c r="I304" s="18">
        <v>10770318</v>
      </c>
      <c r="J304" s="176"/>
      <c r="K304" s="27" t="s">
        <v>603</v>
      </c>
      <c r="L304" s="28"/>
      <c r="M304" s="27"/>
      <c r="N304" s="27"/>
      <c r="O304" s="18">
        <v>1092762807.4100001</v>
      </c>
      <c r="P304" s="244"/>
      <c r="Q304" s="244"/>
      <c r="R304" s="27"/>
      <c r="S304" s="27"/>
      <c r="T304" s="18"/>
      <c r="U304" s="27"/>
      <c r="V304" s="27"/>
      <c r="W304" s="30"/>
      <c r="X304" s="27"/>
      <c r="Y304" s="27"/>
      <c r="Z304" s="27"/>
      <c r="AA304" s="27"/>
      <c r="AB304" s="27"/>
      <c r="AC304" s="273">
        <v>615027475</v>
      </c>
      <c r="AD304" s="27">
        <v>27098590232.320923</v>
      </c>
      <c r="AE304" s="228">
        <v>2.2695921438246884E-2</v>
      </c>
      <c r="AF304" s="27">
        <v>5344654951.5206556</v>
      </c>
      <c r="AG304" s="226">
        <v>0.11507337341300453</v>
      </c>
      <c r="AH304" s="226" t="s">
        <v>2842</v>
      </c>
      <c r="AI304" s="27">
        <v>2635630000</v>
      </c>
      <c r="AJ304" s="226">
        <v>0.23335121963249772</v>
      </c>
      <c r="AK304" s="27">
        <v>526142535.3915627</v>
      </c>
      <c r="AL304" s="226">
        <v>1.1689369964021021</v>
      </c>
      <c r="AM304" s="27" t="s">
        <v>2842</v>
      </c>
      <c r="AN304" s="271" t="s">
        <v>2842</v>
      </c>
      <c r="AO304" s="27">
        <v>19839750</v>
      </c>
      <c r="AP304" s="27" t="s">
        <v>2842</v>
      </c>
      <c r="AQ304" s="27">
        <v>50.401731707317076</v>
      </c>
      <c r="AR304" s="27">
        <v>73.2</v>
      </c>
      <c r="AS304" s="29" t="s">
        <v>2842</v>
      </c>
      <c r="AT304" s="270" t="s">
        <v>2842</v>
      </c>
      <c r="AU304" s="464" t="s">
        <v>2842</v>
      </c>
      <c r="AV304" s="29" t="s">
        <v>2842</v>
      </c>
      <c r="AW304" s="29" t="s">
        <v>2842</v>
      </c>
      <c r="AX304" s="29" t="s">
        <v>2842</v>
      </c>
      <c r="AY304" s="29" t="s">
        <v>2842</v>
      </c>
      <c r="AZ304" s="60" t="s">
        <v>2842</v>
      </c>
    </row>
    <row r="305" spans="1:52" ht="15" customHeight="1">
      <c r="A305" s="59" t="s">
        <v>162</v>
      </c>
      <c r="B305" s="27">
        <v>2012</v>
      </c>
      <c r="C305" s="33" t="s">
        <v>3542</v>
      </c>
      <c r="D305" s="27" t="s">
        <v>81</v>
      </c>
      <c r="E305" s="27" t="s">
        <v>552</v>
      </c>
      <c r="F305" s="27" t="s">
        <v>552</v>
      </c>
      <c r="G305" s="176"/>
      <c r="H305" s="176"/>
      <c r="I305" s="18">
        <v>62991498</v>
      </c>
      <c r="J305" s="176"/>
      <c r="K305" s="27" t="s">
        <v>974</v>
      </c>
      <c r="L305" s="28"/>
      <c r="M305" s="27"/>
      <c r="N305" s="27"/>
      <c r="O305" s="27"/>
      <c r="P305" s="244"/>
      <c r="Q305" s="244"/>
      <c r="R305" s="27"/>
      <c r="S305" s="27"/>
      <c r="T305" s="18"/>
      <c r="U305" s="27"/>
      <c r="V305" s="27"/>
      <c r="W305" s="30"/>
      <c r="X305" s="27"/>
      <c r="Y305" s="27"/>
      <c r="Z305" s="27"/>
      <c r="AA305" s="27"/>
      <c r="AB305" s="27"/>
      <c r="AC305" s="273">
        <v>615027475</v>
      </c>
      <c r="AD305" s="27">
        <v>27098590232.320923</v>
      </c>
      <c r="AE305" s="228">
        <v>2.2695921438246884E-2</v>
      </c>
      <c r="AF305" s="27">
        <v>5344654951.5206556</v>
      </c>
      <c r="AG305" s="226">
        <v>0.11507337341300453</v>
      </c>
      <c r="AH305" s="226" t="s">
        <v>2842</v>
      </c>
      <c r="AI305" s="27">
        <v>2635630000</v>
      </c>
      <c r="AJ305" s="226">
        <v>0.23335121963249772</v>
      </c>
      <c r="AK305" s="27">
        <v>526142535.3915627</v>
      </c>
      <c r="AL305" s="226">
        <v>1.1689369964021021</v>
      </c>
      <c r="AM305" s="27" t="s">
        <v>2842</v>
      </c>
      <c r="AN305" s="271" t="s">
        <v>2842</v>
      </c>
      <c r="AO305" s="27">
        <v>19839750</v>
      </c>
      <c r="AP305" s="27" t="s">
        <v>2842</v>
      </c>
      <c r="AQ305" s="27">
        <v>50.401731707317076</v>
      </c>
      <c r="AR305" s="27">
        <v>73.2</v>
      </c>
      <c r="AS305" s="29" t="s">
        <v>2842</v>
      </c>
      <c r="AT305" s="270" t="s">
        <v>2842</v>
      </c>
      <c r="AU305" s="464" t="s">
        <v>2842</v>
      </c>
      <c r="AV305" s="29" t="s">
        <v>2842</v>
      </c>
      <c r="AW305" s="29" t="s">
        <v>2842</v>
      </c>
      <c r="AX305" s="29" t="s">
        <v>2842</v>
      </c>
      <c r="AY305" s="29" t="s">
        <v>2842</v>
      </c>
      <c r="AZ305" s="60" t="s">
        <v>2842</v>
      </c>
    </row>
    <row r="306" spans="1:52" ht="15" customHeight="1">
      <c r="A306" s="59" t="s">
        <v>162</v>
      </c>
      <c r="B306" s="177">
        <v>2012</v>
      </c>
      <c r="C306" s="33" t="s">
        <v>3542</v>
      </c>
      <c r="D306" s="177" t="s">
        <v>81</v>
      </c>
      <c r="E306" s="27" t="s">
        <v>19</v>
      </c>
      <c r="F306" s="27" t="s">
        <v>730</v>
      </c>
      <c r="G306" s="176"/>
      <c r="H306" s="176"/>
      <c r="I306" s="27">
        <v>10.050000000000001</v>
      </c>
      <c r="J306" s="176"/>
      <c r="K306" s="27" t="s">
        <v>567</v>
      </c>
      <c r="L306" s="28"/>
      <c r="M306" s="27"/>
      <c r="N306" s="27"/>
      <c r="O306" s="18">
        <v>549204083.74000001</v>
      </c>
      <c r="P306" s="244"/>
      <c r="Q306" s="244"/>
      <c r="R306" s="27"/>
      <c r="S306" s="27"/>
      <c r="T306" s="18"/>
      <c r="U306" s="27"/>
      <c r="V306" s="27"/>
      <c r="W306" s="30"/>
      <c r="X306" s="27"/>
      <c r="Y306" s="27"/>
      <c r="Z306" s="27"/>
      <c r="AA306" s="27"/>
      <c r="AB306" s="27"/>
      <c r="AC306" s="273">
        <v>615027475</v>
      </c>
      <c r="AD306" s="27">
        <v>27098590232.320923</v>
      </c>
      <c r="AE306" s="228">
        <v>2.2695921438246884E-2</v>
      </c>
      <c r="AF306" s="27">
        <v>5344654951.5206556</v>
      </c>
      <c r="AG306" s="226">
        <v>0.11507337341300453</v>
      </c>
      <c r="AH306" s="226" t="s">
        <v>2842</v>
      </c>
      <c r="AI306" s="27">
        <v>2635630000</v>
      </c>
      <c r="AJ306" s="226">
        <v>0.23335121963249772</v>
      </c>
      <c r="AK306" s="27">
        <v>526142535.3915627</v>
      </c>
      <c r="AL306" s="226">
        <v>1.1689369964021021</v>
      </c>
      <c r="AM306" s="27" t="s">
        <v>2842</v>
      </c>
      <c r="AN306" s="271" t="s">
        <v>2842</v>
      </c>
      <c r="AO306" s="27">
        <v>19839750</v>
      </c>
      <c r="AP306" s="27" t="s">
        <v>2842</v>
      </c>
      <c r="AQ306" s="27">
        <v>50.401731707317076</v>
      </c>
      <c r="AR306" s="27">
        <v>73.2</v>
      </c>
      <c r="AS306" s="29" t="s">
        <v>2842</v>
      </c>
      <c r="AT306" s="270" t="s">
        <v>2842</v>
      </c>
      <c r="AU306" s="464" t="s">
        <v>2842</v>
      </c>
      <c r="AV306" s="29" t="s">
        <v>2842</v>
      </c>
      <c r="AW306" s="29" t="s">
        <v>2842</v>
      </c>
      <c r="AX306" s="29" t="s">
        <v>2842</v>
      </c>
      <c r="AY306" s="29" t="s">
        <v>2842</v>
      </c>
      <c r="AZ306" s="60" t="s">
        <v>2842</v>
      </c>
    </row>
    <row r="307" spans="1:52" s="232" customFormat="1" ht="15" customHeight="1" thickBot="1">
      <c r="A307" s="360" t="s">
        <v>162</v>
      </c>
      <c r="B307" s="361">
        <v>2012</v>
      </c>
      <c r="C307" s="240" t="s">
        <v>3542</v>
      </c>
      <c r="D307" s="361" t="s">
        <v>81</v>
      </c>
      <c r="E307" s="230" t="s">
        <v>19</v>
      </c>
      <c r="F307" s="230" t="s">
        <v>784</v>
      </c>
      <c r="G307" s="317"/>
      <c r="H307" s="317"/>
      <c r="I307" s="230"/>
      <c r="J307" s="317"/>
      <c r="K307" s="230"/>
      <c r="L307" s="298"/>
      <c r="M307" s="230"/>
      <c r="N307" s="230"/>
      <c r="O307" s="298"/>
      <c r="P307" s="318"/>
      <c r="Q307" s="318"/>
      <c r="R307" s="230"/>
      <c r="S307" s="230"/>
      <c r="T307" s="285"/>
      <c r="U307" s="230"/>
      <c r="V307" s="230"/>
      <c r="W307" s="300"/>
      <c r="X307" s="230"/>
      <c r="Y307" s="230"/>
      <c r="Z307" s="230"/>
      <c r="AA307" s="230"/>
      <c r="AB307" s="230"/>
      <c r="AC307" s="274">
        <v>615027475</v>
      </c>
      <c r="AD307" s="230">
        <v>27098590232.320923</v>
      </c>
      <c r="AE307" s="229">
        <v>2.2695921438246884E-2</v>
      </c>
      <c r="AF307" s="230">
        <v>5344654951.5206556</v>
      </c>
      <c r="AG307" s="231">
        <v>0.11507337341300453</v>
      </c>
      <c r="AH307" s="231" t="s">
        <v>2842</v>
      </c>
      <c r="AI307" s="230">
        <v>2635630000</v>
      </c>
      <c r="AJ307" s="231">
        <v>0.23335121963249772</v>
      </c>
      <c r="AK307" s="230">
        <v>526142535.3915627</v>
      </c>
      <c r="AL307" s="231">
        <v>1.1689369964021021</v>
      </c>
      <c r="AM307" s="230" t="s">
        <v>2842</v>
      </c>
      <c r="AN307" s="275" t="s">
        <v>2842</v>
      </c>
      <c r="AO307" s="230">
        <v>19839750</v>
      </c>
      <c r="AP307" s="230" t="s">
        <v>2842</v>
      </c>
      <c r="AQ307" s="230">
        <v>50.401731707317076</v>
      </c>
      <c r="AR307" s="230">
        <v>73.2</v>
      </c>
      <c r="AS307" s="232" t="s">
        <v>2842</v>
      </c>
      <c r="AT307" s="276" t="s">
        <v>2842</v>
      </c>
      <c r="AU307" s="466" t="s">
        <v>2842</v>
      </c>
      <c r="AV307" s="232" t="s">
        <v>2842</v>
      </c>
      <c r="AW307" s="232" t="s">
        <v>2842</v>
      </c>
      <c r="AX307" s="232" t="s">
        <v>2842</v>
      </c>
      <c r="AY307" s="232" t="s">
        <v>2842</v>
      </c>
      <c r="AZ307" s="293" t="s">
        <v>2842</v>
      </c>
    </row>
    <row r="308" spans="1:52" ht="15" customHeight="1">
      <c r="A308" s="63" t="s">
        <v>164</v>
      </c>
      <c r="B308" s="27">
        <v>2007</v>
      </c>
      <c r="C308" s="27" t="s">
        <v>165</v>
      </c>
      <c r="D308" s="27" t="s">
        <v>81</v>
      </c>
      <c r="E308" s="27" t="s">
        <v>36</v>
      </c>
      <c r="F308" s="41" t="s">
        <v>659</v>
      </c>
      <c r="G308" s="43"/>
      <c r="H308" s="43"/>
      <c r="I308" s="43"/>
      <c r="J308" s="43"/>
      <c r="K308" s="27"/>
      <c r="L308" s="28"/>
      <c r="M308" s="27"/>
      <c r="N308" s="27"/>
      <c r="O308" s="18">
        <f>O309+O310</f>
        <v>1339869004.3996217</v>
      </c>
      <c r="P308" s="213">
        <v>416300000</v>
      </c>
      <c r="Q308" s="213">
        <v>416491000</v>
      </c>
      <c r="R308" s="27" t="s">
        <v>619</v>
      </c>
      <c r="S308" s="27"/>
      <c r="T308" s="18"/>
      <c r="U308" s="27" t="s">
        <v>660</v>
      </c>
      <c r="V308" s="27"/>
      <c r="W308" s="30">
        <v>516.75</v>
      </c>
      <c r="X308" s="27"/>
      <c r="Y308" s="27"/>
      <c r="Z308" s="27">
        <v>26</v>
      </c>
      <c r="AA308" s="27"/>
      <c r="AB308" s="27" t="s">
        <v>803</v>
      </c>
      <c r="AC308" s="273">
        <v>416300000</v>
      </c>
      <c r="AD308" s="27">
        <v>16364027646.772434</v>
      </c>
      <c r="AE308" s="228">
        <v>2.5439947241968214E-2</v>
      </c>
      <c r="AF308" s="27" t="s">
        <v>2842</v>
      </c>
      <c r="AG308" s="226" t="s">
        <v>2842</v>
      </c>
      <c r="AH308" s="226" t="s">
        <v>2842</v>
      </c>
      <c r="AI308" s="27">
        <v>1356710000</v>
      </c>
      <c r="AJ308" s="226">
        <v>0.30684523590155599</v>
      </c>
      <c r="AK308" s="27">
        <v>323415977.28981167</v>
      </c>
      <c r="AL308" s="226">
        <v>1.287196765875779</v>
      </c>
      <c r="AM308" s="27" t="s">
        <v>2842</v>
      </c>
      <c r="AN308" s="271" t="s">
        <v>2842</v>
      </c>
      <c r="AO308" s="27">
        <v>57187942</v>
      </c>
      <c r="AP308" s="27" t="s">
        <v>2842</v>
      </c>
      <c r="AQ308" s="27">
        <v>48.213512195121965</v>
      </c>
      <c r="AR308" s="27">
        <v>99.5</v>
      </c>
      <c r="AS308" s="29" t="s">
        <v>2842</v>
      </c>
      <c r="AT308" s="270" t="s">
        <v>2842</v>
      </c>
      <c r="AU308" s="464" t="s">
        <v>2842</v>
      </c>
      <c r="AV308" s="29">
        <v>-1.2585968898003801</v>
      </c>
      <c r="AW308" s="29">
        <v>-2.2133773619349602</v>
      </c>
      <c r="AX308" s="29">
        <v>-1.7688847547663</v>
      </c>
      <c r="AY308" s="29">
        <v>-1.2626813110128201</v>
      </c>
      <c r="AZ308" s="60">
        <v>-1.30773511686967</v>
      </c>
    </row>
    <row r="309" spans="1:52" ht="15" customHeight="1">
      <c r="A309" s="63" t="s">
        <v>164</v>
      </c>
      <c r="B309" s="27">
        <v>2007</v>
      </c>
      <c r="C309" s="27" t="s">
        <v>165</v>
      </c>
      <c r="D309" s="27" t="s">
        <v>81</v>
      </c>
      <c r="E309" s="27" t="s">
        <v>98</v>
      </c>
      <c r="F309" s="41" t="s">
        <v>98</v>
      </c>
      <c r="G309" s="43">
        <v>8103000</v>
      </c>
      <c r="H309" s="43"/>
      <c r="I309" s="43"/>
      <c r="J309" s="43"/>
      <c r="K309" s="27" t="s">
        <v>603</v>
      </c>
      <c r="L309" s="28">
        <v>71.819999999999993</v>
      </c>
      <c r="M309" s="27" t="s">
        <v>626</v>
      </c>
      <c r="N309" s="27" t="s">
        <v>947</v>
      </c>
      <c r="O309" s="18">
        <f>G309*L309</f>
        <v>581957460</v>
      </c>
      <c r="P309" s="213"/>
      <c r="Q309" s="213"/>
      <c r="R309" s="27"/>
      <c r="S309" s="27"/>
      <c r="T309" s="18"/>
      <c r="U309" s="27"/>
      <c r="V309" s="27"/>
      <c r="W309" s="30"/>
      <c r="X309" s="27"/>
      <c r="Y309" s="27"/>
      <c r="Z309" s="27"/>
      <c r="AA309" s="27"/>
      <c r="AB309" s="27"/>
      <c r="AC309" s="273">
        <v>416300000</v>
      </c>
      <c r="AD309" s="27">
        <v>16364027646.772434</v>
      </c>
      <c r="AE309" s="228">
        <v>2.5439947241968214E-2</v>
      </c>
      <c r="AF309" s="27" t="s">
        <v>2842</v>
      </c>
      <c r="AG309" s="226" t="s">
        <v>2842</v>
      </c>
      <c r="AH309" s="226" t="s">
        <v>2842</v>
      </c>
      <c r="AI309" s="27">
        <v>1356710000</v>
      </c>
      <c r="AJ309" s="226">
        <v>0.30684523590155599</v>
      </c>
      <c r="AK309" s="27">
        <v>323415977.28981167</v>
      </c>
      <c r="AL309" s="226">
        <v>1.287196765875779</v>
      </c>
      <c r="AM309" s="27" t="s">
        <v>2842</v>
      </c>
      <c r="AN309" s="271" t="s">
        <v>2842</v>
      </c>
      <c r="AO309" s="27">
        <v>57187942</v>
      </c>
      <c r="AP309" s="27" t="s">
        <v>2842</v>
      </c>
      <c r="AQ309" s="27">
        <v>48.213512195121965</v>
      </c>
      <c r="AR309" s="27">
        <v>99.5</v>
      </c>
      <c r="AS309" s="29" t="s">
        <v>2842</v>
      </c>
      <c r="AT309" s="270" t="s">
        <v>2842</v>
      </c>
      <c r="AU309" s="464" t="s">
        <v>2842</v>
      </c>
      <c r="AV309" s="29">
        <v>-1.2585968898003801</v>
      </c>
      <c r="AW309" s="29">
        <v>-2.2133773619349602</v>
      </c>
      <c r="AX309" s="29">
        <v>-1.7688847547663</v>
      </c>
      <c r="AY309" s="29">
        <v>-1.2626813110128201</v>
      </c>
      <c r="AZ309" s="60">
        <v>-1.30773511686967</v>
      </c>
    </row>
    <row r="310" spans="1:52" ht="15" customHeight="1">
      <c r="A310" s="63" t="s">
        <v>164</v>
      </c>
      <c r="B310" s="27">
        <v>2007</v>
      </c>
      <c r="C310" s="27" t="s">
        <v>165</v>
      </c>
      <c r="D310" s="27" t="s">
        <v>81</v>
      </c>
      <c r="E310" s="27" t="s">
        <v>19</v>
      </c>
      <c r="F310" s="41" t="s">
        <v>559</v>
      </c>
      <c r="G310" s="43"/>
      <c r="H310" s="43"/>
      <c r="I310" s="43"/>
      <c r="J310" s="43"/>
      <c r="K310" s="27"/>
      <c r="L310" s="28"/>
      <c r="M310" s="27"/>
      <c r="N310" s="27"/>
      <c r="O310" s="18">
        <f>SUM(O311:O329)</f>
        <v>757911544.39962173</v>
      </c>
      <c r="P310" s="213"/>
      <c r="Q310" s="213"/>
      <c r="R310" s="27"/>
      <c r="S310" s="27"/>
      <c r="T310" s="18"/>
      <c r="U310" s="27"/>
      <c r="V310" s="27"/>
      <c r="W310" s="30"/>
      <c r="X310" s="27"/>
      <c r="Y310" s="27"/>
      <c r="Z310" s="27"/>
      <c r="AA310" s="27"/>
      <c r="AB310" s="27"/>
      <c r="AC310" s="273">
        <v>416300000</v>
      </c>
      <c r="AD310" s="27">
        <v>16364027646.772434</v>
      </c>
      <c r="AE310" s="228">
        <v>2.5439947241968214E-2</v>
      </c>
      <c r="AF310" s="27" t="s">
        <v>2842</v>
      </c>
      <c r="AG310" s="226" t="s">
        <v>2842</v>
      </c>
      <c r="AH310" s="226" t="s">
        <v>2842</v>
      </c>
      <c r="AI310" s="27">
        <v>1356710000</v>
      </c>
      <c r="AJ310" s="226">
        <v>0.30684523590155599</v>
      </c>
      <c r="AK310" s="27">
        <v>323415977.28981167</v>
      </c>
      <c r="AL310" s="226">
        <v>1.287196765875779</v>
      </c>
      <c r="AM310" s="27" t="s">
        <v>2842</v>
      </c>
      <c r="AN310" s="271" t="s">
        <v>2842</v>
      </c>
      <c r="AO310" s="27">
        <v>57187942</v>
      </c>
      <c r="AP310" s="27" t="s">
        <v>2842</v>
      </c>
      <c r="AQ310" s="27">
        <v>48.213512195121965</v>
      </c>
      <c r="AR310" s="27">
        <v>99.5</v>
      </c>
      <c r="AS310" s="29" t="s">
        <v>2842</v>
      </c>
      <c r="AT310" s="270" t="s">
        <v>2842</v>
      </c>
      <c r="AU310" s="464" t="s">
        <v>2842</v>
      </c>
      <c r="AV310" s="29">
        <v>-1.2585968898003801</v>
      </c>
      <c r="AW310" s="29">
        <v>-2.2133773619349602</v>
      </c>
      <c r="AX310" s="29">
        <v>-1.7688847547663</v>
      </c>
      <c r="AY310" s="29">
        <v>-1.2626813110128201</v>
      </c>
      <c r="AZ310" s="60">
        <v>-1.30773511686967</v>
      </c>
    </row>
    <row r="311" spans="1:52" s="65" customFormat="1" ht="15" customHeight="1">
      <c r="A311" s="63" t="s">
        <v>164</v>
      </c>
      <c r="B311" s="27">
        <v>2007</v>
      </c>
      <c r="C311" s="27" t="s">
        <v>165</v>
      </c>
      <c r="D311" s="27" t="s">
        <v>81</v>
      </c>
      <c r="E311" s="27" t="s">
        <v>19</v>
      </c>
      <c r="F311" s="41" t="s">
        <v>977</v>
      </c>
      <c r="G311" s="43"/>
      <c r="H311" s="43"/>
      <c r="I311" s="43"/>
      <c r="J311" s="43"/>
      <c r="K311" s="27"/>
      <c r="L311" s="28">
        <f>30.55/0.000453592</f>
        <v>67351.276036614407</v>
      </c>
      <c r="M311" s="27" t="s">
        <v>568</v>
      </c>
      <c r="N311" s="27" t="s">
        <v>978</v>
      </c>
      <c r="O311" s="18">
        <f>G313*L311</f>
        <v>40814873.278188333</v>
      </c>
      <c r="P311" s="213"/>
      <c r="Q311" s="213"/>
      <c r="R311" s="27"/>
      <c r="S311" s="27"/>
      <c r="T311" s="18"/>
      <c r="U311" s="27"/>
      <c r="V311" s="27"/>
      <c r="W311" s="30"/>
      <c r="X311" s="27"/>
      <c r="Y311" s="27"/>
      <c r="Z311" s="27"/>
      <c r="AA311" s="27"/>
      <c r="AB311" s="27"/>
      <c r="AC311" s="273">
        <v>416300000</v>
      </c>
      <c r="AD311" s="27">
        <v>16364027646.772434</v>
      </c>
      <c r="AE311" s="228">
        <v>2.5439947241968214E-2</v>
      </c>
      <c r="AF311" s="27" t="s">
        <v>2842</v>
      </c>
      <c r="AG311" s="226" t="s">
        <v>2842</v>
      </c>
      <c r="AH311" s="226" t="s">
        <v>2842</v>
      </c>
      <c r="AI311" s="27">
        <v>1356710000</v>
      </c>
      <c r="AJ311" s="226">
        <v>0.30684523590155599</v>
      </c>
      <c r="AK311" s="27">
        <v>323415977.28981167</v>
      </c>
      <c r="AL311" s="226">
        <v>1.287196765875779</v>
      </c>
      <c r="AM311" s="27" t="s">
        <v>2842</v>
      </c>
      <c r="AN311" s="271" t="s">
        <v>2842</v>
      </c>
      <c r="AO311" s="27">
        <v>57187942</v>
      </c>
      <c r="AP311" s="27" t="s">
        <v>2842</v>
      </c>
      <c r="AQ311" s="27">
        <v>48.213512195121965</v>
      </c>
      <c r="AR311" s="27">
        <v>99.5</v>
      </c>
      <c r="AS311" s="29" t="s">
        <v>2842</v>
      </c>
      <c r="AT311" s="270" t="s">
        <v>2842</v>
      </c>
      <c r="AU311" s="464" t="s">
        <v>2842</v>
      </c>
      <c r="AV311" s="29">
        <v>-1.2585968898003801</v>
      </c>
      <c r="AW311" s="29">
        <v>-2.2133773619349602</v>
      </c>
      <c r="AX311" s="29">
        <v>-1.7688847547663</v>
      </c>
      <c r="AY311" s="29">
        <v>-1.2626813110128201</v>
      </c>
      <c r="AZ311" s="60">
        <v>-1.30773511686967</v>
      </c>
    </row>
    <row r="312" spans="1:52" s="65" customFormat="1" ht="15" customHeight="1">
      <c r="A312" s="63" t="s">
        <v>164</v>
      </c>
      <c r="B312" s="27">
        <v>2007</v>
      </c>
      <c r="C312" s="27" t="s">
        <v>165</v>
      </c>
      <c r="D312" s="27" t="s">
        <v>81</v>
      </c>
      <c r="E312" s="27" t="s">
        <v>19</v>
      </c>
      <c r="F312" s="41" t="s">
        <v>979</v>
      </c>
      <c r="G312" s="43">
        <v>25300</v>
      </c>
      <c r="H312" s="43"/>
      <c r="I312" s="43"/>
      <c r="J312" s="43"/>
      <c r="K312" s="27" t="s">
        <v>567</v>
      </c>
      <c r="L312" s="28"/>
      <c r="M312" s="27"/>
      <c r="N312" s="27" t="s">
        <v>788</v>
      </c>
      <c r="O312" s="18"/>
      <c r="P312" s="213"/>
      <c r="Q312" s="213"/>
      <c r="R312" s="27"/>
      <c r="S312" s="27"/>
      <c r="T312" s="18"/>
      <c r="U312" s="27"/>
      <c r="V312" s="27"/>
      <c r="W312" s="30"/>
      <c r="X312" s="27"/>
      <c r="Y312" s="27"/>
      <c r="Z312" s="27"/>
      <c r="AA312" s="27"/>
      <c r="AB312" s="27"/>
      <c r="AC312" s="273">
        <v>416300000</v>
      </c>
      <c r="AD312" s="27">
        <v>16364027646.772434</v>
      </c>
      <c r="AE312" s="228">
        <v>2.5439947241968214E-2</v>
      </c>
      <c r="AF312" s="27" t="s">
        <v>2842</v>
      </c>
      <c r="AG312" s="226" t="s">
        <v>2842</v>
      </c>
      <c r="AH312" s="226" t="s">
        <v>2842</v>
      </c>
      <c r="AI312" s="27">
        <v>1356710000</v>
      </c>
      <c r="AJ312" s="226">
        <v>0.30684523590155599</v>
      </c>
      <c r="AK312" s="27">
        <v>323415977.28981167</v>
      </c>
      <c r="AL312" s="226">
        <v>1.287196765875779</v>
      </c>
      <c r="AM312" s="27" t="s">
        <v>2842</v>
      </c>
      <c r="AN312" s="271" t="s">
        <v>2842</v>
      </c>
      <c r="AO312" s="27">
        <v>57187942</v>
      </c>
      <c r="AP312" s="27" t="s">
        <v>2842</v>
      </c>
      <c r="AQ312" s="27">
        <v>48.213512195121965</v>
      </c>
      <c r="AR312" s="27">
        <v>99.5</v>
      </c>
      <c r="AS312" s="29" t="s">
        <v>2842</v>
      </c>
      <c r="AT312" s="270" t="s">
        <v>2842</v>
      </c>
      <c r="AU312" s="464" t="s">
        <v>2842</v>
      </c>
      <c r="AV312" s="29">
        <v>-1.2585968898003801</v>
      </c>
      <c r="AW312" s="29">
        <v>-2.2133773619349602</v>
      </c>
      <c r="AX312" s="29">
        <v>-1.7688847547663</v>
      </c>
      <c r="AY312" s="29">
        <v>-1.2626813110128201</v>
      </c>
      <c r="AZ312" s="60">
        <v>-1.30773511686967</v>
      </c>
    </row>
    <row r="313" spans="1:52" s="65" customFormat="1" ht="15" customHeight="1">
      <c r="A313" s="63" t="s">
        <v>164</v>
      </c>
      <c r="B313" s="27">
        <v>2007</v>
      </c>
      <c r="C313" s="27" t="s">
        <v>165</v>
      </c>
      <c r="D313" s="27" t="s">
        <v>81</v>
      </c>
      <c r="E313" s="27" t="s">
        <v>19</v>
      </c>
      <c r="F313" s="41" t="s">
        <v>980</v>
      </c>
      <c r="G313" s="43">
        <v>606</v>
      </c>
      <c r="H313" s="43"/>
      <c r="I313" s="43"/>
      <c r="J313" s="43"/>
      <c r="K313" s="27" t="s">
        <v>567</v>
      </c>
      <c r="L313" s="28"/>
      <c r="M313" s="27"/>
      <c r="N313" s="27" t="s">
        <v>788</v>
      </c>
      <c r="O313" s="18"/>
      <c r="P313" s="213"/>
      <c r="Q313" s="213"/>
      <c r="R313" s="27"/>
      <c r="S313" s="27"/>
      <c r="T313" s="18"/>
      <c r="U313" s="27"/>
      <c r="V313" s="27"/>
      <c r="W313" s="30"/>
      <c r="X313" s="27"/>
      <c r="Y313" s="27"/>
      <c r="Z313" s="27"/>
      <c r="AA313" s="27"/>
      <c r="AB313" s="27"/>
      <c r="AC313" s="273">
        <v>416300000</v>
      </c>
      <c r="AD313" s="27">
        <v>16364027646.772434</v>
      </c>
      <c r="AE313" s="228">
        <v>2.5439947241968214E-2</v>
      </c>
      <c r="AF313" s="27" t="s">
        <v>2842</v>
      </c>
      <c r="AG313" s="226" t="s">
        <v>2842</v>
      </c>
      <c r="AH313" s="226" t="s">
        <v>2842</v>
      </c>
      <c r="AI313" s="27">
        <v>1356710000</v>
      </c>
      <c r="AJ313" s="226">
        <v>0.30684523590155599</v>
      </c>
      <c r="AK313" s="27">
        <v>323415977.28981167</v>
      </c>
      <c r="AL313" s="226">
        <v>1.287196765875779</v>
      </c>
      <c r="AM313" s="27" t="s">
        <v>2842</v>
      </c>
      <c r="AN313" s="271" t="s">
        <v>2842</v>
      </c>
      <c r="AO313" s="27">
        <v>57187942</v>
      </c>
      <c r="AP313" s="27" t="s">
        <v>2842</v>
      </c>
      <c r="AQ313" s="27">
        <v>48.213512195121965</v>
      </c>
      <c r="AR313" s="27">
        <v>99.5</v>
      </c>
      <c r="AS313" s="29" t="s">
        <v>2842</v>
      </c>
      <c r="AT313" s="270" t="s">
        <v>2842</v>
      </c>
      <c r="AU313" s="464" t="s">
        <v>2842</v>
      </c>
      <c r="AV313" s="29">
        <v>-1.2585968898003801</v>
      </c>
      <c r="AW313" s="29">
        <v>-2.2133773619349602</v>
      </c>
      <c r="AX313" s="29">
        <v>-1.7688847547663</v>
      </c>
      <c r="AY313" s="29">
        <v>-1.2626813110128201</v>
      </c>
      <c r="AZ313" s="60">
        <v>-1.30773511686967</v>
      </c>
    </row>
    <row r="314" spans="1:52" s="65" customFormat="1" ht="15" customHeight="1">
      <c r="A314" s="63" t="s">
        <v>164</v>
      </c>
      <c r="B314" s="27">
        <v>2007</v>
      </c>
      <c r="C314" s="27" t="s">
        <v>165</v>
      </c>
      <c r="D314" s="27" t="s">
        <v>81</v>
      </c>
      <c r="E314" s="27" t="s">
        <v>19</v>
      </c>
      <c r="F314" s="41" t="s">
        <v>981</v>
      </c>
      <c r="G314" s="43"/>
      <c r="H314" s="43"/>
      <c r="I314" s="43"/>
      <c r="J314" s="43"/>
      <c r="K314" s="27"/>
      <c r="L314" s="28"/>
      <c r="M314" s="27"/>
      <c r="N314" s="27"/>
      <c r="O314" s="18"/>
      <c r="P314" s="213"/>
      <c r="Q314" s="213"/>
      <c r="R314" s="27"/>
      <c r="S314" s="27"/>
      <c r="T314" s="18"/>
      <c r="U314" s="27"/>
      <c r="V314" s="27"/>
      <c r="W314" s="30"/>
      <c r="X314" s="27"/>
      <c r="Y314" s="27"/>
      <c r="Z314" s="27"/>
      <c r="AA314" s="27"/>
      <c r="AB314" s="27"/>
      <c r="AC314" s="273">
        <v>416300000</v>
      </c>
      <c r="AD314" s="27">
        <v>16364027646.772434</v>
      </c>
      <c r="AE314" s="228">
        <v>2.5439947241968214E-2</v>
      </c>
      <c r="AF314" s="27" t="s">
        <v>2842</v>
      </c>
      <c r="AG314" s="226" t="s">
        <v>2842</v>
      </c>
      <c r="AH314" s="226" t="s">
        <v>2842</v>
      </c>
      <c r="AI314" s="27">
        <v>1356710000</v>
      </c>
      <c r="AJ314" s="226">
        <v>0.30684523590155599</v>
      </c>
      <c r="AK314" s="27">
        <v>323415977.28981167</v>
      </c>
      <c r="AL314" s="226">
        <v>1.287196765875779</v>
      </c>
      <c r="AM314" s="27" t="s">
        <v>2842</v>
      </c>
      <c r="AN314" s="271" t="s">
        <v>2842</v>
      </c>
      <c r="AO314" s="27">
        <v>57187942</v>
      </c>
      <c r="AP314" s="27" t="s">
        <v>2842</v>
      </c>
      <c r="AQ314" s="27">
        <v>48.213512195121965</v>
      </c>
      <c r="AR314" s="27">
        <v>99.5</v>
      </c>
      <c r="AS314" s="29" t="s">
        <v>2842</v>
      </c>
      <c r="AT314" s="270" t="s">
        <v>2842</v>
      </c>
      <c r="AU314" s="464" t="s">
        <v>2842</v>
      </c>
      <c r="AV314" s="29">
        <v>-1.2585968898003801</v>
      </c>
      <c r="AW314" s="29">
        <v>-2.2133773619349602</v>
      </c>
      <c r="AX314" s="29">
        <v>-1.7688847547663</v>
      </c>
      <c r="AY314" s="29">
        <v>-1.2626813110128201</v>
      </c>
      <c r="AZ314" s="60">
        <v>-1.30773511686967</v>
      </c>
    </row>
    <row r="315" spans="1:52" s="65" customFormat="1" ht="15" customHeight="1">
      <c r="A315" s="63" t="s">
        <v>164</v>
      </c>
      <c r="B315" s="27">
        <v>2007</v>
      </c>
      <c r="C315" s="27" t="s">
        <v>165</v>
      </c>
      <c r="D315" s="27" t="s">
        <v>81</v>
      </c>
      <c r="E315" s="27" t="s">
        <v>19</v>
      </c>
      <c r="F315" s="41" t="s">
        <v>982</v>
      </c>
      <c r="G315" s="43">
        <v>428</v>
      </c>
      <c r="H315" s="43"/>
      <c r="I315" s="43"/>
      <c r="J315" s="43"/>
      <c r="K315" s="27" t="s">
        <v>567</v>
      </c>
      <c r="L315" s="28"/>
      <c r="M315" s="27"/>
      <c r="N315" s="27" t="s">
        <v>788</v>
      </c>
      <c r="O315" s="18"/>
      <c r="P315" s="213"/>
      <c r="Q315" s="213"/>
      <c r="R315" s="27"/>
      <c r="S315" s="27"/>
      <c r="T315" s="18"/>
      <c r="U315" s="27"/>
      <c r="V315" s="27"/>
      <c r="W315" s="30"/>
      <c r="X315" s="27"/>
      <c r="Y315" s="27"/>
      <c r="Z315" s="27"/>
      <c r="AA315" s="27"/>
      <c r="AB315" s="27"/>
      <c r="AC315" s="273">
        <v>416300000</v>
      </c>
      <c r="AD315" s="27">
        <v>16364027646.772434</v>
      </c>
      <c r="AE315" s="228">
        <v>2.5439947241968214E-2</v>
      </c>
      <c r="AF315" s="27" t="s">
        <v>2842</v>
      </c>
      <c r="AG315" s="226" t="s">
        <v>2842</v>
      </c>
      <c r="AH315" s="226" t="s">
        <v>2842</v>
      </c>
      <c r="AI315" s="27">
        <v>1356710000</v>
      </c>
      <c r="AJ315" s="226">
        <v>0.30684523590155599</v>
      </c>
      <c r="AK315" s="27">
        <v>323415977.28981167</v>
      </c>
      <c r="AL315" s="226">
        <v>1.287196765875779</v>
      </c>
      <c r="AM315" s="27" t="s">
        <v>2842</v>
      </c>
      <c r="AN315" s="271" t="s">
        <v>2842</v>
      </c>
      <c r="AO315" s="27">
        <v>57187942</v>
      </c>
      <c r="AP315" s="27" t="s">
        <v>2842</v>
      </c>
      <c r="AQ315" s="27">
        <v>48.213512195121965</v>
      </c>
      <c r="AR315" s="27">
        <v>99.5</v>
      </c>
      <c r="AS315" s="29" t="s">
        <v>2842</v>
      </c>
      <c r="AT315" s="270" t="s">
        <v>2842</v>
      </c>
      <c r="AU315" s="464" t="s">
        <v>2842</v>
      </c>
      <c r="AV315" s="29">
        <v>-1.2585968898003801</v>
      </c>
      <c r="AW315" s="29">
        <v>-2.2133773619349602</v>
      </c>
      <c r="AX315" s="29">
        <v>-1.7688847547663</v>
      </c>
      <c r="AY315" s="29">
        <v>-1.2626813110128201</v>
      </c>
      <c r="AZ315" s="60">
        <v>-1.30773511686967</v>
      </c>
    </row>
    <row r="316" spans="1:52" s="65" customFormat="1" ht="15" customHeight="1">
      <c r="A316" s="63" t="s">
        <v>164</v>
      </c>
      <c r="B316" s="27">
        <v>2007</v>
      </c>
      <c r="C316" s="27" t="s">
        <v>165</v>
      </c>
      <c r="D316" s="27" t="s">
        <v>81</v>
      </c>
      <c r="E316" s="27" t="s">
        <v>19</v>
      </c>
      <c r="F316" s="41" t="s">
        <v>983</v>
      </c>
      <c r="G316" s="43">
        <v>98</v>
      </c>
      <c r="H316" s="43"/>
      <c r="I316" s="43"/>
      <c r="J316" s="43"/>
      <c r="K316" s="27" t="s">
        <v>567</v>
      </c>
      <c r="L316" s="28">
        <v>21918</v>
      </c>
      <c r="M316" s="27" t="s">
        <v>568</v>
      </c>
      <c r="N316" s="27" t="s">
        <v>984</v>
      </c>
      <c r="O316" s="18">
        <f>G316*L316</f>
        <v>2147964</v>
      </c>
      <c r="P316" s="213"/>
      <c r="Q316" s="213"/>
      <c r="R316" s="27"/>
      <c r="S316" s="27"/>
      <c r="T316" s="18"/>
      <c r="U316" s="27"/>
      <c r="V316" s="27"/>
      <c r="W316" s="30"/>
      <c r="X316" s="27"/>
      <c r="Y316" s="27"/>
      <c r="Z316" s="27"/>
      <c r="AA316" s="27"/>
      <c r="AB316" s="27"/>
      <c r="AC316" s="273">
        <v>416300000</v>
      </c>
      <c r="AD316" s="27">
        <v>16364027646.772434</v>
      </c>
      <c r="AE316" s="228">
        <v>2.5439947241968214E-2</v>
      </c>
      <c r="AF316" s="27" t="s">
        <v>2842</v>
      </c>
      <c r="AG316" s="226" t="s">
        <v>2842</v>
      </c>
      <c r="AH316" s="226" t="s">
        <v>2842</v>
      </c>
      <c r="AI316" s="27">
        <v>1356710000</v>
      </c>
      <c r="AJ316" s="226">
        <v>0.30684523590155599</v>
      </c>
      <c r="AK316" s="27">
        <v>323415977.28981167</v>
      </c>
      <c r="AL316" s="226">
        <v>1.287196765875779</v>
      </c>
      <c r="AM316" s="27" t="s">
        <v>2842</v>
      </c>
      <c r="AN316" s="271" t="s">
        <v>2842</v>
      </c>
      <c r="AO316" s="27">
        <v>57187942</v>
      </c>
      <c r="AP316" s="27" t="s">
        <v>2842</v>
      </c>
      <c r="AQ316" s="27">
        <v>48.213512195121965</v>
      </c>
      <c r="AR316" s="27">
        <v>99.5</v>
      </c>
      <c r="AS316" s="29" t="s">
        <v>2842</v>
      </c>
      <c r="AT316" s="270" t="s">
        <v>2842</v>
      </c>
      <c r="AU316" s="464" t="s">
        <v>2842</v>
      </c>
      <c r="AV316" s="29">
        <v>-1.2585968898003801</v>
      </c>
      <c r="AW316" s="29">
        <v>-2.2133773619349602</v>
      </c>
      <c r="AX316" s="29">
        <v>-1.7688847547663</v>
      </c>
      <c r="AY316" s="29">
        <v>-1.2626813110128201</v>
      </c>
      <c r="AZ316" s="60">
        <v>-1.30773511686967</v>
      </c>
    </row>
    <row r="317" spans="1:52" s="65" customFormat="1" ht="15" customHeight="1">
      <c r="A317" s="63" t="s">
        <v>164</v>
      </c>
      <c r="B317" s="27">
        <v>2007</v>
      </c>
      <c r="C317" s="27" t="s">
        <v>165</v>
      </c>
      <c r="D317" s="27" t="s">
        <v>81</v>
      </c>
      <c r="E317" s="27" t="s">
        <v>19</v>
      </c>
      <c r="F317" s="41" t="s">
        <v>985</v>
      </c>
      <c r="G317" s="43">
        <v>120</v>
      </c>
      <c r="H317" s="43"/>
      <c r="I317" s="43"/>
      <c r="J317" s="43"/>
      <c r="K317" s="27" t="s">
        <v>567</v>
      </c>
      <c r="L317" s="28">
        <f>36/0.000453592</f>
        <v>79366.479126615988</v>
      </c>
      <c r="M317" s="27" t="s">
        <v>568</v>
      </c>
      <c r="N317" s="27" t="s">
        <v>986</v>
      </c>
      <c r="O317" s="18">
        <f>G317*L317</f>
        <v>9523977.4951939192</v>
      </c>
      <c r="P317" s="213"/>
      <c r="Q317" s="213"/>
      <c r="R317" s="27"/>
      <c r="S317" s="27"/>
      <c r="T317" s="18"/>
      <c r="U317" s="27"/>
      <c r="V317" s="27"/>
      <c r="W317" s="30"/>
      <c r="X317" s="27"/>
      <c r="Y317" s="27"/>
      <c r="Z317" s="27"/>
      <c r="AA317" s="27"/>
      <c r="AB317" s="27"/>
      <c r="AC317" s="273">
        <v>416300000</v>
      </c>
      <c r="AD317" s="27">
        <v>16364027646.772434</v>
      </c>
      <c r="AE317" s="228">
        <v>2.5439947241968214E-2</v>
      </c>
      <c r="AF317" s="27" t="s">
        <v>2842</v>
      </c>
      <c r="AG317" s="226" t="s">
        <v>2842</v>
      </c>
      <c r="AH317" s="226" t="s">
        <v>2842</v>
      </c>
      <c r="AI317" s="27">
        <v>1356710000</v>
      </c>
      <c r="AJ317" s="226">
        <v>0.30684523590155599</v>
      </c>
      <c r="AK317" s="27">
        <v>323415977.28981167</v>
      </c>
      <c r="AL317" s="226">
        <v>1.287196765875779</v>
      </c>
      <c r="AM317" s="27" t="s">
        <v>2842</v>
      </c>
      <c r="AN317" s="271" t="s">
        <v>2842</v>
      </c>
      <c r="AO317" s="27">
        <v>57187942</v>
      </c>
      <c r="AP317" s="27" t="s">
        <v>2842</v>
      </c>
      <c r="AQ317" s="27">
        <v>48.213512195121965</v>
      </c>
      <c r="AR317" s="27">
        <v>99.5</v>
      </c>
      <c r="AS317" s="29" t="s">
        <v>2842</v>
      </c>
      <c r="AT317" s="270" t="s">
        <v>2842</v>
      </c>
      <c r="AU317" s="464" t="s">
        <v>2842</v>
      </c>
      <c r="AV317" s="29">
        <v>-1.2585968898003801</v>
      </c>
      <c r="AW317" s="29">
        <v>-2.2133773619349602</v>
      </c>
      <c r="AX317" s="29">
        <v>-1.7688847547663</v>
      </c>
      <c r="AY317" s="29">
        <v>-1.2626813110128201</v>
      </c>
      <c r="AZ317" s="60">
        <v>-1.30773511686967</v>
      </c>
    </row>
    <row r="318" spans="1:52" s="65" customFormat="1" ht="15" customHeight="1">
      <c r="A318" s="63" t="s">
        <v>164</v>
      </c>
      <c r="B318" s="27">
        <v>2007</v>
      </c>
      <c r="C318" s="27" t="s">
        <v>165</v>
      </c>
      <c r="D318" s="27" t="s">
        <v>81</v>
      </c>
      <c r="E318" s="27" t="s">
        <v>19</v>
      </c>
      <c r="F318" s="41" t="s">
        <v>576</v>
      </c>
      <c r="G318" s="43"/>
      <c r="H318" s="43"/>
      <c r="I318" s="43"/>
      <c r="J318" s="43"/>
      <c r="K318" s="27"/>
      <c r="L318" s="44">
        <f>7118.226*1.0289</f>
        <v>7323.9427313999995</v>
      </c>
      <c r="M318" s="27" t="s">
        <v>568</v>
      </c>
      <c r="N318" s="27" t="s">
        <v>987</v>
      </c>
      <c r="O318" s="18">
        <f>G320*L318</f>
        <v>49048444.472185798</v>
      </c>
      <c r="P318" s="213"/>
      <c r="Q318" s="213"/>
      <c r="R318" s="27"/>
      <c r="S318" s="27"/>
      <c r="T318" s="18"/>
      <c r="U318" s="27"/>
      <c r="V318" s="27"/>
      <c r="W318" s="30"/>
      <c r="X318" s="27"/>
      <c r="Y318" s="27"/>
      <c r="Z318" s="27"/>
      <c r="AA318" s="27"/>
      <c r="AB318" s="27"/>
      <c r="AC318" s="273">
        <v>416300000</v>
      </c>
      <c r="AD318" s="27">
        <v>16364027646.772434</v>
      </c>
      <c r="AE318" s="228">
        <v>2.5439947241968214E-2</v>
      </c>
      <c r="AF318" s="27" t="s">
        <v>2842</v>
      </c>
      <c r="AG318" s="226" t="s">
        <v>2842</v>
      </c>
      <c r="AH318" s="226" t="s">
        <v>2842</v>
      </c>
      <c r="AI318" s="27">
        <v>1356710000</v>
      </c>
      <c r="AJ318" s="226">
        <v>0.30684523590155599</v>
      </c>
      <c r="AK318" s="27">
        <v>323415977.28981167</v>
      </c>
      <c r="AL318" s="226">
        <v>1.287196765875779</v>
      </c>
      <c r="AM318" s="27" t="s">
        <v>2842</v>
      </c>
      <c r="AN318" s="271" t="s">
        <v>2842</v>
      </c>
      <c r="AO318" s="27">
        <v>57187942</v>
      </c>
      <c r="AP318" s="27" t="s">
        <v>2842</v>
      </c>
      <c r="AQ318" s="27">
        <v>48.213512195121965</v>
      </c>
      <c r="AR318" s="27">
        <v>99.5</v>
      </c>
      <c r="AS318" s="29" t="s">
        <v>2842</v>
      </c>
      <c r="AT318" s="270" t="s">
        <v>2842</v>
      </c>
      <c r="AU318" s="464" t="s">
        <v>2842</v>
      </c>
      <c r="AV318" s="29">
        <v>-1.2585968898003801</v>
      </c>
      <c r="AW318" s="29">
        <v>-2.2133773619349602</v>
      </c>
      <c r="AX318" s="29">
        <v>-1.7688847547663</v>
      </c>
      <c r="AY318" s="29">
        <v>-1.2626813110128201</v>
      </c>
      <c r="AZ318" s="60">
        <v>-1.30773511686967</v>
      </c>
    </row>
    <row r="319" spans="1:52" s="65" customFormat="1" ht="15" customHeight="1">
      <c r="A319" s="63" t="s">
        <v>164</v>
      </c>
      <c r="B319" s="27">
        <v>2007</v>
      </c>
      <c r="C319" s="27" t="s">
        <v>165</v>
      </c>
      <c r="D319" s="27" t="s">
        <v>81</v>
      </c>
      <c r="E319" s="27" t="s">
        <v>19</v>
      </c>
      <c r="F319" s="41" t="s">
        <v>988</v>
      </c>
      <c r="G319" s="43">
        <v>146000</v>
      </c>
      <c r="H319" s="43"/>
      <c r="I319" s="43"/>
      <c r="J319" s="43"/>
      <c r="K319" s="27" t="s">
        <v>567</v>
      </c>
      <c r="L319" s="28"/>
      <c r="M319" s="27"/>
      <c r="N319" s="27" t="s">
        <v>788</v>
      </c>
      <c r="O319" s="18"/>
      <c r="P319" s="213"/>
      <c r="Q319" s="213"/>
      <c r="R319" s="27"/>
      <c r="S319" s="27"/>
      <c r="T319" s="18"/>
      <c r="U319" s="27"/>
      <c r="V319" s="27"/>
      <c r="W319" s="30"/>
      <c r="X319" s="27"/>
      <c r="Y319" s="27"/>
      <c r="Z319" s="27"/>
      <c r="AA319" s="27"/>
      <c r="AB319" s="27"/>
      <c r="AC319" s="273">
        <v>416300000</v>
      </c>
      <c r="AD319" s="27">
        <v>16364027646.772434</v>
      </c>
      <c r="AE319" s="228">
        <v>2.5439947241968214E-2</v>
      </c>
      <c r="AF319" s="27" t="s">
        <v>2842</v>
      </c>
      <c r="AG319" s="226" t="s">
        <v>2842</v>
      </c>
      <c r="AH319" s="226" t="s">
        <v>2842</v>
      </c>
      <c r="AI319" s="27">
        <v>1356710000</v>
      </c>
      <c r="AJ319" s="226">
        <v>0.30684523590155599</v>
      </c>
      <c r="AK319" s="27">
        <v>323415977.28981167</v>
      </c>
      <c r="AL319" s="226">
        <v>1.287196765875779</v>
      </c>
      <c r="AM319" s="27" t="s">
        <v>2842</v>
      </c>
      <c r="AN319" s="271" t="s">
        <v>2842</v>
      </c>
      <c r="AO319" s="27">
        <v>57187942</v>
      </c>
      <c r="AP319" s="27" t="s">
        <v>2842</v>
      </c>
      <c r="AQ319" s="27">
        <v>48.213512195121965</v>
      </c>
      <c r="AR319" s="27">
        <v>99.5</v>
      </c>
      <c r="AS319" s="29" t="s">
        <v>2842</v>
      </c>
      <c r="AT319" s="270" t="s">
        <v>2842</v>
      </c>
      <c r="AU319" s="464" t="s">
        <v>2842</v>
      </c>
      <c r="AV319" s="29">
        <v>-1.2585968898003801</v>
      </c>
      <c r="AW319" s="29">
        <v>-2.2133773619349602</v>
      </c>
      <c r="AX319" s="29">
        <v>-1.7688847547663</v>
      </c>
      <c r="AY319" s="29">
        <v>-1.2626813110128201</v>
      </c>
      <c r="AZ319" s="60">
        <v>-1.30773511686967</v>
      </c>
    </row>
    <row r="320" spans="1:52" s="65" customFormat="1" ht="15" customHeight="1">
      <c r="A320" s="63" t="s">
        <v>164</v>
      </c>
      <c r="B320" s="27">
        <v>2007</v>
      </c>
      <c r="C320" s="27" t="s">
        <v>165</v>
      </c>
      <c r="D320" s="27" t="s">
        <v>81</v>
      </c>
      <c r="E320" s="27" t="s">
        <v>19</v>
      </c>
      <c r="F320" s="41" t="s">
        <v>989</v>
      </c>
      <c r="G320" s="43">
        <v>6697</v>
      </c>
      <c r="H320" s="43"/>
      <c r="I320" s="43"/>
      <c r="J320" s="43"/>
      <c r="K320" s="27" t="s">
        <v>567</v>
      </c>
      <c r="L320" s="28"/>
      <c r="M320" s="27"/>
      <c r="N320" s="27" t="s">
        <v>788</v>
      </c>
      <c r="O320" s="18"/>
      <c r="P320" s="213"/>
      <c r="Q320" s="213"/>
      <c r="R320" s="27"/>
      <c r="S320" s="27"/>
      <c r="T320" s="18"/>
      <c r="U320" s="27"/>
      <c r="V320" s="27"/>
      <c r="W320" s="30"/>
      <c r="X320" s="27"/>
      <c r="Y320" s="27"/>
      <c r="Z320" s="27"/>
      <c r="AA320" s="27"/>
      <c r="AB320" s="27"/>
      <c r="AC320" s="273">
        <v>416300000</v>
      </c>
      <c r="AD320" s="27">
        <v>16364027646.772434</v>
      </c>
      <c r="AE320" s="228">
        <v>2.5439947241968214E-2</v>
      </c>
      <c r="AF320" s="27" t="s">
        <v>2842</v>
      </c>
      <c r="AG320" s="226" t="s">
        <v>2842</v>
      </c>
      <c r="AH320" s="226" t="s">
        <v>2842</v>
      </c>
      <c r="AI320" s="27">
        <v>1356710000</v>
      </c>
      <c r="AJ320" s="226">
        <v>0.30684523590155599</v>
      </c>
      <c r="AK320" s="27">
        <v>323415977.28981167</v>
      </c>
      <c r="AL320" s="226">
        <v>1.287196765875779</v>
      </c>
      <c r="AM320" s="27" t="s">
        <v>2842</v>
      </c>
      <c r="AN320" s="271" t="s">
        <v>2842</v>
      </c>
      <c r="AO320" s="27">
        <v>57187942</v>
      </c>
      <c r="AP320" s="27" t="s">
        <v>2842</v>
      </c>
      <c r="AQ320" s="27">
        <v>48.213512195121965</v>
      </c>
      <c r="AR320" s="27">
        <v>99.5</v>
      </c>
      <c r="AS320" s="29" t="s">
        <v>2842</v>
      </c>
      <c r="AT320" s="270" t="s">
        <v>2842</v>
      </c>
      <c r="AU320" s="464" t="s">
        <v>2842</v>
      </c>
      <c r="AV320" s="29">
        <v>-1.2585968898003801</v>
      </c>
      <c r="AW320" s="29">
        <v>-2.2133773619349602</v>
      </c>
      <c r="AX320" s="29">
        <v>-1.7688847547663</v>
      </c>
      <c r="AY320" s="29">
        <v>-1.2626813110128201</v>
      </c>
      <c r="AZ320" s="60">
        <v>-1.30773511686967</v>
      </c>
    </row>
    <row r="321" spans="1:52" s="65" customFormat="1" ht="15" customHeight="1">
      <c r="A321" s="63" t="s">
        <v>164</v>
      </c>
      <c r="B321" s="27">
        <v>2007</v>
      </c>
      <c r="C321" s="27" t="s">
        <v>165</v>
      </c>
      <c r="D321" s="27" t="s">
        <v>81</v>
      </c>
      <c r="E321" s="27" t="s">
        <v>19</v>
      </c>
      <c r="F321" s="41" t="s">
        <v>904</v>
      </c>
      <c r="G321" s="43">
        <v>28265000</v>
      </c>
      <c r="H321" s="43"/>
      <c r="I321" s="43"/>
      <c r="J321" s="43"/>
      <c r="K321" s="27" t="s">
        <v>905</v>
      </c>
      <c r="L321" s="28">
        <v>12.82</v>
      </c>
      <c r="M321" s="27" t="s">
        <v>906</v>
      </c>
      <c r="N321" s="27" t="s">
        <v>990</v>
      </c>
      <c r="O321" s="18">
        <f>G321*L321</f>
        <v>362357300</v>
      </c>
      <c r="P321" s="213"/>
      <c r="Q321" s="213"/>
      <c r="R321" s="27"/>
      <c r="S321" s="27"/>
      <c r="T321" s="18"/>
      <c r="U321" s="27"/>
      <c r="V321" s="27"/>
      <c r="W321" s="30"/>
      <c r="X321" s="27"/>
      <c r="Y321" s="27"/>
      <c r="Z321" s="27"/>
      <c r="AA321" s="27"/>
      <c r="AB321" s="27"/>
      <c r="AC321" s="273">
        <v>416300000</v>
      </c>
      <c r="AD321" s="27">
        <v>16364027646.772434</v>
      </c>
      <c r="AE321" s="228">
        <v>2.5439947241968214E-2</v>
      </c>
      <c r="AF321" s="27" t="s">
        <v>2842</v>
      </c>
      <c r="AG321" s="226" t="s">
        <v>2842</v>
      </c>
      <c r="AH321" s="226" t="s">
        <v>2842</v>
      </c>
      <c r="AI321" s="27">
        <v>1356710000</v>
      </c>
      <c r="AJ321" s="226">
        <v>0.30684523590155599</v>
      </c>
      <c r="AK321" s="27">
        <v>323415977.28981167</v>
      </c>
      <c r="AL321" s="226">
        <v>1.287196765875779</v>
      </c>
      <c r="AM321" s="27" t="s">
        <v>2842</v>
      </c>
      <c r="AN321" s="271" t="s">
        <v>2842</v>
      </c>
      <c r="AO321" s="27">
        <v>57187942</v>
      </c>
      <c r="AP321" s="27" t="s">
        <v>2842</v>
      </c>
      <c r="AQ321" s="27">
        <v>48.213512195121965</v>
      </c>
      <c r="AR321" s="27">
        <v>99.5</v>
      </c>
      <c r="AS321" s="29" t="s">
        <v>2842</v>
      </c>
      <c r="AT321" s="270" t="s">
        <v>2842</v>
      </c>
      <c r="AU321" s="464" t="s">
        <v>2842</v>
      </c>
      <c r="AV321" s="29">
        <v>-1.2585968898003801</v>
      </c>
      <c r="AW321" s="29">
        <v>-2.2133773619349602</v>
      </c>
      <c r="AX321" s="29">
        <v>-1.7688847547663</v>
      </c>
      <c r="AY321" s="29">
        <v>-1.2626813110128201</v>
      </c>
      <c r="AZ321" s="60">
        <v>-1.30773511686967</v>
      </c>
    </row>
    <row r="322" spans="1:52" s="65" customFormat="1" ht="15" customHeight="1">
      <c r="A322" s="63" t="s">
        <v>164</v>
      </c>
      <c r="B322" s="27">
        <v>2007</v>
      </c>
      <c r="C322" s="27" t="s">
        <v>165</v>
      </c>
      <c r="D322" s="27" t="s">
        <v>81</v>
      </c>
      <c r="E322" s="27" t="s">
        <v>19</v>
      </c>
      <c r="F322" s="41" t="s">
        <v>730</v>
      </c>
      <c r="G322" s="43">
        <f>5100*32.150743126506</f>
        <v>163968.78994518062</v>
      </c>
      <c r="H322" s="43"/>
      <c r="I322" s="43"/>
      <c r="J322" s="43"/>
      <c r="K322" s="27" t="s">
        <v>731</v>
      </c>
      <c r="L322" s="28">
        <v>696.72024999999996</v>
      </c>
      <c r="M322" s="27" t="s">
        <v>732</v>
      </c>
      <c r="N322" s="27" t="s">
        <v>782</v>
      </c>
      <c r="O322" s="18">
        <f>G322*L322</f>
        <v>114240376.32280372</v>
      </c>
      <c r="P322" s="213"/>
      <c r="Q322" s="213"/>
      <c r="R322" s="27"/>
      <c r="S322" s="27"/>
      <c r="T322" s="18"/>
      <c r="U322" s="27"/>
      <c r="V322" s="27"/>
      <c r="W322" s="30"/>
      <c r="X322" s="27"/>
      <c r="Y322" s="27"/>
      <c r="Z322" s="27"/>
      <c r="AA322" s="27"/>
      <c r="AB322" s="27"/>
      <c r="AC322" s="273">
        <v>416300000</v>
      </c>
      <c r="AD322" s="27">
        <v>16364027646.772434</v>
      </c>
      <c r="AE322" s="228">
        <v>2.5439947241968214E-2</v>
      </c>
      <c r="AF322" s="27" t="s">
        <v>2842</v>
      </c>
      <c r="AG322" s="226" t="s">
        <v>2842</v>
      </c>
      <c r="AH322" s="226" t="s">
        <v>2842</v>
      </c>
      <c r="AI322" s="27">
        <v>1356710000</v>
      </c>
      <c r="AJ322" s="226">
        <v>0.30684523590155599</v>
      </c>
      <c r="AK322" s="27">
        <v>323415977.28981167</v>
      </c>
      <c r="AL322" s="226">
        <v>1.287196765875779</v>
      </c>
      <c r="AM322" s="27" t="s">
        <v>2842</v>
      </c>
      <c r="AN322" s="271" t="s">
        <v>2842</v>
      </c>
      <c r="AO322" s="27">
        <v>57187942</v>
      </c>
      <c r="AP322" s="27" t="s">
        <v>2842</v>
      </c>
      <c r="AQ322" s="27">
        <v>48.213512195121965</v>
      </c>
      <c r="AR322" s="27">
        <v>99.5</v>
      </c>
      <c r="AS322" s="29" t="s">
        <v>2842</v>
      </c>
      <c r="AT322" s="270" t="s">
        <v>2842</v>
      </c>
      <c r="AU322" s="464" t="s">
        <v>2842</v>
      </c>
      <c r="AV322" s="29">
        <v>-1.2585968898003801</v>
      </c>
      <c r="AW322" s="29">
        <v>-2.2133773619349602</v>
      </c>
      <c r="AX322" s="29">
        <v>-1.7688847547663</v>
      </c>
      <c r="AY322" s="29">
        <v>-1.2626813110128201</v>
      </c>
      <c r="AZ322" s="60">
        <v>-1.30773511686967</v>
      </c>
    </row>
    <row r="323" spans="1:52" s="65" customFormat="1" ht="15" customHeight="1">
      <c r="A323" s="63" t="s">
        <v>164</v>
      </c>
      <c r="B323" s="27">
        <v>2007</v>
      </c>
      <c r="C323" s="27" t="s">
        <v>165</v>
      </c>
      <c r="D323" s="27" t="s">
        <v>81</v>
      </c>
      <c r="E323" s="27" t="s">
        <v>19</v>
      </c>
      <c r="F323" s="41" t="s">
        <v>991</v>
      </c>
      <c r="G323" s="43"/>
      <c r="H323" s="43"/>
      <c r="I323" s="43"/>
      <c r="J323" s="43"/>
      <c r="K323" s="27"/>
      <c r="L323" s="44">
        <f>14536.8345</f>
        <v>14536.834500000001</v>
      </c>
      <c r="M323" s="27" t="s">
        <v>568</v>
      </c>
      <c r="N323" s="27" t="s">
        <v>992</v>
      </c>
      <c r="O323" s="18">
        <f>G325*L323</f>
        <v>141007294.65000001</v>
      </c>
      <c r="P323" s="213"/>
      <c r="Q323" s="213"/>
      <c r="R323" s="27"/>
      <c r="S323" s="27"/>
      <c r="T323" s="18"/>
      <c r="U323" s="27"/>
      <c r="V323" s="27"/>
      <c r="W323" s="30"/>
      <c r="X323" s="27"/>
      <c r="Y323" s="27"/>
      <c r="Z323" s="27"/>
      <c r="AA323" s="27"/>
      <c r="AB323" s="27"/>
      <c r="AC323" s="273">
        <v>416300000</v>
      </c>
      <c r="AD323" s="27">
        <v>16364027646.772434</v>
      </c>
      <c r="AE323" s="228">
        <v>2.5439947241968214E-2</v>
      </c>
      <c r="AF323" s="27" t="s">
        <v>2842</v>
      </c>
      <c r="AG323" s="226" t="s">
        <v>2842</v>
      </c>
      <c r="AH323" s="226" t="s">
        <v>2842</v>
      </c>
      <c r="AI323" s="27">
        <v>1356710000</v>
      </c>
      <c r="AJ323" s="226">
        <v>0.30684523590155599</v>
      </c>
      <c r="AK323" s="27">
        <v>323415977.28981167</v>
      </c>
      <c r="AL323" s="226">
        <v>1.287196765875779</v>
      </c>
      <c r="AM323" s="27" t="s">
        <v>2842</v>
      </c>
      <c r="AN323" s="271" t="s">
        <v>2842</v>
      </c>
      <c r="AO323" s="27">
        <v>57187942</v>
      </c>
      <c r="AP323" s="27" t="s">
        <v>2842</v>
      </c>
      <c r="AQ323" s="27">
        <v>48.213512195121965</v>
      </c>
      <c r="AR323" s="27">
        <v>99.5</v>
      </c>
      <c r="AS323" s="29" t="s">
        <v>2842</v>
      </c>
      <c r="AT323" s="270" t="s">
        <v>2842</v>
      </c>
      <c r="AU323" s="464" t="s">
        <v>2842</v>
      </c>
      <c r="AV323" s="29">
        <v>-1.2585968898003801</v>
      </c>
      <c r="AW323" s="29">
        <v>-2.2133773619349602</v>
      </c>
      <c r="AX323" s="29">
        <v>-1.7688847547663</v>
      </c>
      <c r="AY323" s="29">
        <v>-1.2626813110128201</v>
      </c>
      <c r="AZ323" s="60">
        <v>-1.30773511686967</v>
      </c>
    </row>
    <row r="324" spans="1:52" s="65" customFormat="1" ht="15" customHeight="1">
      <c r="A324" s="63" t="s">
        <v>164</v>
      </c>
      <c r="B324" s="27">
        <v>2007</v>
      </c>
      <c r="C324" s="27" t="s">
        <v>165</v>
      </c>
      <c r="D324" s="27" t="s">
        <v>81</v>
      </c>
      <c r="E324" s="27" t="s">
        <v>19</v>
      </c>
      <c r="F324" s="41" t="s">
        <v>982</v>
      </c>
      <c r="G324" s="43">
        <v>14903</v>
      </c>
      <c r="H324" s="43"/>
      <c r="I324" s="43"/>
      <c r="J324" s="43"/>
      <c r="K324" s="27" t="s">
        <v>567</v>
      </c>
      <c r="L324" s="28"/>
      <c r="M324" s="27"/>
      <c r="N324" s="27" t="s">
        <v>788</v>
      </c>
      <c r="O324" s="18"/>
      <c r="P324" s="213"/>
      <c r="Q324" s="213"/>
      <c r="R324" s="27"/>
      <c r="S324" s="27"/>
      <c r="T324" s="18"/>
      <c r="U324" s="27"/>
      <c r="V324" s="27"/>
      <c r="W324" s="30"/>
      <c r="X324" s="27"/>
      <c r="Y324" s="27"/>
      <c r="Z324" s="27"/>
      <c r="AA324" s="27"/>
      <c r="AB324" s="27"/>
      <c r="AC324" s="273">
        <v>416300000</v>
      </c>
      <c r="AD324" s="27">
        <v>16364027646.772434</v>
      </c>
      <c r="AE324" s="228">
        <v>2.5439947241968214E-2</v>
      </c>
      <c r="AF324" s="27" t="s">
        <v>2842</v>
      </c>
      <c r="AG324" s="226" t="s">
        <v>2842</v>
      </c>
      <c r="AH324" s="226" t="s">
        <v>2842</v>
      </c>
      <c r="AI324" s="27">
        <v>1356710000</v>
      </c>
      <c r="AJ324" s="226">
        <v>0.30684523590155599</v>
      </c>
      <c r="AK324" s="27">
        <v>323415977.28981167</v>
      </c>
      <c r="AL324" s="226">
        <v>1.287196765875779</v>
      </c>
      <c r="AM324" s="27" t="s">
        <v>2842</v>
      </c>
      <c r="AN324" s="271" t="s">
        <v>2842</v>
      </c>
      <c r="AO324" s="27">
        <v>57187942</v>
      </c>
      <c r="AP324" s="27" t="s">
        <v>2842</v>
      </c>
      <c r="AQ324" s="27">
        <v>48.213512195121965</v>
      </c>
      <c r="AR324" s="27">
        <v>99.5</v>
      </c>
      <c r="AS324" s="29" t="s">
        <v>2842</v>
      </c>
      <c r="AT324" s="270" t="s">
        <v>2842</v>
      </c>
      <c r="AU324" s="464" t="s">
        <v>2842</v>
      </c>
      <c r="AV324" s="29">
        <v>-1.2585968898003801</v>
      </c>
      <c r="AW324" s="29">
        <v>-2.2133773619349602</v>
      </c>
      <c r="AX324" s="29">
        <v>-1.7688847547663</v>
      </c>
      <c r="AY324" s="29">
        <v>-1.2626813110128201</v>
      </c>
      <c r="AZ324" s="60">
        <v>-1.30773511686967</v>
      </c>
    </row>
    <row r="325" spans="1:52" s="65" customFormat="1" ht="15" customHeight="1">
      <c r="A325" s="63" t="s">
        <v>164</v>
      </c>
      <c r="B325" s="27">
        <v>2007</v>
      </c>
      <c r="C325" s="27" t="s">
        <v>165</v>
      </c>
      <c r="D325" s="27" t="s">
        <v>81</v>
      </c>
      <c r="E325" s="27" t="s">
        <v>19</v>
      </c>
      <c r="F325" s="41" t="s">
        <v>993</v>
      </c>
      <c r="G325" s="43">
        <v>9700</v>
      </c>
      <c r="H325" s="43"/>
      <c r="I325" s="43"/>
      <c r="J325" s="43"/>
      <c r="K325" s="27" t="s">
        <v>567</v>
      </c>
      <c r="L325" s="28"/>
      <c r="M325" s="27"/>
      <c r="N325" s="27" t="s">
        <v>788</v>
      </c>
      <c r="O325" s="18"/>
      <c r="P325" s="213"/>
      <c r="Q325" s="213"/>
      <c r="R325" s="27"/>
      <c r="S325" s="27"/>
      <c r="T325" s="18"/>
      <c r="U325" s="27"/>
      <c r="V325" s="27"/>
      <c r="W325" s="30"/>
      <c r="X325" s="27"/>
      <c r="Y325" s="27"/>
      <c r="Z325" s="27"/>
      <c r="AA325" s="27"/>
      <c r="AB325" s="27"/>
      <c r="AC325" s="273">
        <v>416300000</v>
      </c>
      <c r="AD325" s="27">
        <v>16364027646.772434</v>
      </c>
      <c r="AE325" s="228">
        <v>2.5439947241968214E-2</v>
      </c>
      <c r="AF325" s="27" t="s">
        <v>2842</v>
      </c>
      <c r="AG325" s="226" t="s">
        <v>2842</v>
      </c>
      <c r="AH325" s="226" t="s">
        <v>2842</v>
      </c>
      <c r="AI325" s="27">
        <v>1356710000</v>
      </c>
      <c r="AJ325" s="226">
        <v>0.30684523590155599</v>
      </c>
      <c r="AK325" s="27">
        <v>323415977.28981167</v>
      </c>
      <c r="AL325" s="226">
        <v>1.287196765875779</v>
      </c>
      <c r="AM325" s="27" t="s">
        <v>2842</v>
      </c>
      <c r="AN325" s="271" t="s">
        <v>2842</v>
      </c>
      <c r="AO325" s="27">
        <v>57187942</v>
      </c>
      <c r="AP325" s="27" t="s">
        <v>2842</v>
      </c>
      <c r="AQ325" s="27">
        <v>48.213512195121965</v>
      </c>
      <c r="AR325" s="27">
        <v>99.5</v>
      </c>
      <c r="AS325" s="29" t="s">
        <v>2842</v>
      </c>
      <c r="AT325" s="270" t="s">
        <v>2842</v>
      </c>
      <c r="AU325" s="464" t="s">
        <v>2842</v>
      </c>
      <c r="AV325" s="29">
        <v>-1.2585968898003801</v>
      </c>
      <c r="AW325" s="29">
        <v>-2.2133773619349602</v>
      </c>
      <c r="AX325" s="29">
        <v>-1.7688847547663</v>
      </c>
      <c r="AY325" s="29">
        <v>-1.2626813110128201</v>
      </c>
      <c r="AZ325" s="60">
        <v>-1.30773511686967</v>
      </c>
    </row>
    <row r="326" spans="1:52" s="65" customFormat="1" ht="15" customHeight="1">
      <c r="A326" s="63" t="s">
        <v>164</v>
      </c>
      <c r="B326" s="27">
        <v>2007</v>
      </c>
      <c r="C326" s="27" t="s">
        <v>165</v>
      </c>
      <c r="D326" s="27" t="s">
        <v>81</v>
      </c>
      <c r="E326" s="27" t="s">
        <v>19</v>
      </c>
      <c r="F326" s="41" t="s">
        <v>994</v>
      </c>
      <c r="G326" s="43"/>
      <c r="H326" s="43"/>
      <c r="I326" s="43"/>
      <c r="J326" s="43"/>
      <c r="K326" s="27"/>
      <c r="L326" s="28">
        <v>177</v>
      </c>
      <c r="M326" s="27" t="s">
        <v>568</v>
      </c>
      <c r="N326" s="27" t="s">
        <v>995</v>
      </c>
      <c r="O326" s="18">
        <f>G328*L326</f>
        <v>106200</v>
      </c>
      <c r="P326" s="213"/>
      <c r="Q326" s="213"/>
      <c r="R326" s="27"/>
      <c r="S326" s="27"/>
      <c r="T326" s="18"/>
      <c r="U326" s="27"/>
      <c r="V326" s="27"/>
      <c r="W326" s="30"/>
      <c r="X326" s="27"/>
      <c r="Y326" s="27"/>
      <c r="Z326" s="27"/>
      <c r="AA326" s="27"/>
      <c r="AB326" s="27"/>
      <c r="AC326" s="273">
        <v>416300000</v>
      </c>
      <c r="AD326" s="27">
        <v>16364027646.772434</v>
      </c>
      <c r="AE326" s="228">
        <v>2.5439947241968214E-2</v>
      </c>
      <c r="AF326" s="27" t="s">
        <v>2842</v>
      </c>
      <c r="AG326" s="226" t="s">
        <v>2842</v>
      </c>
      <c r="AH326" s="226" t="s">
        <v>2842</v>
      </c>
      <c r="AI326" s="27">
        <v>1356710000</v>
      </c>
      <c r="AJ326" s="226">
        <v>0.30684523590155599</v>
      </c>
      <c r="AK326" s="27">
        <v>323415977.28981167</v>
      </c>
      <c r="AL326" s="226">
        <v>1.287196765875779</v>
      </c>
      <c r="AM326" s="27" t="s">
        <v>2842</v>
      </c>
      <c r="AN326" s="271" t="s">
        <v>2842</v>
      </c>
      <c r="AO326" s="27">
        <v>57187942</v>
      </c>
      <c r="AP326" s="27" t="s">
        <v>2842</v>
      </c>
      <c r="AQ326" s="27">
        <v>48.213512195121965</v>
      </c>
      <c r="AR326" s="27">
        <v>99.5</v>
      </c>
      <c r="AS326" s="29" t="s">
        <v>2842</v>
      </c>
      <c r="AT326" s="270" t="s">
        <v>2842</v>
      </c>
      <c r="AU326" s="464" t="s">
        <v>2842</v>
      </c>
      <c r="AV326" s="29">
        <v>-1.2585968898003801</v>
      </c>
      <c r="AW326" s="29">
        <v>-2.2133773619349602</v>
      </c>
      <c r="AX326" s="29">
        <v>-1.7688847547663</v>
      </c>
      <c r="AY326" s="29">
        <v>-1.2626813110128201</v>
      </c>
      <c r="AZ326" s="60">
        <v>-1.30773511686967</v>
      </c>
    </row>
    <row r="327" spans="1:52" s="65" customFormat="1" ht="15" customHeight="1">
      <c r="A327" s="63" t="s">
        <v>164</v>
      </c>
      <c r="B327" s="27">
        <v>2007</v>
      </c>
      <c r="C327" s="27" t="s">
        <v>165</v>
      </c>
      <c r="D327" s="27" t="s">
        <v>81</v>
      </c>
      <c r="E327" s="27" t="s">
        <v>19</v>
      </c>
      <c r="F327" s="41" t="s">
        <v>982</v>
      </c>
      <c r="G327" s="43">
        <v>1174</v>
      </c>
      <c r="H327" s="43"/>
      <c r="I327" s="43"/>
      <c r="J327" s="43"/>
      <c r="K327" s="27" t="s">
        <v>567</v>
      </c>
      <c r="L327" s="28"/>
      <c r="M327" s="27"/>
      <c r="N327" s="27" t="s">
        <v>788</v>
      </c>
      <c r="O327" s="18"/>
      <c r="P327" s="213"/>
      <c r="Q327" s="213"/>
      <c r="R327" s="27"/>
      <c r="S327" s="27"/>
      <c r="T327" s="18"/>
      <c r="U327" s="27"/>
      <c r="V327" s="27"/>
      <c r="W327" s="30"/>
      <c r="X327" s="27"/>
      <c r="Y327" s="27"/>
      <c r="Z327" s="27"/>
      <c r="AA327" s="27"/>
      <c r="AB327" s="27"/>
      <c r="AC327" s="273">
        <v>416300000</v>
      </c>
      <c r="AD327" s="27">
        <v>16364027646.772434</v>
      </c>
      <c r="AE327" s="228">
        <v>2.5439947241968214E-2</v>
      </c>
      <c r="AF327" s="27" t="s">
        <v>2842</v>
      </c>
      <c r="AG327" s="226" t="s">
        <v>2842</v>
      </c>
      <c r="AH327" s="226" t="s">
        <v>2842</v>
      </c>
      <c r="AI327" s="27">
        <v>1356710000</v>
      </c>
      <c r="AJ327" s="226">
        <v>0.30684523590155599</v>
      </c>
      <c r="AK327" s="27">
        <v>323415977.28981167</v>
      </c>
      <c r="AL327" s="226">
        <v>1.287196765875779</v>
      </c>
      <c r="AM327" s="27" t="s">
        <v>2842</v>
      </c>
      <c r="AN327" s="271" t="s">
        <v>2842</v>
      </c>
      <c r="AO327" s="27">
        <v>57187942</v>
      </c>
      <c r="AP327" s="27" t="s">
        <v>2842</v>
      </c>
      <c r="AQ327" s="27">
        <v>48.213512195121965</v>
      </c>
      <c r="AR327" s="27">
        <v>99.5</v>
      </c>
      <c r="AS327" s="29" t="s">
        <v>2842</v>
      </c>
      <c r="AT327" s="270" t="s">
        <v>2842</v>
      </c>
      <c r="AU327" s="464" t="s">
        <v>2842</v>
      </c>
      <c r="AV327" s="29">
        <v>-1.2585968898003801</v>
      </c>
      <c r="AW327" s="29">
        <v>-2.2133773619349602</v>
      </c>
      <c r="AX327" s="29">
        <v>-1.7688847547663</v>
      </c>
      <c r="AY327" s="29">
        <v>-1.2626813110128201</v>
      </c>
      <c r="AZ327" s="60">
        <v>-1.30773511686967</v>
      </c>
    </row>
    <row r="328" spans="1:52" s="65" customFormat="1" ht="15" customHeight="1">
      <c r="A328" s="63" t="s">
        <v>164</v>
      </c>
      <c r="B328" s="27">
        <v>2007</v>
      </c>
      <c r="C328" s="27" t="s">
        <v>165</v>
      </c>
      <c r="D328" s="27" t="s">
        <v>81</v>
      </c>
      <c r="E328" s="27" t="s">
        <v>19</v>
      </c>
      <c r="F328" s="41" t="s">
        <v>996</v>
      </c>
      <c r="G328" s="43">
        <v>600</v>
      </c>
      <c r="H328" s="43"/>
      <c r="I328" s="43"/>
      <c r="J328" s="43"/>
      <c r="K328" s="27" t="s">
        <v>567</v>
      </c>
      <c r="L328" s="28"/>
      <c r="M328" s="27"/>
      <c r="N328" s="27" t="s">
        <v>788</v>
      </c>
      <c r="O328" s="18"/>
      <c r="P328" s="213"/>
      <c r="Q328" s="213"/>
      <c r="R328" s="27"/>
      <c r="S328" s="27"/>
      <c r="T328" s="18"/>
      <c r="U328" s="27"/>
      <c r="V328" s="27"/>
      <c r="W328" s="30"/>
      <c r="X328" s="27"/>
      <c r="Y328" s="27"/>
      <c r="Z328" s="27"/>
      <c r="AA328" s="27"/>
      <c r="AB328" s="27"/>
      <c r="AC328" s="273">
        <v>416300000</v>
      </c>
      <c r="AD328" s="27">
        <v>16364027646.772434</v>
      </c>
      <c r="AE328" s="228">
        <v>2.5439947241968214E-2</v>
      </c>
      <c r="AF328" s="27" t="s">
        <v>2842</v>
      </c>
      <c r="AG328" s="226" t="s">
        <v>2842</v>
      </c>
      <c r="AH328" s="226" t="s">
        <v>2842</v>
      </c>
      <c r="AI328" s="27">
        <v>1356710000</v>
      </c>
      <c r="AJ328" s="226">
        <v>0.30684523590155599</v>
      </c>
      <c r="AK328" s="27">
        <v>323415977.28981167</v>
      </c>
      <c r="AL328" s="226">
        <v>1.287196765875779</v>
      </c>
      <c r="AM328" s="27" t="s">
        <v>2842</v>
      </c>
      <c r="AN328" s="271" t="s">
        <v>2842</v>
      </c>
      <c r="AO328" s="27">
        <v>57187942</v>
      </c>
      <c r="AP328" s="27" t="s">
        <v>2842</v>
      </c>
      <c r="AQ328" s="27">
        <v>48.213512195121965</v>
      </c>
      <c r="AR328" s="27">
        <v>99.5</v>
      </c>
      <c r="AS328" s="29" t="s">
        <v>2842</v>
      </c>
      <c r="AT328" s="270" t="s">
        <v>2842</v>
      </c>
      <c r="AU328" s="464" t="s">
        <v>2842</v>
      </c>
      <c r="AV328" s="29">
        <v>-1.2585968898003801</v>
      </c>
      <c r="AW328" s="29">
        <v>-2.2133773619349602</v>
      </c>
      <c r="AX328" s="29">
        <v>-1.7688847547663</v>
      </c>
      <c r="AY328" s="29">
        <v>-1.2626813110128201</v>
      </c>
      <c r="AZ328" s="60">
        <v>-1.30773511686967</v>
      </c>
    </row>
    <row r="329" spans="1:52" s="368" customFormat="1" ht="15" customHeight="1">
      <c r="A329" s="359" t="s">
        <v>164</v>
      </c>
      <c r="B329" s="284">
        <v>2007</v>
      </c>
      <c r="C329" s="284" t="s">
        <v>165</v>
      </c>
      <c r="D329" s="284" t="s">
        <v>81</v>
      </c>
      <c r="E329" s="284" t="s">
        <v>19</v>
      </c>
      <c r="F329" s="315" t="s">
        <v>997</v>
      </c>
      <c r="G329" s="303">
        <v>11925</v>
      </c>
      <c r="H329" s="303"/>
      <c r="I329" s="303"/>
      <c r="J329" s="303"/>
      <c r="K329" s="284" t="s">
        <v>567</v>
      </c>
      <c r="L329" s="367">
        <f>3242.35758333333</f>
        <v>3242.3575833333298</v>
      </c>
      <c r="M329" s="284" t="s">
        <v>568</v>
      </c>
      <c r="N329" s="284" t="s">
        <v>998</v>
      </c>
      <c r="O329" s="305">
        <f>G329*L329</f>
        <v>38665114.181249961</v>
      </c>
      <c r="P329" s="306"/>
      <c r="Q329" s="306"/>
      <c r="R329" s="284"/>
      <c r="S329" s="284"/>
      <c r="T329" s="305"/>
      <c r="U329" s="284"/>
      <c r="V329" s="284"/>
      <c r="W329" s="307"/>
      <c r="X329" s="284"/>
      <c r="Y329" s="284"/>
      <c r="Z329" s="284"/>
      <c r="AA329" s="284"/>
      <c r="AB329" s="284"/>
      <c r="AC329" s="308">
        <v>416300000</v>
      </c>
      <c r="AD329" s="284">
        <v>16364027646.772434</v>
      </c>
      <c r="AE329" s="309">
        <v>2.5439947241968214E-2</v>
      </c>
      <c r="AF329" s="284" t="s">
        <v>2842</v>
      </c>
      <c r="AG329" s="310" t="s">
        <v>2842</v>
      </c>
      <c r="AH329" s="310" t="s">
        <v>2842</v>
      </c>
      <c r="AI329" s="284">
        <v>1356710000</v>
      </c>
      <c r="AJ329" s="310">
        <v>0.30684523590155599</v>
      </c>
      <c r="AK329" s="284">
        <v>323415977.28981167</v>
      </c>
      <c r="AL329" s="310">
        <v>1.287196765875779</v>
      </c>
      <c r="AM329" s="284" t="s">
        <v>2842</v>
      </c>
      <c r="AN329" s="311" t="s">
        <v>2842</v>
      </c>
      <c r="AO329" s="284">
        <v>57187942</v>
      </c>
      <c r="AP329" s="284" t="s">
        <v>2842</v>
      </c>
      <c r="AQ329" s="284">
        <v>48.213512195121965</v>
      </c>
      <c r="AR329" s="284">
        <v>99.5</v>
      </c>
      <c r="AS329" s="287" t="s">
        <v>2842</v>
      </c>
      <c r="AT329" s="312" t="s">
        <v>2842</v>
      </c>
      <c r="AU329" s="465" t="s">
        <v>2842</v>
      </c>
      <c r="AV329" s="287">
        <v>-1.2585968898003801</v>
      </c>
      <c r="AW329" s="287">
        <v>-2.2133773619349602</v>
      </c>
      <c r="AX329" s="287">
        <v>-1.7688847547663</v>
      </c>
      <c r="AY329" s="287">
        <v>-1.2626813110128201</v>
      </c>
      <c r="AZ329" s="313">
        <v>-1.30773511686967</v>
      </c>
    </row>
    <row r="330" spans="1:52" s="29" customFormat="1" ht="15" customHeight="1">
      <c r="A330" s="347" t="s">
        <v>168</v>
      </c>
      <c r="B330" s="27">
        <v>2008</v>
      </c>
      <c r="C330" s="27" t="s">
        <v>165</v>
      </c>
      <c r="D330" s="27" t="s">
        <v>81</v>
      </c>
      <c r="E330" s="27" t="s">
        <v>36</v>
      </c>
      <c r="F330" s="41" t="s">
        <v>659</v>
      </c>
      <c r="G330" s="43"/>
      <c r="H330" s="43"/>
      <c r="I330" s="43"/>
      <c r="J330" s="43"/>
      <c r="K330" s="27"/>
      <c r="L330" s="28"/>
      <c r="M330" s="27"/>
      <c r="N330" s="27"/>
      <c r="O330" s="18">
        <f>O331+O332</f>
        <v>1919603437.0635471</v>
      </c>
      <c r="P330" s="213">
        <v>516117440.10301042</v>
      </c>
      <c r="Q330" s="213">
        <v>578201440.10301042</v>
      </c>
      <c r="R330" s="27" t="s">
        <v>619</v>
      </c>
      <c r="S330" s="27"/>
      <c r="T330" s="18"/>
      <c r="U330" s="27" t="s">
        <v>999</v>
      </c>
      <c r="V330" s="27" t="s">
        <v>1000</v>
      </c>
      <c r="W330" s="30">
        <v>450.44</v>
      </c>
      <c r="X330" s="27">
        <v>70</v>
      </c>
      <c r="Y330" s="27" t="s">
        <v>1001</v>
      </c>
      <c r="Z330" s="27" t="s">
        <v>1002</v>
      </c>
      <c r="AA330" s="27" t="s">
        <v>1003</v>
      </c>
      <c r="AB330" s="27" t="s">
        <v>1004</v>
      </c>
      <c r="AC330" s="273">
        <v>516117440.10301042</v>
      </c>
      <c r="AD330" s="27">
        <v>19206015304.782166</v>
      </c>
      <c r="AE330" s="228">
        <v>2.6872697533178613E-2</v>
      </c>
      <c r="AF330" s="27" t="s">
        <v>2842</v>
      </c>
      <c r="AG330" s="226" t="s">
        <v>2842</v>
      </c>
      <c r="AH330" s="226" t="s">
        <v>2842</v>
      </c>
      <c r="AI330" s="27">
        <v>1765970000</v>
      </c>
      <c r="AJ330" s="226">
        <v>0.29225719582043319</v>
      </c>
      <c r="AK330" s="27">
        <v>663436523.87739587</v>
      </c>
      <c r="AL330" s="226">
        <v>0.77794547259262703</v>
      </c>
      <c r="AM330" s="27" t="s">
        <v>2842</v>
      </c>
      <c r="AN330" s="271" t="s">
        <v>2842</v>
      </c>
      <c r="AO330" s="27">
        <v>58819038</v>
      </c>
      <c r="AP330" s="27" t="s">
        <v>2842</v>
      </c>
      <c r="AQ330" s="27">
        <v>48.439585365853667</v>
      </c>
      <c r="AR330" s="27">
        <v>97.1</v>
      </c>
      <c r="AS330" s="29" t="s">
        <v>2842</v>
      </c>
      <c r="AT330" s="270" t="s">
        <v>2842</v>
      </c>
      <c r="AU330" s="464" t="s">
        <v>2842</v>
      </c>
      <c r="AV330" s="29">
        <v>-1.4471400969582999</v>
      </c>
      <c r="AW330" s="29">
        <v>-2.0280985228008102</v>
      </c>
      <c r="AX330" s="29">
        <v>-1.67277466539245</v>
      </c>
      <c r="AY330" s="29">
        <v>-1.2968034402976401</v>
      </c>
      <c r="AZ330" s="60">
        <v>-1.16688121811319</v>
      </c>
    </row>
    <row r="331" spans="1:52" s="29" customFormat="1" ht="15" customHeight="1">
      <c r="A331" s="63" t="s">
        <v>168</v>
      </c>
      <c r="B331" s="27">
        <v>2008</v>
      </c>
      <c r="C331" s="27" t="s">
        <v>165</v>
      </c>
      <c r="D331" s="27" t="s">
        <v>81</v>
      </c>
      <c r="E331" s="27" t="s">
        <v>98</v>
      </c>
      <c r="F331" s="41" t="s">
        <v>98</v>
      </c>
      <c r="G331" s="43">
        <v>7300000</v>
      </c>
      <c r="H331" s="43"/>
      <c r="I331" s="43"/>
      <c r="J331" s="43"/>
      <c r="K331" s="27" t="s">
        <v>603</v>
      </c>
      <c r="L331" s="28">
        <v>98.2715934</v>
      </c>
      <c r="M331" s="27" t="s">
        <v>626</v>
      </c>
      <c r="N331" s="27" t="s">
        <v>947</v>
      </c>
      <c r="O331" s="18">
        <f>G331*L331</f>
        <v>717382631.82000005</v>
      </c>
      <c r="P331" s="213">
        <v>421877440.10301042</v>
      </c>
      <c r="Q331" s="213">
        <v>421882440.10301042</v>
      </c>
      <c r="R331" s="27"/>
      <c r="S331" s="27"/>
      <c r="T331" s="18"/>
      <c r="U331" s="27"/>
      <c r="V331" s="27"/>
      <c r="W331" s="30"/>
      <c r="X331" s="27">
        <v>6</v>
      </c>
      <c r="Y331" s="27"/>
      <c r="Z331" s="27">
        <v>6</v>
      </c>
      <c r="AA331" s="27"/>
      <c r="AB331" s="27"/>
      <c r="AC331" s="273">
        <v>516117440.10301042</v>
      </c>
      <c r="AD331" s="27">
        <v>19206015304.782166</v>
      </c>
      <c r="AE331" s="228">
        <v>2.6872697533178613E-2</v>
      </c>
      <c r="AF331" s="27" t="s">
        <v>2842</v>
      </c>
      <c r="AG331" s="226" t="s">
        <v>2842</v>
      </c>
      <c r="AH331" s="226" t="s">
        <v>2842</v>
      </c>
      <c r="AI331" s="27">
        <v>1765970000</v>
      </c>
      <c r="AJ331" s="226">
        <v>0.29225719582043319</v>
      </c>
      <c r="AK331" s="27">
        <v>663436523.87739587</v>
      </c>
      <c r="AL331" s="226">
        <v>0.77794547259262703</v>
      </c>
      <c r="AM331" s="27" t="s">
        <v>2842</v>
      </c>
      <c r="AN331" s="271" t="s">
        <v>2842</v>
      </c>
      <c r="AO331" s="27">
        <v>58819038</v>
      </c>
      <c r="AP331" s="27" t="s">
        <v>2842</v>
      </c>
      <c r="AQ331" s="27">
        <v>48.439585365853667</v>
      </c>
      <c r="AR331" s="27">
        <v>97.1</v>
      </c>
      <c r="AS331" s="29" t="s">
        <v>2842</v>
      </c>
      <c r="AT331" s="270" t="s">
        <v>2842</v>
      </c>
      <c r="AU331" s="464" t="s">
        <v>2842</v>
      </c>
      <c r="AV331" s="29">
        <v>-1.4471400969582999</v>
      </c>
      <c r="AW331" s="29">
        <v>-2.0280985228008102</v>
      </c>
      <c r="AX331" s="29">
        <v>-1.67277466539245</v>
      </c>
      <c r="AY331" s="29">
        <v>-1.2968034402976401</v>
      </c>
      <c r="AZ331" s="60">
        <v>-1.16688121811319</v>
      </c>
    </row>
    <row r="332" spans="1:52" s="29" customFormat="1" ht="15" customHeight="1">
      <c r="A332" s="63" t="s">
        <v>168</v>
      </c>
      <c r="B332" s="27">
        <v>2008</v>
      </c>
      <c r="C332" s="27" t="s">
        <v>165</v>
      </c>
      <c r="D332" s="27" t="s">
        <v>81</v>
      </c>
      <c r="E332" s="27" t="s">
        <v>19</v>
      </c>
      <c r="F332" s="41" t="s">
        <v>559</v>
      </c>
      <c r="G332" s="43"/>
      <c r="H332" s="43"/>
      <c r="I332" s="43"/>
      <c r="J332" s="43"/>
      <c r="K332" s="27"/>
      <c r="L332" s="28"/>
      <c r="M332" s="27"/>
      <c r="N332" s="27"/>
      <c r="O332" s="18">
        <f>SUM(O333:O353)</f>
        <v>1202220805.2435472</v>
      </c>
      <c r="P332" s="213">
        <v>94240000</v>
      </c>
      <c r="Q332" s="213">
        <v>156319000</v>
      </c>
      <c r="R332" s="27"/>
      <c r="S332" s="27"/>
      <c r="T332" s="18"/>
      <c r="U332" s="27"/>
      <c r="V332" s="27"/>
      <c r="W332" s="30"/>
      <c r="X332" s="27">
        <v>64</v>
      </c>
      <c r="Y332" s="27"/>
      <c r="Z332" s="27" t="s">
        <v>1002</v>
      </c>
      <c r="AA332" s="27"/>
      <c r="AB332" s="27" t="s">
        <v>1005</v>
      </c>
      <c r="AC332" s="273">
        <v>516117440.10301042</v>
      </c>
      <c r="AD332" s="27">
        <v>19206015304.782166</v>
      </c>
      <c r="AE332" s="228">
        <v>2.6872697533178613E-2</v>
      </c>
      <c r="AF332" s="27" t="s">
        <v>2842</v>
      </c>
      <c r="AG332" s="226" t="s">
        <v>2842</v>
      </c>
      <c r="AH332" s="226" t="s">
        <v>2842</v>
      </c>
      <c r="AI332" s="27">
        <v>1765970000</v>
      </c>
      <c r="AJ332" s="226">
        <v>0.29225719582043319</v>
      </c>
      <c r="AK332" s="27">
        <v>663436523.87739587</v>
      </c>
      <c r="AL332" s="226">
        <v>0.77794547259262703</v>
      </c>
      <c r="AM332" s="27" t="s">
        <v>2842</v>
      </c>
      <c r="AN332" s="271" t="s">
        <v>2842</v>
      </c>
      <c r="AO332" s="27">
        <v>58819038</v>
      </c>
      <c r="AP332" s="27" t="s">
        <v>2842</v>
      </c>
      <c r="AQ332" s="27">
        <v>48.439585365853667</v>
      </c>
      <c r="AR332" s="27">
        <v>97.1</v>
      </c>
      <c r="AS332" s="29" t="s">
        <v>2842</v>
      </c>
      <c r="AT332" s="270" t="s">
        <v>2842</v>
      </c>
      <c r="AU332" s="464" t="s">
        <v>2842</v>
      </c>
      <c r="AV332" s="29">
        <v>-1.4471400969582999</v>
      </c>
      <c r="AW332" s="29">
        <v>-2.0280985228008102</v>
      </c>
      <c r="AX332" s="29">
        <v>-1.67277466539245</v>
      </c>
      <c r="AY332" s="29">
        <v>-1.2968034402976401</v>
      </c>
      <c r="AZ332" s="60">
        <v>-1.16688121811319</v>
      </c>
    </row>
    <row r="333" spans="1:52" s="29" customFormat="1" ht="15" customHeight="1">
      <c r="A333" s="63" t="s">
        <v>168</v>
      </c>
      <c r="B333" s="27">
        <v>2008</v>
      </c>
      <c r="C333" s="27" t="s">
        <v>165</v>
      </c>
      <c r="D333" s="27" t="s">
        <v>81</v>
      </c>
      <c r="E333" s="27" t="s">
        <v>19</v>
      </c>
      <c r="F333" s="41" t="s">
        <v>977</v>
      </c>
      <c r="G333" s="43"/>
      <c r="H333" s="43"/>
      <c r="I333" s="43"/>
      <c r="J333" s="43"/>
      <c r="K333" s="27"/>
      <c r="L333" s="28">
        <f>39.01/0.000453592</f>
        <v>86002.398631369157</v>
      </c>
      <c r="M333" s="27" t="s">
        <v>568</v>
      </c>
      <c r="N333" s="27" t="s">
        <v>1006</v>
      </c>
      <c r="O333" s="18">
        <f>G335*L333</f>
        <v>90216516.164306238</v>
      </c>
      <c r="P333" s="213"/>
      <c r="Q333" s="213"/>
      <c r="R333" s="27"/>
      <c r="S333" s="27"/>
      <c r="T333" s="18"/>
      <c r="U333" s="27"/>
      <c r="V333" s="27"/>
      <c r="W333" s="30"/>
      <c r="X333" s="27"/>
      <c r="Y333" s="27"/>
      <c r="Z333" s="27"/>
      <c r="AA333" s="27"/>
      <c r="AB333" s="27"/>
      <c r="AC333" s="273">
        <v>516117440.10301042</v>
      </c>
      <c r="AD333" s="27">
        <v>19206015304.782166</v>
      </c>
      <c r="AE333" s="228">
        <v>2.6872697533178613E-2</v>
      </c>
      <c r="AF333" s="27" t="s">
        <v>2842</v>
      </c>
      <c r="AG333" s="226" t="s">
        <v>2842</v>
      </c>
      <c r="AH333" s="226" t="s">
        <v>2842</v>
      </c>
      <c r="AI333" s="27">
        <v>1765970000</v>
      </c>
      <c r="AJ333" s="226">
        <v>0.29225719582043319</v>
      </c>
      <c r="AK333" s="27">
        <v>663436523.87739587</v>
      </c>
      <c r="AL333" s="226">
        <v>0.77794547259262703</v>
      </c>
      <c r="AM333" s="27" t="s">
        <v>2842</v>
      </c>
      <c r="AN333" s="271" t="s">
        <v>2842</v>
      </c>
      <c r="AO333" s="27">
        <v>58819038</v>
      </c>
      <c r="AP333" s="27" t="s">
        <v>2842</v>
      </c>
      <c r="AQ333" s="27">
        <v>48.439585365853667</v>
      </c>
      <c r="AR333" s="27">
        <v>97.1</v>
      </c>
      <c r="AS333" s="29" t="s">
        <v>2842</v>
      </c>
      <c r="AT333" s="270" t="s">
        <v>2842</v>
      </c>
      <c r="AU333" s="464" t="s">
        <v>2842</v>
      </c>
      <c r="AV333" s="29">
        <v>-1.4471400969582999</v>
      </c>
      <c r="AW333" s="29">
        <v>-2.0280985228008102</v>
      </c>
      <c r="AX333" s="29">
        <v>-1.67277466539245</v>
      </c>
      <c r="AY333" s="29">
        <v>-1.2968034402976401</v>
      </c>
      <c r="AZ333" s="60">
        <v>-1.16688121811319</v>
      </c>
    </row>
    <row r="334" spans="1:52" s="29" customFormat="1" ht="15" customHeight="1">
      <c r="A334" s="63" t="s">
        <v>168</v>
      </c>
      <c r="B334" s="27">
        <v>2008</v>
      </c>
      <c r="C334" s="27" t="s">
        <v>165</v>
      </c>
      <c r="D334" s="27" t="s">
        <v>81</v>
      </c>
      <c r="E334" s="27" t="s">
        <v>19</v>
      </c>
      <c r="F334" s="41" t="s">
        <v>979</v>
      </c>
      <c r="G334" s="43">
        <v>31000</v>
      </c>
      <c r="H334" s="43"/>
      <c r="I334" s="43"/>
      <c r="J334" s="43"/>
      <c r="K334" s="27" t="s">
        <v>567</v>
      </c>
      <c r="L334" s="28"/>
      <c r="M334" s="27"/>
      <c r="N334" s="27" t="s">
        <v>636</v>
      </c>
      <c r="O334" s="18"/>
      <c r="P334" s="213"/>
      <c r="Q334" s="213"/>
      <c r="R334" s="27"/>
      <c r="S334" s="27"/>
      <c r="T334" s="18"/>
      <c r="U334" s="27"/>
      <c r="V334" s="27"/>
      <c r="W334" s="30"/>
      <c r="X334" s="27"/>
      <c r="Y334" s="27"/>
      <c r="Z334" s="27"/>
      <c r="AA334" s="27"/>
      <c r="AB334" s="27"/>
      <c r="AC334" s="273">
        <v>516117440.10301042</v>
      </c>
      <c r="AD334" s="27">
        <v>19206015304.782166</v>
      </c>
      <c r="AE334" s="228">
        <v>2.6872697533178613E-2</v>
      </c>
      <c r="AF334" s="27" t="s">
        <v>2842</v>
      </c>
      <c r="AG334" s="226" t="s">
        <v>2842</v>
      </c>
      <c r="AH334" s="226" t="s">
        <v>2842</v>
      </c>
      <c r="AI334" s="27">
        <v>1765970000</v>
      </c>
      <c r="AJ334" s="226">
        <v>0.29225719582043319</v>
      </c>
      <c r="AK334" s="27">
        <v>663436523.87739587</v>
      </c>
      <c r="AL334" s="226">
        <v>0.77794547259262703</v>
      </c>
      <c r="AM334" s="27" t="s">
        <v>2842</v>
      </c>
      <c r="AN334" s="271" t="s">
        <v>2842</v>
      </c>
      <c r="AO334" s="27">
        <v>58819038</v>
      </c>
      <c r="AP334" s="27" t="s">
        <v>2842</v>
      </c>
      <c r="AQ334" s="27">
        <v>48.439585365853667</v>
      </c>
      <c r="AR334" s="27">
        <v>97.1</v>
      </c>
      <c r="AS334" s="29" t="s">
        <v>2842</v>
      </c>
      <c r="AT334" s="270" t="s">
        <v>2842</v>
      </c>
      <c r="AU334" s="464" t="s">
        <v>2842</v>
      </c>
      <c r="AV334" s="29">
        <v>-1.4471400969582999</v>
      </c>
      <c r="AW334" s="29">
        <v>-2.0280985228008102</v>
      </c>
      <c r="AX334" s="29">
        <v>-1.67277466539245</v>
      </c>
      <c r="AY334" s="29">
        <v>-1.2968034402976401</v>
      </c>
      <c r="AZ334" s="60">
        <v>-1.16688121811319</v>
      </c>
    </row>
    <row r="335" spans="1:52" s="29" customFormat="1" ht="15" customHeight="1">
      <c r="A335" s="63" t="s">
        <v>168</v>
      </c>
      <c r="B335" s="27">
        <v>2008</v>
      </c>
      <c r="C335" s="27" t="s">
        <v>165</v>
      </c>
      <c r="D335" s="27" t="s">
        <v>81</v>
      </c>
      <c r="E335" s="27" t="s">
        <v>19</v>
      </c>
      <c r="F335" s="41" t="s">
        <v>980</v>
      </c>
      <c r="G335" s="43">
        <v>1049</v>
      </c>
      <c r="H335" s="43"/>
      <c r="I335" s="43"/>
      <c r="J335" s="43"/>
      <c r="K335" s="27" t="s">
        <v>567</v>
      </c>
      <c r="L335" s="28"/>
      <c r="M335" s="27"/>
      <c r="N335" s="27" t="s">
        <v>636</v>
      </c>
      <c r="O335" s="18"/>
      <c r="P335" s="213"/>
      <c r="Q335" s="213"/>
      <c r="R335" s="27"/>
      <c r="S335" s="27"/>
      <c r="T335" s="18"/>
      <c r="U335" s="27"/>
      <c r="V335" s="27"/>
      <c r="W335" s="30"/>
      <c r="X335" s="27"/>
      <c r="Y335" s="27"/>
      <c r="Z335" s="27"/>
      <c r="AA335" s="27"/>
      <c r="AB335" s="27"/>
      <c r="AC335" s="273">
        <v>516117440.10301042</v>
      </c>
      <c r="AD335" s="27">
        <v>19206015304.782166</v>
      </c>
      <c r="AE335" s="228">
        <v>2.6872697533178613E-2</v>
      </c>
      <c r="AF335" s="27" t="s">
        <v>2842</v>
      </c>
      <c r="AG335" s="226" t="s">
        <v>2842</v>
      </c>
      <c r="AH335" s="226" t="s">
        <v>2842</v>
      </c>
      <c r="AI335" s="27">
        <v>1765970000</v>
      </c>
      <c r="AJ335" s="226">
        <v>0.29225719582043319</v>
      </c>
      <c r="AK335" s="27">
        <v>663436523.87739587</v>
      </c>
      <c r="AL335" s="226">
        <v>0.77794547259262703</v>
      </c>
      <c r="AM335" s="27" t="s">
        <v>2842</v>
      </c>
      <c r="AN335" s="271" t="s">
        <v>2842</v>
      </c>
      <c r="AO335" s="27">
        <v>58819038</v>
      </c>
      <c r="AP335" s="27" t="s">
        <v>2842</v>
      </c>
      <c r="AQ335" s="27">
        <v>48.439585365853667</v>
      </c>
      <c r="AR335" s="27">
        <v>97.1</v>
      </c>
      <c r="AS335" s="29" t="s">
        <v>2842</v>
      </c>
      <c r="AT335" s="270" t="s">
        <v>2842</v>
      </c>
      <c r="AU335" s="464" t="s">
        <v>2842</v>
      </c>
      <c r="AV335" s="29">
        <v>-1.4471400969582999</v>
      </c>
      <c r="AW335" s="29">
        <v>-2.0280985228008102</v>
      </c>
      <c r="AX335" s="29">
        <v>-1.67277466539245</v>
      </c>
      <c r="AY335" s="29">
        <v>-1.2968034402976401</v>
      </c>
      <c r="AZ335" s="60">
        <v>-1.16688121811319</v>
      </c>
    </row>
    <row r="336" spans="1:52" s="29" customFormat="1" ht="15" customHeight="1">
      <c r="A336" s="63" t="s">
        <v>168</v>
      </c>
      <c r="B336" s="27">
        <v>2008</v>
      </c>
      <c r="C336" s="27" t="s">
        <v>165</v>
      </c>
      <c r="D336" s="27" t="s">
        <v>81</v>
      </c>
      <c r="E336" s="27" t="s">
        <v>19</v>
      </c>
      <c r="F336" s="41" t="s">
        <v>981</v>
      </c>
      <c r="G336" s="43"/>
      <c r="H336" s="43"/>
      <c r="I336" s="43"/>
      <c r="J336" s="43"/>
      <c r="K336" s="27"/>
      <c r="L336" s="28"/>
      <c r="M336" s="27"/>
      <c r="N336" s="27"/>
      <c r="O336" s="18"/>
      <c r="P336" s="213"/>
      <c r="Q336" s="213"/>
      <c r="R336" s="27"/>
      <c r="S336" s="27"/>
      <c r="T336" s="18"/>
      <c r="U336" s="27"/>
      <c r="V336" s="27"/>
      <c r="W336" s="30"/>
      <c r="X336" s="27"/>
      <c r="Y336" s="27"/>
      <c r="Z336" s="27"/>
      <c r="AA336" s="27"/>
      <c r="AB336" s="27"/>
      <c r="AC336" s="273">
        <v>516117440.10301042</v>
      </c>
      <c r="AD336" s="27">
        <v>19206015304.782166</v>
      </c>
      <c r="AE336" s="228">
        <v>2.6872697533178613E-2</v>
      </c>
      <c r="AF336" s="27" t="s">
        <v>2842</v>
      </c>
      <c r="AG336" s="226" t="s">
        <v>2842</v>
      </c>
      <c r="AH336" s="226" t="s">
        <v>2842</v>
      </c>
      <c r="AI336" s="27">
        <v>1765970000</v>
      </c>
      <c r="AJ336" s="226">
        <v>0.29225719582043319</v>
      </c>
      <c r="AK336" s="27">
        <v>663436523.87739587</v>
      </c>
      <c r="AL336" s="226">
        <v>0.77794547259262703</v>
      </c>
      <c r="AM336" s="27" t="s">
        <v>2842</v>
      </c>
      <c r="AN336" s="271" t="s">
        <v>2842</v>
      </c>
      <c r="AO336" s="27">
        <v>58819038</v>
      </c>
      <c r="AP336" s="27" t="s">
        <v>2842</v>
      </c>
      <c r="AQ336" s="27">
        <v>48.439585365853667</v>
      </c>
      <c r="AR336" s="27">
        <v>97.1</v>
      </c>
      <c r="AS336" s="29" t="s">
        <v>2842</v>
      </c>
      <c r="AT336" s="270" t="s">
        <v>2842</v>
      </c>
      <c r="AU336" s="464" t="s">
        <v>2842</v>
      </c>
      <c r="AV336" s="29">
        <v>-1.4471400969582999</v>
      </c>
      <c r="AW336" s="29">
        <v>-2.0280985228008102</v>
      </c>
      <c r="AX336" s="29">
        <v>-1.67277466539245</v>
      </c>
      <c r="AY336" s="29">
        <v>-1.2968034402976401</v>
      </c>
      <c r="AZ336" s="60">
        <v>-1.16688121811319</v>
      </c>
    </row>
    <row r="337" spans="1:52" s="29" customFormat="1" ht="15" customHeight="1">
      <c r="A337" s="63" t="s">
        <v>168</v>
      </c>
      <c r="B337" s="27">
        <v>2008</v>
      </c>
      <c r="C337" s="27" t="s">
        <v>165</v>
      </c>
      <c r="D337" s="27" t="s">
        <v>81</v>
      </c>
      <c r="E337" s="27" t="s">
        <v>19</v>
      </c>
      <c r="F337" s="41" t="s">
        <v>982</v>
      </c>
      <c r="G337" s="43">
        <v>527</v>
      </c>
      <c r="H337" s="43"/>
      <c r="I337" s="43"/>
      <c r="J337" s="43"/>
      <c r="K337" s="27" t="s">
        <v>567</v>
      </c>
      <c r="L337" s="28"/>
      <c r="M337" s="27"/>
      <c r="N337" s="27" t="s">
        <v>636</v>
      </c>
      <c r="O337" s="18"/>
      <c r="P337" s="213"/>
      <c r="Q337" s="213"/>
      <c r="R337" s="27"/>
      <c r="S337" s="27"/>
      <c r="T337" s="18"/>
      <c r="U337" s="27"/>
      <c r="V337" s="27"/>
      <c r="W337" s="30"/>
      <c r="X337" s="27"/>
      <c r="Y337" s="27"/>
      <c r="Z337" s="27"/>
      <c r="AA337" s="27"/>
      <c r="AB337" s="27"/>
      <c r="AC337" s="273">
        <v>516117440.10301042</v>
      </c>
      <c r="AD337" s="27">
        <v>19206015304.782166</v>
      </c>
      <c r="AE337" s="228">
        <v>2.6872697533178613E-2</v>
      </c>
      <c r="AF337" s="27" t="s">
        <v>2842</v>
      </c>
      <c r="AG337" s="226" t="s">
        <v>2842</v>
      </c>
      <c r="AH337" s="226" t="s">
        <v>2842</v>
      </c>
      <c r="AI337" s="27">
        <v>1765970000</v>
      </c>
      <c r="AJ337" s="226">
        <v>0.29225719582043319</v>
      </c>
      <c r="AK337" s="27">
        <v>663436523.87739587</v>
      </c>
      <c r="AL337" s="226">
        <v>0.77794547259262703</v>
      </c>
      <c r="AM337" s="27" t="s">
        <v>2842</v>
      </c>
      <c r="AN337" s="271" t="s">
        <v>2842</v>
      </c>
      <c r="AO337" s="27">
        <v>58819038</v>
      </c>
      <c r="AP337" s="27" t="s">
        <v>2842</v>
      </c>
      <c r="AQ337" s="27">
        <v>48.439585365853667</v>
      </c>
      <c r="AR337" s="27">
        <v>97.1</v>
      </c>
      <c r="AS337" s="29" t="s">
        <v>2842</v>
      </c>
      <c r="AT337" s="270" t="s">
        <v>2842</v>
      </c>
      <c r="AU337" s="464" t="s">
        <v>2842</v>
      </c>
      <c r="AV337" s="29">
        <v>-1.4471400969582999</v>
      </c>
      <c r="AW337" s="29">
        <v>-2.0280985228008102</v>
      </c>
      <c r="AX337" s="29">
        <v>-1.67277466539245</v>
      </c>
      <c r="AY337" s="29">
        <v>-1.2968034402976401</v>
      </c>
      <c r="AZ337" s="60">
        <v>-1.16688121811319</v>
      </c>
    </row>
    <row r="338" spans="1:52" s="29" customFormat="1" ht="15" customHeight="1">
      <c r="A338" s="63" t="s">
        <v>168</v>
      </c>
      <c r="B338" s="27">
        <v>2008</v>
      </c>
      <c r="C338" s="27" t="s">
        <v>165</v>
      </c>
      <c r="D338" s="27" t="s">
        <v>81</v>
      </c>
      <c r="E338" s="27" t="s">
        <v>19</v>
      </c>
      <c r="F338" s="41" t="s">
        <v>983</v>
      </c>
      <c r="G338" s="43">
        <v>120</v>
      </c>
      <c r="H338" s="43"/>
      <c r="I338" s="43"/>
      <c r="J338" s="43"/>
      <c r="K338" s="27" t="s">
        <v>567</v>
      </c>
      <c r="L338" s="28">
        <v>34398</v>
      </c>
      <c r="M338" s="27" t="s">
        <v>568</v>
      </c>
      <c r="N338" s="27" t="s">
        <v>1007</v>
      </c>
      <c r="O338" s="18">
        <f>G338*L338</f>
        <v>4127760</v>
      </c>
      <c r="P338" s="213"/>
      <c r="Q338" s="213"/>
      <c r="R338" s="27"/>
      <c r="S338" s="27"/>
      <c r="T338" s="18"/>
      <c r="U338" s="27"/>
      <c r="V338" s="27"/>
      <c r="W338" s="30"/>
      <c r="X338" s="27"/>
      <c r="Y338" s="27"/>
      <c r="Z338" s="27"/>
      <c r="AA338" s="27"/>
      <c r="AB338" s="27"/>
      <c r="AC338" s="273">
        <v>516117440.10301042</v>
      </c>
      <c r="AD338" s="27">
        <v>19206015304.782166</v>
      </c>
      <c r="AE338" s="228">
        <v>2.6872697533178613E-2</v>
      </c>
      <c r="AF338" s="27" t="s">
        <v>2842</v>
      </c>
      <c r="AG338" s="226" t="s">
        <v>2842</v>
      </c>
      <c r="AH338" s="226" t="s">
        <v>2842</v>
      </c>
      <c r="AI338" s="27">
        <v>1765970000</v>
      </c>
      <c r="AJ338" s="226">
        <v>0.29225719582043319</v>
      </c>
      <c r="AK338" s="27">
        <v>663436523.87739587</v>
      </c>
      <c r="AL338" s="226">
        <v>0.77794547259262703</v>
      </c>
      <c r="AM338" s="27" t="s">
        <v>2842</v>
      </c>
      <c r="AN338" s="271" t="s">
        <v>2842</v>
      </c>
      <c r="AO338" s="27">
        <v>58819038</v>
      </c>
      <c r="AP338" s="27" t="s">
        <v>2842</v>
      </c>
      <c r="AQ338" s="27">
        <v>48.439585365853667</v>
      </c>
      <c r="AR338" s="27">
        <v>97.1</v>
      </c>
      <c r="AS338" s="29" t="s">
        <v>2842</v>
      </c>
      <c r="AT338" s="270" t="s">
        <v>2842</v>
      </c>
      <c r="AU338" s="464" t="s">
        <v>2842</v>
      </c>
      <c r="AV338" s="29">
        <v>-1.4471400969582999</v>
      </c>
      <c r="AW338" s="29">
        <v>-2.0280985228008102</v>
      </c>
      <c r="AX338" s="29">
        <v>-1.67277466539245</v>
      </c>
      <c r="AY338" s="29">
        <v>-1.2968034402976401</v>
      </c>
      <c r="AZ338" s="60">
        <v>-1.16688121811319</v>
      </c>
    </row>
    <row r="339" spans="1:52" s="29" customFormat="1" ht="15" customHeight="1">
      <c r="A339" s="63" t="s">
        <v>168</v>
      </c>
      <c r="B339" s="27">
        <v>2008</v>
      </c>
      <c r="C339" s="27" t="s">
        <v>165</v>
      </c>
      <c r="D339" s="27" t="s">
        <v>81</v>
      </c>
      <c r="E339" s="27" t="s">
        <v>19</v>
      </c>
      <c r="F339" s="41" t="s">
        <v>985</v>
      </c>
      <c r="G339" s="43">
        <v>140</v>
      </c>
      <c r="H339" s="43"/>
      <c r="I339" s="43"/>
      <c r="J339" s="43"/>
      <c r="K339" s="27" t="s">
        <v>567</v>
      </c>
      <c r="L339" s="28">
        <f>44/0.000453592</f>
        <v>97003.474488086213</v>
      </c>
      <c r="M339" s="27" t="s">
        <v>568</v>
      </c>
      <c r="N339" s="27" t="s">
        <v>1008</v>
      </c>
      <c r="O339" s="18">
        <f>G339*L339</f>
        <v>13580486.42833207</v>
      </c>
      <c r="P339" s="213"/>
      <c r="Q339" s="213"/>
      <c r="R339" s="27"/>
      <c r="S339" s="27"/>
      <c r="T339" s="18"/>
      <c r="U339" s="27"/>
      <c r="V339" s="27"/>
      <c r="W339" s="30"/>
      <c r="X339" s="27"/>
      <c r="Y339" s="27"/>
      <c r="Z339" s="27"/>
      <c r="AA339" s="27"/>
      <c r="AB339" s="27"/>
      <c r="AC339" s="273">
        <v>516117440.10301042</v>
      </c>
      <c r="AD339" s="27">
        <v>19206015304.782166</v>
      </c>
      <c r="AE339" s="228">
        <v>2.6872697533178613E-2</v>
      </c>
      <c r="AF339" s="27" t="s">
        <v>2842</v>
      </c>
      <c r="AG339" s="226" t="s">
        <v>2842</v>
      </c>
      <c r="AH339" s="226" t="s">
        <v>2842</v>
      </c>
      <c r="AI339" s="27">
        <v>1765970000</v>
      </c>
      <c r="AJ339" s="226">
        <v>0.29225719582043319</v>
      </c>
      <c r="AK339" s="27">
        <v>663436523.87739587</v>
      </c>
      <c r="AL339" s="226">
        <v>0.77794547259262703</v>
      </c>
      <c r="AM339" s="27" t="s">
        <v>2842</v>
      </c>
      <c r="AN339" s="271" t="s">
        <v>2842</v>
      </c>
      <c r="AO339" s="27">
        <v>58819038</v>
      </c>
      <c r="AP339" s="27" t="s">
        <v>2842</v>
      </c>
      <c r="AQ339" s="27">
        <v>48.439585365853667</v>
      </c>
      <c r="AR339" s="27">
        <v>97.1</v>
      </c>
      <c r="AS339" s="29" t="s">
        <v>2842</v>
      </c>
      <c r="AT339" s="270" t="s">
        <v>2842</v>
      </c>
      <c r="AU339" s="464" t="s">
        <v>2842</v>
      </c>
      <c r="AV339" s="29">
        <v>-1.4471400969582999</v>
      </c>
      <c r="AW339" s="29">
        <v>-2.0280985228008102</v>
      </c>
      <c r="AX339" s="29">
        <v>-1.67277466539245</v>
      </c>
      <c r="AY339" s="29">
        <v>-1.2968034402976401</v>
      </c>
      <c r="AZ339" s="60">
        <v>-1.16688121811319</v>
      </c>
    </row>
    <row r="340" spans="1:52" s="29" customFormat="1" ht="15" customHeight="1">
      <c r="A340" s="63" t="s">
        <v>168</v>
      </c>
      <c r="B340" s="27">
        <v>2008</v>
      </c>
      <c r="C340" s="27" t="s">
        <v>165</v>
      </c>
      <c r="D340" s="27" t="s">
        <v>81</v>
      </c>
      <c r="E340" s="27" t="s">
        <v>19</v>
      </c>
      <c r="F340" s="41" t="s">
        <v>576</v>
      </c>
      <c r="G340" s="43"/>
      <c r="H340" s="43"/>
      <c r="I340" s="43"/>
      <c r="J340" s="43"/>
      <c r="K340" s="27"/>
      <c r="L340" s="44">
        <f>6955.87983333333*1.0289</f>
        <v>7156.9047605166625</v>
      </c>
      <c r="M340" s="27" t="s">
        <v>568</v>
      </c>
      <c r="N340" s="27" t="s">
        <v>987</v>
      </c>
      <c r="O340" s="18">
        <f>G342*L340</f>
        <v>276485544.70827973</v>
      </c>
      <c r="P340" s="213"/>
      <c r="Q340" s="213"/>
      <c r="R340" s="27"/>
      <c r="S340" s="27"/>
      <c r="T340" s="18"/>
      <c r="U340" s="27"/>
      <c r="V340" s="27"/>
      <c r="W340" s="30"/>
      <c r="X340" s="27"/>
      <c r="Y340" s="27"/>
      <c r="Z340" s="27"/>
      <c r="AA340" s="27"/>
      <c r="AB340" s="27"/>
      <c r="AC340" s="273">
        <v>516117440.10301042</v>
      </c>
      <c r="AD340" s="27">
        <v>19206015304.782166</v>
      </c>
      <c r="AE340" s="228">
        <v>2.6872697533178613E-2</v>
      </c>
      <c r="AF340" s="27" t="s">
        <v>2842</v>
      </c>
      <c r="AG340" s="226" t="s">
        <v>2842</v>
      </c>
      <c r="AH340" s="226" t="s">
        <v>2842</v>
      </c>
      <c r="AI340" s="27">
        <v>1765970000</v>
      </c>
      <c r="AJ340" s="226">
        <v>0.29225719582043319</v>
      </c>
      <c r="AK340" s="27">
        <v>663436523.87739587</v>
      </c>
      <c r="AL340" s="226">
        <v>0.77794547259262703</v>
      </c>
      <c r="AM340" s="27" t="s">
        <v>2842</v>
      </c>
      <c r="AN340" s="271" t="s">
        <v>2842</v>
      </c>
      <c r="AO340" s="27">
        <v>58819038</v>
      </c>
      <c r="AP340" s="27" t="s">
        <v>2842</v>
      </c>
      <c r="AQ340" s="27">
        <v>48.439585365853667</v>
      </c>
      <c r="AR340" s="27">
        <v>97.1</v>
      </c>
      <c r="AS340" s="29" t="s">
        <v>2842</v>
      </c>
      <c r="AT340" s="270" t="s">
        <v>2842</v>
      </c>
      <c r="AU340" s="464" t="s">
        <v>2842</v>
      </c>
      <c r="AV340" s="29">
        <v>-1.4471400969582999</v>
      </c>
      <c r="AW340" s="29">
        <v>-2.0280985228008102</v>
      </c>
      <c r="AX340" s="29">
        <v>-1.67277466539245</v>
      </c>
      <c r="AY340" s="29">
        <v>-1.2968034402976401</v>
      </c>
      <c r="AZ340" s="60">
        <v>-1.16688121811319</v>
      </c>
    </row>
    <row r="341" spans="1:52" s="29" customFormat="1" ht="15" customHeight="1">
      <c r="A341" s="63" t="s">
        <v>168</v>
      </c>
      <c r="B341" s="27">
        <v>2008</v>
      </c>
      <c r="C341" s="27" t="s">
        <v>165</v>
      </c>
      <c r="D341" s="27" t="s">
        <v>81</v>
      </c>
      <c r="E341" s="27" t="s">
        <v>19</v>
      </c>
      <c r="F341" s="41" t="s">
        <v>988</v>
      </c>
      <c r="G341" s="43">
        <v>230000</v>
      </c>
      <c r="H341" s="43"/>
      <c r="I341" s="43"/>
      <c r="J341" s="43"/>
      <c r="K341" s="27" t="s">
        <v>567</v>
      </c>
      <c r="L341" s="28"/>
      <c r="M341" s="27"/>
      <c r="N341" s="27" t="s">
        <v>636</v>
      </c>
      <c r="O341" s="18"/>
      <c r="P341" s="213"/>
      <c r="Q341" s="213"/>
      <c r="R341" s="27"/>
      <c r="S341" s="27"/>
      <c r="T341" s="18"/>
      <c r="U341" s="27"/>
      <c r="V341" s="27"/>
      <c r="W341" s="30"/>
      <c r="X341" s="27"/>
      <c r="Y341" s="27"/>
      <c r="Z341" s="27"/>
      <c r="AA341" s="27"/>
      <c r="AB341" s="27"/>
      <c r="AC341" s="273">
        <v>516117440.10301042</v>
      </c>
      <c r="AD341" s="27">
        <v>19206015304.782166</v>
      </c>
      <c r="AE341" s="228">
        <v>2.6872697533178613E-2</v>
      </c>
      <c r="AF341" s="27" t="s">
        <v>2842</v>
      </c>
      <c r="AG341" s="226" t="s">
        <v>2842</v>
      </c>
      <c r="AH341" s="226" t="s">
        <v>2842</v>
      </c>
      <c r="AI341" s="27">
        <v>1765970000</v>
      </c>
      <c r="AJ341" s="226">
        <v>0.29225719582043319</v>
      </c>
      <c r="AK341" s="27">
        <v>663436523.87739587</v>
      </c>
      <c r="AL341" s="226">
        <v>0.77794547259262703</v>
      </c>
      <c r="AM341" s="27" t="s">
        <v>2842</v>
      </c>
      <c r="AN341" s="271" t="s">
        <v>2842</v>
      </c>
      <c r="AO341" s="27">
        <v>58819038</v>
      </c>
      <c r="AP341" s="27" t="s">
        <v>2842</v>
      </c>
      <c r="AQ341" s="27">
        <v>48.439585365853667</v>
      </c>
      <c r="AR341" s="27">
        <v>97.1</v>
      </c>
      <c r="AS341" s="29" t="s">
        <v>2842</v>
      </c>
      <c r="AT341" s="270" t="s">
        <v>2842</v>
      </c>
      <c r="AU341" s="464" t="s">
        <v>2842</v>
      </c>
      <c r="AV341" s="29">
        <v>-1.4471400969582999</v>
      </c>
      <c r="AW341" s="29">
        <v>-2.0280985228008102</v>
      </c>
      <c r="AX341" s="29">
        <v>-1.67277466539245</v>
      </c>
      <c r="AY341" s="29">
        <v>-1.2968034402976401</v>
      </c>
      <c r="AZ341" s="60">
        <v>-1.16688121811319</v>
      </c>
    </row>
    <row r="342" spans="1:52" s="29" customFormat="1" ht="15" customHeight="1">
      <c r="A342" s="63" t="s">
        <v>168</v>
      </c>
      <c r="B342" s="27">
        <v>2008</v>
      </c>
      <c r="C342" s="27" t="s">
        <v>165</v>
      </c>
      <c r="D342" s="27" t="s">
        <v>81</v>
      </c>
      <c r="E342" s="27" t="s">
        <v>19</v>
      </c>
      <c r="F342" s="41" t="s">
        <v>989</v>
      </c>
      <c r="G342" s="43">
        <v>38632</v>
      </c>
      <c r="H342" s="43"/>
      <c r="I342" s="43"/>
      <c r="J342" s="43"/>
      <c r="K342" s="27" t="s">
        <v>567</v>
      </c>
      <c r="L342" s="28"/>
      <c r="M342" s="27"/>
      <c r="N342" s="27" t="s">
        <v>636</v>
      </c>
      <c r="O342" s="18"/>
      <c r="P342" s="213"/>
      <c r="Q342" s="213"/>
      <c r="R342" s="27"/>
      <c r="S342" s="27"/>
      <c r="T342" s="18"/>
      <c r="U342" s="27"/>
      <c r="V342" s="27"/>
      <c r="W342" s="30"/>
      <c r="X342" s="27"/>
      <c r="Y342" s="27"/>
      <c r="Z342" s="27"/>
      <c r="AA342" s="27"/>
      <c r="AB342" s="27"/>
      <c r="AC342" s="273">
        <v>516117440.10301042</v>
      </c>
      <c r="AD342" s="27">
        <v>19206015304.782166</v>
      </c>
      <c r="AE342" s="228">
        <v>2.6872697533178613E-2</v>
      </c>
      <c r="AF342" s="27" t="s">
        <v>2842</v>
      </c>
      <c r="AG342" s="226" t="s">
        <v>2842</v>
      </c>
      <c r="AH342" s="226" t="s">
        <v>2842</v>
      </c>
      <c r="AI342" s="27">
        <v>1765970000</v>
      </c>
      <c r="AJ342" s="226">
        <v>0.29225719582043319</v>
      </c>
      <c r="AK342" s="27">
        <v>663436523.87739587</v>
      </c>
      <c r="AL342" s="226">
        <v>0.77794547259262703</v>
      </c>
      <c r="AM342" s="27" t="s">
        <v>2842</v>
      </c>
      <c r="AN342" s="271" t="s">
        <v>2842</v>
      </c>
      <c r="AO342" s="27">
        <v>58819038</v>
      </c>
      <c r="AP342" s="27" t="s">
        <v>2842</v>
      </c>
      <c r="AQ342" s="27">
        <v>48.439585365853667</v>
      </c>
      <c r="AR342" s="27">
        <v>97.1</v>
      </c>
      <c r="AS342" s="29" t="s">
        <v>2842</v>
      </c>
      <c r="AT342" s="270" t="s">
        <v>2842</v>
      </c>
      <c r="AU342" s="464" t="s">
        <v>2842</v>
      </c>
      <c r="AV342" s="29">
        <v>-1.4471400969582999</v>
      </c>
      <c r="AW342" s="29">
        <v>-2.0280985228008102</v>
      </c>
      <c r="AX342" s="29">
        <v>-1.67277466539245</v>
      </c>
      <c r="AY342" s="29">
        <v>-1.2968034402976401</v>
      </c>
      <c r="AZ342" s="60">
        <v>-1.16688121811319</v>
      </c>
    </row>
    <row r="343" spans="1:52" s="29" customFormat="1" ht="15" customHeight="1">
      <c r="A343" s="63" t="s">
        <v>168</v>
      </c>
      <c r="B343" s="27">
        <v>2008</v>
      </c>
      <c r="C343" s="27" t="s">
        <v>165</v>
      </c>
      <c r="D343" s="27" t="s">
        <v>81</v>
      </c>
      <c r="E343" s="27" t="s">
        <v>19</v>
      </c>
      <c r="F343" s="41" t="s">
        <v>904</v>
      </c>
      <c r="G343" s="43">
        <v>21132000</v>
      </c>
      <c r="H343" s="43"/>
      <c r="I343" s="43"/>
      <c r="J343" s="43"/>
      <c r="K343" s="27" t="s">
        <v>905</v>
      </c>
      <c r="L343" s="28">
        <v>12.93</v>
      </c>
      <c r="M343" s="27" t="s">
        <v>906</v>
      </c>
      <c r="N343" s="27" t="s">
        <v>1009</v>
      </c>
      <c r="O343" s="18">
        <f>G343*L343</f>
        <v>273236760</v>
      </c>
      <c r="P343" s="213"/>
      <c r="Q343" s="213"/>
      <c r="R343" s="27"/>
      <c r="S343" s="27"/>
      <c r="T343" s="18"/>
      <c r="U343" s="27"/>
      <c r="V343" s="27"/>
      <c r="W343" s="30"/>
      <c r="X343" s="27"/>
      <c r="Y343" s="27"/>
      <c r="Z343" s="27"/>
      <c r="AA343" s="27"/>
      <c r="AB343" s="27" t="s">
        <v>1010</v>
      </c>
      <c r="AC343" s="273">
        <v>516117440.10301042</v>
      </c>
      <c r="AD343" s="27">
        <v>19206015304.782166</v>
      </c>
      <c r="AE343" s="228">
        <v>2.6872697533178613E-2</v>
      </c>
      <c r="AF343" s="27" t="s">
        <v>2842</v>
      </c>
      <c r="AG343" s="226" t="s">
        <v>2842</v>
      </c>
      <c r="AH343" s="226" t="s">
        <v>2842</v>
      </c>
      <c r="AI343" s="27">
        <v>1765970000</v>
      </c>
      <c r="AJ343" s="226">
        <v>0.29225719582043319</v>
      </c>
      <c r="AK343" s="27">
        <v>663436523.87739587</v>
      </c>
      <c r="AL343" s="226">
        <v>0.77794547259262703</v>
      </c>
      <c r="AM343" s="27" t="s">
        <v>2842</v>
      </c>
      <c r="AN343" s="271" t="s">
        <v>2842</v>
      </c>
      <c r="AO343" s="27">
        <v>58819038</v>
      </c>
      <c r="AP343" s="27" t="s">
        <v>2842</v>
      </c>
      <c r="AQ343" s="27">
        <v>48.439585365853667</v>
      </c>
      <c r="AR343" s="27">
        <v>97.1</v>
      </c>
      <c r="AS343" s="29" t="s">
        <v>2842</v>
      </c>
      <c r="AT343" s="270" t="s">
        <v>2842</v>
      </c>
      <c r="AU343" s="464" t="s">
        <v>2842</v>
      </c>
      <c r="AV343" s="29">
        <v>-1.4471400969582999</v>
      </c>
      <c r="AW343" s="29">
        <v>-2.0280985228008102</v>
      </c>
      <c r="AX343" s="29">
        <v>-1.67277466539245</v>
      </c>
      <c r="AY343" s="29">
        <v>-1.2968034402976401</v>
      </c>
      <c r="AZ343" s="60">
        <v>-1.16688121811319</v>
      </c>
    </row>
    <row r="344" spans="1:52" s="29" customFormat="1" ht="15" customHeight="1">
      <c r="A344" s="63" t="s">
        <v>168</v>
      </c>
      <c r="B344" s="27">
        <v>2008</v>
      </c>
      <c r="C344" s="27" t="s">
        <v>165</v>
      </c>
      <c r="D344" s="27" t="s">
        <v>81</v>
      </c>
      <c r="E344" s="27" t="s">
        <v>19</v>
      </c>
      <c r="F344" s="41" t="s">
        <v>730</v>
      </c>
      <c r="G344" s="43">
        <f>10000*32.150743126506</f>
        <v>321507.43126506003</v>
      </c>
      <c r="H344" s="43"/>
      <c r="I344" s="43"/>
      <c r="J344" s="43"/>
      <c r="K344" s="27" t="s">
        <v>731</v>
      </c>
      <c r="L344" s="28">
        <v>871.70725000000004</v>
      </c>
      <c r="M344" s="27" t="s">
        <v>732</v>
      </c>
      <c r="N344" s="27" t="s">
        <v>733</v>
      </c>
      <c r="O344" s="18">
        <f>G344*L344</f>
        <v>280260358.76262951</v>
      </c>
      <c r="P344" s="213"/>
      <c r="Q344" s="213"/>
      <c r="R344" s="27"/>
      <c r="S344" s="27"/>
      <c r="T344" s="18"/>
      <c r="U344" s="27"/>
      <c r="V344" s="27"/>
      <c r="W344" s="30"/>
      <c r="X344" s="27"/>
      <c r="Y344" s="27"/>
      <c r="Z344" s="27"/>
      <c r="AA344" s="27"/>
      <c r="AB344" s="27"/>
      <c r="AC344" s="273">
        <v>516117440.10301042</v>
      </c>
      <c r="AD344" s="27">
        <v>19206015304.782166</v>
      </c>
      <c r="AE344" s="228">
        <v>2.6872697533178613E-2</v>
      </c>
      <c r="AF344" s="27" t="s">
        <v>2842</v>
      </c>
      <c r="AG344" s="226" t="s">
        <v>2842</v>
      </c>
      <c r="AH344" s="226" t="s">
        <v>2842</v>
      </c>
      <c r="AI344" s="27">
        <v>1765970000</v>
      </c>
      <c r="AJ344" s="226">
        <v>0.29225719582043319</v>
      </c>
      <c r="AK344" s="27">
        <v>663436523.87739587</v>
      </c>
      <c r="AL344" s="226">
        <v>0.77794547259262703</v>
      </c>
      <c r="AM344" s="27" t="s">
        <v>2842</v>
      </c>
      <c r="AN344" s="271" t="s">
        <v>2842</v>
      </c>
      <c r="AO344" s="27">
        <v>58819038</v>
      </c>
      <c r="AP344" s="27" t="s">
        <v>2842</v>
      </c>
      <c r="AQ344" s="27">
        <v>48.439585365853667</v>
      </c>
      <c r="AR344" s="27">
        <v>97.1</v>
      </c>
      <c r="AS344" s="29" t="s">
        <v>2842</v>
      </c>
      <c r="AT344" s="270" t="s">
        <v>2842</v>
      </c>
      <c r="AU344" s="464" t="s">
        <v>2842</v>
      </c>
      <c r="AV344" s="29">
        <v>-1.4471400969582999</v>
      </c>
      <c r="AW344" s="29">
        <v>-2.0280985228008102</v>
      </c>
      <c r="AX344" s="29">
        <v>-1.67277466539245</v>
      </c>
      <c r="AY344" s="29">
        <v>-1.2968034402976401</v>
      </c>
      <c r="AZ344" s="60">
        <v>-1.16688121811319</v>
      </c>
    </row>
    <row r="345" spans="1:52" s="29" customFormat="1" ht="15" customHeight="1">
      <c r="A345" s="63" t="s">
        <v>168</v>
      </c>
      <c r="B345" s="27">
        <v>2008</v>
      </c>
      <c r="C345" s="27" t="s">
        <v>165</v>
      </c>
      <c r="D345" s="27" t="s">
        <v>81</v>
      </c>
      <c r="E345" s="27" t="s">
        <v>19</v>
      </c>
      <c r="F345" s="41" t="s">
        <v>982</v>
      </c>
      <c r="G345" s="43">
        <v>119</v>
      </c>
      <c r="H345" s="43"/>
      <c r="I345" s="43"/>
      <c r="J345" s="43"/>
      <c r="K345" s="27" t="s">
        <v>567</v>
      </c>
      <c r="L345" s="28"/>
      <c r="M345" s="27"/>
      <c r="N345" s="27" t="s">
        <v>636</v>
      </c>
      <c r="O345" s="18"/>
      <c r="P345" s="213"/>
      <c r="Q345" s="213"/>
      <c r="R345" s="27"/>
      <c r="S345" s="27"/>
      <c r="T345" s="18"/>
      <c r="U345" s="27"/>
      <c r="V345" s="27"/>
      <c r="W345" s="30"/>
      <c r="X345" s="27"/>
      <c r="Y345" s="27"/>
      <c r="Z345" s="27"/>
      <c r="AA345" s="27"/>
      <c r="AB345" s="27"/>
      <c r="AC345" s="273">
        <v>516117440.10301042</v>
      </c>
      <c r="AD345" s="27">
        <v>19206015304.782166</v>
      </c>
      <c r="AE345" s="228">
        <v>2.6872697533178613E-2</v>
      </c>
      <c r="AF345" s="27" t="s">
        <v>2842</v>
      </c>
      <c r="AG345" s="226" t="s">
        <v>2842</v>
      </c>
      <c r="AH345" s="226" t="s">
        <v>2842</v>
      </c>
      <c r="AI345" s="27">
        <v>1765970000</v>
      </c>
      <c r="AJ345" s="226">
        <v>0.29225719582043319</v>
      </c>
      <c r="AK345" s="27">
        <v>663436523.87739587</v>
      </c>
      <c r="AL345" s="226">
        <v>0.77794547259262703</v>
      </c>
      <c r="AM345" s="27" t="s">
        <v>2842</v>
      </c>
      <c r="AN345" s="271" t="s">
        <v>2842</v>
      </c>
      <c r="AO345" s="27">
        <v>58819038</v>
      </c>
      <c r="AP345" s="27" t="s">
        <v>2842</v>
      </c>
      <c r="AQ345" s="27">
        <v>48.439585365853667</v>
      </c>
      <c r="AR345" s="27">
        <v>97.1</v>
      </c>
      <c r="AS345" s="29" t="s">
        <v>2842</v>
      </c>
      <c r="AT345" s="270" t="s">
        <v>2842</v>
      </c>
      <c r="AU345" s="464" t="s">
        <v>2842</v>
      </c>
      <c r="AV345" s="29">
        <v>-1.4471400969582999</v>
      </c>
      <c r="AW345" s="29">
        <v>-2.0280985228008102</v>
      </c>
      <c r="AX345" s="29">
        <v>-1.67277466539245</v>
      </c>
      <c r="AY345" s="29">
        <v>-1.2968034402976401</v>
      </c>
      <c r="AZ345" s="60">
        <v>-1.16688121811319</v>
      </c>
    </row>
    <row r="346" spans="1:52" s="29" customFormat="1" ht="15" customHeight="1">
      <c r="A346" s="63" t="s">
        <v>168</v>
      </c>
      <c r="B346" s="27">
        <v>2008</v>
      </c>
      <c r="C346" s="27" t="s">
        <v>165</v>
      </c>
      <c r="D346" s="27" t="s">
        <v>81</v>
      </c>
      <c r="E346" s="27" t="s">
        <v>19</v>
      </c>
      <c r="F346" s="41" t="s">
        <v>983</v>
      </c>
      <c r="G346" s="43">
        <v>59</v>
      </c>
      <c r="H346" s="43"/>
      <c r="I346" s="43"/>
      <c r="J346" s="43"/>
      <c r="K346" s="27" t="s">
        <v>567</v>
      </c>
      <c r="L346" s="28">
        <v>34398</v>
      </c>
      <c r="M346" s="27" t="s">
        <v>568</v>
      </c>
      <c r="N346" s="27" t="s">
        <v>1007</v>
      </c>
      <c r="O346" s="18">
        <f>G346*L346</f>
        <v>2029482</v>
      </c>
      <c r="P346" s="213"/>
      <c r="Q346" s="213"/>
      <c r="R346" s="27"/>
      <c r="S346" s="27"/>
      <c r="T346" s="18"/>
      <c r="U346" s="27"/>
      <c r="V346" s="27"/>
      <c r="W346" s="30"/>
      <c r="X346" s="27"/>
      <c r="Y346" s="27"/>
      <c r="Z346" s="27"/>
      <c r="AA346" s="27"/>
      <c r="AB346" s="27"/>
      <c r="AC346" s="273">
        <v>516117440.10301042</v>
      </c>
      <c r="AD346" s="27">
        <v>19206015304.782166</v>
      </c>
      <c r="AE346" s="228">
        <v>2.6872697533178613E-2</v>
      </c>
      <c r="AF346" s="27" t="s">
        <v>2842</v>
      </c>
      <c r="AG346" s="226" t="s">
        <v>2842</v>
      </c>
      <c r="AH346" s="226" t="s">
        <v>2842</v>
      </c>
      <c r="AI346" s="27">
        <v>1765970000</v>
      </c>
      <c r="AJ346" s="226">
        <v>0.29225719582043319</v>
      </c>
      <c r="AK346" s="27">
        <v>663436523.87739587</v>
      </c>
      <c r="AL346" s="226">
        <v>0.77794547259262703</v>
      </c>
      <c r="AM346" s="27" t="s">
        <v>2842</v>
      </c>
      <c r="AN346" s="271" t="s">
        <v>2842</v>
      </c>
      <c r="AO346" s="27">
        <v>58819038</v>
      </c>
      <c r="AP346" s="27" t="s">
        <v>2842</v>
      </c>
      <c r="AQ346" s="27">
        <v>48.439585365853667</v>
      </c>
      <c r="AR346" s="27">
        <v>97.1</v>
      </c>
      <c r="AS346" s="29" t="s">
        <v>2842</v>
      </c>
      <c r="AT346" s="270" t="s">
        <v>2842</v>
      </c>
      <c r="AU346" s="464" t="s">
        <v>2842</v>
      </c>
      <c r="AV346" s="29">
        <v>-1.4471400969582999</v>
      </c>
      <c r="AW346" s="29">
        <v>-2.0280985228008102</v>
      </c>
      <c r="AX346" s="29">
        <v>-1.67277466539245</v>
      </c>
      <c r="AY346" s="29">
        <v>-1.2968034402976401</v>
      </c>
      <c r="AZ346" s="60">
        <v>-1.16688121811319</v>
      </c>
    </row>
    <row r="347" spans="1:52" s="29" customFormat="1" ht="15" customHeight="1">
      <c r="A347" s="63" t="s">
        <v>168</v>
      </c>
      <c r="B347" s="27">
        <v>2008</v>
      </c>
      <c r="C347" s="27" t="s">
        <v>165</v>
      </c>
      <c r="D347" s="27" t="s">
        <v>81</v>
      </c>
      <c r="E347" s="27" t="s">
        <v>19</v>
      </c>
      <c r="F347" s="41" t="s">
        <v>991</v>
      </c>
      <c r="G347" s="43"/>
      <c r="H347" s="43"/>
      <c r="I347" s="43"/>
      <c r="J347" s="43"/>
      <c r="K347" s="27"/>
      <c r="L347" s="44">
        <f>18510.0910833333</f>
        <v>18510.0910833333</v>
      </c>
      <c r="M347" s="27" t="s">
        <v>568</v>
      </c>
      <c r="N347" s="27" t="s">
        <v>992</v>
      </c>
      <c r="O347" s="18">
        <f>G349*L347</f>
        <v>233227147.64999959</v>
      </c>
      <c r="P347" s="213"/>
      <c r="Q347" s="213"/>
      <c r="R347" s="27"/>
      <c r="S347" s="27"/>
      <c r="T347" s="18"/>
      <c r="U347" s="27"/>
      <c r="V347" s="27"/>
      <c r="W347" s="30"/>
      <c r="X347" s="27"/>
      <c r="Y347" s="27"/>
      <c r="Z347" s="27"/>
      <c r="AA347" s="27"/>
      <c r="AB347" s="27"/>
      <c r="AC347" s="273">
        <v>516117440.10301042</v>
      </c>
      <c r="AD347" s="27">
        <v>19206015304.782166</v>
      </c>
      <c r="AE347" s="228">
        <v>2.6872697533178613E-2</v>
      </c>
      <c r="AF347" s="27" t="s">
        <v>2842</v>
      </c>
      <c r="AG347" s="226" t="s">
        <v>2842</v>
      </c>
      <c r="AH347" s="226" t="s">
        <v>2842</v>
      </c>
      <c r="AI347" s="27">
        <v>1765970000</v>
      </c>
      <c r="AJ347" s="226">
        <v>0.29225719582043319</v>
      </c>
      <c r="AK347" s="27">
        <v>663436523.87739587</v>
      </c>
      <c r="AL347" s="226">
        <v>0.77794547259262703</v>
      </c>
      <c r="AM347" s="27" t="s">
        <v>2842</v>
      </c>
      <c r="AN347" s="271" t="s">
        <v>2842</v>
      </c>
      <c r="AO347" s="27">
        <v>58819038</v>
      </c>
      <c r="AP347" s="27" t="s">
        <v>2842</v>
      </c>
      <c r="AQ347" s="27">
        <v>48.439585365853667</v>
      </c>
      <c r="AR347" s="27">
        <v>97.1</v>
      </c>
      <c r="AS347" s="29" t="s">
        <v>2842</v>
      </c>
      <c r="AT347" s="270" t="s">
        <v>2842</v>
      </c>
      <c r="AU347" s="464" t="s">
        <v>2842</v>
      </c>
      <c r="AV347" s="29">
        <v>-1.4471400969582999</v>
      </c>
      <c r="AW347" s="29">
        <v>-2.0280985228008102</v>
      </c>
      <c r="AX347" s="29">
        <v>-1.67277466539245</v>
      </c>
      <c r="AY347" s="29">
        <v>-1.2968034402976401</v>
      </c>
      <c r="AZ347" s="60">
        <v>-1.16688121811319</v>
      </c>
    </row>
    <row r="348" spans="1:52" s="29" customFormat="1" ht="15" customHeight="1">
      <c r="A348" s="63" t="s">
        <v>168</v>
      </c>
      <c r="B348" s="27">
        <v>2008</v>
      </c>
      <c r="C348" s="27" t="s">
        <v>165</v>
      </c>
      <c r="D348" s="27" t="s">
        <v>81</v>
      </c>
      <c r="E348" s="27" t="s">
        <v>19</v>
      </c>
      <c r="F348" s="41" t="s">
        <v>982</v>
      </c>
      <c r="G348" s="43">
        <v>19335</v>
      </c>
      <c r="H348" s="43"/>
      <c r="I348" s="43"/>
      <c r="J348" s="43"/>
      <c r="K348" s="27" t="s">
        <v>567</v>
      </c>
      <c r="L348" s="28"/>
      <c r="M348" s="27"/>
      <c r="N348" s="27" t="s">
        <v>636</v>
      </c>
      <c r="O348" s="18"/>
      <c r="P348" s="213"/>
      <c r="Q348" s="213"/>
      <c r="R348" s="27"/>
      <c r="S348" s="27"/>
      <c r="T348" s="18"/>
      <c r="U348" s="27"/>
      <c r="V348" s="27"/>
      <c r="W348" s="30"/>
      <c r="X348" s="27"/>
      <c r="Y348" s="27"/>
      <c r="Z348" s="27"/>
      <c r="AA348" s="27"/>
      <c r="AB348" s="27"/>
      <c r="AC348" s="273">
        <v>516117440.10301042</v>
      </c>
      <c r="AD348" s="27">
        <v>19206015304.782166</v>
      </c>
      <c r="AE348" s="228">
        <v>2.6872697533178613E-2</v>
      </c>
      <c r="AF348" s="27" t="s">
        <v>2842</v>
      </c>
      <c r="AG348" s="226" t="s">
        <v>2842</v>
      </c>
      <c r="AH348" s="226" t="s">
        <v>2842</v>
      </c>
      <c r="AI348" s="27">
        <v>1765970000</v>
      </c>
      <c r="AJ348" s="226">
        <v>0.29225719582043319</v>
      </c>
      <c r="AK348" s="27">
        <v>663436523.87739587</v>
      </c>
      <c r="AL348" s="226">
        <v>0.77794547259262703</v>
      </c>
      <c r="AM348" s="27" t="s">
        <v>2842</v>
      </c>
      <c r="AN348" s="271" t="s">
        <v>2842</v>
      </c>
      <c r="AO348" s="27">
        <v>58819038</v>
      </c>
      <c r="AP348" s="27" t="s">
        <v>2842</v>
      </c>
      <c r="AQ348" s="27">
        <v>48.439585365853667</v>
      </c>
      <c r="AR348" s="27">
        <v>97.1</v>
      </c>
      <c r="AS348" s="29" t="s">
        <v>2842</v>
      </c>
      <c r="AT348" s="270" t="s">
        <v>2842</v>
      </c>
      <c r="AU348" s="464" t="s">
        <v>2842</v>
      </c>
      <c r="AV348" s="29">
        <v>-1.4471400969582999</v>
      </c>
      <c r="AW348" s="29">
        <v>-2.0280985228008102</v>
      </c>
      <c r="AX348" s="29">
        <v>-1.67277466539245</v>
      </c>
      <c r="AY348" s="29">
        <v>-1.2968034402976401</v>
      </c>
      <c r="AZ348" s="60">
        <v>-1.16688121811319</v>
      </c>
    </row>
    <row r="349" spans="1:52" s="29" customFormat="1" ht="15" customHeight="1">
      <c r="A349" s="63" t="s">
        <v>168</v>
      </c>
      <c r="B349" s="27">
        <v>2008</v>
      </c>
      <c r="C349" s="27" t="s">
        <v>165</v>
      </c>
      <c r="D349" s="27" t="s">
        <v>81</v>
      </c>
      <c r="E349" s="27" t="s">
        <v>19</v>
      </c>
      <c r="F349" s="41" t="s">
        <v>993</v>
      </c>
      <c r="G349" s="43">
        <v>12600</v>
      </c>
      <c r="H349" s="43"/>
      <c r="I349" s="43"/>
      <c r="J349" s="43"/>
      <c r="K349" s="27" t="s">
        <v>567</v>
      </c>
      <c r="L349" s="28"/>
      <c r="M349" s="27"/>
      <c r="N349" s="27" t="s">
        <v>636</v>
      </c>
      <c r="O349" s="18"/>
      <c r="P349" s="213"/>
      <c r="Q349" s="213"/>
      <c r="R349" s="27"/>
      <c r="S349" s="27"/>
      <c r="T349" s="18"/>
      <c r="U349" s="27"/>
      <c r="V349" s="27"/>
      <c r="W349" s="30"/>
      <c r="X349" s="27"/>
      <c r="Y349" s="27"/>
      <c r="Z349" s="27"/>
      <c r="AA349" s="27"/>
      <c r="AB349" s="27"/>
      <c r="AC349" s="273">
        <v>516117440.10301042</v>
      </c>
      <c r="AD349" s="27">
        <v>19206015304.782166</v>
      </c>
      <c r="AE349" s="228">
        <v>2.6872697533178613E-2</v>
      </c>
      <c r="AF349" s="27" t="s">
        <v>2842</v>
      </c>
      <c r="AG349" s="226" t="s">
        <v>2842</v>
      </c>
      <c r="AH349" s="226" t="s">
        <v>2842</v>
      </c>
      <c r="AI349" s="27">
        <v>1765970000</v>
      </c>
      <c r="AJ349" s="226">
        <v>0.29225719582043319</v>
      </c>
      <c r="AK349" s="27">
        <v>663436523.87739587</v>
      </c>
      <c r="AL349" s="226">
        <v>0.77794547259262703</v>
      </c>
      <c r="AM349" s="27" t="s">
        <v>2842</v>
      </c>
      <c r="AN349" s="271" t="s">
        <v>2842</v>
      </c>
      <c r="AO349" s="27">
        <v>58819038</v>
      </c>
      <c r="AP349" s="27" t="s">
        <v>2842</v>
      </c>
      <c r="AQ349" s="27">
        <v>48.439585365853667</v>
      </c>
      <c r="AR349" s="27">
        <v>97.1</v>
      </c>
      <c r="AS349" s="29" t="s">
        <v>2842</v>
      </c>
      <c r="AT349" s="270" t="s">
        <v>2842</v>
      </c>
      <c r="AU349" s="464" t="s">
        <v>2842</v>
      </c>
      <c r="AV349" s="29">
        <v>-1.4471400969582999</v>
      </c>
      <c r="AW349" s="29">
        <v>-2.0280985228008102</v>
      </c>
      <c r="AX349" s="29">
        <v>-1.67277466539245</v>
      </c>
      <c r="AY349" s="29">
        <v>-1.2968034402976401</v>
      </c>
      <c r="AZ349" s="60">
        <v>-1.16688121811319</v>
      </c>
    </row>
    <row r="350" spans="1:52" s="29" customFormat="1" ht="15" customHeight="1">
      <c r="A350" s="63" t="s">
        <v>168</v>
      </c>
      <c r="B350" s="27">
        <v>2008</v>
      </c>
      <c r="C350" s="27" t="s">
        <v>165</v>
      </c>
      <c r="D350" s="27" t="s">
        <v>81</v>
      </c>
      <c r="E350" s="27" t="s">
        <v>19</v>
      </c>
      <c r="F350" s="41" t="s">
        <v>994</v>
      </c>
      <c r="G350" s="43"/>
      <c r="H350" s="43"/>
      <c r="I350" s="43"/>
      <c r="J350" s="43"/>
      <c r="K350" s="27"/>
      <c r="L350" s="28">
        <v>174</v>
      </c>
      <c r="M350" s="27" t="s">
        <v>568</v>
      </c>
      <c r="N350" s="27" t="s">
        <v>1011</v>
      </c>
      <c r="O350" s="18">
        <f>G352*L350</f>
        <v>64380</v>
      </c>
      <c r="P350" s="213"/>
      <c r="Q350" s="213"/>
      <c r="R350" s="27"/>
      <c r="S350" s="27"/>
      <c r="T350" s="18"/>
      <c r="U350" s="27"/>
      <c r="V350" s="27"/>
      <c r="W350" s="30"/>
      <c r="X350" s="27"/>
      <c r="Y350" s="27"/>
      <c r="Z350" s="27"/>
      <c r="AA350" s="27"/>
      <c r="AB350" s="27"/>
      <c r="AC350" s="273">
        <v>516117440.10301042</v>
      </c>
      <c r="AD350" s="27">
        <v>19206015304.782166</v>
      </c>
      <c r="AE350" s="228">
        <v>2.6872697533178613E-2</v>
      </c>
      <c r="AF350" s="27" t="s">
        <v>2842</v>
      </c>
      <c r="AG350" s="226" t="s">
        <v>2842</v>
      </c>
      <c r="AH350" s="226" t="s">
        <v>2842</v>
      </c>
      <c r="AI350" s="27">
        <v>1765970000</v>
      </c>
      <c r="AJ350" s="226">
        <v>0.29225719582043319</v>
      </c>
      <c r="AK350" s="27">
        <v>663436523.87739587</v>
      </c>
      <c r="AL350" s="226">
        <v>0.77794547259262703</v>
      </c>
      <c r="AM350" s="27" t="s">
        <v>2842</v>
      </c>
      <c r="AN350" s="271" t="s">
        <v>2842</v>
      </c>
      <c r="AO350" s="27">
        <v>58819038</v>
      </c>
      <c r="AP350" s="27" t="s">
        <v>2842</v>
      </c>
      <c r="AQ350" s="27">
        <v>48.439585365853667</v>
      </c>
      <c r="AR350" s="27">
        <v>97.1</v>
      </c>
      <c r="AS350" s="29" t="s">
        <v>2842</v>
      </c>
      <c r="AT350" s="270" t="s">
        <v>2842</v>
      </c>
      <c r="AU350" s="464" t="s">
        <v>2842</v>
      </c>
      <c r="AV350" s="29">
        <v>-1.4471400969582999</v>
      </c>
      <c r="AW350" s="29">
        <v>-2.0280985228008102</v>
      </c>
      <c r="AX350" s="29">
        <v>-1.67277466539245</v>
      </c>
      <c r="AY350" s="29">
        <v>-1.2968034402976401</v>
      </c>
      <c r="AZ350" s="60">
        <v>-1.16688121811319</v>
      </c>
    </row>
    <row r="351" spans="1:52" s="29" customFormat="1" ht="15" customHeight="1">
      <c r="A351" s="63" t="s">
        <v>168</v>
      </c>
      <c r="B351" s="27">
        <v>2008</v>
      </c>
      <c r="C351" s="27" t="s">
        <v>165</v>
      </c>
      <c r="D351" s="27" t="s">
        <v>81</v>
      </c>
      <c r="E351" s="27" t="s">
        <v>19</v>
      </c>
      <c r="F351" s="41" t="s">
        <v>982</v>
      </c>
      <c r="G351" s="43">
        <v>716</v>
      </c>
      <c r="H351" s="43"/>
      <c r="I351" s="43"/>
      <c r="J351" s="43"/>
      <c r="K351" s="27" t="s">
        <v>567</v>
      </c>
      <c r="L351" s="28"/>
      <c r="M351" s="27"/>
      <c r="N351" s="27" t="s">
        <v>636</v>
      </c>
      <c r="O351" s="18"/>
      <c r="P351" s="213"/>
      <c r="Q351" s="213"/>
      <c r="R351" s="27"/>
      <c r="S351" s="27"/>
      <c r="T351" s="18"/>
      <c r="U351" s="27"/>
      <c r="V351" s="27"/>
      <c r="W351" s="30"/>
      <c r="X351" s="27"/>
      <c r="Y351" s="27"/>
      <c r="Z351" s="27"/>
      <c r="AA351" s="27"/>
      <c r="AB351" s="27"/>
      <c r="AC351" s="273">
        <v>516117440.10301042</v>
      </c>
      <c r="AD351" s="27">
        <v>19206015304.782166</v>
      </c>
      <c r="AE351" s="228">
        <v>2.6872697533178613E-2</v>
      </c>
      <c r="AF351" s="27" t="s">
        <v>2842</v>
      </c>
      <c r="AG351" s="226" t="s">
        <v>2842</v>
      </c>
      <c r="AH351" s="226" t="s">
        <v>2842</v>
      </c>
      <c r="AI351" s="27">
        <v>1765970000</v>
      </c>
      <c r="AJ351" s="226">
        <v>0.29225719582043319</v>
      </c>
      <c r="AK351" s="27">
        <v>663436523.87739587</v>
      </c>
      <c r="AL351" s="226">
        <v>0.77794547259262703</v>
      </c>
      <c r="AM351" s="27" t="s">
        <v>2842</v>
      </c>
      <c r="AN351" s="271" t="s">
        <v>2842</v>
      </c>
      <c r="AO351" s="27">
        <v>58819038</v>
      </c>
      <c r="AP351" s="27" t="s">
        <v>2842</v>
      </c>
      <c r="AQ351" s="27">
        <v>48.439585365853667</v>
      </c>
      <c r="AR351" s="27">
        <v>97.1</v>
      </c>
      <c r="AS351" s="29" t="s">
        <v>2842</v>
      </c>
      <c r="AT351" s="270" t="s">
        <v>2842</v>
      </c>
      <c r="AU351" s="464" t="s">
        <v>2842</v>
      </c>
      <c r="AV351" s="29">
        <v>-1.4471400969582999</v>
      </c>
      <c r="AW351" s="29">
        <v>-2.0280985228008102</v>
      </c>
      <c r="AX351" s="29">
        <v>-1.67277466539245</v>
      </c>
      <c r="AY351" s="29">
        <v>-1.2968034402976401</v>
      </c>
      <c r="AZ351" s="60">
        <v>-1.16688121811319</v>
      </c>
    </row>
    <row r="352" spans="1:52" s="29" customFormat="1" ht="15" customHeight="1">
      <c r="A352" s="63" t="s">
        <v>168</v>
      </c>
      <c r="B352" s="27">
        <v>2008</v>
      </c>
      <c r="C352" s="27" t="s">
        <v>165</v>
      </c>
      <c r="D352" s="27" t="s">
        <v>81</v>
      </c>
      <c r="E352" s="27" t="s">
        <v>19</v>
      </c>
      <c r="F352" s="41" t="s">
        <v>996</v>
      </c>
      <c r="G352" s="43">
        <v>370</v>
      </c>
      <c r="H352" s="43"/>
      <c r="I352" s="43"/>
      <c r="J352" s="43"/>
      <c r="K352" s="27" t="s">
        <v>567</v>
      </c>
      <c r="L352" s="28"/>
      <c r="M352" s="27"/>
      <c r="N352" s="27" t="s">
        <v>636</v>
      </c>
      <c r="O352" s="18"/>
      <c r="P352" s="213"/>
      <c r="Q352" s="213"/>
      <c r="R352" s="27"/>
      <c r="S352" s="27"/>
      <c r="T352" s="18"/>
      <c r="U352" s="27"/>
      <c r="V352" s="27"/>
      <c r="W352" s="30"/>
      <c r="X352" s="27"/>
      <c r="Y352" s="27"/>
      <c r="Z352" s="27"/>
      <c r="AA352" s="27"/>
      <c r="AB352" s="27"/>
      <c r="AC352" s="273">
        <v>516117440.10301042</v>
      </c>
      <c r="AD352" s="27">
        <v>19206015304.782166</v>
      </c>
      <c r="AE352" s="228">
        <v>2.6872697533178613E-2</v>
      </c>
      <c r="AF352" s="27" t="s">
        <v>2842</v>
      </c>
      <c r="AG352" s="226" t="s">
        <v>2842</v>
      </c>
      <c r="AH352" s="226" t="s">
        <v>2842</v>
      </c>
      <c r="AI352" s="27">
        <v>1765970000</v>
      </c>
      <c r="AJ352" s="226">
        <v>0.29225719582043319</v>
      </c>
      <c r="AK352" s="27">
        <v>663436523.87739587</v>
      </c>
      <c r="AL352" s="226">
        <v>0.77794547259262703</v>
      </c>
      <c r="AM352" s="27" t="s">
        <v>2842</v>
      </c>
      <c r="AN352" s="271" t="s">
        <v>2842</v>
      </c>
      <c r="AO352" s="27">
        <v>58819038</v>
      </c>
      <c r="AP352" s="27" t="s">
        <v>2842</v>
      </c>
      <c r="AQ352" s="27">
        <v>48.439585365853667</v>
      </c>
      <c r="AR352" s="27">
        <v>97.1</v>
      </c>
      <c r="AS352" s="29" t="s">
        <v>2842</v>
      </c>
      <c r="AT352" s="270" t="s">
        <v>2842</v>
      </c>
      <c r="AU352" s="464" t="s">
        <v>2842</v>
      </c>
      <c r="AV352" s="29">
        <v>-1.4471400969582999</v>
      </c>
      <c r="AW352" s="29">
        <v>-2.0280985228008102</v>
      </c>
      <c r="AX352" s="29">
        <v>-1.67277466539245</v>
      </c>
      <c r="AY352" s="29">
        <v>-1.2968034402976401</v>
      </c>
      <c r="AZ352" s="60">
        <v>-1.16688121811319</v>
      </c>
    </row>
    <row r="353" spans="1:52" s="287" customFormat="1" ht="15" customHeight="1">
      <c r="A353" s="359" t="s">
        <v>168</v>
      </c>
      <c r="B353" s="284">
        <v>2008</v>
      </c>
      <c r="C353" s="284" t="s">
        <v>165</v>
      </c>
      <c r="D353" s="284" t="s">
        <v>81</v>
      </c>
      <c r="E353" s="284" t="s">
        <v>19</v>
      </c>
      <c r="F353" s="315" t="s">
        <v>997</v>
      </c>
      <c r="G353" s="303">
        <v>15465</v>
      </c>
      <c r="H353" s="303"/>
      <c r="I353" s="303"/>
      <c r="J353" s="303"/>
      <c r="K353" s="284" t="s">
        <v>567</v>
      </c>
      <c r="L353" s="367">
        <f>1874.70866666667</f>
        <v>1874.7086666666701</v>
      </c>
      <c r="M353" s="284" t="s">
        <v>568</v>
      </c>
      <c r="N353" s="284" t="s">
        <v>1012</v>
      </c>
      <c r="O353" s="305">
        <f>G353*L353</f>
        <v>28992369.530000053</v>
      </c>
      <c r="P353" s="306"/>
      <c r="Q353" s="306"/>
      <c r="R353" s="284"/>
      <c r="S353" s="284"/>
      <c r="T353" s="305"/>
      <c r="U353" s="284"/>
      <c r="V353" s="284"/>
      <c r="W353" s="307"/>
      <c r="X353" s="284"/>
      <c r="Y353" s="284"/>
      <c r="Z353" s="284"/>
      <c r="AA353" s="284"/>
      <c r="AB353" s="284"/>
      <c r="AC353" s="308">
        <v>516117440.10301042</v>
      </c>
      <c r="AD353" s="284">
        <v>19206015304.782166</v>
      </c>
      <c r="AE353" s="309">
        <v>2.6872697533178613E-2</v>
      </c>
      <c r="AF353" s="284" t="s">
        <v>2842</v>
      </c>
      <c r="AG353" s="310" t="s">
        <v>2842</v>
      </c>
      <c r="AH353" s="310" t="s">
        <v>2842</v>
      </c>
      <c r="AI353" s="284">
        <v>1765970000</v>
      </c>
      <c r="AJ353" s="310">
        <v>0.29225719582043319</v>
      </c>
      <c r="AK353" s="284">
        <v>663436523.87739587</v>
      </c>
      <c r="AL353" s="310">
        <v>0.77794547259262703</v>
      </c>
      <c r="AM353" s="284" t="s">
        <v>2842</v>
      </c>
      <c r="AN353" s="311" t="s">
        <v>2842</v>
      </c>
      <c r="AO353" s="284">
        <v>58819038</v>
      </c>
      <c r="AP353" s="284" t="s">
        <v>2842</v>
      </c>
      <c r="AQ353" s="284">
        <v>48.439585365853667</v>
      </c>
      <c r="AR353" s="284">
        <v>97.1</v>
      </c>
      <c r="AS353" s="287" t="s">
        <v>2842</v>
      </c>
      <c r="AT353" s="312" t="s">
        <v>2842</v>
      </c>
      <c r="AU353" s="465" t="s">
        <v>2842</v>
      </c>
      <c r="AV353" s="287">
        <v>-1.4471400969582999</v>
      </c>
      <c r="AW353" s="287">
        <v>-2.0280985228008102</v>
      </c>
      <c r="AX353" s="287">
        <v>-1.67277466539245</v>
      </c>
      <c r="AY353" s="287">
        <v>-1.2968034402976401</v>
      </c>
      <c r="AZ353" s="313">
        <v>-1.16688121811319</v>
      </c>
    </row>
    <row r="354" spans="1:52" ht="15" customHeight="1">
      <c r="A354" s="347" t="s">
        <v>171</v>
      </c>
      <c r="B354" s="27">
        <v>2009</v>
      </c>
      <c r="C354" s="27" t="s">
        <v>165</v>
      </c>
      <c r="D354" s="27" t="s">
        <v>81</v>
      </c>
      <c r="E354" s="27" t="s">
        <v>36</v>
      </c>
      <c r="F354" s="41" t="s">
        <v>659</v>
      </c>
      <c r="G354" s="43"/>
      <c r="H354" s="43"/>
      <c r="I354" s="43"/>
      <c r="J354" s="43"/>
      <c r="K354" s="27"/>
      <c r="L354" s="28"/>
      <c r="M354" s="27"/>
      <c r="N354" s="27"/>
      <c r="O354" s="18">
        <f>O355+O356</f>
        <v>2372226218.9844656</v>
      </c>
      <c r="P354" s="213">
        <v>253718209.59147424</v>
      </c>
      <c r="Q354" s="213">
        <v>294456985.79040849</v>
      </c>
      <c r="R354" s="27" t="s">
        <v>619</v>
      </c>
      <c r="S354" s="27"/>
      <c r="T354" s="18"/>
      <c r="U354" s="27" t="s">
        <v>999</v>
      </c>
      <c r="V354" s="27" t="s">
        <v>1000</v>
      </c>
      <c r="W354" s="30">
        <v>563</v>
      </c>
      <c r="X354" s="27">
        <v>70</v>
      </c>
      <c r="Y354" s="27" t="s">
        <v>1001</v>
      </c>
      <c r="Z354" s="27" t="s">
        <v>1002</v>
      </c>
      <c r="AA354" s="27" t="s">
        <v>1003</v>
      </c>
      <c r="AB354" s="27" t="s">
        <v>1004</v>
      </c>
      <c r="AC354" s="273">
        <v>253718209.59147424</v>
      </c>
      <c r="AD354" s="27">
        <v>18262675199.101006</v>
      </c>
      <c r="AE354" s="228">
        <v>1.3892718718666349E-2</v>
      </c>
      <c r="AF354" s="27" t="s">
        <v>2842</v>
      </c>
      <c r="AG354" s="226" t="s">
        <v>2842</v>
      </c>
      <c r="AH354" s="226" t="s">
        <v>2842</v>
      </c>
      <c r="AI354" s="27">
        <v>2356850000</v>
      </c>
      <c r="AJ354" s="226">
        <v>0.10765140318283906</v>
      </c>
      <c r="AK354" s="27">
        <v>703427914.56908584</v>
      </c>
      <c r="AL354" s="226">
        <v>0.3606882870818397</v>
      </c>
      <c r="AM354" s="27" t="s">
        <v>2842</v>
      </c>
      <c r="AN354" s="271" t="s">
        <v>2842</v>
      </c>
      <c r="AO354" s="27">
        <v>60486276</v>
      </c>
      <c r="AP354" s="27" t="s">
        <v>2842</v>
      </c>
      <c r="AQ354" s="27">
        <v>48.697804878048785</v>
      </c>
      <c r="AR354" s="27">
        <v>94.7</v>
      </c>
      <c r="AS354" s="29" t="s">
        <v>2842</v>
      </c>
      <c r="AT354" s="270" t="s">
        <v>2842</v>
      </c>
      <c r="AU354" s="464" t="s">
        <v>2842</v>
      </c>
      <c r="AV354" s="29">
        <v>-1.44744229343522</v>
      </c>
      <c r="AW354" s="29">
        <v>-1.98732794178672</v>
      </c>
      <c r="AX354" s="29">
        <v>-1.7051833014723501</v>
      </c>
      <c r="AY354" s="29">
        <v>-1.5291692682962501</v>
      </c>
      <c r="AZ354" s="60">
        <v>-1.36346807993374</v>
      </c>
    </row>
    <row r="355" spans="1:52" ht="15" customHeight="1">
      <c r="A355" s="63" t="s">
        <v>171</v>
      </c>
      <c r="B355" s="27">
        <v>2009</v>
      </c>
      <c r="C355" s="27" t="s">
        <v>165</v>
      </c>
      <c r="D355" s="27" t="s">
        <v>81</v>
      </c>
      <c r="E355" s="27" t="s">
        <v>98</v>
      </c>
      <c r="F355" s="41" t="s">
        <v>98</v>
      </c>
      <c r="G355" s="43">
        <v>8030000</v>
      </c>
      <c r="H355" s="43"/>
      <c r="I355" s="43"/>
      <c r="J355" s="43"/>
      <c r="K355" s="27" t="s">
        <v>603</v>
      </c>
      <c r="L355" s="28">
        <v>62.082733849999997</v>
      </c>
      <c r="M355" s="27" t="s">
        <v>626</v>
      </c>
      <c r="N355" s="27" t="s">
        <v>947</v>
      </c>
      <c r="O355" s="18">
        <f>G355*L355</f>
        <v>498524352.81549996</v>
      </c>
      <c r="P355" s="213">
        <v>171616209.59147424</v>
      </c>
      <c r="Q355" s="213">
        <v>172962985.79040852</v>
      </c>
      <c r="R355" s="27"/>
      <c r="S355" s="27"/>
      <c r="T355" s="18"/>
      <c r="U355" s="27"/>
      <c r="V355" s="27"/>
      <c r="W355" s="30"/>
      <c r="X355" s="27">
        <v>6</v>
      </c>
      <c r="Y355" s="27"/>
      <c r="Z355" s="27">
        <v>6</v>
      </c>
      <c r="AA355" s="27"/>
      <c r="AB355" s="27"/>
      <c r="AC355" s="273">
        <v>253718209.59147424</v>
      </c>
      <c r="AD355" s="27">
        <v>18262675199.101006</v>
      </c>
      <c r="AE355" s="228">
        <v>1.3892718718666349E-2</v>
      </c>
      <c r="AF355" s="27" t="s">
        <v>2842</v>
      </c>
      <c r="AG355" s="226" t="s">
        <v>2842</v>
      </c>
      <c r="AH355" s="226" t="s">
        <v>2842</v>
      </c>
      <c r="AI355" s="27">
        <v>2356850000</v>
      </c>
      <c r="AJ355" s="226">
        <v>0.10765140318283906</v>
      </c>
      <c r="AK355" s="27">
        <v>703427914.56908584</v>
      </c>
      <c r="AL355" s="226">
        <v>0.3606882870818397</v>
      </c>
      <c r="AM355" s="27" t="s">
        <v>2842</v>
      </c>
      <c r="AN355" s="271" t="s">
        <v>2842</v>
      </c>
      <c r="AO355" s="27">
        <v>60486276</v>
      </c>
      <c r="AP355" s="27" t="s">
        <v>2842</v>
      </c>
      <c r="AQ355" s="27">
        <v>48.697804878048785</v>
      </c>
      <c r="AR355" s="27">
        <v>94.7</v>
      </c>
      <c r="AS355" s="29" t="s">
        <v>2842</v>
      </c>
      <c r="AT355" s="270" t="s">
        <v>2842</v>
      </c>
      <c r="AU355" s="464" t="s">
        <v>2842</v>
      </c>
      <c r="AV355" s="29">
        <v>-1.44744229343522</v>
      </c>
      <c r="AW355" s="29">
        <v>-1.98732794178672</v>
      </c>
      <c r="AX355" s="29">
        <v>-1.7051833014723501</v>
      </c>
      <c r="AY355" s="29">
        <v>-1.5291692682962501</v>
      </c>
      <c r="AZ355" s="60">
        <v>-1.36346807993374</v>
      </c>
    </row>
    <row r="356" spans="1:52" ht="15" customHeight="1">
      <c r="A356" s="63" t="s">
        <v>171</v>
      </c>
      <c r="B356" s="27">
        <v>2009</v>
      </c>
      <c r="C356" s="27" t="s">
        <v>165</v>
      </c>
      <c r="D356" s="27" t="s">
        <v>81</v>
      </c>
      <c r="E356" s="27" t="s">
        <v>19</v>
      </c>
      <c r="F356" s="41" t="s">
        <v>559</v>
      </c>
      <c r="G356" s="43"/>
      <c r="H356" s="43"/>
      <c r="I356" s="43"/>
      <c r="J356" s="43"/>
      <c r="K356" s="27"/>
      <c r="L356" s="28"/>
      <c r="M356" s="27"/>
      <c r="N356" s="27"/>
      <c r="O356" s="18">
        <f>SUM(O357:O377)</f>
        <v>1873701866.1689656</v>
      </c>
      <c r="P356" s="213">
        <v>82102000</v>
      </c>
      <c r="Q356" s="213">
        <v>121494000</v>
      </c>
      <c r="R356" s="27"/>
      <c r="S356" s="27"/>
      <c r="T356" s="18"/>
      <c r="U356" s="27"/>
      <c r="V356" s="27"/>
      <c r="W356" s="30"/>
      <c r="X356" s="27">
        <v>64</v>
      </c>
      <c r="Y356" s="27"/>
      <c r="Z356" s="27" t="s">
        <v>1002</v>
      </c>
      <c r="AA356" s="27"/>
      <c r="AB356" s="27" t="s">
        <v>1005</v>
      </c>
      <c r="AC356" s="273">
        <v>253718209.59147424</v>
      </c>
      <c r="AD356" s="27">
        <v>18262675199.101006</v>
      </c>
      <c r="AE356" s="228">
        <v>1.3892718718666349E-2</v>
      </c>
      <c r="AF356" s="27" t="s">
        <v>2842</v>
      </c>
      <c r="AG356" s="226" t="s">
        <v>2842</v>
      </c>
      <c r="AH356" s="226" t="s">
        <v>2842</v>
      </c>
      <c r="AI356" s="27">
        <v>2356850000</v>
      </c>
      <c r="AJ356" s="226">
        <v>0.10765140318283906</v>
      </c>
      <c r="AK356" s="27">
        <v>703427914.56908584</v>
      </c>
      <c r="AL356" s="226">
        <v>0.3606882870818397</v>
      </c>
      <c r="AM356" s="27" t="s">
        <v>2842</v>
      </c>
      <c r="AN356" s="271" t="s">
        <v>2842</v>
      </c>
      <c r="AO356" s="27">
        <v>60486276</v>
      </c>
      <c r="AP356" s="27" t="s">
        <v>2842</v>
      </c>
      <c r="AQ356" s="27">
        <v>48.697804878048785</v>
      </c>
      <c r="AR356" s="27">
        <v>94.7</v>
      </c>
      <c r="AS356" s="29" t="s">
        <v>2842</v>
      </c>
      <c r="AT356" s="270" t="s">
        <v>2842</v>
      </c>
      <c r="AU356" s="464" t="s">
        <v>2842</v>
      </c>
      <c r="AV356" s="29">
        <v>-1.44744229343522</v>
      </c>
      <c r="AW356" s="29">
        <v>-1.98732794178672</v>
      </c>
      <c r="AX356" s="29">
        <v>-1.7051833014723501</v>
      </c>
      <c r="AY356" s="29">
        <v>-1.5291692682962501</v>
      </c>
      <c r="AZ356" s="60">
        <v>-1.36346807993374</v>
      </c>
    </row>
    <row r="357" spans="1:52" ht="15" customHeight="1">
      <c r="A357" s="63" t="s">
        <v>171</v>
      </c>
      <c r="B357" s="27">
        <v>2009</v>
      </c>
      <c r="C357" s="27" t="s">
        <v>165</v>
      </c>
      <c r="D357" s="27" t="s">
        <v>81</v>
      </c>
      <c r="E357" s="27" t="s">
        <v>19</v>
      </c>
      <c r="F357" s="41" t="s">
        <v>977</v>
      </c>
      <c r="G357" s="43"/>
      <c r="H357" s="43">
        <v>30000</v>
      </c>
      <c r="I357" s="43"/>
      <c r="J357" s="43"/>
      <c r="K357" s="27" t="s">
        <v>567</v>
      </c>
      <c r="L357" s="28">
        <f>17.86/0.000453592</f>
        <v>39374.592144482267</v>
      </c>
      <c r="M357" s="27" t="s">
        <v>568</v>
      </c>
      <c r="N357" s="27" t="s">
        <v>1006</v>
      </c>
      <c r="O357" s="18">
        <f>G359*L357</f>
        <v>116942538.66911234</v>
      </c>
      <c r="P357" s="213"/>
      <c r="Q357" s="213"/>
      <c r="R357" s="27"/>
      <c r="S357" s="27"/>
      <c r="T357" s="18"/>
      <c r="U357" s="27"/>
      <c r="V357" s="27"/>
      <c r="W357" s="30"/>
      <c r="X357" s="27"/>
      <c r="Y357" s="27"/>
      <c r="Z357" s="27"/>
      <c r="AA357" s="27"/>
      <c r="AB357" s="27"/>
      <c r="AC357" s="273">
        <v>253718209.59147424</v>
      </c>
      <c r="AD357" s="27">
        <v>18262675199.101006</v>
      </c>
      <c r="AE357" s="228">
        <v>1.3892718718666349E-2</v>
      </c>
      <c r="AF357" s="27" t="s">
        <v>2842</v>
      </c>
      <c r="AG357" s="226" t="s">
        <v>2842</v>
      </c>
      <c r="AH357" s="226" t="s">
        <v>2842</v>
      </c>
      <c r="AI357" s="27">
        <v>2356850000</v>
      </c>
      <c r="AJ357" s="226">
        <v>0.10765140318283906</v>
      </c>
      <c r="AK357" s="27">
        <v>703427914.56908584</v>
      </c>
      <c r="AL357" s="226">
        <v>0.3606882870818397</v>
      </c>
      <c r="AM357" s="27" t="s">
        <v>2842</v>
      </c>
      <c r="AN357" s="271" t="s">
        <v>2842</v>
      </c>
      <c r="AO357" s="27">
        <v>60486276</v>
      </c>
      <c r="AP357" s="27" t="s">
        <v>2842</v>
      </c>
      <c r="AQ357" s="27">
        <v>48.697804878048785</v>
      </c>
      <c r="AR357" s="27">
        <v>94.7</v>
      </c>
      <c r="AS357" s="29" t="s">
        <v>2842</v>
      </c>
      <c r="AT357" s="270" t="s">
        <v>2842</v>
      </c>
      <c r="AU357" s="464" t="s">
        <v>2842</v>
      </c>
      <c r="AV357" s="29">
        <v>-1.44744229343522</v>
      </c>
      <c r="AW357" s="29">
        <v>-1.98732794178672</v>
      </c>
      <c r="AX357" s="29">
        <v>-1.7051833014723501</v>
      </c>
      <c r="AY357" s="29">
        <v>-1.5291692682962501</v>
      </c>
      <c r="AZ357" s="60">
        <v>-1.36346807993374</v>
      </c>
    </row>
    <row r="358" spans="1:52" ht="15" customHeight="1">
      <c r="A358" s="63" t="s">
        <v>171</v>
      </c>
      <c r="B358" s="27">
        <v>2009</v>
      </c>
      <c r="C358" s="27" t="s">
        <v>165</v>
      </c>
      <c r="D358" s="27" t="s">
        <v>81</v>
      </c>
      <c r="E358" s="27" t="s">
        <v>19</v>
      </c>
      <c r="F358" s="41" t="s">
        <v>979</v>
      </c>
      <c r="G358" s="43">
        <v>40000</v>
      </c>
      <c r="H358" s="43"/>
      <c r="I358" s="43"/>
      <c r="J358" s="43"/>
      <c r="K358" s="27" t="s">
        <v>567</v>
      </c>
      <c r="L358" s="28"/>
      <c r="M358" s="27"/>
      <c r="N358" s="27" t="s">
        <v>636</v>
      </c>
      <c r="O358" s="18"/>
      <c r="P358" s="213"/>
      <c r="Q358" s="213"/>
      <c r="R358" s="27"/>
      <c r="S358" s="27"/>
      <c r="T358" s="18"/>
      <c r="U358" s="27"/>
      <c r="V358" s="27"/>
      <c r="W358" s="30"/>
      <c r="X358" s="27"/>
      <c r="Y358" s="27"/>
      <c r="Z358" s="27"/>
      <c r="AA358" s="27"/>
      <c r="AB358" s="27"/>
      <c r="AC358" s="273">
        <v>253718209.59147424</v>
      </c>
      <c r="AD358" s="27">
        <v>18262675199.101006</v>
      </c>
      <c r="AE358" s="228">
        <v>1.3892718718666349E-2</v>
      </c>
      <c r="AF358" s="27" t="s">
        <v>2842</v>
      </c>
      <c r="AG358" s="226" t="s">
        <v>2842</v>
      </c>
      <c r="AH358" s="226" t="s">
        <v>2842</v>
      </c>
      <c r="AI358" s="27">
        <v>2356850000</v>
      </c>
      <c r="AJ358" s="226">
        <v>0.10765140318283906</v>
      </c>
      <c r="AK358" s="27">
        <v>703427914.56908584</v>
      </c>
      <c r="AL358" s="226">
        <v>0.3606882870818397</v>
      </c>
      <c r="AM358" s="27" t="s">
        <v>2842</v>
      </c>
      <c r="AN358" s="271" t="s">
        <v>2842</v>
      </c>
      <c r="AO358" s="27">
        <v>60486276</v>
      </c>
      <c r="AP358" s="27" t="s">
        <v>2842</v>
      </c>
      <c r="AQ358" s="27">
        <v>48.697804878048785</v>
      </c>
      <c r="AR358" s="27">
        <v>94.7</v>
      </c>
      <c r="AS358" s="29" t="s">
        <v>2842</v>
      </c>
      <c r="AT358" s="270" t="s">
        <v>2842</v>
      </c>
      <c r="AU358" s="464" t="s">
        <v>2842</v>
      </c>
      <c r="AV358" s="29">
        <v>-1.44744229343522</v>
      </c>
      <c r="AW358" s="29">
        <v>-1.98732794178672</v>
      </c>
      <c r="AX358" s="29">
        <v>-1.7051833014723501</v>
      </c>
      <c r="AY358" s="29">
        <v>-1.5291692682962501</v>
      </c>
      <c r="AZ358" s="60">
        <v>-1.36346807993374</v>
      </c>
    </row>
    <row r="359" spans="1:52" ht="15" customHeight="1">
      <c r="A359" s="63" t="s">
        <v>171</v>
      </c>
      <c r="B359" s="27">
        <v>2009</v>
      </c>
      <c r="C359" s="27" t="s">
        <v>165</v>
      </c>
      <c r="D359" s="27" t="s">
        <v>81</v>
      </c>
      <c r="E359" s="27" t="s">
        <v>19</v>
      </c>
      <c r="F359" s="41" t="s">
        <v>980</v>
      </c>
      <c r="G359" s="43">
        <v>2970</v>
      </c>
      <c r="H359" s="43"/>
      <c r="I359" s="43"/>
      <c r="J359" s="43"/>
      <c r="K359" s="27" t="s">
        <v>567</v>
      </c>
      <c r="L359" s="28"/>
      <c r="M359" s="27"/>
      <c r="N359" s="27" t="s">
        <v>636</v>
      </c>
      <c r="O359" s="18"/>
      <c r="P359" s="213"/>
      <c r="Q359" s="213"/>
      <c r="R359" s="27"/>
      <c r="S359" s="27"/>
      <c r="T359" s="18"/>
      <c r="U359" s="27"/>
      <c r="V359" s="27"/>
      <c r="W359" s="30"/>
      <c r="X359" s="27"/>
      <c r="Y359" s="27"/>
      <c r="Z359" s="27"/>
      <c r="AA359" s="27"/>
      <c r="AB359" s="27"/>
      <c r="AC359" s="273">
        <v>253718209.59147424</v>
      </c>
      <c r="AD359" s="27">
        <v>18262675199.101006</v>
      </c>
      <c r="AE359" s="228">
        <v>1.3892718718666349E-2</v>
      </c>
      <c r="AF359" s="27" t="s">
        <v>2842</v>
      </c>
      <c r="AG359" s="226" t="s">
        <v>2842</v>
      </c>
      <c r="AH359" s="226" t="s">
        <v>2842</v>
      </c>
      <c r="AI359" s="27">
        <v>2356850000</v>
      </c>
      <c r="AJ359" s="226">
        <v>0.10765140318283906</v>
      </c>
      <c r="AK359" s="27">
        <v>703427914.56908584</v>
      </c>
      <c r="AL359" s="226">
        <v>0.3606882870818397</v>
      </c>
      <c r="AM359" s="27" t="s">
        <v>2842</v>
      </c>
      <c r="AN359" s="271" t="s">
        <v>2842</v>
      </c>
      <c r="AO359" s="27">
        <v>60486276</v>
      </c>
      <c r="AP359" s="27" t="s">
        <v>2842</v>
      </c>
      <c r="AQ359" s="27">
        <v>48.697804878048785</v>
      </c>
      <c r="AR359" s="27">
        <v>94.7</v>
      </c>
      <c r="AS359" s="29" t="s">
        <v>2842</v>
      </c>
      <c r="AT359" s="270" t="s">
        <v>2842</v>
      </c>
      <c r="AU359" s="464" t="s">
        <v>2842</v>
      </c>
      <c r="AV359" s="29">
        <v>-1.44744229343522</v>
      </c>
      <c r="AW359" s="29">
        <v>-1.98732794178672</v>
      </c>
      <c r="AX359" s="29">
        <v>-1.7051833014723501</v>
      </c>
      <c r="AY359" s="29">
        <v>-1.5291692682962501</v>
      </c>
      <c r="AZ359" s="60">
        <v>-1.36346807993374</v>
      </c>
    </row>
    <row r="360" spans="1:52" ht="15" customHeight="1">
      <c r="A360" s="63" t="s">
        <v>171</v>
      </c>
      <c r="B360" s="27">
        <v>2009</v>
      </c>
      <c r="C360" s="27" t="s">
        <v>165</v>
      </c>
      <c r="D360" s="27" t="s">
        <v>81</v>
      </c>
      <c r="E360" s="27" t="s">
        <v>19</v>
      </c>
      <c r="F360" s="41" t="s">
        <v>981</v>
      </c>
      <c r="G360" s="43"/>
      <c r="H360" s="43"/>
      <c r="I360" s="43"/>
      <c r="J360" s="43"/>
      <c r="K360" s="27"/>
      <c r="L360" s="28"/>
      <c r="M360" s="27"/>
      <c r="N360" s="27"/>
      <c r="O360" s="18"/>
      <c r="P360" s="213"/>
      <c r="Q360" s="213"/>
      <c r="R360" s="27"/>
      <c r="S360" s="27"/>
      <c r="T360" s="18"/>
      <c r="U360" s="27"/>
      <c r="V360" s="27"/>
      <c r="W360" s="30"/>
      <c r="X360" s="27"/>
      <c r="Y360" s="27"/>
      <c r="Z360" s="27"/>
      <c r="AA360" s="27"/>
      <c r="AB360" s="27"/>
      <c r="AC360" s="273">
        <v>253718209.59147424</v>
      </c>
      <c r="AD360" s="27">
        <v>18262675199.101006</v>
      </c>
      <c r="AE360" s="228">
        <v>1.3892718718666349E-2</v>
      </c>
      <c r="AF360" s="27" t="s">
        <v>2842</v>
      </c>
      <c r="AG360" s="226" t="s">
        <v>2842</v>
      </c>
      <c r="AH360" s="226" t="s">
        <v>2842</v>
      </c>
      <c r="AI360" s="27">
        <v>2356850000</v>
      </c>
      <c r="AJ360" s="226">
        <v>0.10765140318283906</v>
      </c>
      <c r="AK360" s="27">
        <v>703427914.56908584</v>
      </c>
      <c r="AL360" s="226">
        <v>0.3606882870818397</v>
      </c>
      <c r="AM360" s="27" t="s">
        <v>2842</v>
      </c>
      <c r="AN360" s="271" t="s">
        <v>2842</v>
      </c>
      <c r="AO360" s="27">
        <v>60486276</v>
      </c>
      <c r="AP360" s="27" t="s">
        <v>2842</v>
      </c>
      <c r="AQ360" s="27">
        <v>48.697804878048785</v>
      </c>
      <c r="AR360" s="27">
        <v>94.7</v>
      </c>
      <c r="AS360" s="29" t="s">
        <v>2842</v>
      </c>
      <c r="AT360" s="270" t="s">
        <v>2842</v>
      </c>
      <c r="AU360" s="464" t="s">
        <v>2842</v>
      </c>
      <c r="AV360" s="29">
        <v>-1.44744229343522</v>
      </c>
      <c r="AW360" s="29">
        <v>-1.98732794178672</v>
      </c>
      <c r="AX360" s="29">
        <v>-1.7051833014723501</v>
      </c>
      <c r="AY360" s="29">
        <v>-1.5291692682962501</v>
      </c>
      <c r="AZ360" s="60">
        <v>-1.36346807993374</v>
      </c>
    </row>
    <row r="361" spans="1:52" ht="15" customHeight="1">
      <c r="A361" s="63" t="s">
        <v>171</v>
      </c>
      <c r="B361" s="27">
        <v>2009</v>
      </c>
      <c r="C361" s="27" t="s">
        <v>165</v>
      </c>
      <c r="D361" s="27" t="s">
        <v>81</v>
      </c>
      <c r="E361" s="27" t="s">
        <v>19</v>
      </c>
      <c r="F361" s="41" t="s">
        <v>982</v>
      </c>
      <c r="G361" s="43">
        <v>468</v>
      </c>
      <c r="H361" s="43"/>
      <c r="I361" s="43"/>
      <c r="J361" s="43"/>
      <c r="K361" s="27" t="s">
        <v>567</v>
      </c>
      <c r="L361" s="28"/>
      <c r="M361" s="27"/>
      <c r="N361" s="27" t="s">
        <v>636</v>
      </c>
      <c r="O361" s="18"/>
      <c r="P361" s="213"/>
      <c r="Q361" s="213"/>
      <c r="R361" s="27"/>
      <c r="S361" s="27"/>
      <c r="T361" s="18"/>
      <c r="U361" s="27"/>
      <c r="V361" s="27"/>
      <c r="W361" s="30"/>
      <c r="X361" s="27"/>
      <c r="Y361" s="27"/>
      <c r="Z361" s="27"/>
      <c r="AA361" s="27"/>
      <c r="AB361" s="27"/>
      <c r="AC361" s="273">
        <v>253718209.59147424</v>
      </c>
      <c r="AD361" s="27">
        <v>18262675199.101006</v>
      </c>
      <c r="AE361" s="228">
        <v>1.3892718718666349E-2</v>
      </c>
      <c r="AF361" s="27" t="s">
        <v>2842</v>
      </c>
      <c r="AG361" s="226" t="s">
        <v>2842</v>
      </c>
      <c r="AH361" s="226" t="s">
        <v>2842</v>
      </c>
      <c r="AI361" s="27">
        <v>2356850000</v>
      </c>
      <c r="AJ361" s="226">
        <v>0.10765140318283906</v>
      </c>
      <c r="AK361" s="27">
        <v>703427914.56908584</v>
      </c>
      <c r="AL361" s="226">
        <v>0.3606882870818397</v>
      </c>
      <c r="AM361" s="27" t="s">
        <v>2842</v>
      </c>
      <c r="AN361" s="271" t="s">
        <v>2842</v>
      </c>
      <c r="AO361" s="27">
        <v>60486276</v>
      </c>
      <c r="AP361" s="27" t="s">
        <v>2842</v>
      </c>
      <c r="AQ361" s="27">
        <v>48.697804878048785</v>
      </c>
      <c r="AR361" s="27">
        <v>94.7</v>
      </c>
      <c r="AS361" s="29" t="s">
        <v>2842</v>
      </c>
      <c r="AT361" s="270" t="s">
        <v>2842</v>
      </c>
      <c r="AU361" s="464" t="s">
        <v>2842</v>
      </c>
      <c r="AV361" s="29">
        <v>-1.44744229343522</v>
      </c>
      <c r="AW361" s="29">
        <v>-1.98732794178672</v>
      </c>
      <c r="AX361" s="29">
        <v>-1.7051833014723501</v>
      </c>
      <c r="AY361" s="29">
        <v>-1.5291692682962501</v>
      </c>
      <c r="AZ361" s="60">
        <v>-1.36346807993374</v>
      </c>
    </row>
    <row r="362" spans="1:52" ht="15" customHeight="1">
      <c r="A362" s="63" t="s">
        <v>171</v>
      </c>
      <c r="B362" s="27">
        <v>2009</v>
      </c>
      <c r="C362" s="27" t="s">
        <v>165</v>
      </c>
      <c r="D362" s="27" t="s">
        <v>81</v>
      </c>
      <c r="E362" s="27" t="s">
        <v>19</v>
      </c>
      <c r="F362" s="41" t="s">
        <v>983</v>
      </c>
      <c r="G362" s="43">
        <v>110</v>
      </c>
      <c r="H362" s="43"/>
      <c r="I362" s="43"/>
      <c r="J362" s="43"/>
      <c r="K362" s="27" t="s">
        <v>567</v>
      </c>
      <c r="L362" s="28">
        <v>37298</v>
      </c>
      <c r="M362" s="27" t="s">
        <v>568</v>
      </c>
      <c r="N362" s="27" t="s">
        <v>1007</v>
      </c>
      <c r="O362" s="18">
        <f>G362*L362</f>
        <v>4102780</v>
      </c>
      <c r="P362" s="213"/>
      <c r="Q362" s="213"/>
      <c r="R362" s="27"/>
      <c r="S362" s="27"/>
      <c r="T362" s="18"/>
      <c r="U362" s="27"/>
      <c r="V362" s="27"/>
      <c r="W362" s="30"/>
      <c r="X362" s="27"/>
      <c r="Y362" s="27"/>
      <c r="Z362" s="27"/>
      <c r="AA362" s="27"/>
      <c r="AB362" s="27"/>
      <c r="AC362" s="273">
        <v>253718209.59147424</v>
      </c>
      <c r="AD362" s="27">
        <v>18262675199.101006</v>
      </c>
      <c r="AE362" s="228">
        <v>1.3892718718666349E-2</v>
      </c>
      <c r="AF362" s="27" t="s">
        <v>2842</v>
      </c>
      <c r="AG362" s="226" t="s">
        <v>2842</v>
      </c>
      <c r="AH362" s="226" t="s">
        <v>2842</v>
      </c>
      <c r="AI362" s="27">
        <v>2356850000</v>
      </c>
      <c r="AJ362" s="226">
        <v>0.10765140318283906</v>
      </c>
      <c r="AK362" s="27">
        <v>703427914.56908584</v>
      </c>
      <c r="AL362" s="226">
        <v>0.3606882870818397</v>
      </c>
      <c r="AM362" s="27" t="s">
        <v>2842</v>
      </c>
      <c r="AN362" s="271" t="s">
        <v>2842</v>
      </c>
      <c r="AO362" s="27">
        <v>60486276</v>
      </c>
      <c r="AP362" s="27" t="s">
        <v>2842</v>
      </c>
      <c r="AQ362" s="27">
        <v>48.697804878048785</v>
      </c>
      <c r="AR362" s="27">
        <v>94.7</v>
      </c>
      <c r="AS362" s="29" t="s">
        <v>2842</v>
      </c>
      <c r="AT362" s="270" t="s">
        <v>2842</v>
      </c>
      <c r="AU362" s="464" t="s">
        <v>2842</v>
      </c>
      <c r="AV362" s="29">
        <v>-1.44744229343522</v>
      </c>
      <c r="AW362" s="29">
        <v>-1.98732794178672</v>
      </c>
      <c r="AX362" s="29">
        <v>-1.7051833014723501</v>
      </c>
      <c r="AY362" s="29">
        <v>-1.5291692682962501</v>
      </c>
      <c r="AZ362" s="60">
        <v>-1.36346807993374</v>
      </c>
    </row>
    <row r="363" spans="1:52" ht="15" customHeight="1">
      <c r="A363" s="63" t="s">
        <v>171</v>
      </c>
      <c r="B363" s="27">
        <v>2009</v>
      </c>
      <c r="C363" s="27" t="s">
        <v>165</v>
      </c>
      <c r="D363" s="27" t="s">
        <v>81</v>
      </c>
      <c r="E363" s="27" t="s">
        <v>19</v>
      </c>
      <c r="F363" s="41" t="s">
        <v>985</v>
      </c>
      <c r="G363" s="43">
        <v>130</v>
      </c>
      <c r="H363" s="43"/>
      <c r="I363" s="43"/>
      <c r="J363" s="43"/>
      <c r="K363" s="27" t="s">
        <v>567</v>
      </c>
      <c r="L363" s="28">
        <f>40/0.000453592</f>
        <v>88184.976807351093</v>
      </c>
      <c r="M363" s="27" t="s">
        <v>568</v>
      </c>
      <c r="N363" s="27" t="s">
        <v>1008</v>
      </c>
      <c r="O363" s="18">
        <f>G363*L363</f>
        <v>11464046.984955642</v>
      </c>
      <c r="P363" s="213"/>
      <c r="Q363" s="213"/>
      <c r="R363" s="27"/>
      <c r="S363" s="27"/>
      <c r="T363" s="18"/>
      <c r="U363" s="27"/>
      <c r="V363" s="27"/>
      <c r="W363" s="30"/>
      <c r="X363" s="27"/>
      <c r="Y363" s="27"/>
      <c r="Z363" s="27"/>
      <c r="AA363" s="27"/>
      <c r="AB363" s="27"/>
      <c r="AC363" s="273">
        <v>253718209.59147424</v>
      </c>
      <c r="AD363" s="27">
        <v>18262675199.101006</v>
      </c>
      <c r="AE363" s="228">
        <v>1.3892718718666349E-2</v>
      </c>
      <c r="AF363" s="27" t="s">
        <v>2842</v>
      </c>
      <c r="AG363" s="226" t="s">
        <v>2842</v>
      </c>
      <c r="AH363" s="226" t="s">
        <v>2842</v>
      </c>
      <c r="AI363" s="27">
        <v>2356850000</v>
      </c>
      <c r="AJ363" s="226">
        <v>0.10765140318283906</v>
      </c>
      <c r="AK363" s="27">
        <v>703427914.56908584</v>
      </c>
      <c r="AL363" s="226">
        <v>0.3606882870818397</v>
      </c>
      <c r="AM363" s="27" t="s">
        <v>2842</v>
      </c>
      <c r="AN363" s="271" t="s">
        <v>2842</v>
      </c>
      <c r="AO363" s="27">
        <v>60486276</v>
      </c>
      <c r="AP363" s="27" t="s">
        <v>2842</v>
      </c>
      <c r="AQ363" s="27">
        <v>48.697804878048785</v>
      </c>
      <c r="AR363" s="27">
        <v>94.7</v>
      </c>
      <c r="AS363" s="29" t="s">
        <v>2842</v>
      </c>
      <c r="AT363" s="270" t="s">
        <v>2842</v>
      </c>
      <c r="AU363" s="464" t="s">
        <v>2842</v>
      </c>
      <c r="AV363" s="29">
        <v>-1.44744229343522</v>
      </c>
      <c r="AW363" s="29">
        <v>-1.98732794178672</v>
      </c>
      <c r="AX363" s="29">
        <v>-1.7051833014723501</v>
      </c>
      <c r="AY363" s="29">
        <v>-1.5291692682962501</v>
      </c>
      <c r="AZ363" s="60">
        <v>-1.36346807993374</v>
      </c>
    </row>
    <row r="364" spans="1:52" ht="15" customHeight="1">
      <c r="A364" s="63" t="s">
        <v>171</v>
      </c>
      <c r="B364" s="27">
        <v>2009</v>
      </c>
      <c r="C364" s="27" t="s">
        <v>165</v>
      </c>
      <c r="D364" s="27" t="s">
        <v>81</v>
      </c>
      <c r="E364" s="27" t="s">
        <v>19</v>
      </c>
      <c r="F364" s="41" t="s">
        <v>576</v>
      </c>
      <c r="G364" s="43"/>
      <c r="H364" s="43">
        <v>300000</v>
      </c>
      <c r="I364" s="43"/>
      <c r="J364" s="43"/>
      <c r="K364" s="27" t="s">
        <v>567</v>
      </c>
      <c r="L364" s="44">
        <f>2.85/0.000453592</f>
        <v>6283.1795975237656</v>
      </c>
      <c r="M364" s="27" t="s">
        <v>568</v>
      </c>
      <c r="N364" s="27" t="s">
        <v>1013</v>
      </c>
      <c r="O364" s="18">
        <f>G366*L364</f>
        <v>1048756922.5206794</v>
      </c>
      <c r="P364" s="213"/>
      <c r="Q364" s="213"/>
      <c r="R364" s="27"/>
      <c r="S364" s="27"/>
      <c r="T364" s="18"/>
      <c r="U364" s="27"/>
      <c r="V364" s="27"/>
      <c r="W364" s="30"/>
      <c r="X364" s="27"/>
      <c r="Y364" s="27"/>
      <c r="Z364" s="27"/>
      <c r="AA364" s="27"/>
      <c r="AB364" s="27"/>
      <c r="AC364" s="273">
        <v>253718209.59147424</v>
      </c>
      <c r="AD364" s="27">
        <v>18262675199.101006</v>
      </c>
      <c r="AE364" s="228">
        <v>1.3892718718666349E-2</v>
      </c>
      <c r="AF364" s="27" t="s">
        <v>2842</v>
      </c>
      <c r="AG364" s="226" t="s">
        <v>2842</v>
      </c>
      <c r="AH364" s="226" t="s">
        <v>2842</v>
      </c>
      <c r="AI364" s="27">
        <v>2356850000</v>
      </c>
      <c r="AJ364" s="226">
        <v>0.10765140318283906</v>
      </c>
      <c r="AK364" s="27">
        <v>703427914.56908584</v>
      </c>
      <c r="AL364" s="226">
        <v>0.3606882870818397</v>
      </c>
      <c r="AM364" s="27" t="s">
        <v>2842</v>
      </c>
      <c r="AN364" s="271" t="s">
        <v>2842</v>
      </c>
      <c r="AO364" s="27">
        <v>60486276</v>
      </c>
      <c r="AP364" s="27" t="s">
        <v>2842</v>
      </c>
      <c r="AQ364" s="27">
        <v>48.697804878048785</v>
      </c>
      <c r="AR364" s="27">
        <v>94.7</v>
      </c>
      <c r="AS364" s="29" t="s">
        <v>2842</v>
      </c>
      <c r="AT364" s="270" t="s">
        <v>2842</v>
      </c>
      <c r="AU364" s="464" t="s">
        <v>2842</v>
      </c>
      <c r="AV364" s="29">
        <v>-1.44744229343522</v>
      </c>
      <c r="AW364" s="29">
        <v>-1.98732794178672</v>
      </c>
      <c r="AX364" s="29">
        <v>-1.7051833014723501</v>
      </c>
      <c r="AY364" s="29">
        <v>-1.5291692682962501</v>
      </c>
      <c r="AZ364" s="60">
        <v>-1.36346807993374</v>
      </c>
    </row>
    <row r="365" spans="1:52" ht="15" customHeight="1">
      <c r="A365" s="63" t="s">
        <v>171</v>
      </c>
      <c r="B365" s="27">
        <v>2009</v>
      </c>
      <c r="C365" s="27" t="s">
        <v>165</v>
      </c>
      <c r="D365" s="27" t="s">
        <v>81</v>
      </c>
      <c r="E365" s="27" t="s">
        <v>19</v>
      </c>
      <c r="F365" s="41" t="s">
        <v>988</v>
      </c>
      <c r="G365" s="43">
        <v>330000</v>
      </c>
      <c r="H365" s="43"/>
      <c r="I365" s="43"/>
      <c r="J365" s="43"/>
      <c r="K365" s="27" t="s">
        <v>567</v>
      </c>
      <c r="L365" s="28"/>
      <c r="M365" s="27"/>
      <c r="N365" s="27" t="s">
        <v>636</v>
      </c>
      <c r="O365" s="18"/>
      <c r="P365" s="213"/>
      <c r="Q365" s="213"/>
      <c r="R365" s="27"/>
      <c r="S365" s="27"/>
      <c r="T365" s="18"/>
      <c r="U365" s="27"/>
      <c r="V365" s="27"/>
      <c r="W365" s="30"/>
      <c r="X365" s="27"/>
      <c r="Y365" s="27"/>
      <c r="Z365" s="27"/>
      <c r="AA365" s="27"/>
      <c r="AB365" s="27"/>
      <c r="AC365" s="273">
        <v>253718209.59147424</v>
      </c>
      <c r="AD365" s="27">
        <v>18262675199.101006</v>
      </c>
      <c r="AE365" s="228">
        <v>1.3892718718666349E-2</v>
      </c>
      <c r="AF365" s="27" t="s">
        <v>2842</v>
      </c>
      <c r="AG365" s="226" t="s">
        <v>2842</v>
      </c>
      <c r="AH365" s="226" t="s">
        <v>2842</v>
      </c>
      <c r="AI365" s="27">
        <v>2356850000</v>
      </c>
      <c r="AJ365" s="226">
        <v>0.10765140318283906</v>
      </c>
      <c r="AK365" s="27">
        <v>703427914.56908584</v>
      </c>
      <c r="AL365" s="226">
        <v>0.3606882870818397</v>
      </c>
      <c r="AM365" s="27" t="s">
        <v>2842</v>
      </c>
      <c r="AN365" s="271" t="s">
        <v>2842</v>
      </c>
      <c r="AO365" s="27">
        <v>60486276</v>
      </c>
      <c r="AP365" s="27" t="s">
        <v>2842</v>
      </c>
      <c r="AQ365" s="27">
        <v>48.697804878048785</v>
      </c>
      <c r="AR365" s="27">
        <v>94.7</v>
      </c>
      <c r="AS365" s="29" t="s">
        <v>2842</v>
      </c>
      <c r="AT365" s="270" t="s">
        <v>2842</v>
      </c>
      <c r="AU365" s="464" t="s">
        <v>2842</v>
      </c>
      <c r="AV365" s="29">
        <v>-1.44744229343522</v>
      </c>
      <c r="AW365" s="29">
        <v>-1.98732794178672</v>
      </c>
      <c r="AX365" s="29">
        <v>-1.7051833014723501</v>
      </c>
      <c r="AY365" s="29">
        <v>-1.5291692682962501</v>
      </c>
      <c r="AZ365" s="60">
        <v>-1.36346807993374</v>
      </c>
    </row>
    <row r="366" spans="1:52" ht="15" customHeight="1">
      <c r="A366" s="63" t="s">
        <v>171</v>
      </c>
      <c r="B366" s="27">
        <v>2009</v>
      </c>
      <c r="C366" s="27" t="s">
        <v>165</v>
      </c>
      <c r="D366" s="27" t="s">
        <v>81</v>
      </c>
      <c r="E366" s="27" t="s">
        <v>19</v>
      </c>
      <c r="F366" s="41" t="s">
        <v>989</v>
      </c>
      <c r="G366" s="43">
        <v>166915</v>
      </c>
      <c r="H366" s="43"/>
      <c r="I366" s="43"/>
      <c r="J366" s="43"/>
      <c r="K366" s="27" t="s">
        <v>567</v>
      </c>
      <c r="L366" s="28"/>
      <c r="M366" s="27"/>
      <c r="N366" s="27" t="s">
        <v>636</v>
      </c>
      <c r="O366" s="18"/>
      <c r="P366" s="213"/>
      <c r="Q366" s="213"/>
      <c r="R366" s="27"/>
      <c r="S366" s="27"/>
      <c r="T366" s="18"/>
      <c r="U366" s="27"/>
      <c r="V366" s="27"/>
      <c r="W366" s="30"/>
      <c r="X366" s="27"/>
      <c r="Y366" s="27"/>
      <c r="Z366" s="27"/>
      <c r="AA366" s="27"/>
      <c r="AB366" s="27"/>
      <c r="AC366" s="273">
        <v>253718209.59147424</v>
      </c>
      <c r="AD366" s="27">
        <v>18262675199.101006</v>
      </c>
      <c r="AE366" s="228">
        <v>1.3892718718666349E-2</v>
      </c>
      <c r="AF366" s="27" t="s">
        <v>2842</v>
      </c>
      <c r="AG366" s="226" t="s">
        <v>2842</v>
      </c>
      <c r="AH366" s="226" t="s">
        <v>2842</v>
      </c>
      <c r="AI366" s="27">
        <v>2356850000</v>
      </c>
      <c r="AJ366" s="226">
        <v>0.10765140318283906</v>
      </c>
      <c r="AK366" s="27">
        <v>703427914.56908584</v>
      </c>
      <c r="AL366" s="226">
        <v>0.3606882870818397</v>
      </c>
      <c r="AM366" s="27" t="s">
        <v>2842</v>
      </c>
      <c r="AN366" s="271" t="s">
        <v>2842</v>
      </c>
      <c r="AO366" s="27">
        <v>60486276</v>
      </c>
      <c r="AP366" s="27" t="s">
        <v>2842</v>
      </c>
      <c r="AQ366" s="27">
        <v>48.697804878048785</v>
      </c>
      <c r="AR366" s="27">
        <v>94.7</v>
      </c>
      <c r="AS366" s="29" t="s">
        <v>2842</v>
      </c>
      <c r="AT366" s="270" t="s">
        <v>2842</v>
      </c>
      <c r="AU366" s="464" t="s">
        <v>2842</v>
      </c>
      <c r="AV366" s="29">
        <v>-1.44744229343522</v>
      </c>
      <c r="AW366" s="29">
        <v>-1.98732794178672</v>
      </c>
      <c r="AX366" s="29">
        <v>-1.7051833014723501</v>
      </c>
      <c r="AY366" s="29">
        <v>-1.5291692682962501</v>
      </c>
      <c r="AZ366" s="60">
        <v>-1.36346807993374</v>
      </c>
    </row>
    <row r="367" spans="1:52" ht="15" customHeight="1">
      <c r="A367" s="63" t="s">
        <v>171</v>
      </c>
      <c r="B367" s="27">
        <v>2009</v>
      </c>
      <c r="C367" s="27" t="s">
        <v>165</v>
      </c>
      <c r="D367" s="27" t="s">
        <v>81</v>
      </c>
      <c r="E367" s="27" t="s">
        <v>19</v>
      </c>
      <c r="F367" s="41" t="s">
        <v>904</v>
      </c>
      <c r="G367" s="43">
        <v>16975000</v>
      </c>
      <c r="H367" s="43"/>
      <c r="I367" s="43"/>
      <c r="J367" s="43"/>
      <c r="K367" s="27" t="s">
        <v>905</v>
      </c>
      <c r="L367" s="28">
        <v>10.6</v>
      </c>
      <c r="M367" s="27" t="s">
        <v>906</v>
      </c>
      <c r="N367" s="27" t="s">
        <v>912</v>
      </c>
      <c r="O367" s="18">
        <f>G367*L367</f>
        <v>179935000</v>
      </c>
      <c r="P367" s="213"/>
      <c r="Q367" s="213"/>
      <c r="R367" s="27"/>
      <c r="S367" s="27"/>
      <c r="T367" s="18"/>
      <c r="U367" s="27"/>
      <c r="V367" s="27"/>
      <c r="W367" s="30"/>
      <c r="X367" s="27"/>
      <c r="Y367" s="27"/>
      <c r="Z367" s="27"/>
      <c r="AA367" s="27"/>
      <c r="AB367" s="27"/>
      <c r="AC367" s="273">
        <v>253718209.59147424</v>
      </c>
      <c r="AD367" s="27">
        <v>18262675199.101006</v>
      </c>
      <c r="AE367" s="228">
        <v>1.3892718718666349E-2</v>
      </c>
      <c r="AF367" s="27" t="s">
        <v>2842</v>
      </c>
      <c r="AG367" s="226" t="s">
        <v>2842</v>
      </c>
      <c r="AH367" s="226" t="s">
        <v>2842</v>
      </c>
      <c r="AI367" s="27">
        <v>2356850000</v>
      </c>
      <c r="AJ367" s="226">
        <v>0.10765140318283906</v>
      </c>
      <c r="AK367" s="27">
        <v>703427914.56908584</v>
      </c>
      <c r="AL367" s="226">
        <v>0.3606882870818397</v>
      </c>
      <c r="AM367" s="27" t="s">
        <v>2842</v>
      </c>
      <c r="AN367" s="271" t="s">
        <v>2842</v>
      </c>
      <c r="AO367" s="27">
        <v>60486276</v>
      </c>
      <c r="AP367" s="27" t="s">
        <v>2842</v>
      </c>
      <c r="AQ367" s="27">
        <v>48.697804878048785</v>
      </c>
      <c r="AR367" s="27">
        <v>94.7</v>
      </c>
      <c r="AS367" s="29" t="s">
        <v>2842</v>
      </c>
      <c r="AT367" s="270" t="s">
        <v>2842</v>
      </c>
      <c r="AU367" s="464" t="s">
        <v>2842</v>
      </c>
      <c r="AV367" s="29">
        <v>-1.44744229343522</v>
      </c>
      <c r="AW367" s="29">
        <v>-1.98732794178672</v>
      </c>
      <c r="AX367" s="29">
        <v>-1.7051833014723501</v>
      </c>
      <c r="AY367" s="29">
        <v>-1.5291692682962501</v>
      </c>
      <c r="AZ367" s="60">
        <v>-1.36346807993374</v>
      </c>
    </row>
    <row r="368" spans="1:52" ht="15" customHeight="1">
      <c r="A368" s="63" t="s">
        <v>171</v>
      </c>
      <c r="B368" s="27">
        <v>2009</v>
      </c>
      <c r="C368" s="27" t="s">
        <v>165</v>
      </c>
      <c r="D368" s="27" t="s">
        <v>81</v>
      </c>
      <c r="E368" s="27" t="s">
        <v>19</v>
      </c>
      <c r="F368" s="41" t="s">
        <v>730</v>
      </c>
      <c r="G368" s="43">
        <f>11000*32.150743126506</f>
        <v>353658.17439156602</v>
      </c>
      <c r="H368" s="43"/>
      <c r="I368" s="43"/>
      <c r="J368" s="43"/>
      <c r="K368" s="27" t="s">
        <v>731</v>
      </c>
      <c r="L368" s="28">
        <v>972.96591666666995</v>
      </c>
      <c r="M368" s="27" t="s">
        <v>732</v>
      </c>
      <c r="N368" s="27" t="s">
        <v>733</v>
      </c>
      <c r="O368" s="18">
        <f>G368*L368</f>
        <v>344097349.83355105</v>
      </c>
      <c r="P368" s="213"/>
      <c r="Q368" s="213"/>
      <c r="R368" s="27"/>
      <c r="S368" s="27"/>
      <c r="T368" s="18"/>
      <c r="U368" s="27"/>
      <c r="V368" s="27"/>
      <c r="W368" s="30"/>
      <c r="X368" s="27"/>
      <c r="Y368" s="27"/>
      <c r="Z368" s="27"/>
      <c r="AA368" s="27"/>
      <c r="AB368" s="27"/>
      <c r="AC368" s="273">
        <v>253718209.59147424</v>
      </c>
      <c r="AD368" s="27">
        <v>18262675199.101006</v>
      </c>
      <c r="AE368" s="228">
        <v>1.3892718718666349E-2</v>
      </c>
      <c r="AF368" s="27" t="s">
        <v>2842</v>
      </c>
      <c r="AG368" s="226" t="s">
        <v>2842</v>
      </c>
      <c r="AH368" s="226" t="s">
        <v>2842</v>
      </c>
      <c r="AI368" s="27">
        <v>2356850000</v>
      </c>
      <c r="AJ368" s="226">
        <v>0.10765140318283906</v>
      </c>
      <c r="AK368" s="27">
        <v>703427914.56908584</v>
      </c>
      <c r="AL368" s="226">
        <v>0.3606882870818397</v>
      </c>
      <c r="AM368" s="27" t="s">
        <v>2842</v>
      </c>
      <c r="AN368" s="271" t="s">
        <v>2842</v>
      </c>
      <c r="AO368" s="27">
        <v>60486276</v>
      </c>
      <c r="AP368" s="27" t="s">
        <v>2842</v>
      </c>
      <c r="AQ368" s="27">
        <v>48.697804878048785</v>
      </c>
      <c r="AR368" s="27">
        <v>94.7</v>
      </c>
      <c r="AS368" s="29" t="s">
        <v>2842</v>
      </c>
      <c r="AT368" s="270" t="s">
        <v>2842</v>
      </c>
      <c r="AU368" s="464" t="s">
        <v>2842</v>
      </c>
      <c r="AV368" s="29">
        <v>-1.44744229343522</v>
      </c>
      <c r="AW368" s="29">
        <v>-1.98732794178672</v>
      </c>
      <c r="AX368" s="29">
        <v>-1.7051833014723501</v>
      </c>
      <c r="AY368" s="29">
        <v>-1.5291692682962501</v>
      </c>
      <c r="AZ368" s="60">
        <v>-1.36346807993374</v>
      </c>
    </row>
    <row r="369" spans="1:52" ht="15" customHeight="1">
      <c r="A369" s="63" t="s">
        <v>171</v>
      </c>
      <c r="B369" s="27">
        <v>2009</v>
      </c>
      <c r="C369" s="27" t="s">
        <v>165</v>
      </c>
      <c r="D369" s="27" t="s">
        <v>81</v>
      </c>
      <c r="E369" s="27" t="s">
        <v>19</v>
      </c>
      <c r="F369" s="41" t="s">
        <v>982</v>
      </c>
      <c r="G369" s="43">
        <v>80</v>
      </c>
      <c r="H369" s="43"/>
      <c r="I369" s="43"/>
      <c r="J369" s="43"/>
      <c r="K369" s="27" t="s">
        <v>567</v>
      </c>
      <c r="L369" s="28"/>
      <c r="M369" s="27"/>
      <c r="N369" s="27" t="s">
        <v>636</v>
      </c>
      <c r="O369" s="18"/>
      <c r="P369" s="213"/>
      <c r="Q369" s="213"/>
      <c r="R369" s="27"/>
      <c r="S369" s="27"/>
      <c r="T369" s="18"/>
      <c r="U369" s="27"/>
      <c r="V369" s="27"/>
      <c r="W369" s="30"/>
      <c r="X369" s="27"/>
      <c r="Y369" s="27"/>
      <c r="Z369" s="27"/>
      <c r="AA369" s="27"/>
      <c r="AB369" s="27"/>
      <c r="AC369" s="273">
        <v>253718209.59147424</v>
      </c>
      <c r="AD369" s="27">
        <v>18262675199.101006</v>
      </c>
      <c r="AE369" s="228">
        <v>1.3892718718666349E-2</v>
      </c>
      <c r="AF369" s="27" t="s">
        <v>2842</v>
      </c>
      <c r="AG369" s="226" t="s">
        <v>2842</v>
      </c>
      <c r="AH369" s="226" t="s">
        <v>2842</v>
      </c>
      <c r="AI369" s="27">
        <v>2356850000</v>
      </c>
      <c r="AJ369" s="226">
        <v>0.10765140318283906</v>
      </c>
      <c r="AK369" s="27">
        <v>703427914.56908584</v>
      </c>
      <c r="AL369" s="226">
        <v>0.3606882870818397</v>
      </c>
      <c r="AM369" s="27" t="s">
        <v>2842</v>
      </c>
      <c r="AN369" s="271" t="s">
        <v>2842</v>
      </c>
      <c r="AO369" s="27">
        <v>60486276</v>
      </c>
      <c r="AP369" s="27" t="s">
        <v>2842</v>
      </c>
      <c r="AQ369" s="27">
        <v>48.697804878048785</v>
      </c>
      <c r="AR369" s="27">
        <v>94.7</v>
      </c>
      <c r="AS369" s="29" t="s">
        <v>2842</v>
      </c>
      <c r="AT369" s="270" t="s">
        <v>2842</v>
      </c>
      <c r="AU369" s="464" t="s">
        <v>2842</v>
      </c>
      <c r="AV369" s="29">
        <v>-1.44744229343522</v>
      </c>
      <c r="AW369" s="29">
        <v>-1.98732794178672</v>
      </c>
      <c r="AX369" s="29">
        <v>-1.7051833014723501</v>
      </c>
      <c r="AY369" s="29">
        <v>-1.5291692682962501</v>
      </c>
      <c r="AZ369" s="60">
        <v>-1.36346807993374</v>
      </c>
    </row>
    <row r="370" spans="1:52" ht="15" customHeight="1">
      <c r="A370" s="63" t="s">
        <v>171</v>
      </c>
      <c r="B370" s="27">
        <v>2009</v>
      </c>
      <c r="C370" s="27" t="s">
        <v>165</v>
      </c>
      <c r="D370" s="27" t="s">
        <v>81</v>
      </c>
      <c r="E370" s="27" t="s">
        <v>19</v>
      </c>
      <c r="F370" s="41" t="s">
        <v>983</v>
      </c>
      <c r="G370" s="43">
        <v>40</v>
      </c>
      <c r="H370" s="43"/>
      <c r="I370" s="43"/>
      <c r="J370" s="43"/>
      <c r="K370" s="27" t="s">
        <v>567</v>
      </c>
      <c r="L370" s="28">
        <v>37298</v>
      </c>
      <c r="M370" s="27" t="s">
        <v>568</v>
      </c>
      <c r="N370" s="27" t="s">
        <v>1007</v>
      </c>
      <c r="O370" s="18">
        <f>G370*L370</f>
        <v>1491920</v>
      </c>
      <c r="P370" s="213"/>
      <c r="Q370" s="213"/>
      <c r="R370" s="27"/>
      <c r="S370" s="27"/>
      <c r="T370" s="18"/>
      <c r="U370" s="27"/>
      <c r="V370" s="27"/>
      <c r="W370" s="30"/>
      <c r="X370" s="27"/>
      <c r="Y370" s="27"/>
      <c r="Z370" s="27"/>
      <c r="AA370" s="27"/>
      <c r="AB370" s="27"/>
      <c r="AC370" s="273">
        <v>253718209.59147424</v>
      </c>
      <c r="AD370" s="27">
        <v>18262675199.101006</v>
      </c>
      <c r="AE370" s="228">
        <v>1.3892718718666349E-2</v>
      </c>
      <c r="AF370" s="27" t="s">
        <v>2842</v>
      </c>
      <c r="AG370" s="226" t="s">
        <v>2842</v>
      </c>
      <c r="AH370" s="226" t="s">
        <v>2842</v>
      </c>
      <c r="AI370" s="27">
        <v>2356850000</v>
      </c>
      <c r="AJ370" s="226">
        <v>0.10765140318283906</v>
      </c>
      <c r="AK370" s="27">
        <v>703427914.56908584</v>
      </c>
      <c r="AL370" s="226">
        <v>0.3606882870818397</v>
      </c>
      <c r="AM370" s="27" t="s">
        <v>2842</v>
      </c>
      <c r="AN370" s="271" t="s">
        <v>2842</v>
      </c>
      <c r="AO370" s="27">
        <v>60486276</v>
      </c>
      <c r="AP370" s="27" t="s">
        <v>2842</v>
      </c>
      <c r="AQ370" s="27">
        <v>48.697804878048785</v>
      </c>
      <c r="AR370" s="27">
        <v>94.7</v>
      </c>
      <c r="AS370" s="29" t="s">
        <v>2842</v>
      </c>
      <c r="AT370" s="270" t="s">
        <v>2842</v>
      </c>
      <c r="AU370" s="464" t="s">
        <v>2842</v>
      </c>
      <c r="AV370" s="29">
        <v>-1.44744229343522</v>
      </c>
      <c r="AW370" s="29">
        <v>-1.98732794178672</v>
      </c>
      <c r="AX370" s="29">
        <v>-1.7051833014723501</v>
      </c>
      <c r="AY370" s="29">
        <v>-1.5291692682962501</v>
      </c>
      <c r="AZ370" s="60">
        <v>-1.36346807993374</v>
      </c>
    </row>
    <row r="371" spans="1:52" ht="15" customHeight="1">
      <c r="A371" s="63" t="s">
        <v>171</v>
      </c>
      <c r="B371" s="27">
        <v>2009</v>
      </c>
      <c r="C371" s="27" t="s">
        <v>165</v>
      </c>
      <c r="D371" s="27" t="s">
        <v>81</v>
      </c>
      <c r="E371" s="27" t="s">
        <v>19</v>
      </c>
      <c r="F371" s="41" t="s">
        <v>991</v>
      </c>
      <c r="G371" s="43"/>
      <c r="H371" s="43"/>
      <c r="I371" s="43"/>
      <c r="J371" s="43"/>
      <c r="K371" s="27"/>
      <c r="L371" s="44">
        <f>13573.8769166667</f>
        <v>13573.876916666701</v>
      </c>
      <c r="M371" s="27" t="s">
        <v>568</v>
      </c>
      <c r="N371" s="27" t="s">
        <v>992</v>
      </c>
      <c r="O371" s="18">
        <f>G373*L371</f>
        <v>134381381.47500035</v>
      </c>
      <c r="P371" s="213"/>
      <c r="Q371" s="213"/>
      <c r="R371" s="27"/>
      <c r="S371" s="27"/>
      <c r="T371" s="18"/>
      <c r="U371" s="27"/>
      <c r="V371" s="27"/>
      <c r="W371" s="30"/>
      <c r="X371" s="27"/>
      <c r="Y371" s="27"/>
      <c r="Z371" s="27"/>
      <c r="AA371" s="27"/>
      <c r="AB371" s="27"/>
      <c r="AC371" s="273">
        <v>253718209.59147424</v>
      </c>
      <c r="AD371" s="27">
        <v>18262675199.101006</v>
      </c>
      <c r="AE371" s="228">
        <v>1.3892718718666349E-2</v>
      </c>
      <c r="AF371" s="27" t="s">
        <v>2842</v>
      </c>
      <c r="AG371" s="226" t="s">
        <v>2842</v>
      </c>
      <c r="AH371" s="226" t="s">
        <v>2842</v>
      </c>
      <c r="AI371" s="27">
        <v>2356850000</v>
      </c>
      <c r="AJ371" s="226">
        <v>0.10765140318283906</v>
      </c>
      <c r="AK371" s="27">
        <v>703427914.56908584</v>
      </c>
      <c r="AL371" s="226">
        <v>0.3606882870818397</v>
      </c>
      <c r="AM371" s="27" t="s">
        <v>2842</v>
      </c>
      <c r="AN371" s="271" t="s">
        <v>2842</v>
      </c>
      <c r="AO371" s="27">
        <v>60486276</v>
      </c>
      <c r="AP371" s="27" t="s">
        <v>2842</v>
      </c>
      <c r="AQ371" s="27">
        <v>48.697804878048785</v>
      </c>
      <c r="AR371" s="27">
        <v>94.7</v>
      </c>
      <c r="AS371" s="29" t="s">
        <v>2842</v>
      </c>
      <c r="AT371" s="270" t="s">
        <v>2842</v>
      </c>
      <c r="AU371" s="464" t="s">
        <v>2842</v>
      </c>
      <c r="AV371" s="29">
        <v>-1.44744229343522</v>
      </c>
      <c r="AW371" s="29">
        <v>-1.98732794178672</v>
      </c>
      <c r="AX371" s="29">
        <v>-1.7051833014723501</v>
      </c>
      <c r="AY371" s="29">
        <v>-1.5291692682962501</v>
      </c>
      <c r="AZ371" s="60">
        <v>-1.36346807993374</v>
      </c>
    </row>
    <row r="372" spans="1:52" ht="15" customHeight="1">
      <c r="A372" s="63" t="s">
        <v>171</v>
      </c>
      <c r="B372" s="27">
        <v>2009</v>
      </c>
      <c r="C372" s="27" t="s">
        <v>165</v>
      </c>
      <c r="D372" s="27" t="s">
        <v>81</v>
      </c>
      <c r="E372" s="27" t="s">
        <v>19</v>
      </c>
      <c r="F372" s="41" t="s">
        <v>982</v>
      </c>
      <c r="G372" s="43">
        <v>15195</v>
      </c>
      <c r="H372" s="43"/>
      <c r="I372" s="43"/>
      <c r="J372" s="43"/>
      <c r="K372" s="27" t="s">
        <v>567</v>
      </c>
      <c r="L372" s="28"/>
      <c r="M372" s="27"/>
      <c r="N372" s="27" t="s">
        <v>636</v>
      </c>
      <c r="O372" s="18"/>
      <c r="P372" s="213"/>
      <c r="Q372" s="213"/>
      <c r="R372" s="27"/>
      <c r="S372" s="27"/>
      <c r="T372" s="18"/>
      <c r="U372" s="27"/>
      <c r="V372" s="27"/>
      <c r="W372" s="30"/>
      <c r="X372" s="27"/>
      <c r="Y372" s="27"/>
      <c r="Z372" s="27"/>
      <c r="AA372" s="27"/>
      <c r="AB372" s="27"/>
      <c r="AC372" s="273">
        <v>253718209.59147424</v>
      </c>
      <c r="AD372" s="27">
        <v>18262675199.101006</v>
      </c>
      <c r="AE372" s="228">
        <v>1.3892718718666349E-2</v>
      </c>
      <c r="AF372" s="27" t="s">
        <v>2842</v>
      </c>
      <c r="AG372" s="226" t="s">
        <v>2842</v>
      </c>
      <c r="AH372" s="226" t="s">
        <v>2842</v>
      </c>
      <c r="AI372" s="27">
        <v>2356850000</v>
      </c>
      <c r="AJ372" s="226">
        <v>0.10765140318283906</v>
      </c>
      <c r="AK372" s="27">
        <v>703427914.56908584</v>
      </c>
      <c r="AL372" s="226">
        <v>0.3606882870818397</v>
      </c>
      <c r="AM372" s="27" t="s">
        <v>2842</v>
      </c>
      <c r="AN372" s="271" t="s">
        <v>2842</v>
      </c>
      <c r="AO372" s="27">
        <v>60486276</v>
      </c>
      <c r="AP372" s="27" t="s">
        <v>2842</v>
      </c>
      <c r="AQ372" s="27">
        <v>48.697804878048785</v>
      </c>
      <c r="AR372" s="27">
        <v>94.7</v>
      </c>
      <c r="AS372" s="29" t="s">
        <v>2842</v>
      </c>
      <c r="AT372" s="270" t="s">
        <v>2842</v>
      </c>
      <c r="AU372" s="464" t="s">
        <v>2842</v>
      </c>
      <c r="AV372" s="29">
        <v>-1.44744229343522</v>
      </c>
      <c r="AW372" s="29">
        <v>-1.98732794178672</v>
      </c>
      <c r="AX372" s="29">
        <v>-1.7051833014723501</v>
      </c>
      <c r="AY372" s="29">
        <v>-1.5291692682962501</v>
      </c>
      <c r="AZ372" s="60">
        <v>-1.36346807993374</v>
      </c>
    </row>
    <row r="373" spans="1:52" ht="15" customHeight="1">
      <c r="A373" s="63" t="s">
        <v>171</v>
      </c>
      <c r="B373" s="27">
        <v>2009</v>
      </c>
      <c r="C373" s="27" t="s">
        <v>165</v>
      </c>
      <c r="D373" s="27" t="s">
        <v>81</v>
      </c>
      <c r="E373" s="27" t="s">
        <v>19</v>
      </c>
      <c r="F373" s="41" t="s">
        <v>993</v>
      </c>
      <c r="G373" s="43">
        <v>9900</v>
      </c>
      <c r="H373" s="43"/>
      <c r="I373" s="43"/>
      <c r="J373" s="43"/>
      <c r="K373" s="27" t="s">
        <v>567</v>
      </c>
      <c r="L373" s="28"/>
      <c r="M373" s="27"/>
      <c r="N373" s="27" t="s">
        <v>636</v>
      </c>
      <c r="O373" s="18"/>
      <c r="P373" s="213"/>
      <c r="Q373" s="213"/>
      <c r="R373" s="27"/>
      <c r="S373" s="27"/>
      <c r="T373" s="18"/>
      <c r="U373" s="27"/>
      <c r="V373" s="27"/>
      <c r="W373" s="30"/>
      <c r="X373" s="27"/>
      <c r="Y373" s="27"/>
      <c r="Z373" s="27"/>
      <c r="AA373" s="27"/>
      <c r="AB373" s="27"/>
      <c r="AC373" s="273">
        <v>253718209.59147424</v>
      </c>
      <c r="AD373" s="27">
        <v>18262675199.101006</v>
      </c>
      <c r="AE373" s="228">
        <v>1.3892718718666349E-2</v>
      </c>
      <c r="AF373" s="27" t="s">
        <v>2842</v>
      </c>
      <c r="AG373" s="226" t="s">
        <v>2842</v>
      </c>
      <c r="AH373" s="226" t="s">
        <v>2842</v>
      </c>
      <c r="AI373" s="27">
        <v>2356850000</v>
      </c>
      <c r="AJ373" s="226">
        <v>0.10765140318283906</v>
      </c>
      <c r="AK373" s="27">
        <v>703427914.56908584</v>
      </c>
      <c r="AL373" s="226">
        <v>0.3606882870818397</v>
      </c>
      <c r="AM373" s="27" t="s">
        <v>2842</v>
      </c>
      <c r="AN373" s="271" t="s">
        <v>2842</v>
      </c>
      <c r="AO373" s="27">
        <v>60486276</v>
      </c>
      <c r="AP373" s="27" t="s">
        <v>2842</v>
      </c>
      <c r="AQ373" s="27">
        <v>48.697804878048785</v>
      </c>
      <c r="AR373" s="27">
        <v>94.7</v>
      </c>
      <c r="AS373" s="29" t="s">
        <v>2842</v>
      </c>
      <c r="AT373" s="270" t="s">
        <v>2842</v>
      </c>
      <c r="AU373" s="464" t="s">
        <v>2842</v>
      </c>
      <c r="AV373" s="29">
        <v>-1.44744229343522</v>
      </c>
      <c r="AW373" s="29">
        <v>-1.98732794178672</v>
      </c>
      <c r="AX373" s="29">
        <v>-1.7051833014723501</v>
      </c>
      <c r="AY373" s="29">
        <v>-1.5291692682962501</v>
      </c>
      <c r="AZ373" s="60">
        <v>-1.36346807993374</v>
      </c>
    </row>
    <row r="374" spans="1:52" ht="15" customHeight="1">
      <c r="A374" s="63" t="s">
        <v>171</v>
      </c>
      <c r="B374" s="27">
        <v>2009</v>
      </c>
      <c r="C374" s="27" t="s">
        <v>165</v>
      </c>
      <c r="D374" s="27" t="s">
        <v>81</v>
      </c>
      <c r="E374" s="27" t="s">
        <v>19</v>
      </c>
      <c r="F374" s="41" t="s">
        <v>994</v>
      </c>
      <c r="G374" s="43"/>
      <c r="H374" s="43"/>
      <c r="I374" s="43"/>
      <c r="J374" s="43"/>
      <c r="K374" s="27"/>
      <c r="L374" s="28">
        <v>150.5</v>
      </c>
      <c r="M374" s="27" t="s">
        <v>568</v>
      </c>
      <c r="N374" s="27" t="s">
        <v>1011</v>
      </c>
      <c r="O374" s="18">
        <f>G376*L374</f>
        <v>30100</v>
      </c>
      <c r="P374" s="213"/>
      <c r="Q374" s="213"/>
      <c r="R374" s="27"/>
      <c r="S374" s="27"/>
      <c r="T374" s="18"/>
      <c r="U374" s="27"/>
      <c r="V374" s="27"/>
      <c r="W374" s="30"/>
      <c r="X374" s="27"/>
      <c r="Y374" s="27"/>
      <c r="Z374" s="27"/>
      <c r="AA374" s="27"/>
      <c r="AB374" s="27"/>
      <c r="AC374" s="273">
        <v>253718209.59147424</v>
      </c>
      <c r="AD374" s="27">
        <v>18262675199.101006</v>
      </c>
      <c r="AE374" s="228">
        <v>1.3892718718666349E-2</v>
      </c>
      <c r="AF374" s="27" t="s">
        <v>2842</v>
      </c>
      <c r="AG374" s="226" t="s">
        <v>2842</v>
      </c>
      <c r="AH374" s="226" t="s">
        <v>2842</v>
      </c>
      <c r="AI374" s="27">
        <v>2356850000</v>
      </c>
      <c r="AJ374" s="226">
        <v>0.10765140318283906</v>
      </c>
      <c r="AK374" s="27">
        <v>703427914.56908584</v>
      </c>
      <c r="AL374" s="226">
        <v>0.3606882870818397</v>
      </c>
      <c r="AM374" s="27" t="s">
        <v>2842</v>
      </c>
      <c r="AN374" s="271" t="s">
        <v>2842</v>
      </c>
      <c r="AO374" s="27">
        <v>60486276</v>
      </c>
      <c r="AP374" s="27" t="s">
        <v>2842</v>
      </c>
      <c r="AQ374" s="27">
        <v>48.697804878048785</v>
      </c>
      <c r="AR374" s="27">
        <v>94.7</v>
      </c>
      <c r="AS374" s="29" t="s">
        <v>2842</v>
      </c>
      <c r="AT374" s="270" t="s">
        <v>2842</v>
      </c>
      <c r="AU374" s="464" t="s">
        <v>2842</v>
      </c>
      <c r="AV374" s="29">
        <v>-1.44744229343522</v>
      </c>
      <c r="AW374" s="29">
        <v>-1.98732794178672</v>
      </c>
      <c r="AX374" s="29">
        <v>-1.7051833014723501</v>
      </c>
      <c r="AY374" s="29">
        <v>-1.5291692682962501</v>
      </c>
      <c r="AZ374" s="60">
        <v>-1.36346807993374</v>
      </c>
    </row>
    <row r="375" spans="1:52" ht="15" customHeight="1">
      <c r="A375" s="63" t="s">
        <v>171</v>
      </c>
      <c r="B375" s="27">
        <v>2009</v>
      </c>
      <c r="C375" s="27" t="s">
        <v>165</v>
      </c>
      <c r="D375" s="27" t="s">
        <v>81</v>
      </c>
      <c r="E375" s="27" t="s">
        <v>19</v>
      </c>
      <c r="F375" s="41" t="s">
        <v>982</v>
      </c>
      <c r="G375" s="43">
        <v>385</v>
      </c>
      <c r="H375" s="43"/>
      <c r="I375" s="43"/>
      <c r="J375" s="43"/>
      <c r="K375" s="27" t="s">
        <v>567</v>
      </c>
      <c r="L375" s="28"/>
      <c r="M375" s="27"/>
      <c r="N375" s="27" t="s">
        <v>636</v>
      </c>
      <c r="O375" s="18"/>
      <c r="P375" s="213"/>
      <c r="Q375" s="213"/>
      <c r="R375" s="27"/>
      <c r="S375" s="27"/>
      <c r="T375" s="18"/>
      <c r="U375" s="27"/>
      <c r="V375" s="27"/>
      <c r="W375" s="30"/>
      <c r="X375" s="27"/>
      <c r="Y375" s="27"/>
      <c r="Z375" s="27"/>
      <c r="AA375" s="27"/>
      <c r="AB375" s="27"/>
      <c r="AC375" s="273">
        <v>253718209.59147424</v>
      </c>
      <c r="AD375" s="27">
        <v>18262675199.101006</v>
      </c>
      <c r="AE375" s="228">
        <v>1.3892718718666349E-2</v>
      </c>
      <c r="AF375" s="27" t="s">
        <v>2842</v>
      </c>
      <c r="AG375" s="226" t="s">
        <v>2842</v>
      </c>
      <c r="AH375" s="226" t="s">
        <v>2842</v>
      </c>
      <c r="AI375" s="27">
        <v>2356850000</v>
      </c>
      <c r="AJ375" s="226">
        <v>0.10765140318283906</v>
      </c>
      <c r="AK375" s="27">
        <v>703427914.56908584</v>
      </c>
      <c r="AL375" s="226">
        <v>0.3606882870818397</v>
      </c>
      <c r="AM375" s="27" t="s">
        <v>2842</v>
      </c>
      <c r="AN375" s="271" t="s">
        <v>2842</v>
      </c>
      <c r="AO375" s="27">
        <v>60486276</v>
      </c>
      <c r="AP375" s="27" t="s">
        <v>2842</v>
      </c>
      <c r="AQ375" s="27">
        <v>48.697804878048785</v>
      </c>
      <c r="AR375" s="27">
        <v>94.7</v>
      </c>
      <c r="AS375" s="29" t="s">
        <v>2842</v>
      </c>
      <c r="AT375" s="270" t="s">
        <v>2842</v>
      </c>
      <c r="AU375" s="464" t="s">
        <v>2842</v>
      </c>
      <c r="AV375" s="29">
        <v>-1.44744229343522</v>
      </c>
      <c r="AW375" s="29">
        <v>-1.98732794178672</v>
      </c>
      <c r="AX375" s="29">
        <v>-1.7051833014723501</v>
      </c>
      <c r="AY375" s="29">
        <v>-1.5291692682962501</v>
      </c>
      <c r="AZ375" s="60">
        <v>-1.36346807993374</v>
      </c>
    </row>
    <row r="376" spans="1:52" ht="15" customHeight="1">
      <c r="A376" s="63" t="s">
        <v>171</v>
      </c>
      <c r="B376" s="27">
        <v>2009</v>
      </c>
      <c r="C376" s="27" t="s">
        <v>165</v>
      </c>
      <c r="D376" s="27" t="s">
        <v>81</v>
      </c>
      <c r="E376" s="27" t="s">
        <v>19</v>
      </c>
      <c r="F376" s="41" t="s">
        <v>996</v>
      </c>
      <c r="G376" s="43">
        <v>200</v>
      </c>
      <c r="H376" s="43"/>
      <c r="I376" s="43"/>
      <c r="J376" s="43"/>
      <c r="K376" s="27" t="s">
        <v>567</v>
      </c>
      <c r="L376" s="28"/>
      <c r="M376" s="27"/>
      <c r="N376" s="27" t="s">
        <v>636</v>
      </c>
      <c r="O376" s="18"/>
      <c r="P376" s="213"/>
      <c r="Q376" s="213"/>
      <c r="R376" s="27"/>
      <c r="S376" s="27"/>
      <c r="T376" s="18"/>
      <c r="U376" s="27"/>
      <c r="V376" s="27"/>
      <c r="W376" s="30"/>
      <c r="X376" s="27"/>
      <c r="Y376" s="27"/>
      <c r="Z376" s="27"/>
      <c r="AA376" s="27"/>
      <c r="AB376" s="27"/>
      <c r="AC376" s="273">
        <v>253718209.59147424</v>
      </c>
      <c r="AD376" s="27">
        <v>18262675199.101006</v>
      </c>
      <c r="AE376" s="228">
        <v>1.3892718718666349E-2</v>
      </c>
      <c r="AF376" s="27" t="s">
        <v>2842</v>
      </c>
      <c r="AG376" s="226" t="s">
        <v>2842</v>
      </c>
      <c r="AH376" s="226" t="s">
        <v>2842</v>
      </c>
      <c r="AI376" s="27">
        <v>2356850000</v>
      </c>
      <c r="AJ376" s="226">
        <v>0.10765140318283906</v>
      </c>
      <c r="AK376" s="27">
        <v>703427914.56908584</v>
      </c>
      <c r="AL376" s="226">
        <v>0.3606882870818397</v>
      </c>
      <c r="AM376" s="27" t="s">
        <v>2842</v>
      </c>
      <c r="AN376" s="271" t="s">
        <v>2842</v>
      </c>
      <c r="AO376" s="27">
        <v>60486276</v>
      </c>
      <c r="AP376" s="27" t="s">
        <v>2842</v>
      </c>
      <c r="AQ376" s="27">
        <v>48.697804878048785</v>
      </c>
      <c r="AR376" s="27">
        <v>94.7</v>
      </c>
      <c r="AS376" s="29" t="s">
        <v>2842</v>
      </c>
      <c r="AT376" s="270" t="s">
        <v>2842</v>
      </c>
      <c r="AU376" s="464" t="s">
        <v>2842</v>
      </c>
      <c r="AV376" s="29">
        <v>-1.44744229343522</v>
      </c>
      <c r="AW376" s="29">
        <v>-1.98732794178672</v>
      </c>
      <c r="AX376" s="29">
        <v>-1.7051833014723501</v>
      </c>
      <c r="AY376" s="29">
        <v>-1.5291692682962501</v>
      </c>
      <c r="AZ376" s="60">
        <v>-1.36346807993374</v>
      </c>
    </row>
    <row r="377" spans="1:52" s="287" customFormat="1" ht="15" customHeight="1">
      <c r="A377" s="369" t="s">
        <v>171</v>
      </c>
      <c r="B377" s="284">
        <v>2009</v>
      </c>
      <c r="C377" s="284" t="s">
        <v>165</v>
      </c>
      <c r="D377" s="284" t="s">
        <v>81</v>
      </c>
      <c r="E377" s="284" t="s">
        <v>19</v>
      </c>
      <c r="F377" s="315" t="s">
        <v>997</v>
      </c>
      <c r="G377" s="303">
        <v>19636</v>
      </c>
      <c r="H377" s="303"/>
      <c r="I377" s="303"/>
      <c r="J377" s="303"/>
      <c r="K377" s="284" t="s">
        <v>567</v>
      </c>
      <c r="L377" s="367">
        <f>1655.11441666667</f>
        <v>1655.11441666667</v>
      </c>
      <c r="M377" s="284" t="s">
        <v>568</v>
      </c>
      <c r="N377" s="284" t="s">
        <v>1012</v>
      </c>
      <c r="O377" s="305">
        <f>G377*L377</f>
        <v>32499826.685666732</v>
      </c>
      <c r="P377" s="306"/>
      <c r="Q377" s="306"/>
      <c r="R377" s="284"/>
      <c r="S377" s="284"/>
      <c r="T377" s="305"/>
      <c r="U377" s="284"/>
      <c r="V377" s="284"/>
      <c r="W377" s="307"/>
      <c r="X377" s="284"/>
      <c r="Y377" s="284"/>
      <c r="Z377" s="284"/>
      <c r="AA377" s="284"/>
      <c r="AB377" s="284"/>
      <c r="AC377" s="308">
        <v>253718209.59147424</v>
      </c>
      <c r="AD377" s="284">
        <v>18262675199.101006</v>
      </c>
      <c r="AE377" s="309">
        <v>1.3892718718666349E-2</v>
      </c>
      <c r="AF377" s="284" t="s">
        <v>2842</v>
      </c>
      <c r="AG377" s="310" t="s">
        <v>2842</v>
      </c>
      <c r="AH377" s="310" t="s">
        <v>2842</v>
      </c>
      <c r="AI377" s="284">
        <v>2356850000</v>
      </c>
      <c r="AJ377" s="310">
        <v>0.10765140318283906</v>
      </c>
      <c r="AK377" s="284">
        <v>703427914.56908584</v>
      </c>
      <c r="AL377" s="310">
        <v>0.3606882870818397</v>
      </c>
      <c r="AM377" s="284" t="s">
        <v>2842</v>
      </c>
      <c r="AN377" s="311" t="s">
        <v>2842</v>
      </c>
      <c r="AO377" s="284">
        <v>60486276</v>
      </c>
      <c r="AP377" s="284" t="s">
        <v>2842</v>
      </c>
      <c r="AQ377" s="284">
        <v>48.697804878048785</v>
      </c>
      <c r="AR377" s="284">
        <v>94.7</v>
      </c>
      <c r="AS377" s="287" t="s">
        <v>2842</v>
      </c>
      <c r="AT377" s="312" t="s">
        <v>2842</v>
      </c>
      <c r="AU377" s="465" t="s">
        <v>2842</v>
      </c>
      <c r="AV377" s="287">
        <v>-1.44744229343522</v>
      </c>
      <c r="AW377" s="287">
        <v>-1.98732794178672</v>
      </c>
      <c r="AX377" s="287">
        <v>-1.7051833014723501</v>
      </c>
      <c r="AY377" s="287">
        <v>-1.5291692682962501</v>
      </c>
      <c r="AZ377" s="313">
        <v>-1.36346807993374</v>
      </c>
    </row>
    <row r="378" spans="1:52" s="29" customFormat="1" ht="15" customHeight="1">
      <c r="A378" s="347" t="s">
        <v>173</v>
      </c>
      <c r="B378" s="27">
        <v>2010</v>
      </c>
      <c r="C378" s="27" t="s">
        <v>165</v>
      </c>
      <c r="D378" s="27" t="s">
        <v>81</v>
      </c>
      <c r="E378" s="27" t="s">
        <v>36</v>
      </c>
      <c r="F378" s="41" t="s">
        <v>659</v>
      </c>
      <c r="G378" s="43"/>
      <c r="H378" s="43"/>
      <c r="I378" s="43"/>
      <c r="J378" s="43"/>
      <c r="K378" s="27"/>
      <c r="L378" s="28"/>
      <c r="M378" s="27"/>
      <c r="N378" s="27"/>
      <c r="O378" s="18">
        <f>O379+O380</f>
        <v>3616420259.5613256</v>
      </c>
      <c r="P378" s="213">
        <v>875938726</v>
      </c>
      <c r="Q378" s="213">
        <v>773021963</v>
      </c>
      <c r="R378" s="27" t="s">
        <v>619</v>
      </c>
      <c r="S378" s="27"/>
      <c r="T378" s="18"/>
      <c r="U378" s="27" t="s">
        <v>1014</v>
      </c>
      <c r="V378" s="27" t="s">
        <v>802</v>
      </c>
      <c r="W378" s="30">
        <v>910</v>
      </c>
      <c r="X378" s="27">
        <v>60</v>
      </c>
      <c r="Y378" s="27" t="s">
        <v>1015</v>
      </c>
      <c r="Z378" s="27">
        <v>58</v>
      </c>
      <c r="AA378" s="27" t="s">
        <v>1016</v>
      </c>
      <c r="AB378" s="27" t="s">
        <v>1017</v>
      </c>
      <c r="AC378" s="273">
        <v>875938726</v>
      </c>
      <c r="AD378" s="27">
        <v>21561941369.362782</v>
      </c>
      <c r="AE378" s="228">
        <v>4.0624297738079164E-2</v>
      </c>
      <c r="AF378" s="27" t="s">
        <v>2842</v>
      </c>
      <c r="AG378" s="226" t="s">
        <v>2842</v>
      </c>
      <c r="AH378" s="226" t="s">
        <v>2842</v>
      </c>
      <c r="AI378" s="27">
        <v>3486160000</v>
      </c>
      <c r="AJ378" s="226">
        <v>0.25126176824930585</v>
      </c>
      <c r="AK378" s="27">
        <v>688338743.68682432</v>
      </c>
      <c r="AL378" s="226">
        <v>1.2725402049990211</v>
      </c>
      <c r="AM378" s="27">
        <v>539710485.83410907</v>
      </c>
      <c r="AN378" s="271">
        <v>1.6229788914444725</v>
      </c>
      <c r="AO378" s="27">
        <v>62191161</v>
      </c>
      <c r="AP378" s="27" t="s">
        <v>2842</v>
      </c>
      <c r="AQ378" s="27">
        <v>48.987682926829265</v>
      </c>
      <c r="AR378" s="27">
        <v>92.4</v>
      </c>
      <c r="AS378" s="29" t="s">
        <v>2842</v>
      </c>
      <c r="AT378" s="270" t="s">
        <v>2842</v>
      </c>
      <c r="AU378" s="464" t="s">
        <v>2842</v>
      </c>
      <c r="AV378" s="29">
        <v>-1.4446722820503</v>
      </c>
      <c r="AW378" s="29">
        <v>-2.2271516163748899</v>
      </c>
      <c r="AX378" s="29">
        <v>-1.73494098745098</v>
      </c>
      <c r="AY378" s="29">
        <v>-1.58230061557214</v>
      </c>
      <c r="AZ378" s="60">
        <v>-1.4180767145324</v>
      </c>
    </row>
    <row r="379" spans="1:52" s="29" customFormat="1" ht="15" customHeight="1">
      <c r="A379" s="63" t="s">
        <v>173</v>
      </c>
      <c r="B379" s="27">
        <v>2010</v>
      </c>
      <c r="C379" s="27" t="s">
        <v>165</v>
      </c>
      <c r="D379" s="27" t="s">
        <v>81</v>
      </c>
      <c r="E379" s="27" t="s">
        <v>98</v>
      </c>
      <c r="F379" s="41" t="s">
        <v>98</v>
      </c>
      <c r="G379" s="43">
        <v>7665000</v>
      </c>
      <c r="H379" s="43"/>
      <c r="I379" s="43"/>
      <c r="J379" s="43"/>
      <c r="K379" s="27" t="s">
        <v>603</v>
      </c>
      <c r="L379" s="28">
        <v>79.513869349999993</v>
      </c>
      <c r="M379" s="27" t="s">
        <v>626</v>
      </c>
      <c r="N379" s="27" t="s">
        <v>947</v>
      </c>
      <c r="O379" s="18">
        <f>G379*L379</f>
        <v>609473808.56774998</v>
      </c>
      <c r="P379" s="213">
        <v>327300475</v>
      </c>
      <c r="Q379" s="213">
        <v>328738146</v>
      </c>
      <c r="R379" s="27"/>
      <c r="S379" s="27"/>
      <c r="T379" s="18"/>
      <c r="U379" s="27"/>
      <c r="V379" s="27"/>
      <c r="W379" s="30"/>
      <c r="X379" s="27">
        <v>11</v>
      </c>
      <c r="Y379" s="27"/>
      <c r="Z379" s="27"/>
      <c r="AA379" s="27"/>
      <c r="AB379" s="27"/>
      <c r="AC379" s="273">
        <v>875938726</v>
      </c>
      <c r="AD379" s="27">
        <v>21561941369.362782</v>
      </c>
      <c r="AE379" s="228">
        <v>4.0624297738079164E-2</v>
      </c>
      <c r="AF379" s="27" t="s">
        <v>2842</v>
      </c>
      <c r="AG379" s="226" t="s">
        <v>2842</v>
      </c>
      <c r="AH379" s="226" t="s">
        <v>2842</v>
      </c>
      <c r="AI379" s="27">
        <v>3486160000</v>
      </c>
      <c r="AJ379" s="226">
        <v>0.25126176824930585</v>
      </c>
      <c r="AK379" s="27">
        <v>688338743.68682432</v>
      </c>
      <c r="AL379" s="226">
        <v>1.2725402049990211</v>
      </c>
      <c r="AM379" s="27">
        <v>539710485.83410907</v>
      </c>
      <c r="AN379" s="271">
        <v>1.6229788914444725</v>
      </c>
      <c r="AO379" s="27">
        <v>62191161</v>
      </c>
      <c r="AP379" s="27" t="s">
        <v>2842</v>
      </c>
      <c r="AQ379" s="27">
        <v>48.987682926829265</v>
      </c>
      <c r="AR379" s="27">
        <v>92.4</v>
      </c>
      <c r="AS379" s="29" t="s">
        <v>2842</v>
      </c>
      <c r="AT379" s="270" t="s">
        <v>2842</v>
      </c>
      <c r="AU379" s="464" t="s">
        <v>2842</v>
      </c>
      <c r="AV379" s="29">
        <v>-1.4446722820503</v>
      </c>
      <c r="AW379" s="29">
        <v>-2.2271516163748899</v>
      </c>
      <c r="AX379" s="29">
        <v>-1.73494098745098</v>
      </c>
      <c r="AY379" s="29">
        <v>-1.58230061557214</v>
      </c>
      <c r="AZ379" s="60">
        <v>-1.4180767145324</v>
      </c>
    </row>
    <row r="380" spans="1:52" s="29" customFormat="1" ht="15" customHeight="1">
      <c r="A380" s="63" t="s">
        <v>173</v>
      </c>
      <c r="B380" s="27">
        <v>2010</v>
      </c>
      <c r="C380" s="27" t="s">
        <v>165</v>
      </c>
      <c r="D380" s="27" t="s">
        <v>81</v>
      </c>
      <c r="E380" s="27" t="s">
        <v>19</v>
      </c>
      <c r="F380" s="41" t="s">
        <v>559</v>
      </c>
      <c r="G380" s="43"/>
      <c r="H380" s="43"/>
      <c r="I380" s="43"/>
      <c r="J380" s="43"/>
      <c r="K380" s="27"/>
      <c r="L380" s="28"/>
      <c r="M380" s="27"/>
      <c r="N380" s="27"/>
      <c r="O380" s="18">
        <f>SUM(O381:O399)</f>
        <v>3006946450.9935756</v>
      </c>
      <c r="P380" s="213">
        <v>548638253</v>
      </c>
      <c r="Q380" s="213">
        <v>444283817</v>
      </c>
      <c r="R380" s="27"/>
      <c r="S380" s="27"/>
      <c r="T380" s="18"/>
      <c r="U380" s="27"/>
      <c r="V380" s="27"/>
      <c r="W380" s="30"/>
      <c r="X380" s="27">
        <v>49</v>
      </c>
      <c r="Y380" s="27"/>
      <c r="Z380" s="27"/>
      <c r="AA380" s="27"/>
      <c r="AB380" s="27"/>
      <c r="AC380" s="273">
        <v>875938726</v>
      </c>
      <c r="AD380" s="27">
        <v>21561941369.362782</v>
      </c>
      <c r="AE380" s="228">
        <v>4.0624297738079164E-2</v>
      </c>
      <c r="AF380" s="27" t="s">
        <v>2842</v>
      </c>
      <c r="AG380" s="226" t="s">
        <v>2842</v>
      </c>
      <c r="AH380" s="226" t="s">
        <v>2842</v>
      </c>
      <c r="AI380" s="27">
        <v>3486160000</v>
      </c>
      <c r="AJ380" s="226">
        <v>0.25126176824930585</v>
      </c>
      <c r="AK380" s="27">
        <v>688338743.68682432</v>
      </c>
      <c r="AL380" s="226">
        <v>1.2725402049990211</v>
      </c>
      <c r="AM380" s="27">
        <v>539710485.83410907</v>
      </c>
      <c r="AN380" s="271">
        <v>1.6229788914444725</v>
      </c>
      <c r="AO380" s="27">
        <v>62191161</v>
      </c>
      <c r="AP380" s="27" t="s">
        <v>2842</v>
      </c>
      <c r="AQ380" s="27">
        <v>48.987682926829265</v>
      </c>
      <c r="AR380" s="27">
        <v>92.4</v>
      </c>
      <c r="AS380" s="29" t="s">
        <v>2842</v>
      </c>
      <c r="AT380" s="270" t="s">
        <v>2842</v>
      </c>
      <c r="AU380" s="464" t="s">
        <v>2842</v>
      </c>
      <c r="AV380" s="29">
        <v>-1.4446722820503</v>
      </c>
      <c r="AW380" s="29">
        <v>-2.2271516163748899</v>
      </c>
      <c r="AX380" s="29">
        <v>-1.73494098745098</v>
      </c>
      <c r="AY380" s="29">
        <v>-1.58230061557214</v>
      </c>
      <c r="AZ380" s="60">
        <v>-1.4180767145324</v>
      </c>
    </row>
    <row r="381" spans="1:52" s="29" customFormat="1" ht="15" customHeight="1">
      <c r="A381" s="63" t="s">
        <v>173</v>
      </c>
      <c r="B381" s="27">
        <v>2010</v>
      </c>
      <c r="C381" s="27" t="s">
        <v>165</v>
      </c>
      <c r="D381" s="27" t="s">
        <v>81</v>
      </c>
      <c r="E381" s="27" t="s">
        <v>19</v>
      </c>
      <c r="F381" s="41" t="s">
        <v>977</v>
      </c>
      <c r="G381" s="43"/>
      <c r="H381" s="43"/>
      <c r="I381" s="43"/>
      <c r="J381" s="43"/>
      <c r="K381" s="27"/>
      <c r="L381" s="28">
        <f>20.85/0.000453592</f>
        <v>45966.419160831763</v>
      </c>
      <c r="M381" s="27" t="s">
        <v>568</v>
      </c>
      <c r="N381" s="27" t="s">
        <v>1006</v>
      </c>
      <c r="O381" s="18">
        <f>G383*L381</f>
        <v>194070221.69703171</v>
      </c>
      <c r="P381" s="213"/>
      <c r="Q381" s="213"/>
      <c r="R381" s="27"/>
      <c r="S381" s="27"/>
      <c r="T381" s="18"/>
      <c r="U381" s="27"/>
      <c r="V381" s="27"/>
      <c r="W381" s="30"/>
      <c r="X381" s="27"/>
      <c r="Y381" s="27"/>
      <c r="Z381" s="27"/>
      <c r="AA381" s="27"/>
      <c r="AB381" s="27"/>
      <c r="AC381" s="273">
        <v>875938726</v>
      </c>
      <c r="AD381" s="27">
        <v>21561941369.362782</v>
      </c>
      <c r="AE381" s="228">
        <v>4.0624297738079164E-2</v>
      </c>
      <c r="AF381" s="27" t="s">
        <v>2842</v>
      </c>
      <c r="AG381" s="226" t="s">
        <v>2842</v>
      </c>
      <c r="AH381" s="226" t="s">
        <v>2842</v>
      </c>
      <c r="AI381" s="27">
        <v>3486160000</v>
      </c>
      <c r="AJ381" s="226">
        <v>0.25126176824930585</v>
      </c>
      <c r="AK381" s="27">
        <v>688338743.68682432</v>
      </c>
      <c r="AL381" s="226">
        <v>1.2725402049990211</v>
      </c>
      <c r="AM381" s="27">
        <v>539710485.83410907</v>
      </c>
      <c r="AN381" s="271">
        <v>1.6229788914444725</v>
      </c>
      <c r="AO381" s="27">
        <v>62191161</v>
      </c>
      <c r="AP381" s="27" t="s">
        <v>2842</v>
      </c>
      <c r="AQ381" s="27">
        <v>48.987682926829265</v>
      </c>
      <c r="AR381" s="27">
        <v>92.4</v>
      </c>
      <c r="AS381" s="29" t="s">
        <v>2842</v>
      </c>
      <c r="AT381" s="270" t="s">
        <v>2842</v>
      </c>
      <c r="AU381" s="464" t="s">
        <v>2842</v>
      </c>
      <c r="AV381" s="29">
        <v>-1.4446722820503</v>
      </c>
      <c r="AW381" s="29">
        <v>-2.2271516163748899</v>
      </c>
      <c r="AX381" s="29">
        <v>-1.73494098745098</v>
      </c>
      <c r="AY381" s="29">
        <v>-1.58230061557214</v>
      </c>
      <c r="AZ381" s="60">
        <v>-1.4180767145324</v>
      </c>
    </row>
    <row r="382" spans="1:52" s="29" customFormat="1" ht="15" customHeight="1">
      <c r="A382" s="63" t="s">
        <v>173</v>
      </c>
      <c r="B382" s="27">
        <v>2010</v>
      </c>
      <c r="C382" s="27" t="s">
        <v>165</v>
      </c>
      <c r="D382" s="27" t="s">
        <v>81</v>
      </c>
      <c r="E382" s="27" t="s">
        <v>19</v>
      </c>
      <c r="F382" s="41" t="s">
        <v>979</v>
      </c>
      <c r="G382" s="43">
        <v>60000</v>
      </c>
      <c r="H382" s="43"/>
      <c r="I382" s="43"/>
      <c r="J382" s="43"/>
      <c r="K382" s="27" t="s">
        <v>567</v>
      </c>
      <c r="L382" s="28"/>
      <c r="M382" s="27"/>
      <c r="N382" s="27" t="s">
        <v>636</v>
      </c>
      <c r="O382" s="18"/>
      <c r="P382" s="213"/>
      <c r="Q382" s="213"/>
      <c r="R382" s="27"/>
      <c r="S382" s="27"/>
      <c r="T382" s="18"/>
      <c r="U382" s="27"/>
      <c r="V382" s="27"/>
      <c r="W382" s="30"/>
      <c r="X382" s="27"/>
      <c r="Y382" s="27"/>
      <c r="Z382" s="27"/>
      <c r="AA382" s="27"/>
      <c r="AB382" s="27"/>
      <c r="AC382" s="273">
        <v>875938726</v>
      </c>
      <c r="AD382" s="27">
        <v>21561941369.362782</v>
      </c>
      <c r="AE382" s="228">
        <v>4.0624297738079164E-2</v>
      </c>
      <c r="AF382" s="27" t="s">
        <v>2842</v>
      </c>
      <c r="AG382" s="226" t="s">
        <v>2842</v>
      </c>
      <c r="AH382" s="226" t="s">
        <v>2842</v>
      </c>
      <c r="AI382" s="27">
        <v>3486160000</v>
      </c>
      <c r="AJ382" s="226">
        <v>0.25126176824930585</v>
      </c>
      <c r="AK382" s="27">
        <v>688338743.68682432</v>
      </c>
      <c r="AL382" s="226">
        <v>1.2725402049990211</v>
      </c>
      <c r="AM382" s="27">
        <v>539710485.83410907</v>
      </c>
      <c r="AN382" s="271">
        <v>1.6229788914444725</v>
      </c>
      <c r="AO382" s="27">
        <v>62191161</v>
      </c>
      <c r="AP382" s="27" t="s">
        <v>2842</v>
      </c>
      <c r="AQ382" s="27">
        <v>48.987682926829265</v>
      </c>
      <c r="AR382" s="27">
        <v>92.4</v>
      </c>
      <c r="AS382" s="29" t="s">
        <v>2842</v>
      </c>
      <c r="AT382" s="270" t="s">
        <v>2842</v>
      </c>
      <c r="AU382" s="464" t="s">
        <v>2842</v>
      </c>
      <c r="AV382" s="29">
        <v>-1.4446722820503</v>
      </c>
      <c r="AW382" s="29">
        <v>-2.2271516163748899</v>
      </c>
      <c r="AX382" s="29">
        <v>-1.73494098745098</v>
      </c>
      <c r="AY382" s="29">
        <v>-1.58230061557214</v>
      </c>
      <c r="AZ382" s="60">
        <v>-1.4180767145324</v>
      </c>
    </row>
    <row r="383" spans="1:52" s="29" customFormat="1" ht="15" customHeight="1">
      <c r="A383" s="63" t="s">
        <v>173</v>
      </c>
      <c r="B383" s="27">
        <v>2010</v>
      </c>
      <c r="C383" s="27" t="s">
        <v>165</v>
      </c>
      <c r="D383" s="27" t="s">
        <v>81</v>
      </c>
      <c r="E383" s="27" t="s">
        <v>19</v>
      </c>
      <c r="F383" s="41" t="s">
        <v>980</v>
      </c>
      <c r="G383" s="43">
        <v>4222</v>
      </c>
      <c r="H383" s="43"/>
      <c r="I383" s="43"/>
      <c r="J383" s="43"/>
      <c r="K383" s="27" t="s">
        <v>567</v>
      </c>
      <c r="L383" s="28"/>
      <c r="M383" s="27"/>
      <c r="N383" s="27" t="s">
        <v>636</v>
      </c>
      <c r="O383" s="18"/>
      <c r="P383" s="213"/>
      <c r="Q383" s="213"/>
      <c r="R383" s="27"/>
      <c r="S383" s="27"/>
      <c r="T383" s="18"/>
      <c r="U383" s="27"/>
      <c r="V383" s="27"/>
      <c r="W383" s="30"/>
      <c r="X383" s="27"/>
      <c r="Y383" s="27"/>
      <c r="Z383" s="27"/>
      <c r="AA383" s="27"/>
      <c r="AB383" s="27"/>
      <c r="AC383" s="273">
        <v>875938726</v>
      </c>
      <c r="AD383" s="27">
        <v>21561941369.362782</v>
      </c>
      <c r="AE383" s="228">
        <v>4.0624297738079164E-2</v>
      </c>
      <c r="AF383" s="27" t="s">
        <v>2842</v>
      </c>
      <c r="AG383" s="226" t="s">
        <v>2842</v>
      </c>
      <c r="AH383" s="226" t="s">
        <v>2842</v>
      </c>
      <c r="AI383" s="27">
        <v>3486160000</v>
      </c>
      <c r="AJ383" s="226">
        <v>0.25126176824930585</v>
      </c>
      <c r="AK383" s="27">
        <v>688338743.68682432</v>
      </c>
      <c r="AL383" s="226">
        <v>1.2725402049990211</v>
      </c>
      <c r="AM383" s="27">
        <v>539710485.83410907</v>
      </c>
      <c r="AN383" s="271">
        <v>1.6229788914444725</v>
      </c>
      <c r="AO383" s="27">
        <v>62191161</v>
      </c>
      <c r="AP383" s="27" t="s">
        <v>2842</v>
      </c>
      <c r="AQ383" s="27">
        <v>48.987682926829265</v>
      </c>
      <c r="AR383" s="27">
        <v>92.4</v>
      </c>
      <c r="AS383" s="29" t="s">
        <v>2842</v>
      </c>
      <c r="AT383" s="270" t="s">
        <v>2842</v>
      </c>
      <c r="AU383" s="464" t="s">
        <v>2842</v>
      </c>
      <c r="AV383" s="29">
        <v>-1.4446722820503</v>
      </c>
      <c r="AW383" s="29">
        <v>-2.2271516163748899</v>
      </c>
      <c r="AX383" s="29">
        <v>-1.73494098745098</v>
      </c>
      <c r="AY383" s="29">
        <v>-1.58230061557214</v>
      </c>
      <c r="AZ383" s="60">
        <v>-1.4180767145324</v>
      </c>
    </row>
    <row r="384" spans="1:52" s="29" customFormat="1" ht="15" customHeight="1">
      <c r="A384" s="63" t="s">
        <v>173</v>
      </c>
      <c r="B384" s="27">
        <v>2010</v>
      </c>
      <c r="C384" s="27" t="s">
        <v>165</v>
      </c>
      <c r="D384" s="27" t="s">
        <v>81</v>
      </c>
      <c r="E384" s="27" t="s">
        <v>19</v>
      </c>
      <c r="F384" s="41" t="s">
        <v>981</v>
      </c>
      <c r="G384" s="43"/>
      <c r="H384" s="43"/>
      <c r="I384" s="43"/>
      <c r="J384" s="43"/>
      <c r="K384" s="27"/>
      <c r="L384" s="28"/>
      <c r="M384" s="27"/>
      <c r="N384" s="27"/>
      <c r="O384" s="18"/>
      <c r="P384" s="213"/>
      <c r="Q384" s="213"/>
      <c r="R384" s="27"/>
      <c r="S384" s="27"/>
      <c r="T384" s="18"/>
      <c r="U384" s="27"/>
      <c r="V384" s="27"/>
      <c r="W384" s="30"/>
      <c r="X384" s="27"/>
      <c r="Y384" s="27"/>
      <c r="Z384" s="27"/>
      <c r="AA384" s="27"/>
      <c r="AB384" s="27"/>
      <c r="AC384" s="273">
        <v>875938726</v>
      </c>
      <c r="AD384" s="27">
        <v>21561941369.362782</v>
      </c>
      <c r="AE384" s="228">
        <v>4.0624297738079164E-2</v>
      </c>
      <c r="AF384" s="27" t="s">
        <v>2842</v>
      </c>
      <c r="AG384" s="226" t="s">
        <v>2842</v>
      </c>
      <c r="AH384" s="226" t="s">
        <v>2842</v>
      </c>
      <c r="AI384" s="27">
        <v>3486160000</v>
      </c>
      <c r="AJ384" s="226">
        <v>0.25126176824930585</v>
      </c>
      <c r="AK384" s="27">
        <v>688338743.68682432</v>
      </c>
      <c r="AL384" s="226">
        <v>1.2725402049990211</v>
      </c>
      <c r="AM384" s="27">
        <v>539710485.83410907</v>
      </c>
      <c r="AN384" s="271">
        <v>1.6229788914444725</v>
      </c>
      <c r="AO384" s="27">
        <v>62191161</v>
      </c>
      <c r="AP384" s="27" t="s">
        <v>2842</v>
      </c>
      <c r="AQ384" s="27">
        <v>48.987682926829265</v>
      </c>
      <c r="AR384" s="27">
        <v>92.4</v>
      </c>
      <c r="AS384" s="29" t="s">
        <v>2842</v>
      </c>
      <c r="AT384" s="270" t="s">
        <v>2842</v>
      </c>
      <c r="AU384" s="464" t="s">
        <v>2842</v>
      </c>
      <c r="AV384" s="29">
        <v>-1.4446722820503</v>
      </c>
      <c r="AW384" s="29">
        <v>-2.2271516163748899</v>
      </c>
      <c r="AX384" s="29">
        <v>-1.73494098745098</v>
      </c>
      <c r="AY384" s="29">
        <v>-1.58230061557214</v>
      </c>
      <c r="AZ384" s="60">
        <v>-1.4180767145324</v>
      </c>
    </row>
    <row r="385" spans="1:52" s="29" customFormat="1" ht="15" customHeight="1">
      <c r="A385" s="63" t="s">
        <v>173</v>
      </c>
      <c r="B385" s="27">
        <v>2010</v>
      </c>
      <c r="C385" s="27" t="s">
        <v>165</v>
      </c>
      <c r="D385" s="27" t="s">
        <v>81</v>
      </c>
      <c r="E385" s="27" t="s">
        <v>19</v>
      </c>
      <c r="F385" s="41" t="s">
        <v>982</v>
      </c>
      <c r="G385" s="43">
        <v>397</v>
      </c>
      <c r="H385" s="43"/>
      <c r="I385" s="43"/>
      <c r="J385" s="43"/>
      <c r="K385" s="27" t="s">
        <v>567</v>
      </c>
      <c r="L385" s="28"/>
      <c r="M385" s="27"/>
      <c r="N385" s="27" t="s">
        <v>636</v>
      </c>
      <c r="O385" s="18"/>
      <c r="P385" s="213"/>
      <c r="Q385" s="213"/>
      <c r="R385" s="27"/>
      <c r="S385" s="27"/>
      <c r="T385" s="18"/>
      <c r="U385" s="27"/>
      <c r="V385" s="27"/>
      <c r="W385" s="30"/>
      <c r="X385" s="27"/>
      <c r="Y385" s="27"/>
      <c r="Z385" s="27"/>
      <c r="AA385" s="27"/>
      <c r="AB385" s="27"/>
      <c r="AC385" s="273">
        <v>875938726</v>
      </c>
      <c r="AD385" s="27">
        <v>21561941369.362782</v>
      </c>
      <c r="AE385" s="228">
        <v>4.0624297738079164E-2</v>
      </c>
      <c r="AF385" s="27" t="s">
        <v>2842</v>
      </c>
      <c r="AG385" s="226" t="s">
        <v>2842</v>
      </c>
      <c r="AH385" s="226" t="s">
        <v>2842</v>
      </c>
      <c r="AI385" s="27">
        <v>3486160000</v>
      </c>
      <c r="AJ385" s="226">
        <v>0.25126176824930585</v>
      </c>
      <c r="AK385" s="27">
        <v>688338743.68682432</v>
      </c>
      <c r="AL385" s="226">
        <v>1.2725402049990211</v>
      </c>
      <c r="AM385" s="27">
        <v>539710485.83410907</v>
      </c>
      <c r="AN385" s="271">
        <v>1.6229788914444725</v>
      </c>
      <c r="AO385" s="27">
        <v>62191161</v>
      </c>
      <c r="AP385" s="27" t="s">
        <v>2842</v>
      </c>
      <c r="AQ385" s="27">
        <v>48.987682926829265</v>
      </c>
      <c r="AR385" s="27">
        <v>92.4</v>
      </c>
      <c r="AS385" s="29" t="s">
        <v>2842</v>
      </c>
      <c r="AT385" s="270" t="s">
        <v>2842</v>
      </c>
      <c r="AU385" s="464" t="s">
        <v>2842</v>
      </c>
      <c r="AV385" s="29">
        <v>-1.4446722820503</v>
      </c>
      <c r="AW385" s="29">
        <v>-2.2271516163748899</v>
      </c>
      <c r="AX385" s="29">
        <v>-1.73494098745098</v>
      </c>
      <c r="AY385" s="29">
        <v>-1.58230061557214</v>
      </c>
      <c r="AZ385" s="60">
        <v>-1.4180767145324</v>
      </c>
    </row>
    <row r="386" spans="1:52" s="29" customFormat="1" ht="15" customHeight="1">
      <c r="A386" s="63" t="s">
        <v>173</v>
      </c>
      <c r="B386" s="27">
        <v>2010</v>
      </c>
      <c r="C386" s="27" t="s">
        <v>165</v>
      </c>
      <c r="D386" s="27" t="s">
        <v>81</v>
      </c>
      <c r="E386" s="27" t="s">
        <v>19</v>
      </c>
      <c r="F386" s="41" t="s">
        <v>983</v>
      </c>
      <c r="G386" s="43">
        <v>90</v>
      </c>
      <c r="H386" s="43"/>
      <c r="I386" s="43"/>
      <c r="J386" s="43"/>
      <c r="K386" s="27" t="s">
        <v>567</v>
      </c>
      <c r="L386" s="28">
        <v>37781</v>
      </c>
      <c r="M386" s="27" t="s">
        <v>568</v>
      </c>
      <c r="N386" s="27" t="s">
        <v>1007</v>
      </c>
      <c r="O386" s="18">
        <f>G386*L386</f>
        <v>3400290</v>
      </c>
      <c r="P386" s="213"/>
      <c r="Q386" s="213"/>
      <c r="R386" s="27"/>
      <c r="S386" s="27"/>
      <c r="T386" s="18"/>
      <c r="U386" s="27"/>
      <c r="V386" s="27"/>
      <c r="W386" s="30"/>
      <c r="X386" s="27"/>
      <c r="Y386" s="27"/>
      <c r="Z386" s="27"/>
      <c r="AA386" s="27"/>
      <c r="AB386" s="27"/>
      <c r="AC386" s="273">
        <v>875938726</v>
      </c>
      <c r="AD386" s="27">
        <v>21561941369.362782</v>
      </c>
      <c r="AE386" s="228">
        <v>4.0624297738079164E-2</v>
      </c>
      <c r="AF386" s="27" t="s">
        <v>2842</v>
      </c>
      <c r="AG386" s="226" t="s">
        <v>2842</v>
      </c>
      <c r="AH386" s="226" t="s">
        <v>2842</v>
      </c>
      <c r="AI386" s="27">
        <v>3486160000</v>
      </c>
      <c r="AJ386" s="226">
        <v>0.25126176824930585</v>
      </c>
      <c r="AK386" s="27">
        <v>688338743.68682432</v>
      </c>
      <c r="AL386" s="226">
        <v>1.2725402049990211</v>
      </c>
      <c r="AM386" s="27">
        <v>539710485.83410907</v>
      </c>
      <c r="AN386" s="271">
        <v>1.6229788914444725</v>
      </c>
      <c r="AO386" s="27">
        <v>62191161</v>
      </c>
      <c r="AP386" s="27" t="s">
        <v>2842</v>
      </c>
      <c r="AQ386" s="27">
        <v>48.987682926829265</v>
      </c>
      <c r="AR386" s="27">
        <v>92.4</v>
      </c>
      <c r="AS386" s="29" t="s">
        <v>2842</v>
      </c>
      <c r="AT386" s="270" t="s">
        <v>2842</v>
      </c>
      <c r="AU386" s="464" t="s">
        <v>2842</v>
      </c>
      <c r="AV386" s="29">
        <v>-1.4446722820503</v>
      </c>
      <c r="AW386" s="29">
        <v>-2.2271516163748899</v>
      </c>
      <c r="AX386" s="29">
        <v>-1.73494098745098</v>
      </c>
      <c r="AY386" s="29">
        <v>-1.58230061557214</v>
      </c>
      <c r="AZ386" s="60">
        <v>-1.4180767145324</v>
      </c>
    </row>
    <row r="387" spans="1:52" s="29" customFormat="1" ht="15" customHeight="1">
      <c r="A387" s="63" t="s">
        <v>173</v>
      </c>
      <c r="B387" s="27">
        <v>2010</v>
      </c>
      <c r="C387" s="27" t="s">
        <v>165</v>
      </c>
      <c r="D387" s="27" t="s">
        <v>81</v>
      </c>
      <c r="E387" s="27" t="s">
        <v>19</v>
      </c>
      <c r="F387" s="41" t="s">
        <v>985</v>
      </c>
      <c r="G387" s="43">
        <v>110</v>
      </c>
      <c r="H387" s="43"/>
      <c r="I387" s="43"/>
      <c r="J387" s="43"/>
      <c r="K387" s="27" t="s">
        <v>567</v>
      </c>
      <c r="L387" s="28">
        <f>54/0.000453592</f>
        <v>119049.71868992399</v>
      </c>
      <c r="M387" s="27" t="s">
        <v>568</v>
      </c>
      <c r="N387" s="27" t="s">
        <v>1008</v>
      </c>
      <c r="O387" s="18">
        <f>G387*L387</f>
        <v>13095469.055891639</v>
      </c>
      <c r="P387" s="213"/>
      <c r="Q387" s="213"/>
      <c r="R387" s="27"/>
      <c r="S387" s="27"/>
      <c r="T387" s="18"/>
      <c r="U387" s="27"/>
      <c r="V387" s="27"/>
      <c r="W387" s="30"/>
      <c r="X387" s="27"/>
      <c r="Y387" s="27"/>
      <c r="Z387" s="27"/>
      <c r="AA387" s="27"/>
      <c r="AB387" s="27"/>
      <c r="AC387" s="273">
        <v>875938726</v>
      </c>
      <c r="AD387" s="27">
        <v>21561941369.362782</v>
      </c>
      <c r="AE387" s="228">
        <v>4.0624297738079164E-2</v>
      </c>
      <c r="AF387" s="27" t="s">
        <v>2842</v>
      </c>
      <c r="AG387" s="226" t="s">
        <v>2842</v>
      </c>
      <c r="AH387" s="226" t="s">
        <v>2842</v>
      </c>
      <c r="AI387" s="27">
        <v>3486160000</v>
      </c>
      <c r="AJ387" s="226">
        <v>0.25126176824930585</v>
      </c>
      <c r="AK387" s="27">
        <v>688338743.68682432</v>
      </c>
      <c r="AL387" s="226">
        <v>1.2725402049990211</v>
      </c>
      <c r="AM387" s="27">
        <v>539710485.83410907</v>
      </c>
      <c r="AN387" s="271">
        <v>1.6229788914444725</v>
      </c>
      <c r="AO387" s="27">
        <v>62191161</v>
      </c>
      <c r="AP387" s="27" t="s">
        <v>2842</v>
      </c>
      <c r="AQ387" s="27">
        <v>48.987682926829265</v>
      </c>
      <c r="AR387" s="27">
        <v>92.4</v>
      </c>
      <c r="AS387" s="29" t="s">
        <v>2842</v>
      </c>
      <c r="AT387" s="270" t="s">
        <v>2842</v>
      </c>
      <c r="AU387" s="464" t="s">
        <v>2842</v>
      </c>
      <c r="AV387" s="29">
        <v>-1.4446722820503</v>
      </c>
      <c r="AW387" s="29">
        <v>-2.2271516163748899</v>
      </c>
      <c r="AX387" s="29">
        <v>-1.73494098745098</v>
      </c>
      <c r="AY387" s="29">
        <v>-1.58230061557214</v>
      </c>
      <c r="AZ387" s="60">
        <v>-1.4180767145324</v>
      </c>
    </row>
    <row r="388" spans="1:52" s="29" customFormat="1" ht="15" customHeight="1">
      <c r="A388" s="63" t="s">
        <v>173</v>
      </c>
      <c r="B388" s="27">
        <v>2010</v>
      </c>
      <c r="C388" s="27" t="s">
        <v>165</v>
      </c>
      <c r="D388" s="27" t="s">
        <v>81</v>
      </c>
      <c r="E388" s="27" t="s">
        <v>19</v>
      </c>
      <c r="F388" s="41" t="s">
        <v>576</v>
      </c>
      <c r="G388" s="43"/>
      <c r="H388" s="43"/>
      <c r="I388" s="43"/>
      <c r="J388" s="43"/>
      <c r="K388" s="27"/>
      <c r="L388" s="44">
        <f>3.45/0.000453592</f>
        <v>7605.9542496340327</v>
      </c>
      <c r="M388" s="27" t="s">
        <v>568</v>
      </c>
      <c r="N388" s="27" t="s">
        <v>1013</v>
      </c>
      <c r="O388" s="18">
        <f>G390*L388</f>
        <v>1983321024.1803207</v>
      </c>
      <c r="P388" s="213"/>
      <c r="Q388" s="213"/>
      <c r="R388" s="27"/>
      <c r="S388" s="27"/>
      <c r="T388" s="18"/>
      <c r="U388" s="27"/>
      <c r="V388" s="27"/>
      <c r="W388" s="30"/>
      <c r="X388" s="27"/>
      <c r="Y388" s="27"/>
      <c r="Z388" s="27"/>
      <c r="AA388" s="27"/>
      <c r="AB388" s="27"/>
      <c r="AC388" s="273">
        <v>875938726</v>
      </c>
      <c r="AD388" s="27">
        <v>21561941369.362782</v>
      </c>
      <c r="AE388" s="228">
        <v>4.0624297738079164E-2</v>
      </c>
      <c r="AF388" s="27" t="s">
        <v>2842</v>
      </c>
      <c r="AG388" s="226" t="s">
        <v>2842</v>
      </c>
      <c r="AH388" s="226" t="s">
        <v>2842</v>
      </c>
      <c r="AI388" s="27">
        <v>3486160000</v>
      </c>
      <c r="AJ388" s="226">
        <v>0.25126176824930585</v>
      </c>
      <c r="AK388" s="27">
        <v>688338743.68682432</v>
      </c>
      <c r="AL388" s="226">
        <v>1.2725402049990211</v>
      </c>
      <c r="AM388" s="27">
        <v>539710485.83410907</v>
      </c>
      <c r="AN388" s="271">
        <v>1.6229788914444725</v>
      </c>
      <c r="AO388" s="27">
        <v>62191161</v>
      </c>
      <c r="AP388" s="27" t="s">
        <v>2842</v>
      </c>
      <c r="AQ388" s="27">
        <v>48.987682926829265</v>
      </c>
      <c r="AR388" s="27">
        <v>92.4</v>
      </c>
      <c r="AS388" s="29" t="s">
        <v>2842</v>
      </c>
      <c r="AT388" s="270" t="s">
        <v>2842</v>
      </c>
      <c r="AU388" s="464" t="s">
        <v>2842</v>
      </c>
      <c r="AV388" s="29">
        <v>-1.4446722820503</v>
      </c>
      <c r="AW388" s="29">
        <v>-2.2271516163748899</v>
      </c>
      <c r="AX388" s="29">
        <v>-1.73494098745098</v>
      </c>
      <c r="AY388" s="29">
        <v>-1.58230061557214</v>
      </c>
      <c r="AZ388" s="60">
        <v>-1.4180767145324</v>
      </c>
    </row>
    <row r="389" spans="1:52" s="29" customFormat="1" ht="15" customHeight="1">
      <c r="A389" s="63" t="s">
        <v>173</v>
      </c>
      <c r="B389" s="27">
        <v>2010</v>
      </c>
      <c r="C389" s="27" t="s">
        <v>165</v>
      </c>
      <c r="D389" s="27" t="s">
        <v>81</v>
      </c>
      <c r="E389" s="27" t="s">
        <v>19</v>
      </c>
      <c r="F389" s="41" t="s">
        <v>988</v>
      </c>
      <c r="G389" s="43">
        <v>420000</v>
      </c>
      <c r="H389" s="43"/>
      <c r="I389" s="43"/>
      <c r="J389" s="43"/>
      <c r="K389" s="27" t="s">
        <v>567</v>
      </c>
      <c r="L389" s="28"/>
      <c r="M389" s="27"/>
      <c r="N389" s="27" t="s">
        <v>636</v>
      </c>
      <c r="O389" s="18"/>
      <c r="P389" s="213"/>
      <c r="Q389" s="213"/>
      <c r="R389" s="27"/>
      <c r="S389" s="27"/>
      <c r="T389" s="18"/>
      <c r="U389" s="27"/>
      <c r="V389" s="27"/>
      <c r="W389" s="30"/>
      <c r="X389" s="27"/>
      <c r="Y389" s="27"/>
      <c r="Z389" s="27"/>
      <c r="AA389" s="27"/>
      <c r="AB389" s="27"/>
      <c r="AC389" s="273">
        <v>875938726</v>
      </c>
      <c r="AD389" s="27">
        <v>21561941369.362782</v>
      </c>
      <c r="AE389" s="228">
        <v>4.0624297738079164E-2</v>
      </c>
      <c r="AF389" s="27" t="s">
        <v>2842</v>
      </c>
      <c r="AG389" s="226" t="s">
        <v>2842</v>
      </c>
      <c r="AH389" s="226" t="s">
        <v>2842</v>
      </c>
      <c r="AI389" s="27">
        <v>3486160000</v>
      </c>
      <c r="AJ389" s="226">
        <v>0.25126176824930585</v>
      </c>
      <c r="AK389" s="27">
        <v>688338743.68682432</v>
      </c>
      <c r="AL389" s="226">
        <v>1.2725402049990211</v>
      </c>
      <c r="AM389" s="27">
        <v>539710485.83410907</v>
      </c>
      <c r="AN389" s="271">
        <v>1.6229788914444725</v>
      </c>
      <c r="AO389" s="27">
        <v>62191161</v>
      </c>
      <c r="AP389" s="27" t="s">
        <v>2842</v>
      </c>
      <c r="AQ389" s="27">
        <v>48.987682926829265</v>
      </c>
      <c r="AR389" s="27">
        <v>92.4</v>
      </c>
      <c r="AS389" s="29" t="s">
        <v>2842</v>
      </c>
      <c r="AT389" s="270" t="s">
        <v>2842</v>
      </c>
      <c r="AU389" s="464" t="s">
        <v>2842</v>
      </c>
      <c r="AV389" s="29">
        <v>-1.4446722820503</v>
      </c>
      <c r="AW389" s="29">
        <v>-2.2271516163748899</v>
      </c>
      <c r="AX389" s="29">
        <v>-1.73494098745098</v>
      </c>
      <c r="AY389" s="29">
        <v>-1.58230061557214</v>
      </c>
      <c r="AZ389" s="60">
        <v>-1.4180767145324</v>
      </c>
    </row>
    <row r="390" spans="1:52" s="29" customFormat="1" ht="15" customHeight="1">
      <c r="A390" s="63" t="s">
        <v>173</v>
      </c>
      <c r="B390" s="27">
        <v>2010</v>
      </c>
      <c r="C390" s="27" t="s">
        <v>165</v>
      </c>
      <c r="D390" s="27" t="s">
        <v>81</v>
      </c>
      <c r="E390" s="27" t="s">
        <v>19</v>
      </c>
      <c r="F390" s="41" t="s">
        <v>989</v>
      </c>
      <c r="G390" s="43">
        <v>260759</v>
      </c>
      <c r="H390" s="43"/>
      <c r="I390" s="43"/>
      <c r="J390" s="43"/>
      <c r="K390" s="27" t="s">
        <v>567</v>
      </c>
      <c r="L390" s="28"/>
      <c r="M390" s="27"/>
      <c r="N390" s="27" t="s">
        <v>636</v>
      </c>
      <c r="O390" s="18"/>
      <c r="P390" s="213"/>
      <c r="Q390" s="213"/>
      <c r="R390" s="27"/>
      <c r="S390" s="27"/>
      <c r="T390" s="18"/>
      <c r="U390" s="27"/>
      <c r="V390" s="27"/>
      <c r="W390" s="30"/>
      <c r="X390" s="27"/>
      <c r="Y390" s="27"/>
      <c r="Z390" s="27"/>
      <c r="AA390" s="27"/>
      <c r="AB390" s="27"/>
      <c r="AC390" s="273">
        <v>875938726</v>
      </c>
      <c r="AD390" s="27">
        <v>21561941369.362782</v>
      </c>
      <c r="AE390" s="228">
        <v>4.0624297738079164E-2</v>
      </c>
      <c r="AF390" s="27" t="s">
        <v>2842</v>
      </c>
      <c r="AG390" s="226" t="s">
        <v>2842</v>
      </c>
      <c r="AH390" s="226" t="s">
        <v>2842</v>
      </c>
      <c r="AI390" s="27">
        <v>3486160000</v>
      </c>
      <c r="AJ390" s="226">
        <v>0.25126176824930585</v>
      </c>
      <c r="AK390" s="27">
        <v>688338743.68682432</v>
      </c>
      <c r="AL390" s="226">
        <v>1.2725402049990211</v>
      </c>
      <c r="AM390" s="27">
        <v>539710485.83410907</v>
      </c>
      <c r="AN390" s="271">
        <v>1.6229788914444725</v>
      </c>
      <c r="AO390" s="27">
        <v>62191161</v>
      </c>
      <c r="AP390" s="27" t="s">
        <v>2842</v>
      </c>
      <c r="AQ390" s="27">
        <v>48.987682926829265</v>
      </c>
      <c r="AR390" s="27">
        <v>92.4</v>
      </c>
      <c r="AS390" s="29" t="s">
        <v>2842</v>
      </c>
      <c r="AT390" s="270" t="s">
        <v>2842</v>
      </c>
      <c r="AU390" s="464" t="s">
        <v>2842</v>
      </c>
      <c r="AV390" s="29">
        <v>-1.4446722820503</v>
      </c>
      <c r="AW390" s="29">
        <v>-2.2271516163748899</v>
      </c>
      <c r="AX390" s="29">
        <v>-1.73494098745098</v>
      </c>
      <c r="AY390" s="29">
        <v>-1.58230061557214</v>
      </c>
      <c r="AZ390" s="60">
        <v>-1.4180767145324</v>
      </c>
    </row>
    <row r="391" spans="1:52" s="29" customFormat="1" ht="15" customHeight="1">
      <c r="A391" s="63" t="s">
        <v>173</v>
      </c>
      <c r="B391" s="27">
        <v>2010</v>
      </c>
      <c r="C391" s="27" t="s">
        <v>165</v>
      </c>
      <c r="D391" s="27" t="s">
        <v>81</v>
      </c>
      <c r="E391" s="27" t="s">
        <v>19</v>
      </c>
      <c r="F391" s="41" t="s">
        <v>904</v>
      </c>
      <c r="G391" s="43">
        <v>16800000</v>
      </c>
      <c r="H391" s="43"/>
      <c r="I391" s="43"/>
      <c r="J391" s="43"/>
      <c r="K391" s="27" t="s">
        <v>905</v>
      </c>
      <c r="L391" s="28">
        <v>8.64</v>
      </c>
      <c r="M391" s="27" t="s">
        <v>906</v>
      </c>
      <c r="N391" s="27" t="s">
        <v>915</v>
      </c>
      <c r="O391" s="18">
        <f>G391*L391</f>
        <v>145152000</v>
      </c>
      <c r="P391" s="213"/>
      <c r="Q391" s="213"/>
      <c r="R391" s="27"/>
      <c r="S391" s="27"/>
      <c r="T391" s="18"/>
      <c r="U391" s="27"/>
      <c r="V391" s="27"/>
      <c r="W391" s="30"/>
      <c r="X391" s="27"/>
      <c r="Y391" s="27"/>
      <c r="Z391" s="27"/>
      <c r="AA391" s="27"/>
      <c r="AB391" s="27"/>
      <c r="AC391" s="273">
        <v>875938726</v>
      </c>
      <c r="AD391" s="27">
        <v>21561941369.362782</v>
      </c>
      <c r="AE391" s="228">
        <v>4.0624297738079164E-2</v>
      </c>
      <c r="AF391" s="27" t="s">
        <v>2842</v>
      </c>
      <c r="AG391" s="226" t="s">
        <v>2842</v>
      </c>
      <c r="AH391" s="226" t="s">
        <v>2842</v>
      </c>
      <c r="AI391" s="27">
        <v>3486160000</v>
      </c>
      <c r="AJ391" s="226">
        <v>0.25126176824930585</v>
      </c>
      <c r="AK391" s="27">
        <v>688338743.68682432</v>
      </c>
      <c r="AL391" s="226">
        <v>1.2725402049990211</v>
      </c>
      <c r="AM391" s="27">
        <v>539710485.83410907</v>
      </c>
      <c r="AN391" s="271">
        <v>1.6229788914444725</v>
      </c>
      <c r="AO391" s="27">
        <v>62191161</v>
      </c>
      <c r="AP391" s="27" t="s">
        <v>2842</v>
      </c>
      <c r="AQ391" s="27">
        <v>48.987682926829265</v>
      </c>
      <c r="AR391" s="27">
        <v>92.4</v>
      </c>
      <c r="AS391" s="29" t="s">
        <v>2842</v>
      </c>
      <c r="AT391" s="270" t="s">
        <v>2842</v>
      </c>
      <c r="AU391" s="464" t="s">
        <v>2842</v>
      </c>
      <c r="AV391" s="29">
        <v>-1.4446722820503</v>
      </c>
      <c r="AW391" s="29">
        <v>-2.2271516163748899</v>
      </c>
      <c r="AX391" s="29">
        <v>-1.73494098745098</v>
      </c>
      <c r="AY391" s="29">
        <v>-1.58230061557214</v>
      </c>
      <c r="AZ391" s="60">
        <v>-1.4180767145324</v>
      </c>
    </row>
    <row r="392" spans="1:52" s="29" customFormat="1" ht="15" customHeight="1">
      <c r="A392" s="63" t="s">
        <v>173</v>
      </c>
      <c r="B392" s="27">
        <v>2010</v>
      </c>
      <c r="C392" s="27" t="s">
        <v>165</v>
      </c>
      <c r="D392" s="27" t="s">
        <v>81</v>
      </c>
      <c r="E392" s="27" t="s">
        <v>19</v>
      </c>
      <c r="F392" s="41" t="s">
        <v>730</v>
      </c>
      <c r="G392" s="43">
        <f>12000*32.150743126506</f>
        <v>385808.917518072</v>
      </c>
      <c r="H392" s="43"/>
      <c r="I392" s="43"/>
      <c r="J392" s="43"/>
      <c r="K392" s="27" t="s">
        <v>731</v>
      </c>
      <c r="L392" s="28">
        <v>1224.66425</v>
      </c>
      <c r="M392" s="27" t="s">
        <v>732</v>
      </c>
      <c r="N392" s="27" t="s">
        <v>733</v>
      </c>
      <c r="O392" s="18">
        <f>G392*L392</f>
        <v>472486388.61558151</v>
      </c>
      <c r="P392" s="213"/>
      <c r="Q392" s="213"/>
      <c r="R392" s="27"/>
      <c r="S392" s="27"/>
      <c r="T392" s="18"/>
      <c r="U392" s="27"/>
      <c r="V392" s="27"/>
      <c r="W392" s="30"/>
      <c r="X392" s="27"/>
      <c r="Y392" s="27"/>
      <c r="Z392" s="27"/>
      <c r="AA392" s="27"/>
      <c r="AB392" s="27"/>
      <c r="AC392" s="273">
        <v>875938726</v>
      </c>
      <c r="AD392" s="27">
        <v>21561941369.362782</v>
      </c>
      <c r="AE392" s="228">
        <v>4.0624297738079164E-2</v>
      </c>
      <c r="AF392" s="27" t="s">
        <v>2842</v>
      </c>
      <c r="AG392" s="226" t="s">
        <v>2842</v>
      </c>
      <c r="AH392" s="226" t="s">
        <v>2842</v>
      </c>
      <c r="AI392" s="27">
        <v>3486160000</v>
      </c>
      <c r="AJ392" s="226">
        <v>0.25126176824930585</v>
      </c>
      <c r="AK392" s="27">
        <v>688338743.68682432</v>
      </c>
      <c r="AL392" s="226">
        <v>1.2725402049990211</v>
      </c>
      <c r="AM392" s="27">
        <v>539710485.83410907</v>
      </c>
      <c r="AN392" s="271">
        <v>1.6229788914444725</v>
      </c>
      <c r="AO392" s="27">
        <v>62191161</v>
      </c>
      <c r="AP392" s="27" t="s">
        <v>2842</v>
      </c>
      <c r="AQ392" s="27">
        <v>48.987682926829265</v>
      </c>
      <c r="AR392" s="27">
        <v>92.4</v>
      </c>
      <c r="AS392" s="29" t="s">
        <v>2842</v>
      </c>
      <c r="AT392" s="270" t="s">
        <v>2842</v>
      </c>
      <c r="AU392" s="464" t="s">
        <v>2842</v>
      </c>
      <c r="AV392" s="29">
        <v>-1.4446722820503</v>
      </c>
      <c r="AW392" s="29">
        <v>-2.2271516163748899</v>
      </c>
      <c r="AX392" s="29">
        <v>-1.73494098745098</v>
      </c>
      <c r="AY392" s="29">
        <v>-1.58230061557214</v>
      </c>
      <c r="AZ392" s="60">
        <v>-1.4180767145324</v>
      </c>
    </row>
    <row r="393" spans="1:52" s="29" customFormat="1" ht="15" customHeight="1">
      <c r="A393" s="63" t="s">
        <v>173</v>
      </c>
      <c r="B393" s="27">
        <v>2010</v>
      </c>
      <c r="C393" s="27" t="s">
        <v>165</v>
      </c>
      <c r="D393" s="27" t="s">
        <v>81</v>
      </c>
      <c r="E393" s="27" t="s">
        <v>19</v>
      </c>
      <c r="F393" s="41" t="s">
        <v>991</v>
      </c>
      <c r="G393" s="43"/>
      <c r="H393" s="43"/>
      <c r="I393" s="43"/>
      <c r="J393" s="43"/>
      <c r="K393" s="27"/>
      <c r="L393" s="44">
        <f>20405.62325</f>
        <v>20405.623250000001</v>
      </c>
      <c r="M393" s="27" t="s">
        <v>568</v>
      </c>
      <c r="N393" s="27" t="s">
        <v>992</v>
      </c>
      <c r="O393" s="18">
        <f>G395*L393</f>
        <v>175488359.95000002</v>
      </c>
      <c r="P393" s="213"/>
      <c r="Q393" s="213"/>
      <c r="R393" s="27"/>
      <c r="S393" s="27"/>
      <c r="T393" s="18"/>
      <c r="U393" s="27"/>
      <c r="V393" s="27"/>
      <c r="W393" s="30"/>
      <c r="X393" s="27"/>
      <c r="Y393" s="27"/>
      <c r="Z393" s="27"/>
      <c r="AA393" s="27"/>
      <c r="AB393" s="27"/>
      <c r="AC393" s="273">
        <v>875938726</v>
      </c>
      <c r="AD393" s="27">
        <v>21561941369.362782</v>
      </c>
      <c r="AE393" s="228">
        <v>4.0624297738079164E-2</v>
      </c>
      <c r="AF393" s="27" t="s">
        <v>2842</v>
      </c>
      <c r="AG393" s="226" t="s">
        <v>2842</v>
      </c>
      <c r="AH393" s="226" t="s">
        <v>2842</v>
      </c>
      <c r="AI393" s="27">
        <v>3486160000</v>
      </c>
      <c r="AJ393" s="226">
        <v>0.25126176824930585</v>
      </c>
      <c r="AK393" s="27">
        <v>688338743.68682432</v>
      </c>
      <c r="AL393" s="226">
        <v>1.2725402049990211</v>
      </c>
      <c r="AM393" s="27">
        <v>539710485.83410907</v>
      </c>
      <c r="AN393" s="271">
        <v>1.6229788914444725</v>
      </c>
      <c r="AO393" s="27">
        <v>62191161</v>
      </c>
      <c r="AP393" s="27" t="s">
        <v>2842</v>
      </c>
      <c r="AQ393" s="27">
        <v>48.987682926829265</v>
      </c>
      <c r="AR393" s="27">
        <v>92.4</v>
      </c>
      <c r="AS393" s="29" t="s">
        <v>2842</v>
      </c>
      <c r="AT393" s="270" t="s">
        <v>2842</v>
      </c>
      <c r="AU393" s="464" t="s">
        <v>2842</v>
      </c>
      <c r="AV393" s="29">
        <v>-1.4446722820503</v>
      </c>
      <c r="AW393" s="29">
        <v>-2.2271516163748899</v>
      </c>
      <c r="AX393" s="29">
        <v>-1.73494098745098</v>
      </c>
      <c r="AY393" s="29">
        <v>-1.58230061557214</v>
      </c>
      <c r="AZ393" s="60">
        <v>-1.4180767145324</v>
      </c>
    </row>
    <row r="394" spans="1:52" s="29" customFormat="1" ht="15" customHeight="1">
      <c r="A394" s="63" t="s">
        <v>173</v>
      </c>
      <c r="B394" s="27">
        <v>2010</v>
      </c>
      <c r="C394" s="27" t="s">
        <v>165</v>
      </c>
      <c r="D394" s="27" t="s">
        <v>81</v>
      </c>
      <c r="E394" s="27" t="s">
        <v>19</v>
      </c>
      <c r="F394" s="41" t="s">
        <v>982</v>
      </c>
      <c r="G394" s="43">
        <v>13255</v>
      </c>
      <c r="H394" s="43"/>
      <c r="I394" s="43"/>
      <c r="J394" s="43"/>
      <c r="K394" s="27" t="s">
        <v>567</v>
      </c>
      <c r="L394" s="28"/>
      <c r="M394" s="27"/>
      <c r="N394" s="27" t="s">
        <v>636</v>
      </c>
      <c r="O394" s="18"/>
      <c r="P394" s="213"/>
      <c r="Q394" s="213"/>
      <c r="R394" s="27"/>
      <c r="S394" s="27"/>
      <c r="T394" s="18"/>
      <c r="U394" s="27"/>
      <c r="V394" s="27"/>
      <c r="W394" s="30"/>
      <c r="X394" s="27"/>
      <c r="Y394" s="27"/>
      <c r="Z394" s="27"/>
      <c r="AA394" s="27"/>
      <c r="AB394" s="27"/>
      <c r="AC394" s="273">
        <v>875938726</v>
      </c>
      <c r="AD394" s="27">
        <v>21561941369.362782</v>
      </c>
      <c r="AE394" s="228">
        <v>4.0624297738079164E-2</v>
      </c>
      <c r="AF394" s="27" t="s">
        <v>2842</v>
      </c>
      <c r="AG394" s="226" t="s">
        <v>2842</v>
      </c>
      <c r="AH394" s="226" t="s">
        <v>2842</v>
      </c>
      <c r="AI394" s="27">
        <v>3486160000</v>
      </c>
      <c r="AJ394" s="226">
        <v>0.25126176824930585</v>
      </c>
      <c r="AK394" s="27">
        <v>688338743.68682432</v>
      </c>
      <c r="AL394" s="226">
        <v>1.2725402049990211</v>
      </c>
      <c r="AM394" s="27">
        <v>539710485.83410907</v>
      </c>
      <c r="AN394" s="271">
        <v>1.6229788914444725</v>
      </c>
      <c r="AO394" s="27">
        <v>62191161</v>
      </c>
      <c r="AP394" s="27" t="s">
        <v>2842</v>
      </c>
      <c r="AQ394" s="27">
        <v>48.987682926829265</v>
      </c>
      <c r="AR394" s="27">
        <v>92.4</v>
      </c>
      <c r="AS394" s="29" t="s">
        <v>2842</v>
      </c>
      <c r="AT394" s="270" t="s">
        <v>2842</v>
      </c>
      <c r="AU394" s="464" t="s">
        <v>2842</v>
      </c>
      <c r="AV394" s="29">
        <v>-1.4446722820503</v>
      </c>
      <c r="AW394" s="29">
        <v>-2.2271516163748899</v>
      </c>
      <c r="AX394" s="29">
        <v>-1.73494098745098</v>
      </c>
      <c r="AY394" s="29">
        <v>-1.58230061557214</v>
      </c>
      <c r="AZ394" s="60">
        <v>-1.4180767145324</v>
      </c>
    </row>
    <row r="395" spans="1:52" s="29" customFormat="1" ht="15" customHeight="1">
      <c r="A395" s="63" t="s">
        <v>173</v>
      </c>
      <c r="B395" s="27">
        <v>2010</v>
      </c>
      <c r="C395" s="27" t="s">
        <v>165</v>
      </c>
      <c r="D395" s="27" t="s">
        <v>81</v>
      </c>
      <c r="E395" s="27" t="s">
        <v>19</v>
      </c>
      <c r="F395" s="41" t="s">
        <v>993</v>
      </c>
      <c r="G395" s="43">
        <v>8600</v>
      </c>
      <c r="H395" s="43"/>
      <c r="I395" s="43"/>
      <c r="J395" s="43"/>
      <c r="K395" s="27" t="s">
        <v>567</v>
      </c>
      <c r="L395" s="28"/>
      <c r="M395" s="27"/>
      <c r="N395" s="27" t="s">
        <v>636</v>
      </c>
      <c r="O395" s="18"/>
      <c r="P395" s="213"/>
      <c r="Q395" s="213"/>
      <c r="R395" s="27"/>
      <c r="S395" s="27"/>
      <c r="T395" s="18"/>
      <c r="U395" s="27"/>
      <c r="V395" s="27"/>
      <c r="W395" s="30"/>
      <c r="X395" s="27"/>
      <c r="Y395" s="27"/>
      <c r="Z395" s="27"/>
      <c r="AA395" s="27"/>
      <c r="AB395" s="27"/>
      <c r="AC395" s="273">
        <v>875938726</v>
      </c>
      <c r="AD395" s="27">
        <v>21561941369.362782</v>
      </c>
      <c r="AE395" s="228">
        <v>4.0624297738079164E-2</v>
      </c>
      <c r="AF395" s="27" t="s">
        <v>2842</v>
      </c>
      <c r="AG395" s="226" t="s">
        <v>2842</v>
      </c>
      <c r="AH395" s="226" t="s">
        <v>2842</v>
      </c>
      <c r="AI395" s="27">
        <v>3486160000</v>
      </c>
      <c r="AJ395" s="226">
        <v>0.25126176824930585</v>
      </c>
      <c r="AK395" s="27">
        <v>688338743.68682432</v>
      </c>
      <c r="AL395" s="226">
        <v>1.2725402049990211</v>
      </c>
      <c r="AM395" s="27">
        <v>539710485.83410907</v>
      </c>
      <c r="AN395" s="271">
        <v>1.6229788914444725</v>
      </c>
      <c r="AO395" s="27">
        <v>62191161</v>
      </c>
      <c r="AP395" s="27" t="s">
        <v>2842</v>
      </c>
      <c r="AQ395" s="27">
        <v>48.987682926829265</v>
      </c>
      <c r="AR395" s="27">
        <v>92.4</v>
      </c>
      <c r="AS395" s="29" t="s">
        <v>2842</v>
      </c>
      <c r="AT395" s="270" t="s">
        <v>2842</v>
      </c>
      <c r="AU395" s="464" t="s">
        <v>2842</v>
      </c>
      <c r="AV395" s="29">
        <v>-1.4446722820503</v>
      </c>
      <c r="AW395" s="29">
        <v>-2.2271516163748899</v>
      </c>
      <c r="AX395" s="29">
        <v>-1.73494098745098</v>
      </c>
      <c r="AY395" s="29">
        <v>-1.58230061557214</v>
      </c>
      <c r="AZ395" s="60">
        <v>-1.4180767145324</v>
      </c>
    </row>
    <row r="396" spans="1:52" s="29" customFormat="1" ht="15" customHeight="1">
      <c r="A396" s="63" t="s">
        <v>173</v>
      </c>
      <c r="B396" s="27">
        <v>2010</v>
      </c>
      <c r="C396" s="27" t="s">
        <v>165</v>
      </c>
      <c r="D396" s="27" t="s">
        <v>81</v>
      </c>
      <c r="E396" s="27" t="s">
        <v>19</v>
      </c>
      <c r="F396" s="41" t="s">
        <v>994</v>
      </c>
      <c r="G396" s="43"/>
      <c r="H396" s="43"/>
      <c r="I396" s="43"/>
      <c r="J396" s="43"/>
      <c r="K396" s="27"/>
      <c r="L396" s="28">
        <v>166.5</v>
      </c>
      <c r="M396" s="27" t="s">
        <v>568</v>
      </c>
      <c r="N396" s="27" t="s">
        <v>1011</v>
      </c>
      <c r="O396" s="18">
        <f>G398*L396</f>
        <v>4162.5</v>
      </c>
      <c r="P396" s="213"/>
      <c r="Q396" s="213"/>
      <c r="R396" s="27"/>
      <c r="S396" s="27"/>
      <c r="T396" s="18"/>
      <c r="U396" s="27"/>
      <c r="V396" s="27"/>
      <c r="W396" s="30"/>
      <c r="X396" s="27"/>
      <c r="Y396" s="27"/>
      <c r="Z396" s="27"/>
      <c r="AA396" s="27"/>
      <c r="AB396" s="27"/>
      <c r="AC396" s="273">
        <v>875938726</v>
      </c>
      <c r="AD396" s="27">
        <v>21561941369.362782</v>
      </c>
      <c r="AE396" s="228">
        <v>4.0624297738079164E-2</v>
      </c>
      <c r="AF396" s="27" t="s">
        <v>2842</v>
      </c>
      <c r="AG396" s="226" t="s">
        <v>2842</v>
      </c>
      <c r="AH396" s="226" t="s">
        <v>2842</v>
      </c>
      <c r="AI396" s="27">
        <v>3486160000</v>
      </c>
      <c r="AJ396" s="226">
        <v>0.25126176824930585</v>
      </c>
      <c r="AK396" s="27">
        <v>688338743.68682432</v>
      </c>
      <c r="AL396" s="226">
        <v>1.2725402049990211</v>
      </c>
      <c r="AM396" s="27">
        <v>539710485.83410907</v>
      </c>
      <c r="AN396" s="271">
        <v>1.6229788914444725</v>
      </c>
      <c r="AO396" s="27">
        <v>62191161</v>
      </c>
      <c r="AP396" s="27" t="s">
        <v>2842</v>
      </c>
      <c r="AQ396" s="27">
        <v>48.987682926829265</v>
      </c>
      <c r="AR396" s="27">
        <v>92.4</v>
      </c>
      <c r="AS396" s="29" t="s">
        <v>2842</v>
      </c>
      <c r="AT396" s="270" t="s">
        <v>2842</v>
      </c>
      <c r="AU396" s="464" t="s">
        <v>2842</v>
      </c>
      <c r="AV396" s="29">
        <v>-1.4446722820503</v>
      </c>
      <c r="AW396" s="29">
        <v>-2.2271516163748899</v>
      </c>
      <c r="AX396" s="29">
        <v>-1.73494098745098</v>
      </c>
      <c r="AY396" s="29">
        <v>-1.58230061557214</v>
      </c>
      <c r="AZ396" s="60">
        <v>-1.4180767145324</v>
      </c>
    </row>
    <row r="397" spans="1:52" s="29" customFormat="1" ht="15" customHeight="1">
      <c r="A397" s="63" t="s">
        <v>173</v>
      </c>
      <c r="B397" s="27">
        <v>2010</v>
      </c>
      <c r="C397" s="27" t="s">
        <v>165</v>
      </c>
      <c r="D397" s="27" t="s">
        <v>81</v>
      </c>
      <c r="E397" s="27" t="s">
        <v>19</v>
      </c>
      <c r="F397" s="41" t="s">
        <v>982</v>
      </c>
      <c r="G397" s="43">
        <v>45</v>
      </c>
      <c r="H397" s="43"/>
      <c r="I397" s="43"/>
      <c r="J397" s="43"/>
      <c r="K397" s="27" t="s">
        <v>567</v>
      </c>
      <c r="L397" s="28"/>
      <c r="M397" s="27"/>
      <c r="N397" s="27" t="s">
        <v>636</v>
      </c>
      <c r="O397" s="18"/>
      <c r="P397" s="213"/>
      <c r="Q397" s="213"/>
      <c r="R397" s="27"/>
      <c r="S397" s="27"/>
      <c r="T397" s="18"/>
      <c r="U397" s="27"/>
      <c r="V397" s="27"/>
      <c r="W397" s="30"/>
      <c r="X397" s="27"/>
      <c r="Y397" s="27"/>
      <c r="Z397" s="27"/>
      <c r="AA397" s="27"/>
      <c r="AB397" s="27"/>
      <c r="AC397" s="273">
        <v>875938726</v>
      </c>
      <c r="AD397" s="27">
        <v>21561941369.362782</v>
      </c>
      <c r="AE397" s="228">
        <v>4.0624297738079164E-2</v>
      </c>
      <c r="AF397" s="27" t="s">
        <v>2842</v>
      </c>
      <c r="AG397" s="226" t="s">
        <v>2842</v>
      </c>
      <c r="AH397" s="226" t="s">
        <v>2842</v>
      </c>
      <c r="AI397" s="27">
        <v>3486160000</v>
      </c>
      <c r="AJ397" s="226">
        <v>0.25126176824930585</v>
      </c>
      <c r="AK397" s="27">
        <v>688338743.68682432</v>
      </c>
      <c r="AL397" s="226">
        <v>1.2725402049990211</v>
      </c>
      <c r="AM397" s="27">
        <v>539710485.83410907</v>
      </c>
      <c r="AN397" s="271">
        <v>1.6229788914444725</v>
      </c>
      <c r="AO397" s="27">
        <v>62191161</v>
      </c>
      <c r="AP397" s="27" t="s">
        <v>2842</v>
      </c>
      <c r="AQ397" s="27">
        <v>48.987682926829265</v>
      </c>
      <c r="AR397" s="27">
        <v>92.4</v>
      </c>
      <c r="AS397" s="29" t="s">
        <v>2842</v>
      </c>
      <c r="AT397" s="270" t="s">
        <v>2842</v>
      </c>
      <c r="AU397" s="464" t="s">
        <v>2842</v>
      </c>
      <c r="AV397" s="29">
        <v>-1.4446722820503</v>
      </c>
      <c r="AW397" s="29">
        <v>-2.2271516163748899</v>
      </c>
      <c r="AX397" s="29">
        <v>-1.73494098745098</v>
      </c>
      <c r="AY397" s="29">
        <v>-1.58230061557214</v>
      </c>
      <c r="AZ397" s="60">
        <v>-1.4180767145324</v>
      </c>
    </row>
    <row r="398" spans="1:52" s="29" customFormat="1" ht="15" customHeight="1">
      <c r="A398" s="63" t="s">
        <v>173</v>
      </c>
      <c r="B398" s="27">
        <v>2010</v>
      </c>
      <c r="C398" s="27" t="s">
        <v>165</v>
      </c>
      <c r="D398" s="27" t="s">
        <v>81</v>
      </c>
      <c r="E398" s="27" t="s">
        <v>19</v>
      </c>
      <c r="F398" s="41" t="s">
        <v>996</v>
      </c>
      <c r="G398" s="43">
        <v>25</v>
      </c>
      <c r="H398" s="43"/>
      <c r="I398" s="43"/>
      <c r="J398" s="43"/>
      <c r="K398" s="27" t="s">
        <v>567</v>
      </c>
      <c r="L398" s="28"/>
      <c r="M398" s="27"/>
      <c r="N398" s="27" t="s">
        <v>636</v>
      </c>
      <c r="O398" s="18"/>
      <c r="P398" s="213"/>
      <c r="Q398" s="213"/>
      <c r="R398" s="27"/>
      <c r="S398" s="27"/>
      <c r="T398" s="18"/>
      <c r="U398" s="27"/>
      <c r="V398" s="27"/>
      <c r="W398" s="30"/>
      <c r="X398" s="27"/>
      <c r="Y398" s="27"/>
      <c r="Z398" s="27"/>
      <c r="AA398" s="27"/>
      <c r="AB398" s="27"/>
      <c r="AC398" s="273">
        <v>875938726</v>
      </c>
      <c r="AD398" s="27">
        <v>21561941369.362782</v>
      </c>
      <c r="AE398" s="228">
        <v>4.0624297738079164E-2</v>
      </c>
      <c r="AF398" s="27" t="s">
        <v>2842</v>
      </c>
      <c r="AG398" s="226" t="s">
        <v>2842</v>
      </c>
      <c r="AH398" s="226" t="s">
        <v>2842</v>
      </c>
      <c r="AI398" s="27">
        <v>3486160000</v>
      </c>
      <c r="AJ398" s="226">
        <v>0.25126176824930585</v>
      </c>
      <c r="AK398" s="27">
        <v>688338743.68682432</v>
      </c>
      <c r="AL398" s="226">
        <v>1.2725402049990211</v>
      </c>
      <c r="AM398" s="27">
        <v>539710485.83410907</v>
      </c>
      <c r="AN398" s="271">
        <v>1.6229788914444725</v>
      </c>
      <c r="AO398" s="27">
        <v>62191161</v>
      </c>
      <c r="AP398" s="27" t="s">
        <v>2842</v>
      </c>
      <c r="AQ398" s="27">
        <v>48.987682926829265</v>
      </c>
      <c r="AR398" s="27">
        <v>92.4</v>
      </c>
      <c r="AS398" s="29" t="s">
        <v>2842</v>
      </c>
      <c r="AT398" s="270" t="s">
        <v>2842</v>
      </c>
      <c r="AU398" s="464" t="s">
        <v>2842</v>
      </c>
      <c r="AV398" s="29">
        <v>-1.4446722820503</v>
      </c>
      <c r="AW398" s="29">
        <v>-2.2271516163748899</v>
      </c>
      <c r="AX398" s="29">
        <v>-1.73494098745098</v>
      </c>
      <c r="AY398" s="29">
        <v>-1.58230061557214</v>
      </c>
      <c r="AZ398" s="60">
        <v>-1.4180767145324</v>
      </c>
    </row>
    <row r="399" spans="1:52" s="287" customFormat="1" ht="15" customHeight="1">
      <c r="A399" s="359" t="s">
        <v>173</v>
      </c>
      <c r="B399" s="284">
        <v>2010</v>
      </c>
      <c r="C399" s="284" t="s">
        <v>165</v>
      </c>
      <c r="D399" s="284" t="s">
        <v>81</v>
      </c>
      <c r="E399" s="284" t="s">
        <v>19</v>
      </c>
      <c r="F399" s="315" t="s">
        <v>997</v>
      </c>
      <c r="G399" s="303">
        <v>9223</v>
      </c>
      <c r="H399" s="303"/>
      <c r="I399" s="303"/>
      <c r="J399" s="303"/>
      <c r="K399" s="284" t="s">
        <v>567</v>
      </c>
      <c r="L399" s="367">
        <f>2160.74325</f>
        <v>2160.74325</v>
      </c>
      <c r="M399" s="284" t="s">
        <v>568</v>
      </c>
      <c r="N399" s="284" t="s">
        <v>1012</v>
      </c>
      <c r="O399" s="305">
        <f>G399*L399</f>
        <v>19928534.994750001</v>
      </c>
      <c r="P399" s="306"/>
      <c r="Q399" s="306"/>
      <c r="R399" s="284"/>
      <c r="S399" s="284"/>
      <c r="T399" s="305"/>
      <c r="U399" s="284"/>
      <c r="V399" s="284"/>
      <c r="W399" s="307"/>
      <c r="X399" s="284"/>
      <c r="Y399" s="284"/>
      <c r="Z399" s="284"/>
      <c r="AA399" s="284"/>
      <c r="AB399" s="284"/>
      <c r="AC399" s="308">
        <v>875938726</v>
      </c>
      <c r="AD399" s="284">
        <v>21561941369.362782</v>
      </c>
      <c r="AE399" s="309">
        <v>4.0624297738079164E-2</v>
      </c>
      <c r="AF399" s="284" t="s">
        <v>2842</v>
      </c>
      <c r="AG399" s="310" t="s">
        <v>2842</v>
      </c>
      <c r="AH399" s="310" t="s">
        <v>2842</v>
      </c>
      <c r="AI399" s="284">
        <v>3486160000</v>
      </c>
      <c r="AJ399" s="310">
        <v>0.25126176824930585</v>
      </c>
      <c r="AK399" s="284">
        <v>688338743.68682432</v>
      </c>
      <c r="AL399" s="310">
        <v>1.2725402049990211</v>
      </c>
      <c r="AM399" s="284">
        <v>539710485.83410907</v>
      </c>
      <c r="AN399" s="311">
        <v>1.6229788914444725</v>
      </c>
      <c r="AO399" s="284">
        <v>62191161</v>
      </c>
      <c r="AP399" s="284" t="s">
        <v>2842</v>
      </c>
      <c r="AQ399" s="284">
        <v>48.987682926829265</v>
      </c>
      <c r="AR399" s="284">
        <v>92.4</v>
      </c>
      <c r="AS399" s="287" t="s">
        <v>2842</v>
      </c>
      <c r="AT399" s="312" t="s">
        <v>2842</v>
      </c>
      <c r="AU399" s="465" t="s">
        <v>2842</v>
      </c>
      <c r="AV399" s="287">
        <v>-1.4446722820503</v>
      </c>
      <c r="AW399" s="287">
        <v>-2.2271516163748899</v>
      </c>
      <c r="AX399" s="287">
        <v>-1.73494098745098</v>
      </c>
      <c r="AY399" s="287">
        <v>-1.58230061557214</v>
      </c>
      <c r="AZ399" s="313">
        <v>-1.4180767145324</v>
      </c>
    </row>
    <row r="400" spans="1:52" ht="15" customHeight="1">
      <c r="A400" s="347" t="s">
        <v>176</v>
      </c>
      <c r="B400" s="27">
        <v>2011</v>
      </c>
      <c r="C400" s="27" t="s">
        <v>165</v>
      </c>
      <c r="D400" s="27" t="s">
        <v>81</v>
      </c>
      <c r="E400" s="27" t="s">
        <v>36</v>
      </c>
      <c r="F400" s="41" t="s">
        <v>659</v>
      </c>
      <c r="G400" s="43"/>
      <c r="H400" s="43"/>
      <c r="I400" s="43"/>
      <c r="J400" s="43"/>
      <c r="K400" s="27"/>
      <c r="L400" s="28"/>
      <c r="M400" s="27"/>
      <c r="N400" s="27"/>
      <c r="O400" s="18">
        <f>O401+O402</f>
        <v>4885266018.5550632</v>
      </c>
      <c r="P400" s="213">
        <v>1413126313</v>
      </c>
      <c r="Q400" s="213">
        <v>1408273353</v>
      </c>
      <c r="R400" s="27" t="s">
        <v>619</v>
      </c>
      <c r="S400" s="27"/>
      <c r="T400" s="18"/>
      <c r="U400" s="29" t="s">
        <v>852</v>
      </c>
      <c r="V400" s="27" t="s">
        <v>802</v>
      </c>
      <c r="W400" s="30"/>
      <c r="X400" s="27">
        <v>110</v>
      </c>
      <c r="Y400" s="27" t="s">
        <v>1018</v>
      </c>
      <c r="Z400" s="27">
        <v>106</v>
      </c>
      <c r="AA400" s="27">
        <v>7</v>
      </c>
      <c r="AB400" s="27" t="s">
        <v>1019</v>
      </c>
      <c r="AC400" s="273">
        <v>1413126313</v>
      </c>
      <c r="AD400" s="27">
        <v>25835398967.342049</v>
      </c>
      <c r="AE400" s="228">
        <v>5.4697290132283284E-2</v>
      </c>
      <c r="AF400" s="27" t="s">
        <v>2842</v>
      </c>
      <c r="AG400" s="226" t="s">
        <v>2842</v>
      </c>
      <c r="AH400" s="226" t="s">
        <v>2842</v>
      </c>
      <c r="AI400" s="27">
        <v>5534410000</v>
      </c>
      <c r="AJ400" s="226">
        <v>0.25533459085973031</v>
      </c>
      <c r="AK400" s="27">
        <v>796612758.9143759</v>
      </c>
      <c r="AL400" s="226">
        <v>1.7739187543591555</v>
      </c>
      <c r="AM400" s="27" t="s">
        <v>2842</v>
      </c>
      <c r="AN400" s="271" t="s">
        <v>2842</v>
      </c>
      <c r="AO400" s="27">
        <v>63931512</v>
      </c>
      <c r="AP400" s="27" t="s">
        <v>2842</v>
      </c>
      <c r="AQ400" s="27">
        <v>49.300707317073176</v>
      </c>
      <c r="AR400" s="27">
        <v>90.2</v>
      </c>
      <c r="AS400" s="29" t="s">
        <v>2842</v>
      </c>
      <c r="AT400" s="270" t="s">
        <v>2842</v>
      </c>
      <c r="AU400" s="464" t="s">
        <v>2842</v>
      </c>
      <c r="AV400" s="29">
        <v>-1.5257921010692801</v>
      </c>
      <c r="AW400" s="29">
        <v>-2.23568898135012</v>
      </c>
      <c r="AX400" s="29">
        <v>-1.67344961349851</v>
      </c>
      <c r="AY400" s="29">
        <v>-1.5198330218751099</v>
      </c>
      <c r="AZ400" s="60">
        <v>-1.3957785017656701</v>
      </c>
    </row>
    <row r="401" spans="1:52" ht="15" customHeight="1">
      <c r="A401" s="63" t="s">
        <v>176</v>
      </c>
      <c r="B401" s="27">
        <v>2011</v>
      </c>
      <c r="C401" s="27" t="s">
        <v>165</v>
      </c>
      <c r="D401" s="27" t="s">
        <v>81</v>
      </c>
      <c r="E401" s="27" t="s">
        <v>98</v>
      </c>
      <c r="F401" s="41" t="s">
        <v>98</v>
      </c>
      <c r="G401" s="43">
        <v>7373000</v>
      </c>
      <c r="H401" s="43"/>
      <c r="I401" s="43"/>
      <c r="J401" s="43"/>
      <c r="K401" s="27" t="s">
        <v>603</v>
      </c>
      <c r="L401" s="28">
        <v>106.53</v>
      </c>
      <c r="M401" s="27" t="s">
        <v>626</v>
      </c>
      <c r="N401" s="27"/>
      <c r="O401" s="18">
        <f>G401*L401</f>
        <v>785445690</v>
      </c>
      <c r="P401" s="246">
        <v>465655388</v>
      </c>
      <c r="Q401" s="246">
        <v>465655806</v>
      </c>
      <c r="R401" s="27"/>
      <c r="S401" s="27"/>
      <c r="T401" s="18"/>
      <c r="U401" s="27"/>
      <c r="V401" s="27"/>
      <c r="W401" s="30"/>
      <c r="X401" s="27">
        <v>27</v>
      </c>
      <c r="Y401" s="27" t="s">
        <v>1020</v>
      </c>
      <c r="Z401" s="27">
        <v>27</v>
      </c>
      <c r="AA401" s="27"/>
      <c r="AB401" s="27"/>
      <c r="AC401" s="273">
        <v>1413126313</v>
      </c>
      <c r="AD401" s="27">
        <v>25835398967.342049</v>
      </c>
      <c r="AE401" s="228">
        <v>5.4697290132283284E-2</v>
      </c>
      <c r="AF401" s="27" t="s">
        <v>2842</v>
      </c>
      <c r="AG401" s="226" t="s">
        <v>2842</v>
      </c>
      <c r="AH401" s="226" t="s">
        <v>2842</v>
      </c>
      <c r="AI401" s="27">
        <v>5534410000</v>
      </c>
      <c r="AJ401" s="226">
        <v>0.25533459085973031</v>
      </c>
      <c r="AK401" s="27">
        <v>796612758.9143759</v>
      </c>
      <c r="AL401" s="226">
        <v>1.7739187543591555</v>
      </c>
      <c r="AM401" s="27" t="s">
        <v>2842</v>
      </c>
      <c r="AN401" s="271" t="s">
        <v>2842</v>
      </c>
      <c r="AO401" s="27">
        <v>63931512</v>
      </c>
      <c r="AP401" s="27" t="s">
        <v>2842</v>
      </c>
      <c r="AQ401" s="27">
        <v>49.300707317073176</v>
      </c>
      <c r="AR401" s="27">
        <v>90.2</v>
      </c>
      <c r="AS401" s="29" t="s">
        <v>2842</v>
      </c>
      <c r="AT401" s="270" t="s">
        <v>2842</v>
      </c>
      <c r="AU401" s="464" t="s">
        <v>2842</v>
      </c>
      <c r="AV401" s="29">
        <v>-1.5257921010692801</v>
      </c>
      <c r="AW401" s="29">
        <v>-2.23568898135012</v>
      </c>
      <c r="AX401" s="29">
        <v>-1.67344961349851</v>
      </c>
      <c r="AY401" s="29">
        <v>-1.5198330218751099</v>
      </c>
      <c r="AZ401" s="60">
        <v>-1.3957785017656701</v>
      </c>
    </row>
    <row r="402" spans="1:52" ht="15" customHeight="1">
      <c r="A402" s="63" t="s">
        <v>176</v>
      </c>
      <c r="B402" s="27">
        <v>2011</v>
      </c>
      <c r="C402" s="27" t="s">
        <v>165</v>
      </c>
      <c r="D402" s="27" t="s">
        <v>81</v>
      </c>
      <c r="E402" s="27" t="s">
        <v>19</v>
      </c>
      <c r="F402" s="41" t="s">
        <v>559</v>
      </c>
      <c r="G402" s="43"/>
      <c r="H402" s="43"/>
      <c r="I402" s="43"/>
      <c r="J402" s="43"/>
      <c r="K402" s="27"/>
      <c r="L402" s="28"/>
      <c r="M402" s="27"/>
      <c r="N402" s="27"/>
      <c r="O402" s="18">
        <f>SUM(O403:O422)</f>
        <v>4099820328.5550637</v>
      </c>
      <c r="P402" s="246">
        <v>947470925</v>
      </c>
      <c r="Q402" s="246">
        <v>942617547</v>
      </c>
      <c r="R402" s="29"/>
      <c r="S402" s="27"/>
      <c r="T402" s="27"/>
      <c r="U402" s="27"/>
      <c r="V402" s="27"/>
      <c r="W402" s="30"/>
      <c r="X402" s="27">
        <v>83</v>
      </c>
      <c r="Y402" s="27" t="s">
        <v>1021</v>
      </c>
      <c r="Z402" s="27">
        <v>79</v>
      </c>
      <c r="AA402" s="27">
        <v>7</v>
      </c>
      <c r="AB402" s="27"/>
      <c r="AC402" s="273">
        <v>1413126313</v>
      </c>
      <c r="AD402" s="27">
        <v>25835398967.342049</v>
      </c>
      <c r="AE402" s="228">
        <v>5.4697290132283284E-2</v>
      </c>
      <c r="AF402" s="27" t="s">
        <v>2842</v>
      </c>
      <c r="AG402" s="226" t="s">
        <v>2842</v>
      </c>
      <c r="AH402" s="226" t="s">
        <v>2842</v>
      </c>
      <c r="AI402" s="27">
        <v>5534410000</v>
      </c>
      <c r="AJ402" s="226">
        <v>0.25533459085973031</v>
      </c>
      <c r="AK402" s="27">
        <v>796612758.9143759</v>
      </c>
      <c r="AL402" s="226">
        <v>1.7739187543591555</v>
      </c>
      <c r="AM402" s="27" t="s">
        <v>2842</v>
      </c>
      <c r="AN402" s="271" t="s">
        <v>2842</v>
      </c>
      <c r="AO402" s="27">
        <v>63931512</v>
      </c>
      <c r="AP402" s="27" t="s">
        <v>2842</v>
      </c>
      <c r="AQ402" s="27">
        <v>49.300707317073176</v>
      </c>
      <c r="AR402" s="27">
        <v>90.2</v>
      </c>
      <c r="AS402" s="29" t="s">
        <v>2842</v>
      </c>
      <c r="AT402" s="270" t="s">
        <v>2842</v>
      </c>
      <c r="AU402" s="464" t="s">
        <v>2842</v>
      </c>
      <c r="AV402" s="29">
        <v>-1.5257921010692801</v>
      </c>
      <c r="AW402" s="29">
        <v>-2.23568898135012</v>
      </c>
      <c r="AX402" s="29">
        <v>-1.67344961349851</v>
      </c>
      <c r="AY402" s="29">
        <v>-1.5198330218751099</v>
      </c>
      <c r="AZ402" s="60">
        <v>-1.3957785017656701</v>
      </c>
    </row>
    <row r="403" spans="1:52" ht="15" customHeight="1">
      <c r="A403" s="63" t="s">
        <v>176</v>
      </c>
      <c r="B403" s="27">
        <v>2011</v>
      </c>
      <c r="C403" s="27" t="s">
        <v>165</v>
      </c>
      <c r="D403" s="27" t="s">
        <v>81</v>
      </c>
      <c r="E403" s="27" t="s">
        <v>19</v>
      </c>
      <c r="F403" s="41" t="s">
        <v>573</v>
      </c>
      <c r="G403" s="43">
        <v>1469</v>
      </c>
      <c r="H403" s="43"/>
      <c r="I403" s="43"/>
      <c r="J403" s="43"/>
      <c r="K403" s="27" t="s">
        <v>567</v>
      </c>
      <c r="L403" s="28">
        <v>111.54662184722224</v>
      </c>
      <c r="M403" s="27" t="s">
        <v>568</v>
      </c>
      <c r="N403" s="27" t="s">
        <v>1022</v>
      </c>
      <c r="O403" s="18">
        <f>G403*L403</f>
        <v>163861.98749356947</v>
      </c>
      <c r="P403" s="213"/>
      <c r="Q403" s="213"/>
      <c r="R403" s="27"/>
      <c r="S403" s="27"/>
      <c r="T403" s="18"/>
      <c r="U403" s="27"/>
      <c r="V403" s="27"/>
      <c r="W403" s="30"/>
      <c r="X403" s="27"/>
      <c r="Y403" s="27"/>
      <c r="Z403" s="27"/>
      <c r="AA403" s="27"/>
      <c r="AB403" s="27"/>
      <c r="AC403" s="273">
        <v>1413126313</v>
      </c>
      <c r="AD403" s="27">
        <v>25835398967.342049</v>
      </c>
      <c r="AE403" s="228">
        <v>5.4697290132283284E-2</v>
      </c>
      <c r="AF403" s="27" t="s">
        <v>2842</v>
      </c>
      <c r="AG403" s="226" t="s">
        <v>2842</v>
      </c>
      <c r="AH403" s="226" t="s">
        <v>2842</v>
      </c>
      <c r="AI403" s="27">
        <v>5534410000</v>
      </c>
      <c r="AJ403" s="226">
        <v>0.25533459085973031</v>
      </c>
      <c r="AK403" s="27">
        <v>796612758.9143759</v>
      </c>
      <c r="AL403" s="226">
        <v>1.7739187543591555</v>
      </c>
      <c r="AM403" s="27" t="s">
        <v>2842</v>
      </c>
      <c r="AN403" s="271" t="s">
        <v>2842</v>
      </c>
      <c r="AO403" s="27">
        <v>63931512</v>
      </c>
      <c r="AP403" s="27" t="s">
        <v>2842</v>
      </c>
      <c r="AQ403" s="27">
        <v>49.300707317073176</v>
      </c>
      <c r="AR403" s="27">
        <v>90.2</v>
      </c>
      <c r="AS403" s="29" t="s">
        <v>2842</v>
      </c>
      <c r="AT403" s="270" t="s">
        <v>2842</v>
      </c>
      <c r="AU403" s="464" t="s">
        <v>2842</v>
      </c>
      <c r="AV403" s="29">
        <v>-1.5257921010692801</v>
      </c>
      <c r="AW403" s="29">
        <v>-2.23568898135012</v>
      </c>
      <c r="AX403" s="29">
        <v>-1.67344961349851</v>
      </c>
      <c r="AY403" s="29">
        <v>-1.5198330218751099</v>
      </c>
      <c r="AZ403" s="60">
        <v>-1.3957785017656701</v>
      </c>
    </row>
    <row r="404" spans="1:52" ht="15" customHeight="1">
      <c r="A404" s="63" t="s">
        <v>176</v>
      </c>
      <c r="B404" s="27">
        <v>2011</v>
      </c>
      <c r="C404" s="27" t="s">
        <v>165</v>
      </c>
      <c r="D404" s="27" t="s">
        <v>81</v>
      </c>
      <c r="E404" s="27" t="s">
        <v>19</v>
      </c>
      <c r="F404" s="41" t="s">
        <v>977</v>
      </c>
      <c r="G404" s="43"/>
      <c r="H404" s="43"/>
      <c r="I404" s="43"/>
      <c r="J404" s="43"/>
      <c r="K404" s="27"/>
      <c r="L404" s="28">
        <f>17.99/0.000453592</f>
        <v>39661.193319106154</v>
      </c>
      <c r="M404" s="27" t="s">
        <v>568</v>
      </c>
      <c r="N404" s="27" t="s">
        <v>1006</v>
      </c>
      <c r="O404" s="18">
        <f>G406*L404</f>
        <v>123068682.8691864</v>
      </c>
      <c r="P404" s="213"/>
      <c r="Q404" s="213"/>
      <c r="R404" s="27"/>
      <c r="S404" s="27"/>
      <c r="T404" s="18"/>
      <c r="U404" s="27"/>
      <c r="V404" s="27"/>
      <c r="W404" s="30"/>
      <c r="X404" s="27"/>
      <c r="Y404" s="27"/>
      <c r="Z404" s="27"/>
      <c r="AA404" s="27"/>
      <c r="AB404" s="27"/>
      <c r="AC404" s="273">
        <v>1413126313</v>
      </c>
      <c r="AD404" s="27">
        <v>25835398967.342049</v>
      </c>
      <c r="AE404" s="228">
        <v>5.4697290132283284E-2</v>
      </c>
      <c r="AF404" s="27" t="s">
        <v>2842</v>
      </c>
      <c r="AG404" s="226" t="s">
        <v>2842</v>
      </c>
      <c r="AH404" s="226" t="s">
        <v>2842</v>
      </c>
      <c r="AI404" s="27">
        <v>5534410000</v>
      </c>
      <c r="AJ404" s="226">
        <v>0.25533459085973031</v>
      </c>
      <c r="AK404" s="27">
        <v>796612758.9143759</v>
      </c>
      <c r="AL404" s="226">
        <v>1.7739187543591555</v>
      </c>
      <c r="AM404" s="27" t="s">
        <v>2842</v>
      </c>
      <c r="AN404" s="271" t="s">
        <v>2842</v>
      </c>
      <c r="AO404" s="27">
        <v>63931512</v>
      </c>
      <c r="AP404" s="27" t="s">
        <v>2842</v>
      </c>
      <c r="AQ404" s="27">
        <v>49.300707317073176</v>
      </c>
      <c r="AR404" s="27">
        <v>90.2</v>
      </c>
      <c r="AS404" s="29" t="s">
        <v>2842</v>
      </c>
      <c r="AT404" s="270" t="s">
        <v>2842</v>
      </c>
      <c r="AU404" s="464" t="s">
        <v>2842</v>
      </c>
      <c r="AV404" s="29">
        <v>-1.5257921010692801</v>
      </c>
      <c r="AW404" s="29">
        <v>-2.23568898135012</v>
      </c>
      <c r="AX404" s="29">
        <v>-1.67344961349851</v>
      </c>
      <c r="AY404" s="29">
        <v>-1.5198330218751099</v>
      </c>
      <c r="AZ404" s="60">
        <v>-1.3957785017656701</v>
      </c>
    </row>
    <row r="405" spans="1:52" ht="15" customHeight="1">
      <c r="A405" s="63" t="s">
        <v>176</v>
      </c>
      <c r="B405" s="27">
        <v>2011</v>
      </c>
      <c r="C405" s="27" t="s">
        <v>165</v>
      </c>
      <c r="D405" s="27" t="s">
        <v>81</v>
      </c>
      <c r="E405" s="27" t="s">
        <v>19</v>
      </c>
      <c r="F405" s="41" t="s">
        <v>979</v>
      </c>
      <c r="G405" s="43">
        <v>60000</v>
      </c>
      <c r="H405" s="43"/>
      <c r="I405" s="43"/>
      <c r="J405" s="43"/>
      <c r="K405" s="27" t="s">
        <v>567</v>
      </c>
      <c r="L405" s="28"/>
      <c r="M405" s="27"/>
      <c r="N405" s="27" t="s">
        <v>636</v>
      </c>
      <c r="O405" s="18"/>
      <c r="P405" s="213"/>
      <c r="Q405" s="213"/>
      <c r="R405" s="27"/>
      <c r="S405" s="27"/>
      <c r="T405" s="18"/>
      <c r="U405" s="27"/>
      <c r="V405" s="27"/>
      <c r="W405" s="30"/>
      <c r="X405" s="27"/>
      <c r="Y405" s="27"/>
      <c r="Z405" s="27"/>
      <c r="AA405" s="27"/>
      <c r="AB405" s="27"/>
      <c r="AC405" s="273">
        <v>1413126313</v>
      </c>
      <c r="AD405" s="27">
        <v>25835398967.342049</v>
      </c>
      <c r="AE405" s="228">
        <v>5.4697290132283284E-2</v>
      </c>
      <c r="AF405" s="27" t="s">
        <v>2842</v>
      </c>
      <c r="AG405" s="226" t="s">
        <v>2842</v>
      </c>
      <c r="AH405" s="226" t="s">
        <v>2842</v>
      </c>
      <c r="AI405" s="27">
        <v>5534410000</v>
      </c>
      <c r="AJ405" s="226">
        <v>0.25533459085973031</v>
      </c>
      <c r="AK405" s="27">
        <v>796612758.9143759</v>
      </c>
      <c r="AL405" s="226">
        <v>1.7739187543591555</v>
      </c>
      <c r="AM405" s="27" t="s">
        <v>2842</v>
      </c>
      <c r="AN405" s="271" t="s">
        <v>2842</v>
      </c>
      <c r="AO405" s="27">
        <v>63931512</v>
      </c>
      <c r="AP405" s="27" t="s">
        <v>2842</v>
      </c>
      <c r="AQ405" s="27">
        <v>49.300707317073176</v>
      </c>
      <c r="AR405" s="27">
        <v>90.2</v>
      </c>
      <c r="AS405" s="29" t="s">
        <v>2842</v>
      </c>
      <c r="AT405" s="270" t="s">
        <v>2842</v>
      </c>
      <c r="AU405" s="464" t="s">
        <v>2842</v>
      </c>
      <c r="AV405" s="29">
        <v>-1.5257921010692801</v>
      </c>
      <c r="AW405" s="29">
        <v>-2.23568898135012</v>
      </c>
      <c r="AX405" s="29">
        <v>-1.67344961349851</v>
      </c>
      <c r="AY405" s="29">
        <v>-1.5198330218751099</v>
      </c>
      <c r="AZ405" s="60">
        <v>-1.3957785017656701</v>
      </c>
    </row>
    <row r="406" spans="1:52" ht="15" customHeight="1">
      <c r="A406" s="63" t="s">
        <v>176</v>
      </c>
      <c r="B406" s="27">
        <v>2011</v>
      </c>
      <c r="C406" s="27" t="s">
        <v>165</v>
      </c>
      <c r="D406" s="27" t="s">
        <v>81</v>
      </c>
      <c r="E406" s="27" t="s">
        <v>19</v>
      </c>
      <c r="F406" s="41" t="s">
        <v>980</v>
      </c>
      <c r="G406" s="43">
        <v>3103</v>
      </c>
      <c r="H406" s="43"/>
      <c r="I406" s="43"/>
      <c r="J406" s="43"/>
      <c r="K406" s="27" t="s">
        <v>567</v>
      </c>
      <c r="L406" s="28"/>
      <c r="M406" s="27"/>
      <c r="N406" s="27" t="s">
        <v>636</v>
      </c>
      <c r="O406" s="18"/>
      <c r="P406" s="213"/>
      <c r="Q406" s="213"/>
      <c r="R406" s="27"/>
      <c r="S406" s="27"/>
      <c r="T406" s="18"/>
      <c r="U406" s="27"/>
      <c r="V406" s="27"/>
      <c r="W406" s="30"/>
      <c r="X406" s="27"/>
      <c r="Y406" s="27"/>
      <c r="Z406" s="27"/>
      <c r="AA406" s="27"/>
      <c r="AB406" s="27"/>
      <c r="AC406" s="273">
        <v>1413126313</v>
      </c>
      <c r="AD406" s="27">
        <v>25835398967.342049</v>
      </c>
      <c r="AE406" s="228">
        <v>5.4697290132283284E-2</v>
      </c>
      <c r="AF406" s="27" t="s">
        <v>2842</v>
      </c>
      <c r="AG406" s="226" t="s">
        <v>2842</v>
      </c>
      <c r="AH406" s="226" t="s">
        <v>2842</v>
      </c>
      <c r="AI406" s="27">
        <v>5534410000</v>
      </c>
      <c r="AJ406" s="226">
        <v>0.25533459085973031</v>
      </c>
      <c r="AK406" s="27">
        <v>796612758.9143759</v>
      </c>
      <c r="AL406" s="226">
        <v>1.7739187543591555</v>
      </c>
      <c r="AM406" s="27" t="s">
        <v>2842</v>
      </c>
      <c r="AN406" s="271" t="s">
        <v>2842</v>
      </c>
      <c r="AO406" s="27">
        <v>63931512</v>
      </c>
      <c r="AP406" s="27" t="s">
        <v>2842</v>
      </c>
      <c r="AQ406" s="27">
        <v>49.300707317073176</v>
      </c>
      <c r="AR406" s="27">
        <v>90.2</v>
      </c>
      <c r="AS406" s="29" t="s">
        <v>2842</v>
      </c>
      <c r="AT406" s="270" t="s">
        <v>2842</v>
      </c>
      <c r="AU406" s="464" t="s">
        <v>2842</v>
      </c>
      <c r="AV406" s="29">
        <v>-1.5257921010692801</v>
      </c>
      <c r="AW406" s="29">
        <v>-2.23568898135012</v>
      </c>
      <c r="AX406" s="29">
        <v>-1.67344961349851</v>
      </c>
      <c r="AY406" s="29">
        <v>-1.5198330218751099</v>
      </c>
      <c r="AZ406" s="60">
        <v>-1.3957785017656701</v>
      </c>
    </row>
    <row r="407" spans="1:52" ht="15" customHeight="1">
      <c r="A407" s="63" t="s">
        <v>176</v>
      </c>
      <c r="B407" s="27">
        <v>2011</v>
      </c>
      <c r="C407" s="27" t="s">
        <v>165</v>
      </c>
      <c r="D407" s="27" t="s">
        <v>81</v>
      </c>
      <c r="E407" s="27" t="s">
        <v>19</v>
      </c>
      <c r="F407" s="41" t="s">
        <v>981</v>
      </c>
      <c r="G407" s="43"/>
      <c r="H407" s="43"/>
      <c r="I407" s="43"/>
      <c r="J407" s="43"/>
      <c r="K407" s="27"/>
      <c r="L407" s="28"/>
      <c r="M407" s="27"/>
      <c r="N407" s="27"/>
      <c r="O407" s="18"/>
      <c r="P407" s="213"/>
      <c r="Q407" s="213"/>
      <c r="R407" s="27"/>
      <c r="S407" s="27"/>
      <c r="T407" s="18"/>
      <c r="U407" s="27"/>
      <c r="V407" s="27"/>
      <c r="W407" s="30"/>
      <c r="X407" s="27"/>
      <c r="Y407" s="27"/>
      <c r="Z407" s="27"/>
      <c r="AA407" s="27"/>
      <c r="AB407" s="27"/>
      <c r="AC407" s="273">
        <v>1413126313</v>
      </c>
      <c r="AD407" s="27">
        <v>25835398967.342049</v>
      </c>
      <c r="AE407" s="228">
        <v>5.4697290132283284E-2</v>
      </c>
      <c r="AF407" s="27" t="s">
        <v>2842</v>
      </c>
      <c r="AG407" s="226" t="s">
        <v>2842</v>
      </c>
      <c r="AH407" s="226" t="s">
        <v>2842</v>
      </c>
      <c r="AI407" s="27">
        <v>5534410000</v>
      </c>
      <c r="AJ407" s="226">
        <v>0.25533459085973031</v>
      </c>
      <c r="AK407" s="27">
        <v>796612758.9143759</v>
      </c>
      <c r="AL407" s="226">
        <v>1.7739187543591555</v>
      </c>
      <c r="AM407" s="27" t="s">
        <v>2842</v>
      </c>
      <c r="AN407" s="271" t="s">
        <v>2842</v>
      </c>
      <c r="AO407" s="27">
        <v>63931512</v>
      </c>
      <c r="AP407" s="27" t="s">
        <v>2842</v>
      </c>
      <c r="AQ407" s="27">
        <v>49.300707317073176</v>
      </c>
      <c r="AR407" s="27">
        <v>90.2</v>
      </c>
      <c r="AS407" s="29" t="s">
        <v>2842</v>
      </c>
      <c r="AT407" s="270" t="s">
        <v>2842</v>
      </c>
      <c r="AU407" s="464" t="s">
        <v>2842</v>
      </c>
      <c r="AV407" s="29">
        <v>-1.5257921010692801</v>
      </c>
      <c r="AW407" s="29">
        <v>-2.23568898135012</v>
      </c>
      <c r="AX407" s="29">
        <v>-1.67344961349851</v>
      </c>
      <c r="AY407" s="29">
        <v>-1.5198330218751099</v>
      </c>
      <c r="AZ407" s="60">
        <v>-1.3957785017656701</v>
      </c>
    </row>
    <row r="408" spans="1:52" ht="15" customHeight="1">
      <c r="A408" s="63" t="s">
        <v>176</v>
      </c>
      <c r="B408" s="27">
        <v>2011</v>
      </c>
      <c r="C408" s="27" t="s">
        <v>165</v>
      </c>
      <c r="D408" s="27" t="s">
        <v>81</v>
      </c>
      <c r="E408" s="27" t="s">
        <v>19</v>
      </c>
      <c r="F408" s="41" t="s">
        <v>982</v>
      </c>
      <c r="G408" s="43">
        <v>450</v>
      </c>
      <c r="H408" s="43"/>
      <c r="I408" s="43"/>
      <c r="J408" s="43"/>
      <c r="K408" s="27" t="s">
        <v>567</v>
      </c>
      <c r="L408" s="28"/>
      <c r="M408" s="27"/>
      <c r="N408" s="27" t="s">
        <v>636</v>
      </c>
      <c r="O408" s="18"/>
      <c r="P408" s="213"/>
      <c r="Q408" s="213"/>
      <c r="R408" s="27"/>
      <c r="S408" s="27"/>
      <c r="T408" s="18"/>
      <c r="U408" s="27"/>
      <c r="V408" s="27"/>
      <c r="W408" s="30"/>
      <c r="X408" s="27"/>
      <c r="Y408" s="27"/>
      <c r="Z408" s="27"/>
      <c r="AA408" s="27"/>
      <c r="AB408" s="27"/>
      <c r="AC408" s="273">
        <v>1413126313</v>
      </c>
      <c r="AD408" s="27">
        <v>25835398967.342049</v>
      </c>
      <c r="AE408" s="228">
        <v>5.4697290132283284E-2</v>
      </c>
      <c r="AF408" s="27" t="s">
        <v>2842</v>
      </c>
      <c r="AG408" s="226" t="s">
        <v>2842</v>
      </c>
      <c r="AH408" s="226" t="s">
        <v>2842</v>
      </c>
      <c r="AI408" s="27">
        <v>5534410000</v>
      </c>
      <c r="AJ408" s="226">
        <v>0.25533459085973031</v>
      </c>
      <c r="AK408" s="27">
        <v>796612758.9143759</v>
      </c>
      <c r="AL408" s="226">
        <v>1.7739187543591555</v>
      </c>
      <c r="AM408" s="27" t="s">
        <v>2842</v>
      </c>
      <c r="AN408" s="271" t="s">
        <v>2842</v>
      </c>
      <c r="AO408" s="27">
        <v>63931512</v>
      </c>
      <c r="AP408" s="27" t="s">
        <v>2842</v>
      </c>
      <c r="AQ408" s="27">
        <v>49.300707317073176</v>
      </c>
      <c r="AR408" s="27">
        <v>90.2</v>
      </c>
      <c r="AS408" s="29" t="s">
        <v>2842</v>
      </c>
      <c r="AT408" s="270" t="s">
        <v>2842</v>
      </c>
      <c r="AU408" s="464" t="s">
        <v>2842</v>
      </c>
      <c r="AV408" s="29">
        <v>-1.5257921010692801</v>
      </c>
      <c r="AW408" s="29">
        <v>-2.23568898135012</v>
      </c>
      <c r="AX408" s="29">
        <v>-1.67344961349851</v>
      </c>
      <c r="AY408" s="29">
        <v>-1.5198330218751099</v>
      </c>
      <c r="AZ408" s="60">
        <v>-1.3957785017656701</v>
      </c>
    </row>
    <row r="409" spans="1:52" ht="15" customHeight="1">
      <c r="A409" s="63" t="s">
        <v>176</v>
      </c>
      <c r="B409" s="27">
        <v>2011</v>
      </c>
      <c r="C409" s="27" t="s">
        <v>165</v>
      </c>
      <c r="D409" s="27" t="s">
        <v>81</v>
      </c>
      <c r="E409" s="27" t="s">
        <v>19</v>
      </c>
      <c r="F409" s="41" t="s">
        <v>983</v>
      </c>
      <c r="G409" s="43">
        <v>100</v>
      </c>
      <c r="H409" s="43"/>
      <c r="I409" s="43"/>
      <c r="J409" s="43"/>
      <c r="K409" s="27" t="s">
        <v>567</v>
      </c>
      <c r="L409" s="28">
        <v>41000</v>
      </c>
      <c r="M409" s="27" t="s">
        <v>568</v>
      </c>
      <c r="N409" s="27" t="s">
        <v>1007</v>
      </c>
      <c r="O409" s="18">
        <f>G409*L409</f>
        <v>4100000</v>
      </c>
      <c r="P409" s="213"/>
      <c r="Q409" s="213"/>
      <c r="R409" s="27"/>
      <c r="S409" s="27"/>
      <c r="T409" s="18"/>
      <c r="U409" s="27"/>
      <c r="V409" s="27"/>
      <c r="W409" s="30"/>
      <c r="X409" s="27"/>
      <c r="Y409" s="27"/>
      <c r="Z409" s="27"/>
      <c r="AA409" s="27"/>
      <c r="AB409" s="27"/>
      <c r="AC409" s="273">
        <v>1413126313</v>
      </c>
      <c r="AD409" s="27">
        <v>25835398967.342049</v>
      </c>
      <c r="AE409" s="228">
        <v>5.4697290132283284E-2</v>
      </c>
      <c r="AF409" s="27" t="s">
        <v>2842</v>
      </c>
      <c r="AG409" s="226" t="s">
        <v>2842</v>
      </c>
      <c r="AH409" s="226" t="s">
        <v>2842</v>
      </c>
      <c r="AI409" s="27">
        <v>5534410000</v>
      </c>
      <c r="AJ409" s="226">
        <v>0.25533459085973031</v>
      </c>
      <c r="AK409" s="27">
        <v>796612758.9143759</v>
      </c>
      <c r="AL409" s="226">
        <v>1.7739187543591555</v>
      </c>
      <c r="AM409" s="27" t="s">
        <v>2842</v>
      </c>
      <c r="AN409" s="271" t="s">
        <v>2842</v>
      </c>
      <c r="AO409" s="27">
        <v>63931512</v>
      </c>
      <c r="AP409" s="27" t="s">
        <v>2842</v>
      </c>
      <c r="AQ409" s="27">
        <v>49.300707317073176</v>
      </c>
      <c r="AR409" s="27">
        <v>90.2</v>
      </c>
      <c r="AS409" s="29" t="s">
        <v>2842</v>
      </c>
      <c r="AT409" s="270" t="s">
        <v>2842</v>
      </c>
      <c r="AU409" s="464" t="s">
        <v>2842</v>
      </c>
      <c r="AV409" s="29">
        <v>-1.5257921010692801</v>
      </c>
      <c r="AW409" s="29">
        <v>-2.23568898135012</v>
      </c>
      <c r="AX409" s="29">
        <v>-1.67344961349851</v>
      </c>
      <c r="AY409" s="29">
        <v>-1.5198330218751099</v>
      </c>
      <c r="AZ409" s="60">
        <v>-1.3957785017656701</v>
      </c>
    </row>
    <row r="410" spans="1:52" ht="15" customHeight="1">
      <c r="A410" s="63" t="s">
        <v>176</v>
      </c>
      <c r="B410" s="27">
        <v>2011</v>
      </c>
      <c r="C410" s="27" t="s">
        <v>165</v>
      </c>
      <c r="D410" s="27" t="s">
        <v>81</v>
      </c>
      <c r="E410" s="27" t="s">
        <v>19</v>
      </c>
      <c r="F410" s="41" t="s">
        <v>985</v>
      </c>
      <c r="G410" s="43">
        <v>120</v>
      </c>
      <c r="H410" s="43"/>
      <c r="I410" s="43"/>
      <c r="J410" s="43"/>
      <c r="K410" s="27" t="s">
        <v>567</v>
      </c>
      <c r="L410" s="28">
        <f>125/0.000453592</f>
        <v>275578.05252297217</v>
      </c>
      <c r="M410" s="27" t="s">
        <v>568</v>
      </c>
      <c r="N410" s="27" t="s">
        <v>1008</v>
      </c>
      <c r="O410" s="18">
        <f>G410*L410</f>
        <v>33069366.30275666</v>
      </c>
      <c r="P410" s="213"/>
      <c r="Q410" s="213"/>
      <c r="R410" s="27"/>
      <c r="S410" s="27"/>
      <c r="T410" s="18"/>
      <c r="U410" s="27"/>
      <c r="V410" s="27"/>
      <c r="W410" s="30"/>
      <c r="X410" s="27"/>
      <c r="Y410" s="27"/>
      <c r="Z410" s="27"/>
      <c r="AA410" s="27"/>
      <c r="AB410" s="27"/>
      <c r="AC410" s="273">
        <v>1413126313</v>
      </c>
      <c r="AD410" s="27">
        <v>25835398967.342049</v>
      </c>
      <c r="AE410" s="228">
        <v>5.4697290132283284E-2</v>
      </c>
      <c r="AF410" s="27" t="s">
        <v>2842</v>
      </c>
      <c r="AG410" s="226" t="s">
        <v>2842</v>
      </c>
      <c r="AH410" s="226" t="s">
        <v>2842</v>
      </c>
      <c r="AI410" s="27">
        <v>5534410000</v>
      </c>
      <c r="AJ410" s="226">
        <v>0.25533459085973031</v>
      </c>
      <c r="AK410" s="27">
        <v>796612758.9143759</v>
      </c>
      <c r="AL410" s="226">
        <v>1.7739187543591555</v>
      </c>
      <c r="AM410" s="27" t="s">
        <v>2842</v>
      </c>
      <c r="AN410" s="271" t="s">
        <v>2842</v>
      </c>
      <c r="AO410" s="27">
        <v>63931512</v>
      </c>
      <c r="AP410" s="27" t="s">
        <v>2842</v>
      </c>
      <c r="AQ410" s="27">
        <v>49.300707317073176</v>
      </c>
      <c r="AR410" s="27">
        <v>90.2</v>
      </c>
      <c r="AS410" s="29" t="s">
        <v>2842</v>
      </c>
      <c r="AT410" s="270" t="s">
        <v>2842</v>
      </c>
      <c r="AU410" s="464" t="s">
        <v>2842</v>
      </c>
      <c r="AV410" s="29">
        <v>-1.5257921010692801</v>
      </c>
      <c r="AW410" s="29">
        <v>-2.23568898135012</v>
      </c>
      <c r="AX410" s="29">
        <v>-1.67344961349851</v>
      </c>
      <c r="AY410" s="29">
        <v>-1.5198330218751099</v>
      </c>
      <c r="AZ410" s="60">
        <v>-1.3957785017656701</v>
      </c>
    </row>
    <row r="411" spans="1:52" ht="15" customHeight="1">
      <c r="A411" s="63" t="s">
        <v>176</v>
      </c>
      <c r="B411" s="27">
        <v>2011</v>
      </c>
      <c r="C411" s="27" t="s">
        <v>165</v>
      </c>
      <c r="D411" s="27" t="s">
        <v>81</v>
      </c>
      <c r="E411" s="27" t="s">
        <v>19</v>
      </c>
      <c r="F411" s="41" t="s">
        <v>576</v>
      </c>
      <c r="G411" s="43"/>
      <c r="H411" s="43"/>
      <c r="I411" s="43"/>
      <c r="J411" s="43"/>
      <c r="K411" s="27"/>
      <c r="L411" s="44">
        <f>3.74/0.000453592</f>
        <v>8245.2953314873284</v>
      </c>
      <c r="M411" s="27" t="s">
        <v>568</v>
      </c>
      <c r="N411" s="27" t="s">
        <v>1013</v>
      </c>
      <c r="O411" s="18">
        <f>G413*L411</f>
        <v>2984796909.9984131</v>
      </c>
      <c r="P411" s="213"/>
      <c r="Q411" s="213"/>
      <c r="R411" s="27"/>
      <c r="S411" s="27"/>
      <c r="T411" s="18"/>
      <c r="U411" s="27"/>
      <c r="V411" s="27"/>
      <c r="W411" s="30"/>
      <c r="X411" s="27"/>
      <c r="Y411" s="27"/>
      <c r="Z411" s="27"/>
      <c r="AA411" s="27"/>
      <c r="AB411" s="27"/>
      <c r="AC411" s="273">
        <v>1413126313</v>
      </c>
      <c r="AD411" s="27">
        <v>25835398967.342049</v>
      </c>
      <c r="AE411" s="228">
        <v>5.4697290132283284E-2</v>
      </c>
      <c r="AF411" s="27" t="s">
        <v>2842</v>
      </c>
      <c r="AG411" s="226" t="s">
        <v>2842</v>
      </c>
      <c r="AH411" s="226" t="s">
        <v>2842</v>
      </c>
      <c r="AI411" s="27">
        <v>5534410000</v>
      </c>
      <c r="AJ411" s="226">
        <v>0.25533459085973031</v>
      </c>
      <c r="AK411" s="27">
        <v>796612758.9143759</v>
      </c>
      <c r="AL411" s="226">
        <v>1.7739187543591555</v>
      </c>
      <c r="AM411" s="27" t="s">
        <v>2842</v>
      </c>
      <c r="AN411" s="271" t="s">
        <v>2842</v>
      </c>
      <c r="AO411" s="27">
        <v>63931512</v>
      </c>
      <c r="AP411" s="27" t="s">
        <v>2842</v>
      </c>
      <c r="AQ411" s="27">
        <v>49.300707317073176</v>
      </c>
      <c r="AR411" s="27">
        <v>90.2</v>
      </c>
      <c r="AS411" s="29" t="s">
        <v>2842</v>
      </c>
      <c r="AT411" s="270" t="s">
        <v>2842</v>
      </c>
      <c r="AU411" s="464" t="s">
        <v>2842</v>
      </c>
      <c r="AV411" s="29">
        <v>-1.5257921010692801</v>
      </c>
      <c r="AW411" s="29">
        <v>-2.23568898135012</v>
      </c>
      <c r="AX411" s="29">
        <v>-1.67344961349851</v>
      </c>
      <c r="AY411" s="29">
        <v>-1.5198330218751099</v>
      </c>
      <c r="AZ411" s="60">
        <v>-1.3957785017656701</v>
      </c>
    </row>
    <row r="412" spans="1:52" ht="15" customHeight="1">
      <c r="A412" s="63" t="s">
        <v>176</v>
      </c>
      <c r="B412" s="27">
        <v>2011</v>
      </c>
      <c r="C412" s="27" t="s">
        <v>165</v>
      </c>
      <c r="D412" s="27" t="s">
        <v>81</v>
      </c>
      <c r="E412" s="27" t="s">
        <v>19</v>
      </c>
      <c r="F412" s="41" t="s">
        <v>988</v>
      </c>
      <c r="G412" s="43">
        <v>530000</v>
      </c>
      <c r="H412" s="43"/>
      <c r="I412" s="43"/>
      <c r="J412" s="43"/>
      <c r="K412" s="27" t="s">
        <v>567</v>
      </c>
      <c r="L412" s="28"/>
      <c r="M412" s="27"/>
      <c r="N412" s="27" t="s">
        <v>636</v>
      </c>
      <c r="O412" s="18"/>
      <c r="P412" s="213"/>
      <c r="Q412" s="213"/>
      <c r="R412" s="27"/>
      <c r="S412" s="27"/>
      <c r="T412" s="18"/>
      <c r="U412" s="27"/>
      <c r="V412" s="27"/>
      <c r="W412" s="30"/>
      <c r="X412" s="27"/>
      <c r="Y412" s="27"/>
      <c r="Z412" s="27"/>
      <c r="AA412" s="27"/>
      <c r="AB412" s="27"/>
      <c r="AC412" s="273">
        <v>1413126313</v>
      </c>
      <c r="AD412" s="27">
        <v>25835398967.342049</v>
      </c>
      <c r="AE412" s="228">
        <v>5.4697290132283284E-2</v>
      </c>
      <c r="AF412" s="27" t="s">
        <v>2842</v>
      </c>
      <c r="AG412" s="226" t="s">
        <v>2842</v>
      </c>
      <c r="AH412" s="226" t="s">
        <v>2842</v>
      </c>
      <c r="AI412" s="27">
        <v>5534410000</v>
      </c>
      <c r="AJ412" s="226">
        <v>0.25533459085973031</v>
      </c>
      <c r="AK412" s="27">
        <v>796612758.9143759</v>
      </c>
      <c r="AL412" s="226">
        <v>1.7739187543591555</v>
      </c>
      <c r="AM412" s="27" t="s">
        <v>2842</v>
      </c>
      <c r="AN412" s="271" t="s">
        <v>2842</v>
      </c>
      <c r="AO412" s="27">
        <v>63931512</v>
      </c>
      <c r="AP412" s="27" t="s">
        <v>2842</v>
      </c>
      <c r="AQ412" s="27">
        <v>49.300707317073176</v>
      </c>
      <c r="AR412" s="27">
        <v>90.2</v>
      </c>
      <c r="AS412" s="29" t="s">
        <v>2842</v>
      </c>
      <c r="AT412" s="270" t="s">
        <v>2842</v>
      </c>
      <c r="AU412" s="464" t="s">
        <v>2842</v>
      </c>
      <c r="AV412" s="29">
        <v>-1.5257921010692801</v>
      </c>
      <c r="AW412" s="29">
        <v>-2.23568898135012</v>
      </c>
      <c r="AX412" s="29">
        <v>-1.67344961349851</v>
      </c>
      <c r="AY412" s="29">
        <v>-1.5198330218751099</v>
      </c>
      <c r="AZ412" s="60">
        <v>-1.3957785017656701</v>
      </c>
    </row>
    <row r="413" spans="1:52" ht="15" customHeight="1">
      <c r="A413" s="63" t="s">
        <v>176</v>
      </c>
      <c r="B413" s="27">
        <v>2011</v>
      </c>
      <c r="C413" s="27" t="s">
        <v>165</v>
      </c>
      <c r="D413" s="27" t="s">
        <v>81</v>
      </c>
      <c r="E413" s="27" t="s">
        <v>19</v>
      </c>
      <c r="F413" s="41" t="s">
        <v>989</v>
      </c>
      <c r="G413" s="43">
        <v>362000</v>
      </c>
      <c r="H413" s="43"/>
      <c r="I413" s="43"/>
      <c r="J413" s="43"/>
      <c r="K413" s="27" t="s">
        <v>567</v>
      </c>
      <c r="L413" s="28"/>
      <c r="M413" s="27"/>
      <c r="N413" s="27" t="s">
        <v>636</v>
      </c>
      <c r="O413" s="18"/>
      <c r="P413" s="213"/>
      <c r="Q413" s="213"/>
      <c r="R413" s="27"/>
      <c r="S413" s="27"/>
      <c r="T413" s="18"/>
      <c r="U413" s="27"/>
      <c r="V413" s="27"/>
      <c r="W413" s="30"/>
      <c r="X413" s="27"/>
      <c r="Y413" s="27"/>
      <c r="Z413" s="27"/>
      <c r="AA413" s="27"/>
      <c r="AB413" s="27"/>
      <c r="AC413" s="273">
        <v>1413126313</v>
      </c>
      <c r="AD413" s="27">
        <v>25835398967.342049</v>
      </c>
      <c r="AE413" s="228">
        <v>5.4697290132283284E-2</v>
      </c>
      <c r="AF413" s="27" t="s">
        <v>2842</v>
      </c>
      <c r="AG413" s="226" t="s">
        <v>2842</v>
      </c>
      <c r="AH413" s="226" t="s">
        <v>2842</v>
      </c>
      <c r="AI413" s="27">
        <v>5534410000</v>
      </c>
      <c r="AJ413" s="226">
        <v>0.25533459085973031</v>
      </c>
      <c r="AK413" s="27">
        <v>796612758.9143759</v>
      </c>
      <c r="AL413" s="226">
        <v>1.7739187543591555</v>
      </c>
      <c r="AM413" s="27" t="s">
        <v>2842</v>
      </c>
      <c r="AN413" s="271" t="s">
        <v>2842</v>
      </c>
      <c r="AO413" s="27">
        <v>63931512</v>
      </c>
      <c r="AP413" s="27" t="s">
        <v>2842</v>
      </c>
      <c r="AQ413" s="27">
        <v>49.300707317073176</v>
      </c>
      <c r="AR413" s="27">
        <v>90.2</v>
      </c>
      <c r="AS413" s="29" t="s">
        <v>2842</v>
      </c>
      <c r="AT413" s="270" t="s">
        <v>2842</v>
      </c>
      <c r="AU413" s="464" t="s">
        <v>2842</v>
      </c>
      <c r="AV413" s="29">
        <v>-1.5257921010692801</v>
      </c>
      <c r="AW413" s="29">
        <v>-2.23568898135012</v>
      </c>
      <c r="AX413" s="29">
        <v>-1.67344961349851</v>
      </c>
      <c r="AY413" s="29">
        <v>-1.5198330218751099</v>
      </c>
      <c r="AZ413" s="60">
        <v>-1.3957785017656701</v>
      </c>
    </row>
    <row r="414" spans="1:52" ht="15" customHeight="1">
      <c r="A414" s="63" t="s">
        <v>176</v>
      </c>
      <c r="B414" s="27">
        <v>2011</v>
      </c>
      <c r="C414" s="27" t="s">
        <v>165</v>
      </c>
      <c r="D414" s="27" t="s">
        <v>81</v>
      </c>
      <c r="E414" s="27" t="s">
        <v>19</v>
      </c>
      <c r="F414" s="41" t="s">
        <v>904</v>
      </c>
      <c r="G414" s="43">
        <v>19547000</v>
      </c>
      <c r="H414" s="43"/>
      <c r="I414" s="43"/>
      <c r="J414" s="43"/>
      <c r="K414" s="27" t="s">
        <v>905</v>
      </c>
      <c r="L414" s="28">
        <v>9.33</v>
      </c>
      <c r="M414" s="27" t="s">
        <v>906</v>
      </c>
      <c r="N414" s="27" t="s">
        <v>1023</v>
      </c>
      <c r="O414" s="18">
        <f>G414*L414</f>
        <v>182373510</v>
      </c>
      <c r="P414" s="213"/>
      <c r="Q414" s="213"/>
      <c r="R414" s="27"/>
      <c r="S414" s="27"/>
      <c r="T414" s="18"/>
      <c r="U414" s="27"/>
      <c r="V414" s="27"/>
      <c r="W414" s="30"/>
      <c r="X414" s="27"/>
      <c r="Y414" s="27"/>
      <c r="Z414" s="27"/>
      <c r="AA414" s="27"/>
      <c r="AB414" s="27"/>
      <c r="AC414" s="273">
        <v>1413126313</v>
      </c>
      <c r="AD414" s="27">
        <v>25835398967.342049</v>
      </c>
      <c r="AE414" s="228">
        <v>5.4697290132283284E-2</v>
      </c>
      <c r="AF414" s="27" t="s">
        <v>2842</v>
      </c>
      <c r="AG414" s="226" t="s">
        <v>2842</v>
      </c>
      <c r="AH414" s="226" t="s">
        <v>2842</v>
      </c>
      <c r="AI414" s="27">
        <v>5534410000</v>
      </c>
      <c r="AJ414" s="226">
        <v>0.25533459085973031</v>
      </c>
      <c r="AK414" s="27">
        <v>796612758.9143759</v>
      </c>
      <c r="AL414" s="226">
        <v>1.7739187543591555</v>
      </c>
      <c r="AM414" s="27" t="s">
        <v>2842</v>
      </c>
      <c r="AN414" s="271" t="s">
        <v>2842</v>
      </c>
      <c r="AO414" s="27">
        <v>63931512</v>
      </c>
      <c r="AP414" s="27" t="s">
        <v>2842</v>
      </c>
      <c r="AQ414" s="27">
        <v>49.300707317073176</v>
      </c>
      <c r="AR414" s="27">
        <v>90.2</v>
      </c>
      <c r="AS414" s="29" t="s">
        <v>2842</v>
      </c>
      <c r="AT414" s="270" t="s">
        <v>2842</v>
      </c>
      <c r="AU414" s="464" t="s">
        <v>2842</v>
      </c>
      <c r="AV414" s="29">
        <v>-1.5257921010692801</v>
      </c>
      <c r="AW414" s="29">
        <v>-2.23568898135012</v>
      </c>
      <c r="AX414" s="29">
        <v>-1.67344961349851</v>
      </c>
      <c r="AY414" s="29">
        <v>-1.5198330218751099</v>
      </c>
      <c r="AZ414" s="60">
        <v>-1.3957785017656701</v>
      </c>
    </row>
    <row r="415" spans="1:52" ht="15" customHeight="1">
      <c r="A415" s="63" t="s">
        <v>176</v>
      </c>
      <c r="B415" s="27">
        <v>2011</v>
      </c>
      <c r="C415" s="27" t="s">
        <v>165</v>
      </c>
      <c r="D415" s="27" t="s">
        <v>81</v>
      </c>
      <c r="E415" s="27" t="s">
        <v>19</v>
      </c>
      <c r="F415" s="41" t="s">
        <v>730</v>
      </c>
      <c r="G415" s="43">
        <f>12000*32.150743126506</f>
        <v>385808.917518072</v>
      </c>
      <c r="H415" s="43"/>
      <c r="I415" s="43"/>
      <c r="J415" s="43"/>
      <c r="K415" s="27" t="s">
        <v>731</v>
      </c>
      <c r="L415" s="28">
        <v>1569.2108333333299</v>
      </c>
      <c r="M415" s="27" t="s">
        <v>732</v>
      </c>
      <c r="N415" s="27" t="s">
        <v>733</v>
      </c>
      <c r="O415" s="18">
        <f>G415*L415</f>
        <v>605415532.96596372</v>
      </c>
      <c r="P415" s="213"/>
      <c r="Q415" s="213"/>
      <c r="R415" s="27"/>
      <c r="S415" s="27"/>
      <c r="T415" s="18"/>
      <c r="U415" s="27"/>
      <c r="V415" s="27"/>
      <c r="W415" s="30"/>
      <c r="X415" s="27"/>
      <c r="Y415" s="27"/>
      <c r="Z415" s="27"/>
      <c r="AA415" s="27"/>
      <c r="AB415" s="27"/>
      <c r="AC415" s="273">
        <v>1413126313</v>
      </c>
      <c r="AD415" s="27">
        <v>25835398967.342049</v>
      </c>
      <c r="AE415" s="228">
        <v>5.4697290132283284E-2</v>
      </c>
      <c r="AF415" s="27" t="s">
        <v>2842</v>
      </c>
      <c r="AG415" s="226" t="s">
        <v>2842</v>
      </c>
      <c r="AH415" s="226" t="s">
        <v>2842</v>
      </c>
      <c r="AI415" s="27">
        <v>5534410000</v>
      </c>
      <c r="AJ415" s="226">
        <v>0.25533459085973031</v>
      </c>
      <c r="AK415" s="27">
        <v>796612758.9143759</v>
      </c>
      <c r="AL415" s="226">
        <v>1.7739187543591555</v>
      </c>
      <c r="AM415" s="27" t="s">
        <v>2842</v>
      </c>
      <c r="AN415" s="271" t="s">
        <v>2842</v>
      </c>
      <c r="AO415" s="27">
        <v>63931512</v>
      </c>
      <c r="AP415" s="27" t="s">
        <v>2842</v>
      </c>
      <c r="AQ415" s="27">
        <v>49.300707317073176</v>
      </c>
      <c r="AR415" s="27">
        <v>90.2</v>
      </c>
      <c r="AS415" s="29" t="s">
        <v>2842</v>
      </c>
      <c r="AT415" s="270" t="s">
        <v>2842</v>
      </c>
      <c r="AU415" s="464" t="s">
        <v>2842</v>
      </c>
      <c r="AV415" s="29">
        <v>-1.5257921010692801</v>
      </c>
      <c r="AW415" s="29">
        <v>-2.23568898135012</v>
      </c>
      <c r="AX415" s="29">
        <v>-1.67344961349851</v>
      </c>
      <c r="AY415" s="29">
        <v>-1.5198330218751099</v>
      </c>
      <c r="AZ415" s="60">
        <v>-1.3957785017656701</v>
      </c>
    </row>
    <row r="416" spans="1:52" ht="15" customHeight="1">
      <c r="A416" s="63" t="s">
        <v>176</v>
      </c>
      <c r="B416" s="27">
        <v>2011</v>
      </c>
      <c r="C416" s="27" t="s">
        <v>165</v>
      </c>
      <c r="D416" s="27" t="s">
        <v>81</v>
      </c>
      <c r="E416" s="27" t="s">
        <v>19</v>
      </c>
      <c r="F416" s="41" t="s">
        <v>991</v>
      </c>
      <c r="G416" s="43"/>
      <c r="H416" s="43"/>
      <c r="I416" s="43"/>
      <c r="J416" s="43"/>
      <c r="K416" s="27"/>
      <c r="L416" s="44">
        <f>26053.675</f>
        <v>26053.674999999999</v>
      </c>
      <c r="M416" s="27" t="s">
        <v>568</v>
      </c>
      <c r="N416" s="27" t="s">
        <v>992</v>
      </c>
      <c r="O416" s="18">
        <f>G418*L416</f>
        <v>125057640</v>
      </c>
      <c r="P416" s="213"/>
      <c r="Q416" s="213"/>
      <c r="R416" s="27"/>
      <c r="S416" s="27"/>
      <c r="T416" s="18"/>
      <c r="U416" s="27"/>
      <c r="V416" s="27"/>
      <c r="W416" s="30"/>
      <c r="X416" s="27"/>
      <c r="Y416" s="27"/>
      <c r="Z416" s="27"/>
      <c r="AA416" s="27"/>
      <c r="AB416" s="27"/>
      <c r="AC416" s="273">
        <v>1413126313</v>
      </c>
      <c r="AD416" s="27">
        <v>25835398967.342049</v>
      </c>
      <c r="AE416" s="228">
        <v>5.4697290132283284E-2</v>
      </c>
      <c r="AF416" s="27" t="s">
        <v>2842</v>
      </c>
      <c r="AG416" s="226" t="s">
        <v>2842</v>
      </c>
      <c r="AH416" s="226" t="s">
        <v>2842</v>
      </c>
      <c r="AI416" s="27">
        <v>5534410000</v>
      </c>
      <c r="AJ416" s="226">
        <v>0.25533459085973031</v>
      </c>
      <c r="AK416" s="27">
        <v>796612758.9143759</v>
      </c>
      <c r="AL416" s="226">
        <v>1.7739187543591555</v>
      </c>
      <c r="AM416" s="27" t="s">
        <v>2842</v>
      </c>
      <c r="AN416" s="271" t="s">
        <v>2842</v>
      </c>
      <c r="AO416" s="27">
        <v>63931512</v>
      </c>
      <c r="AP416" s="27" t="s">
        <v>2842</v>
      </c>
      <c r="AQ416" s="27">
        <v>49.300707317073176</v>
      </c>
      <c r="AR416" s="27">
        <v>90.2</v>
      </c>
      <c r="AS416" s="29" t="s">
        <v>2842</v>
      </c>
      <c r="AT416" s="270" t="s">
        <v>2842</v>
      </c>
      <c r="AU416" s="464" t="s">
        <v>2842</v>
      </c>
      <c r="AV416" s="29">
        <v>-1.5257921010692801</v>
      </c>
      <c r="AW416" s="29">
        <v>-2.23568898135012</v>
      </c>
      <c r="AX416" s="29">
        <v>-1.67344961349851</v>
      </c>
      <c r="AY416" s="29">
        <v>-1.5198330218751099</v>
      </c>
      <c r="AZ416" s="60">
        <v>-1.3957785017656701</v>
      </c>
    </row>
    <row r="417" spans="1:52" ht="15" customHeight="1">
      <c r="A417" s="63" t="s">
        <v>176</v>
      </c>
      <c r="B417" s="27">
        <v>2011</v>
      </c>
      <c r="C417" s="27" t="s">
        <v>165</v>
      </c>
      <c r="D417" s="27" t="s">
        <v>81</v>
      </c>
      <c r="E417" s="27" t="s">
        <v>19</v>
      </c>
      <c r="F417" s="41" t="s">
        <v>982</v>
      </c>
      <c r="G417" s="43">
        <v>7400</v>
      </c>
      <c r="H417" s="43"/>
      <c r="I417" s="43"/>
      <c r="J417" s="43"/>
      <c r="K417" s="27" t="s">
        <v>567</v>
      </c>
      <c r="L417" s="28"/>
      <c r="M417" s="27"/>
      <c r="N417" s="27" t="s">
        <v>636</v>
      </c>
      <c r="O417" s="18"/>
      <c r="P417" s="213"/>
      <c r="Q417" s="213"/>
      <c r="R417" s="27"/>
      <c r="S417" s="27"/>
      <c r="T417" s="18"/>
      <c r="U417" s="27"/>
      <c r="V417" s="27"/>
      <c r="W417" s="30"/>
      <c r="X417" s="27"/>
      <c r="Y417" s="27"/>
      <c r="Z417" s="27"/>
      <c r="AA417" s="27"/>
      <c r="AB417" s="27"/>
      <c r="AC417" s="273">
        <v>1413126313</v>
      </c>
      <c r="AD417" s="27">
        <v>25835398967.342049</v>
      </c>
      <c r="AE417" s="228">
        <v>5.4697290132283284E-2</v>
      </c>
      <c r="AF417" s="27" t="s">
        <v>2842</v>
      </c>
      <c r="AG417" s="226" t="s">
        <v>2842</v>
      </c>
      <c r="AH417" s="226" t="s">
        <v>2842</v>
      </c>
      <c r="AI417" s="27">
        <v>5534410000</v>
      </c>
      <c r="AJ417" s="226">
        <v>0.25533459085973031</v>
      </c>
      <c r="AK417" s="27">
        <v>796612758.9143759</v>
      </c>
      <c r="AL417" s="226">
        <v>1.7739187543591555</v>
      </c>
      <c r="AM417" s="27" t="s">
        <v>2842</v>
      </c>
      <c r="AN417" s="271" t="s">
        <v>2842</v>
      </c>
      <c r="AO417" s="27">
        <v>63931512</v>
      </c>
      <c r="AP417" s="27" t="s">
        <v>2842</v>
      </c>
      <c r="AQ417" s="27">
        <v>49.300707317073176</v>
      </c>
      <c r="AR417" s="27">
        <v>90.2</v>
      </c>
      <c r="AS417" s="29" t="s">
        <v>2842</v>
      </c>
      <c r="AT417" s="270" t="s">
        <v>2842</v>
      </c>
      <c r="AU417" s="464" t="s">
        <v>2842</v>
      </c>
      <c r="AV417" s="29">
        <v>-1.5257921010692801</v>
      </c>
      <c r="AW417" s="29">
        <v>-2.23568898135012</v>
      </c>
      <c r="AX417" s="29">
        <v>-1.67344961349851</v>
      </c>
      <c r="AY417" s="29">
        <v>-1.5198330218751099</v>
      </c>
      <c r="AZ417" s="60">
        <v>-1.3957785017656701</v>
      </c>
    </row>
    <row r="418" spans="1:52" ht="15" customHeight="1">
      <c r="A418" s="63" t="s">
        <v>176</v>
      </c>
      <c r="B418" s="27">
        <v>2011</v>
      </c>
      <c r="C418" s="27" t="s">
        <v>165</v>
      </c>
      <c r="D418" s="27" t="s">
        <v>81</v>
      </c>
      <c r="E418" s="27" t="s">
        <v>19</v>
      </c>
      <c r="F418" s="41" t="s">
        <v>993</v>
      </c>
      <c r="G418" s="43">
        <v>4800</v>
      </c>
      <c r="H418" s="43"/>
      <c r="I418" s="43"/>
      <c r="J418" s="43"/>
      <c r="K418" s="27" t="s">
        <v>567</v>
      </c>
      <c r="L418" s="28"/>
      <c r="M418" s="27"/>
      <c r="N418" s="27" t="s">
        <v>636</v>
      </c>
      <c r="O418" s="18"/>
      <c r="P418" s="213"/>
      <c r="Q418" s="213"/>
      <c r="R418" s="27"/>
      <c r="S418" s="27"/>
      <c r="T418" s="18"/>
      <c r="U418" s="27"/>
      <c r="V418" s="27"/>
      <c r="W418" s="30"/>
      <c r="X418" s="27"/>
      <c r="Y418" s="27"/>
      <c r="Z418" s="27"/>
      <c r="AA418" s="27"/>
      <c r="AB418" s="27"/>
      <c r="AC418" s="273">
        <v>1413126313</v>
      </c>
      <c r="AD418" s="27">
        <v>25835398967.342049</v>
      </c>
      <c r="AE418" s="228">
        <v>5.4697290132283284E-2</v>
      </c>
      <c r="AF418" s="27" t="s">
        <v>2842</v>
      </c>
      <c r="AG418" s="226" t="s">
        <v>2842</v>
      </c>
      <c r="AH418" s="226" t="s">
        <v>2842</v>
      </c>
      <c r="AI418" s="27">
        <v>5534410000</v>
      </c>
      <c r="AJ418" s="226">
        <v>0.25533459085973031</v>
      </c>
      <c r="AK418" s="27">
        <v>796612758.9143759</v>
      </c>
      <c r="AL418" s="226">
        <v>1.7739187543591555</v>
      </c>
      <c r="AM418" s="27" t="s">
        <v>2842</v>
      </c>
      <c r="AN418" s="271" t="s">
        <v>2842</v>
      </c>
      <c r="AO418" s="27">
        <v>63931512</v>
      </c>
      <c r="AP418" s="27" t="s">
        <v>2842</v>
      </c>
      <c r="AQ418" s="27">
        <v>49.300707317073176</v>
      </c>
      <c r="AR418" s="27">
        <v>90.2</v>
      </c>
      <c r="AS418" s="29" t="s">
        <v>2842</v>
      </c>
      <c r="AT418" s="270" t="s">
        <v>2842</v>
      </c>
      <c r="AU418" s="464" t="s">
        <v>2842</v>
      </c>
      <c r="AV418" s="29">
        <v>-1.5257921010692801</v>
      </c>
      <c r="AW418" s="29">
        <v>-2.23568898135012</v>
      </c>
      <c r="AX418" s="29">
        <v>-1.67344961349851</v>
      </c>
      <c r="AY418" s="29">
        <v>-1.5198330218751099</v>
      </c>
      <c r="AZ418" s="60">
        <v>-1.3957785017656701</v>
      </c>
    </row>
    <row r="419" spans="1:52" ht="15" customHeight="1">
      <c r="A419" s="63" t="s">
        <v>176</v>
      </c>
      <c r="B419" s="27">
        <v>2011</v>
      </c>
      <c r="C419" s="27" t="s">
        <v>165</v>
      </c>
      <c r="D419" s="27" t="s">
        <v>81</v>
      </c>
      <c r="E419" s="27" t="s">
        <v>19</v>
      </c>
      <c r="F419" s="41" t="s">
        <v>994</v>
      </c>
      <c r="G419" s="43"/>
      <c r="H419" s="43"/>
      <c r="I419" s="43"/>
      <c r="J419" s="43"/>
      <c r="K419" s="27"/>
      <c r="L419" s="28">
        <v>199</v>
      </c>
      <c r="M419" s="27" t="s">
        <v>568</v>
      </c>
      <c r="N419" s="27" t="s">
        <v>1011</v>
      </c>
      <c r="O419" s="18">
        <f>G421*L419</f>
        <v>13930</v>
      </c>
      <c r="P419" s="213"/>
      <c r="Q419" s="213"/>
      <c r="R419" s="27"/>
      <c r="S419" s="27"/>
      <c r="T419" s="18"/>
      <c r="U419" s="27"/>
      <c r="V419" s="27"/>
      <c r="W419" s="30"/>
      <c r="X419" s="27"/>
      <c r="Y419" s="27"/>
      <c r="Z419" s="27"/>
      <c r="AA419" s="27"/>
      <c r="AB419" s="27"/>
      <c r="AC419" s="273">
        <v>1413126313</v>
      </c>
      <c r="AD419" s="27">
        <v>25835398967.342049</v>
      </c>
      <c r="AE419" s="228">
        <v>5.4697290132283284E-2</v>
      </c>
      <c r="AF419" s="27" t="s">
        <v>2842</v>
      </c>
      <c r="AG419" s="226" t="s">
        <v>2842</v>
      </c>
      <c r="AH419" s="226" t="s">
        <v>2842</v>
      </c>
      <c r="AI419" s="27">
        <v>5534410000</v>
      </c>
      <c r="AJ419" s="226">
        <v>0.25533459085973031</v>
      </c>
      <c r="AK419" s="27">
        <v>796612758.9143759</v>
      </c>
      <c r="AL419" s="226">
        <v>1.7739187543591555</v>
      </c>
      <c r="AM419" s="27" t="s">
        <v>2842</v>
      </c>
      <c r="AN419" s="271" t="s">
        <v>2842</v>
      </c>
      <c r="AO419" s="27">
        <v>63931512</v>
      </c>
      <c r="AP419" s="27" t="s">
        <v>2842</v>
      </c>
      <c r="AQ419" s="27">
        <v>49.300707317073176</v>
      </c>
      <c r="AR419" s="27">
        <v>90.2</v>
      </c>
      <c r="AS419" s="29" t="s">
        <v>2842</v>
      </c>
      <c r="AT419" s="270" t="s">
        <v>2842</v>
      </c>
      <c r="AU419" s="464" t="s">
        <v>2842</v>
      </c>
      <c r="AV419" s="29">
        <v>-1.5257921010692801</v>
      </c>
      <c r="AW419" s="29">
        <v>-2.23568898135012</v>
      </c>
      <c r="AX419" s="29">
        <v>-1.67344961349851</v>
      </c>
      <c r="AY419" s="29">
        <v>-1.5198330218751099</v>
      </c>
      <c r="AZ419" s="60">
        <v>-1.3957785017656701</v>
      </c>
    </row>
    <row r="420" spans="1:52" ht="15" customHeight="1">
      <c r="A420" s="63" t="s">
        <v>176</v>
      </c>
      <c r="B420" s="27">
        <v>2011</v>
      </c>
      <c r="C420" s="27" t="s">
        <v>165</v>
      </c>
      <c r="D420" s="27" t="s">
        <v>81</v>
      </c>
      <c r="E420" s="27" t="s">
        <v>19</v>
      </c>
      <c r="F420" s="41" t="s">
        <v>982</v>
      </c>
      <c r="G420" s="43">
        <v>130</v>
      </c>
      <c r="H420" s="43"/>
      <c r="I420" s="43"/>
      <c r="J420" s="43"/>
      <c r="K420" s="27" t="s">
        <v>567</v>
      </c>
      <c r="L420" s="28"/>
      <c r="M420" s="27"/>
      <c r="N420" s="27" t="s">
        <v>636</v>
      </c>
      <c r="O420" s="18"/>
      <c r="P420" s="213"/>
      <c r="Q420" s="213"/>
      <c r="R420" s="27"/>
      <c r="S420" s="27"/>
      <c r="T420" s="18"/>
      <c r="U420" s="27"/>
      <c r="V420" s="27"/>
      <c r="W420" s="30"/>
      <c r="X420" s="27"/>
      <c r="Y420" s="27"/>
      <c r="Z420" s="27"/>
      <c r="AA420" s="27"/>
      <c r="AB420" s="27"/>
      <c r="AC420" s="273">
        <v>1413126313</v>
      </c>
      <c r="AD420" s="27">
        <v>25835398967.342049</v>
      </c>
      <c r="AE420" s="228">
        <v>5.4697290132283284E-2</v>
      </c>
      <c r="AF420" s="27" t="s">
        <v>2842</v>
      </c>
      <c r="AG420" s="226" t="s">
        <v>2842</v>
      </c>
      <c r="AH420" s="226" t="s">
        <v>2842</v>
      </c>
      <c r="AI420" s="27">
        <v>5534410000</v>
      </c>
      <c r="AJ420" s="226">
        <v>0.25533459085973031</v>
      </c>
      <c r="AK420" s="27">
        <v>796612758.9143759</v>
      </c>
      <c r="AL420" s="226">
        <v>1.7739187543591555</v>
      </c>
      <c r="AM420" s="27" t="s">
        <v>2842</v>
      </c>
      <c r="AN420" s="271" t="s">
        <v>2842</v>
      </c>
      <c r="AO420" s="27">
        <v>63931512</v>
      </c>
      <c r="AP420" s="27" t="s">
        <v>2842</v>
      </c>
      <c r="AQ420" s="27">
        <v>49.300707317073176</v>
      </c>
      <c r="AR420" s="27">
        <v>90.2</v>
      </c>
      <c r="AS420" s="29" t="s">
        <v>2842</v>
      </c>
      <c r="AT420" s="270" t="s">
        <v>2842</v>
      </c>
      <c r="AU420" s="464" t="s">
        <v>2842</v>
      </c>
      <c r="AV420" s="29">
        <v>-1.5257921010692801</v>
      </c>
      <c r="AW420" s="29">
        <v>-2.23568898135012</v>
      </c>
      <c r="AX420" s="29">
        <v>-1.67344961349851</v>
      </c>
      <c r="AY420" s="29">
        <v>-1.5198330218751099</v>
      </c>
      <c r="AZ420" s="60">
        <v>-1.3957785017656701</v>
      </c>
    </row>
    <row r="421" spans="1:52" ht="15" customHeight="1">
      <c r="A421" s="63" t="s">
        <v>176</v>
      </c>
      <c r="B421" s="27">
        <v>2011</v>
      </c>
      <c r="C421" s="27" t="s">
        <v>165</v>
      </c>
      <c r="D421" s="27" t="s">
        <v>81</v>
      </c>
      <c r="E421" s="27" t="s">
        <v>19</v>
      </c>
      <c r="F421" s="41" t="s">
        <v>996</v>
      </c>
      <c r="G421" s="43">
        <v>70</v>
      </c>
      <c r="H421" s="43"/>
      <c r="I421" s="43"/>
      <c r="J421" s="43"/>
      <c r="K421" s="27" t="s">
        <v>567</v>
      </c>
      <c r="L421" s="28"/>
      <c r="M421" s="27"/>
      <c r="N421" s="27" t="s">
        <v>636</v>
      </c>
      <c r="O421" s="18"/>
      <c r="P421" s="213"/>
      <c r="Q421" s="213"/>
      <c r="R421" s="27"/>
      <c r="S421" s="27"/>
      <c r="T421" s="18"/>
      <c r="U421" s="27"/>
      <c r="V421" s="27"/>
      <c r="W421" s="30"/>
      <c r="X421" s="27"/>
      <c r="Y421" s="27"/>
      <c r="Z421" s="27"/>
      <c r="AA421" s="27"/>
      <c r="AB421" s="27"/>
      <c r="AC421" s="273">
        <v>1413126313</v>
      </c>
      <c r="AD421" s="27">
        <v>25835398967.342049</v>
      </c>
      <c r="AE421" s="228">
        <v>5.4697290132283284E-2</v>
      </c>
      <c r="AF421" s="27" t="s">
        <v>2842</v>
      </c>
      <c r="AG421" s="226" t="s">
        <v>2842</v>
      </c>
      <c r="AH421" s="226" t="s">
        <v>2842</v>
      </c>
      <c r="AI421" s="27">
        <v>5534410000</v>
      </c>
      <c r="AJ421" s="226">
        <v>0.25533459085973031</v>
      </c>
      <c r="AK421" s="27">
        <v>796612758.9143759</v>
      </c>
      <c r="AL421" s="226">
        <v>1.7739187543591555</v>
      </c>
      <c r="AM421" s="27" t="s">
        <v>2842</v>
      </c>
      <c r="AN421" s="271" t="s">
        <v>2842</v>
      </c>
      <c r="AO421" s="27">
        <v>63931512</v>
      </c>
      <c r="AP421" s="27" t="s">
        <v>2842</v>
      </c>
      <c r="AQ421" s="27">
        <v>49.300707317073176</v>
      </c>
      <c r="AR421" s="27">
        <v>90.2</v>
      </c>
      <c r="AS421" s="29" t="s">
        <v>2842</v>
      </c>
      <c r="AT421" s="270" t="s">
        <v>2842</v>
      </c>
      <c r="AU421" s="464" t="s">
        <v>2842</v>
      </c>
      <c r="AV421" s="29">
        <v>-1.5257921010692801</v>
      </c>
      <c r="AW421" s="29">
        <v>-2.23568898135012</v>
      </c>
      <c r="AX421" s="29">
        <v>-1.67344961349851</v>
      </c>
      <c r="AY421" s="29">
        <v>-1.5198330218751099</v>
      </c>
      <c r="AZ421" s="60">
        <v>-1.3957785017656701</v>
      </c>
    </row>
    <row r="422" spans="1:52" s="287" customFormat="1" ht="15" customHeight="1">
      <c r="A422" s="359" t="s">
        <v>176</v>
      </c>
      <c r="B422" s="284">
        <v>2011</v>
      </c>
      <c r="C422" s="284" t="s">
        <v>165</v>
      </c>
      <c r="D422" s="284" t="s">
        <v>81</v>
      </c>
      <c r="E422" s="284" t="s">
        <v>19</v>
      </c>
      <c r="F422" s="315" t="s">
        <v>997</v>
      </c>
      <c r="G422" s="303">
        <v>19035</v>
      </c>
      <c r="H422" s="303"/>
      <c r="I422" s="303"/>
      <c r="J422" s="303"/>
      <c r="K422" s="284" t="s">
        <v>567</v>
      </c>
      <c r="L422" s="367">
        <f>2193.90041666667</f>
        <v>2193.90041666667</v>
      </c>
      <c r="M422" s="284" t="s">
        <v>568</v>
      </c>
      <c r="N422" s="284" t="s">
        <v>1012</v>
      </c>
      <c r="O422" s="305">
        <f>G422*L422</f>
        <v>41760894.431250066</v>
      </c>
      <c r="P422" s="306"/>
      <c r="Q422" s="306"/>
      <c r="R422" s="284"/>
      <c r="S422" s="284"/>
      <c r="T422" s="305"/>
      <c r="U422" s="284"/>
      <c r="V422" s="284"/>
      <c r="W422" s="307"/>
      <c r="X422" s="284"/>
      <c r="Y422" s="284"/>
      <c r="Z422" s="284"/>
      <c r="AA422" s="284"/>
      <c r="AB422" s="284" t="s">
        <v>1024</v>
      </c>
      <c r="AC422" s="308">
        <v>1413126313</v>
      </c>
      <c r="AD422" s="284">
        <v>25835398967.342049</v>
      </c>
      <c r="AE422" s="309">
        <v>5.4697290132283284E-2</v>
      </c>
      <c r="AF422" s="284" t="s">
        <v>2842</v>
      </c>
      <c r="AG422" s="310" t="s">
        <v>2842</v>
      </c>
      <c r="AH422" s="310" t="s">
        <v>2842</v>
      </c>
      <c r="AI422" s="284">
        <v>5534410000</v>
      </c>
      <c r="AJ422" s="310">
        <v>0.25533459085973031</v>
      </c>
      <c r="AK422" s="284">
        <v>796612758.9143759</v>
      </c>
      <c r="AL422" s="310">
        <v>1.7739187543591555</v>
      </c>
      <c r="AM422" s="284" t="s">
        <v>2842</v>
      </c>
      <c r="AN422" s="311" t="s">
        <v>2842</v>
      </c>
      <c r="AO422" s="284">
        <v>63931512</v>
      </c>
      <c r="AP422" s="284" t="s">
        <v>2842</v>
      </c>
      <c r="AQ422" s="284">
        <v>49.300707317073176</v>
      </c>
      <c r="AR422" s="284">
        <v>90.2</v>
      </c>
      <c r="AS422" s="287" t="s">
        <v>2842</v>
      </c>
      <c r="AT422" s="312" t="s">
        <v>2842</v>
      </c>
      <c r="AU422" s="465" t="s">
        <v>2842</v>
      </c>
      <c r="AV422" s="287">
        <v>-1.5257921010692801</v>
      </c>
      <c r="AW422" s="287">
        <v>-2.23568898135012</v>
      </c>
      <c r="AX422" s="287">
        <v>-1.67344961349851</v>
      </c>
      <c r="AY422" s="287">
        <v>-1.5198330218751099</v>
      </c>
      <c r="AZ422" s="313">
        <v>-1.3957785017656701</v>
      </c>
    </row>
    <row r="423" spans="1:52" ht="15" customHeight="1">
      <c r="A423" s="370" t="s">
        <v>178</v>
      </c>
      <c r="B423" s="27">
        <v>2012</v>
      </c>
      <c r="C423" s="27" t="s">
        <v>165</v>
      </c>
      <c r="D423" s="27" t="s">
        <v>81</v>
      </c>
      <c r="E423" s="27" t="s">
        <v>36</v>
      </c>
      <c r="F423" s="27" t="s">
        <v>659</v>
      </c>
      <c r="G423" s="176"/>
      <c r="H423" s="176"/>
      <c r="I423" s="27"/>
      <c r="J423" s="176"/>
      <c r="K423" s="27"/>
      <c r="L423" s="28"/>
      <c r="M423" s="27"/>
      <c r="N423" s="27" t="s">
        <v>674</v>
      </c>
      <c r="O423" s="18">
        <v>8532889613.9200001</v>
      </c>
      <c r="P423" s="214">
        <v>1505213145</v>
      </c>
      <c r="Q423" s="247">
        <v>1514746636</v>
      </c>
      <c r="R423" s="27" t="s">
        <v>3693</v>
      </c>
      <c r="S423" s="27"/>
      <c r="T423" s="18"/>
      <c r="U423" s="27" t="s">
        <v>1025</v>
      </c>
      <c r="V423" s="27" t="s">
        <v>1026</v>
      </c>
      <c r="W423" s="30">
        <v>919.5</v>
      </c>
      <c r="X423" s="27">
        <v>103</v>
      </c>
      <c r="Y423" s="27" t="s">
        <v>1027</v>
      </c>
      <c r="Z423" s="27">
        <v>110</v>
      </c>
      <c r="AA423" s="27"/>
      <c r="AB423" s="27" t="s">
        <v>1028</v>
      </c>
      <c r="AC423" s="273">
        <v>1505213145</v>
      </c>
      <c r="AD423" s="27">
        <v>29306222815.632816</v>
      </c>
      <c r="AE423" s="228">
        <v>5.1361553976757263E-2</v>
      </c>
      <c r="AF423" s="27" t="s">
        <v>2842</v>
      </c>
      <c r="AG423" s="226" t="s">
        <v>2842</v>
      </c>
      <c r="AH423" s="226" t="s">
        <v>2842</v>
      </c>
      <c r="AI423" s="27">
        <v>2859380000</v>
      </c>
      <c r="AJ423" s="226">
        <v>0.52641241982527676</v>
      </c>
      <c r="AK423" s="27">
        <v>840706457.33505595</v>
      </c>
      <c r="AL423" s="226">
        <v>1.7904146350574668</v>
      </c>
      <c r="AM423" s="27" t="s">
        <v>2842</v>
      </c>
      <c r="AN423" s="271" t="s">
        <v>2842</v>
      </c>
      <c r="AO423" s="27">
        <v>65705093</v>
      </c>
      <c r="AP423" s="27" t="s">
        <v>2842</v>
      </c>
      <c r="AQ423" s="27">
        <v>49.62326829268293</v>
      </c>
      <c r="AR423" s="27">
        <v>88.1</v>
      </c>
      <c r="AS423" s="29" t="s">
        <v>2842</v>
      </c>
      <c r="AT423" s="270" t="s">
        <v>2842</v>
      </c>
      <c r="AU423" s="464" t="s">
        <v>2842</v>
      </c>
      <c r="AV423" s="29">
        <v>-1.5155254064189101</v>
      </c>
      <c r="AW423" s="29">
        <v>-2.11756219579997</v>
      </c>
      <c r="AX423" s="29">
        <v>-1.65864882570179</v>
      </c>
      <c r="AY423" s="29">
        <v>-1.51023682958469</v>
      </c>
      <c r="AZ423" s="60">
        <v>-1.3035610183900299</v>
      </c>
    </row>
    <row r="424" spans="1:52" ht="15" customHeight="1">
      <c r="A424" s="173" t="s">
        <v>178</v>
      </c>
      <c r="B424" s="27">
        <v>2012</v>
      </c>
      <c r="C424" s="27" t="s">
        <v>165</v>
      </c>
      <c r="D424" s="27" t="s">
        <v>81</v>
      </c>
      <c r="E424" s="27" t="s">
        <v>98</v>
      </c>
      <c r="F424" s="27" t="s">
        <v>98</v>
      </c>
      <c r="G424" s="176"/>
      <c r="H424" s="176"/>
      <c r="I424" s="176">
        <v>8545000</v>
      </c>
      <c r="J424" s="176"/>
      <c r="K424" s="27" t="s">
        <v>603</v>
      </c>
      <c r="L424" s="28"/>
      <c r="M424" s="27"/>
      <c r="N424" s="27"/>
      <c r="O424" s="18">
        <v>946306688.41999996</v>
      </c>
      <c r="P424" s="247">
        <v>462095167</v>
      </c>
      <c r="Q424" s="214">
        <v>462087520</v>
      </c>
      <c r="R424" s="27"/>
      <c r="S424" s="27"/>
      <c r="T424" s="18"/>
      <c r="U424" s="27"/>
      <c r="V424" s="27"/>
      <c r="W424" s="30"/>
      <c r="X424" s="27"/>
      <c r="Y424" s="27"/>
      <c r="Z424" s="27"/>
      <c r="AA424" s="27"/>
      <c r="AB424" s="27"/>
      <c r="AC424" s="273">
        <v>1505213145</v>
      </c>
      <c r="AD424" s="27">
        <v>29306222815.632816</v>
      </c>
      <c r="AE424" s="228">
        <v>5.1361553976757263E-2</v>
      </c>
      <c r="AF424" s="27" t="s">
        <v>2842</v>
      </c>
      <c r="AG424" s="226" t="s">
        <v>2842</v>
      </c>
      <c r="AH424" s="226" t="s">
        <v>2842</v>
      </c>
      <c r="AI424" s="27">
        <v>2859380000</v>
      </c>
      <c r="AJ424" s="226">
        <v>0.52641241982527676</v>
      </c>
      <c r="AK424" s="27">
        <v>840706457.33505595</v>
      </c>
      <c r="AL424" s="226">
        <v>1.7904146350574668</v>
      </c>
      <c r="AM424" s="27" t="s">
        <v>2842</v>
      </c>
      <c r="AN424" s="271" t="s">
        <v>2842</v>
      </c>
      <c r="AO424" s="27">
        <v>65705093</v>
      </c>
      <c r="AP424" s="27" t="s">
        <v>2842</v>
      </c>
      <c r="AQ424" s="27">
        <v>49.62326829268293</v>
      </c>
      <c r="AR424" s="27">
        <v>88.1</v>
      </c>
      <c r="AS424" s="29" t="s">
        <v>2842</v>
      </c>
      <c r="AT424" s="270" t="s">
        <v>2842</v>
      </c>
      <c r="AU424" s="464" t="s">
        <v>2842</v>
      </c>
      <c r="AV424" s="29">
        <v>-1.5155254064189101</v>
      </c>
      <c r="AW424" s="29">
        <v>-2.11756219579997</v>
      </c>
      <c r="AX424" s="29">
        <v>-1.65864882570179</v>
      </c>
      <c r="AY424" s="29">
        <v>-1.51023682958469</v>
      </c>
      <c r="AZ424" s="60">
        <v>-1.3035610183900299</v>
      </c>
    </row>
    <row r="425" spans="1:52" ht="15" customHeight="1">
      <c r="A425" s="173" t="s">
        <v>178</v>
      </c>
      <c r="B425" s="27">
        <v>2012</v>
      </c>
      <c r="C425" s="27" t="s">
        <v>165</v>
      </c>
      <c r="D425" s="27" t="s">
        <v>81</v>
      </c>
      <c r="E425" s="27" t="s">
        <v>19</v>
      </c>
      <c r="F425" s="27" t="s">
        <v>559</v>
      </c>
      <c r="G425" s="176"/>
      <c r="H425" s="176"/>
      <c r="I425" s="176"/>
      <c r="J425" s="176"/>
      <c r="K425" s="27"/>
      <c r="L425" s="28"/>
      <c r="M425" s="27"/>
      <c r="N425" s="27"/>
      <c r="O425" s="18">
        <v>7477963023.3800001</v>
      </c>
      <c r="P425" s="214">
        <v>1043117978</v>
      </c>
      <c r="Q425" s="214">
        <v>1052659116</v>
      </c>
      <c r="R425" s="27"/>
      <c r="S425" s="27"/>
      <c r="T425" s="18"/>
      <c r="U425" s="27"/>
      <c r="V425" s="27"/>
      <c r="W425" s="30"/>
      <c r="X425" s="27"/>
      <c r="Y425" s="27"/>
      <c r="Z425" s="27"/>
      <c r="AA425" s="27"/>
      <c r="AB425" s="27"/>
      <c r="AC425" s="273">
        <v>1505213145</v>
      </c>
      <c r="AD425" s="27">
        <v>29306222815.632816</v>
      </c>
      <c r="AE425" s="228">
        <v>5.1361553976757263E-2</v>
      </c>
      <c r="AF425" s="27" t="s">
        <v>2842</v>
      </c>
      <c r="AG425" s="226" t="s">
        <v>2842</v>
      </c>
      <c r="AH425" s="226" t="s">
        <v>2842</v>
      </c>
      <c r="AI425" s="27">
        <v>2859380000</v>
      </c>
      <c r="AJ425" s="226">
        <v>0.52641241982527676</v>
      </c>
      <c r="AK425" s="27">
        <v>840706457.33505595</v>
      </c>
      <c r="AL425" s="226">
        <v>1.7904146350574668</v>
      </c>
      <c r="AM425" s="27" t="s">
        <v>2842</v>
      </c>
      <c r="AN425" s="271" t="s">
        <v>2842</v>
      </c>
      <c r="AO425" s="27">
        <v>65705093</v>
      </c>
      <c r="AP425" s="27" t="s">
        <v>2842</v>
      </c>
      <c r="AQ425" s="27">
        <v>49.62326829268293</v>
      </c>
      <c r="AR425" s="27">
        <v>88.1</v>
      </c>
      <c r="AS425" s="29" t="s">
        <v>2842</v>
      </c>
      <c r="AT425" s="270" t="s">
        <v>2842</v>
      </c>
      <c r="AU425" s="464" t="s">
        <v>2842</v>
      </c>
      <c r="AV425" s="29">
        <v>-1.5155254064189101</v>
      </c>
      <c r="AW425" s="29">
        <v>-2.11756219579997</v>
      </c>
      <c r="AX425" s="29">
        <v>-1.65864882570179</v>
      </c>
      <c r="AY425" s="29">
        <v>-1.51023682958469</v>
      </c>
      <c r="AZ425" s="60">
        <v>-1.3035610183900299</v>
      </c>
    </row>
    <row r="426" spans="1:52" ht="15" customHeight="1">
      <c r="A426" s="173" t="s">
        <v>178</v>
      </c>
      <c r="B426" s="27">
        <v>2012</v>
      </c>
      <c r="C426" s="27" t="s">
        <v>165</v>
      </c>
      <c r="D426" s="27" t="s">
        <v>81</v>
      </c>
      <c r="E426" s="177" t="s">
        <v>19</v>
      </c>
      <c r="F426" s="27" t="s">
        <v>576</v>
      </c>
      <c r="G426" s="176"/>
      <c r="H426" s="176"/>
      <c r="I426" s="176">
        <v>619301</v>
      </c>
      <c r="J426" s="176"/>
      <c r="K426" s="27" t="s">
        <v>567</v>
      </c>
      <c r="L426" s="28"/>
      <c r="M426" s="27"/>
      <c r="N426" s="27"/>
      <c r="O426" s="18">
        <v>4339207177.8100004</v>
      </c>
      <c r="P426" s="244"/>
      <c r="Q426" s="244"/>
      <c r="R426" s="27"/>
      <c r="S426" s="27"/>
      <c r="T426" s="18"/>
      <c r="U426" s="27"/>
      <c r="V426" s="27"/>
      <c r="W426" s="30"/>
      <c r="X426" s="27"/>
      <c r="Y426" s="27"/>
      <c r="Z426" s="27"/>
      <c r="AA426" s="27"/>
      <c r="AB426" s="27"/>
      <c r="AC426" s="273">
        <v>1505213145</v>
      </c>
      <c r="AD426" s="27">
        <v>29306222815.632816</v>
      </c>
      <c r="AE426" s="228">
        <v>5.1361553976757263E-2</v>
      </c>
      <c r="AF426" s="27" t="s">
        <v>2842</v>
      </c>
      <c r="AG426" s="226" t="s">
        <v>2842</v>
      </c>
      <c r="AH426" s="226" t="s">
        <v>2842</v>
      </c>
      <c r="AI426" s="27">
        <v>2859380000</v>
      </c>
      <c r="AJ426" s="226">
        <v>0.52641241982527676</v>
      </c>
      <c r="AK426" s="27">
        <v>840706457.33505595</v>
      </c>
      <c r="AL426" s="226">
        <v>1.7904146350574668</v>
      </c>
      <c r="AM426" s="27" t="s">
        <v>2842</v>
      </c>
      <c r="AN426" s="271" t="s">
        <v>2842</v>
      </c>
      <c r="AO426" s="27">
        <v>65705093</v>
      </c>
      <c r="AP426" s="27" t="s">
        <v>2842</v>
      </c>
      <c r="AQ426" s="27">
        <v>49.62326829268293</v>
      </c>
      <c r="AR426" s="27">
        <v>88.1</v>
      </c>
      <c r="AS426" s="29" t="s">
        <v>2842</v>
      </c>
      <c r="AT426" s="270" t="s">
        <v>2842</v>
      </c>
      <c r="AU426" s="464" t="s">
        <v>2842</v>
      </c>
      <c r="AV426" s="29">
        <v>-1.5155254064189101</v>
      </c>
      <c r="AW426" s="29">
        <v>-2.11756219579997</v>
      </c>
      <c r="AX426" s="29">
        <v>-1.65864882570179</v>
      </c>
      <c r="AY426" s="29">
        <v>-1.51023682958469</v>
      </c>
      <c r="AZ426" s="60">
        <v>-1.3035610183900299</v>
      </c>
    </row>
    <row r="427" spans="1:52" ht="15" customHeight="1">
      <c r="A427" s="173" t="s">
        <v>178</v>
      </c>
      <c r="B427" s="27">
        <v>2012</v>
      </c>
      <c r="C427" s="27" t="s">
        <v>165</v>
      </c>
      <c r="D427" s="27" t="s">
        <v>81</v>
      </c>
      <c r="E427" s="177" t="s">
        <v>19</v>
      </c>
      <c r="F427" s="27" t="s">
        <v>790</v>
      </c>
      <c r="G427" s="176"/>
      <c r="H427" s="176"/>
      <c r="I427" s="176">
        <v>12235</v>
      </c>
      <c r="J427" s="176"/>
      <c r="K427" s="27" t="s">
        <v>567</v>
      </c>
      <c r="L427" s="28"/>
      <c r="M427" s="27"/>
      <c r="N427" s="27"/>
      <c r="O427" s="18">
        <v>2377814.0299999998</v>
      </c>
      <c r="P427" s="244"/>
      <c r="Q427" s="244"/>
      <c r="R427" s="27"/>
      <c r="S427" s="27"/>
      <c r="T427" s="18"/>
      <c r="U427" s="27"/>
      <c r="V427" s="27"/>
      <c r="W427" s="30"/>
      <c r="X427" s="27"/>
      <c r="Y427" s="27"/>
      <c r="Z427" s="27"/>
      <c r="AA427" s="27"/>
      <c r="AB427" s="27"/>
      <c r="AC427" s="273">
        <v>1505213145</v>
      </c>
      <c r="AD427" s="27">
        <v>29306222815.632816</v>
      </c>
      <c r="AE427" s="228">
        <v>5.1361553976757263E-2</v>
      </c>
      <c r="AF427" s="27" t="s">
        <v>2842</v>
      </c>
      <c r="AG427" s="226" t="s">
        <v>2842</v>
      </c>
      <c r="AH427" s="226" t="s">
        <v>2842</v>
      </c>
      <c r="AI427" s="27">
        <v>2859380000</v>
      </c>
      <c r="AJ427" s="226">
        <v>0.52641241982527676</v>
      </c>
      <c r="AK427" s="27">
        <v>840706457.33505595</v>
      </c>
      <c r="AL427" s="226">
        <v>1.7904146350574668</v>
      </c>
      <c r="AM427" s="27" t="s">
        <v>2842</v>
      </c>
      <c r="AN427" s="271" t="s">
        <v>2842</v>
      </c>
      <c r="AO427" s="27">
        <v>65705093</v>
      </c>
      <c r="AP427" s="27" t="s">
        <v>2842</v>
      </c>
      <c r="AQ427" s="27">
        <v>49.62326829268293</v>
      </c>
      <c r="AR427" s="27">
        <v>88.1</v>
      </c>
      <c r="AS427" s="29" t="s">
        <v>2842</v>
      </c>
      <c r="AT427" s="270" t="s">
        <v>2842</v>
      </c>
      <c r="AU427" s="464" t="s">
        <v>2842</v>
      </c>
      <c r="AV427" s="29">
        <v>-1.5155254064189101</v>
      </c>
      <c r="AW427" s="29">
        <v>-2.11756219579997</v>
      </c>
      <c r="AX427" s="29">
        <v>-1.65864882570179</v>
      </c>
      <c r="AY427" s="29">
        <v>-1.51023682958469</v>
      </c>
      <c r="AZ427" s="60">
        <v>-1.3035610183900299</v>
      </c>
    </row>
    <row r="428" spans="1:52" ht="15" customHeight="1">
      <c r="A428" s="173" t="s">
        <v>178</v>
      </c>
      <c r="B428" s="27">
        <v>2012</v>
      </c>
      <c r="C428" s="27" t="s">
        <v>165</v>
      </c>
      <c r="D428" s="27" t="s">
        <v>81</v>
      </c>
      <c r="E428" s="177" t="s">
        <v>19</v>
      </c>
      <c r="F428" s="27" t="s">
        <v>977</v>
      </c>
      <c r="G428" s="176"/>
      <c r="H428" s="176"/>
      <c r="I428" s="176">
        <v>85409</v>
      </c>
      <c r="J428" s="176"/>
      <c r="K428" s="27" t="s">
        <v>567</v>
      </c>
      <c r="L428" s="28"/>
      <c r="M428" s="27"/>
      <c r="N428" s="27"/>
      <c r="O428" s="178">
        <v>2543182164.2199998</v>
      </c>
      <c r="P428" s="244"/>
      <c r="Q428" s="244"/>
      <c r="R428" s="27"/>
      <c r="S428" s="27"/>
      <c r="T428" s="18"/>
      <c r="U428" s="27"/>
      <c r="V428" s="27"/>
      <c r="W428" s="30"/>
      <c r="X428" s="27"/>
      <c r="Y428" s="27"/>
      <c r="Z428" s="27"/>
      <c r="AA428" s="27"/>
      <c r="AB428" s="27"/>
      <c r="AC428" s="273">
        <v>1505213145</v>
      </c>
      <c r="AD428" s="27">
        <v>29306222815.632816</v>
      </c>
      <c r="AE428" s="228">
        <v>5.1361553976757263E-2</v>
      </c>
      <c r="AF428" s="27" t="s">
        <v>2842</v>
      </c>
      <c r="AG428" s="226" t="s">
        <v>2842</v>
      </c>
      <c r="AH428" s="226" t="s">
        <v>2842</v>
      </c>
      <c r="AI428" s="27">
        <v>2859380000</v>
      </c>
      <c r="AJ428" s="226">
        <v>0.52641241982527676</v>
      </c>
      <c r="AK428" s="27">
        <v>840706457.33505595</v>
      </c>
      <c r="AL428" s="226">
        <v>1.7904146350574668</v>
      </c>
      <c r="AM428" s="27" t="s">
        <v>2842</v>
      </c>
      <c r="AN428" s="271" t="s">
        <v>2842</v>
      </c>
      <c r="AO428" s="27">
        <v>65705093</v>
      </c>
      <c r="AP428" s="27" t="s">
        <v>2842</v>
      </c>
      <c r="AQ428" s="27">
        <v>49.62326829268293</v>
      </c>
      <c r="AR428" s="27">
        <v>88.1</v>
      </c>
      <c r="AS428" s="29" t="s">
        <v>2842</v>
      </c>
      <c r="AT428" s="270" t="s">
        <v>2842</v>
      </c>
      <c r="AU428" s="464" t="s">
        <v>2842</v>
      </c>
      <c r="AV428" s="29">
        <v>-1.5155254064189101</v>
      </c>
      <c r="AW428" s="29">
        <v>-2.11756219579997</v>
      </c>
      <c r="AX428" s="29">
        <v>-1.65864882570179</v>
      </c>
      <c r="AY428" s="29">
        <v>-1.51023682958469</v>
      </c>
      <c r="AZ428" s="60">
        <v>-1.3035610183900299</v>
      </c>
    </row>
    <row r="429" spans="1:52" ht="15" customHeight="1">
      <c r="A429" s="173" t="s">
        <v>178</v>
      </c>
      <c r="B429" s="27">
        <v>2012</v>
      </c>
      <c r="C429" s="27" t="s">
        <v>165</v>
      </c>
      <c r="D429" s="27" t="s">
        <v>81</v>
      </c>
      <c r="E429" s="177" t="s">
        <v>19</v>
      </c>
      <c r="F429" s="27" t="s">
        <v>730</v>
      </c>
      <c r="G429" s="176"/>
      <c r="H429" s="176"/>
      <c r="I429" s="176">
        <v>2546</v>
      </c>
      <c r="J429" s="176"/>
      <c r="K429" s="27" t="s">
        <v>894</v>
      </c>
      <c r="L429" s="28"/>
      <c r="M429" s="27"/>
      <c r="N429" s="27"/>
      <c r="O429" s="178">
        <v>102082653.62</v>
      </c>
      <c r="P429" s="244"/>
      <c r="Q429" s="244"/>
      <c r="R429" s="27"/>
      <c r="S429" s="27"/>
      <c r="T429" s="18"/>
      <c r="U429" s="27"/>
      <c r="V429" s="27"/>
      <c r="W429" s="30"/>
      <c r="X429" s="27"/>
      <c r="Y429" s="27"/>
      <c r="Z429" s="27"/>
      <c r="AA429" s="27"/>
      <c r="AB429" s="27"/>
      <c r="AC429" s="273">
        <v>1505213145</v>
      </c>
      <c r="AD429" s="27">
        <v>29306222815.632816</v>
      </c>
      <c r="AE429" s="228">
        <v>5.1361553976757263E-2</v>
      </c>
      <c r="AF429" s="27" t="s">
        <v>2842</v>
      </c>
      <c r="AG429" s="226" t="s">
        <v>2842</v>
      </c>
      <c r="AH429" s="226" t="s">
        <v>2842</v>
      </c>
      <c r="AI429" s="27">
        <v>2859380000</v>
      </c>
      <c r="AJ429" s="226">
        <v>0.52641241982527676</v>
      </c>
      <c r="AK429" s="27">
        <v>840706457.33505595</v>
      </c>
      <c r="AL429" s="226">
        <v>1.7904146350574668</v>
      </c>
      <c r="AM429" s="27" t="s">
        <v>2842</v>
      </c>
      <c r="AN429" s="271" t="s">
        <v>2842</v>
      </c>
      <c r="AO429" s="27">
        <v>65705093</v>
      </c>
      <c r="AP429" s="27" t="s">
        <v>2842</v>
      </c>
      <c r="AQ429" s="27">
        <v>49.62326829268293</v>
      </c>
      <c r="AR429" s="27">
        <v>88.1</v>
      </c>
      <c r="AS429" s="29" t="s">
        <v>2842</v>
      </c>
      <c r="AT429" s="270" t="s">
        <v>2842</v>
      </c>
      <c r="AU429" s="464" t="s">
        <v>2842</v>
      </c>
      <c r="AV429" s="29">
        <v>-1.5155254064189101</v>
      </c>
      <c r="AW429" s="29">
        <v>-2.11756219579997</v>
      </c>
      <c r="AX429" s="29">
        <v>-1.65864882570179</v>
      </c>
      <c r="AY429" s="29">
        <v>-1.51023682958469</v>
      </c>
      <c r="AZ429" s="60">
        <v>-1.3035610183900299</v>
      </c>
    </row>
    <row r="430" spans="1:52" ht="15" customHeight="1">
      <c r="A430" s="173" t="s">
        <v>178</v>
      </c>
      <c r="B430" s="27">
        <v>2012</v>
      </c>
      <c r="C430" s="27" t="s">
        <v>165</v>
      </c>
      <c r="D430" s="27" t="s">
        <v>81</v>
      </c>
      <c r="E430" s="177" t="s">
        <v>19</v>
      </c>
      <c r="F430" s="27" t="s">
        <v>904</v>
      </c>
      <c r="G430" s="176"/>
      <c r="H430" s="176"/>
      <c r="I430" s="176">
        <v>20140000</v>
      </c>
      <c r="J430" s="176"/>
      <c r="K430" s="27" t="s">
        <v>905</v>
      </c>
      <c r="L430" s="28"/>
      <c r="M430" s="27"/>
      <c r="N430" s="27"/>
      <c r="O430" s="178">
        <v>293358346.93000001</v>
      </c>
      <c r="P430" s="244"/>
      <c r="Q430" s="244"/>
      <c r="R430" s="27"/>
      <c r="S430" s="27"/>
      <c r="T430" s="18"/>
      <c r="U430" s="27"/>
      <c r="V430" s="27"/>
      <c r="W430" s="30"/>
      <c r="X430" s="27"/>
      <c r="Y430" s="27"/>
      <c r="Z430" s="27"/>
      <c r="AA430" s="27"/>
      <c r="AB430" s="27"/>
      <c r="AC430" s="273">
        <v>1505213145</v>
      </c>
      <c r="AD430" s="27">
        <v>29306222815.632816</v>
      </c>
      <c r="AE430" s="228">
        <v>5.1361553976757263E-2</v>
      </c>
      <c r="AF430" s="27" t="s">
        <v>2842</v>
      </c>
      <c r="AG430" s="226" t="s">
        <v>2842</v>
      </c>
      <c r="AH430" s="226" t="s">
        <v>2842</v>
      </c>
      <c r="AI430" s="27">
        <v>2859380000</v>
      </c>
      <c r="AJ430" s="226">
        <v>0.52641241982527676</v>
      </c>
      <c r="AK430" s="27">
        <v>840706457.33505595</v>
      </c>
      <c r="AL430" s="226">
        <v>1.7904146350574668</v>
      </c>
      <c r="AM430" s="27" t="s">
        <v>2842</v>
      </c>
      <c r="AN430" s="271" t="s">
        <v>2842</v>
      </c>
      <c r="AO430" s="27">
        <v>65705093</v>
      </c>
      <c r="AP430" s="27" t="s">
        <v>2842</v>
      </c>
      <c r="AQ430" s="27">
        <v>49.62326829268293</v>
      </c>
      <c r="AR430" s="27">
        <v>88.1</v>
      </c>
      <c r="AS430" s="29" t="s">
        <v>2842</v>
      </c>
      <c r="AT430" s="270" t="s">
        <v>2842</v>
      </c>
      <c r="AU430" s="464" t="s">
        <v>2842</v>
      </c>
      <c r="AV430" s="29">
        <v>-1.5155254064189101</v>
      </c>
      <c r="AW430" s="29">
        <v>-2.11756219579997</v>
      </c>
      <c r="AX430" s="29">
        <v>-1.65864882570179</v>
      </c>
      <c r="AY430" s="29">
        <v>-1.51023682958469</v>
      </c>
      <c r="AZ430" s="60">
        <v>-1.3035610183900299</v>
      </c>
    </row>
    <row r="431" spans="1:52" ht="15" customHeight="1">
      <c r="A431" s="173" t="s">
        <v>178</v>
      </c>
      <c r="B431" s="27">
        <v>2012</v>
      </c>
      <c r="C431" s="27" t="s">
        <v>165</v>
      </c>
      <c r="D431" s="27" t="s">
        <v>81</v>
      </c>
      <c r="E431" s="177" t="s">
        <v>19</v>
      </c>
      <c r="F431" s="27" t="s">
        <v>1029</v>
      </c>
      <c r="G431" s="176"/>
      <c r="H431" s="176"/>
      <c r="I431" s="176">
        <v>18981</v>
      </c>
      <c r="J431" s="176"/>
      <c r="K431" s="27" t="s">
        <v>567</v>
      </c>
      <c r="L431" s="28"/>
      <c r="M431" s="27"/>
      <c r="N431" s="27"/>
      <c r="O431" s="18">
        <v>98680804.790000007</v>
      </c>
      <c r="P431" s="244"/>
      <c r="Q431" s="244"/>
      <c r="R431" s="27"/>
      <c r="S431" s="27"/>
      <c r="T431" s="18"/>
      <c r="U431" s="27"/>
      <c r="V431" s="27"/>
      <c r="W431" s="30"/>
      <c r="X431" s="27"/>
      <c r="Y431" s="27"/>
      <c r="Z431" s="27"/>
      <c r="AA431" s="27"/>
      <c r="AB431" s="27"/>
      <c r="AC431" s="273">
        <v>1505213145</v>
      </c>
      <c r="AD431" s="27">
        <v>29306222815.632816</v>
      </c>
      <c r="AE431" s="228">
        <v>5.1361553976757263E-2</v>
      </c>
      <c r="AF431" s="27" t="s">
        <v>2842</v>
      </c>
      <c r="AG431" s="226" t="s">
        <v>2842</v>
      </c>
      <c r="AH431" s="226" t="s">
        <v>2842</v>
      </c>
      <c r="AI431" s="27">
        <v>2859380000</v>
      </c>
      <c r="AJ431" s="226">
        <v>0.52641241982527676</v>
      </c>
      <c r="AK431" s="27">
        <v>840706457.33505595</v>
      </c>
      <c r="AL431" s="226">
        <v>1.7904146350574668</v>
      </c>
      <c r="AM431" s="27" t="s">
        <v>2842</v>
      </c>
      <c r="AN431" s="271" t="s">
        <v>2842</v>
      </c>
      <c r="AO431" s="27">
        <v>65705093</v>
      </c>
      <c r="AP431" s="27" t="s">
        <v>2842</v>
      </c>
      <c r="AQ431" s="27">
        <v>49.62326829268293</v>
      </c>
      <c r="AR431" s="27">
        <v>88.1</v>
      </c>
      <c r="AS431" s="29" t="s">
        <v>2842</v>
      </c>
      <c r="AT431" s="270" t="s">
        <v>2842</v>
      </c>
      <c r="AU431" s="464" t="s">
        <v>2842</v>
      </c>
      <c r="AV431" s="29">
        <v>-1.5155254064189101</v>
      </c>
      <c r="AW431" s="29">
        <v>-2.11756219579997</v>
      </c>
      <c r="AX431" s="29">
        <v>-1.65864882570179</v>
      </c>
      <c r="AY431" s="29">
        <v>-1.51023682958469</v>
      </c>
      <c r="AZ431" s="60">
        <v>-1.3035610183900299</v>
      </c>
    </row>
    <row r="432" spans="1:52" ht="15" customHeight="1">
      <c r="A432" s="173" t="s">
        <v>178</v>
      </c>
      <c r="B432" s="27">
        <v>2012</v>
      </c>
      <c r="C432" s="27" t="s">
        <v>165</v>
      </c>
      <c r="D432" s="27" t="s">
        <v>81</v>
      </c>
      <c r="E432" s="177" t="s">
        <v>19</v>
      </c>
      <c r="F432" s="27" t="s">
        <v>1030</v>
      </c>
      <c r="G432" s="176"/>
      <c r="H432" s="176"/>
      <c r="I432" s="176">
        <v>8</v>
      </c>
      <c r="J432" s="176"/>
      <c r="K432" s="27" t="s">
        <v>567</v>
      </c>
      <c r="L432" s="28"/>
      <c r="M432" s="27"/>
      <c r="N432" s="27"/>
      <c r="O432" s="18">
        <v>77673735.730000004</v>
      </c>
      <c r="P432" s="244"/>
      <c r="Q432" s="244"/>
      <c r="R432" s="27"/>
      <c r="S432" s="27"/>
      <c r="T432" s="18"/>
      <c r="U432" s="27"/>
      <c r="V432" s="27"/>
      <c r="W432" s="30"/>
      <c r="X432" s="27"/>
      <c r="Y432" s="27"/>
      <c r="Z432" s="27"/>
      <c r="AA432" s="27"/>
      <c r="AB432" s="27"/>
      <c r="AC432" s="273">
        <v>1505213145</v>
      </c>
      <c r="AD432" s="27">
        <v>29306222815.632816</v>
      </c>
      <c r="AE432" s="228">
        <v>5.1361553976757263E-2</v>
      </c>
      <c r="AF432" s="27" t="s">
        <v>2842</v>
      </c>
      <c r="AG432" s="226" t="s">
        <v>2842</v>
      </c>
      <c r="AH432" s="226" t="s">
        <v>2842</v>
      </c>
      <c r="AI432" s="27">
        <v>2859380000</v>
      </c>
      <c r="AJ432" s="226">
        <v>0.52641241982527676</v>
      </c>
      <c r="AK432" s="27">
        <v>840706457.33505595</v>
      </c>
      <c r="AL432" s="226">
        <v>1.7904146350574668</v>
      </c>
      <c r="AM432" s="27" t="s">
        <v>2842</v>
      </c>
      <c r="AN432" s="271" t="s">
        <v>2842</v>
      </c>
      <c r="AO432" s="27">
        <v>65705093</v>
      </c>
      <c r="AP432" s="27" t="s">
        <v>2842</v>
      </c>
      <c r="AQ432" s="27">
        <v>49.62326829268293</v>
      </c>
      <c r="AR432" s="27">
        <v>88.1</v>
      </c>
      <c r="AS432" s="29" t="s">
        <v>2842</v>
      </c>
      <c r="AT432" s="270" t="s">
        <v>2842</v>
      </c>
      <c r="AU432" s="464" t="s">
        <v>2842</v>
      </c>
      <c r="AV432" s="29">
        <v>-1.5155254064189101</v>
      </c>
      <c r="AW432" s="29">
        <v>-2.11756219579997</v>
      </c>
      <c r="AX432" s="29">
        <v>-1.65864882570179</v>
      </c>
      <c r="AY432" s="29">
        <v>-1.51023682958469</v>
      </c>
      <c r="AZ432" s="60">
        <v>-1.3035610183900299</v>
      </c>
    </row>
    <row r="433" spans="1:52" s="232" customFormat="1" ht="15" customHeight="1" thickBot="1">
      <c r="A433" s="371" t="s">
        <v>178</v>
      </c>
      <c r="B433" s="230">
        <v>2012</v>
      </c>
      <c r="C433" s="230" t="s">
        <v>165</v>
      </c>
      <c r="D433" s="230" t="s">
        <v>81</v>
      </c>
      <c r="E433" s="361" t="s">
        <v>19</v>
      </c>
      <c r="F433" s="230" t="s">
        <v>1031</v>
      </c>
      <c r="G433" s="317"/>
      <c r="H433" s="317"/>
      <c r="I433" s="317">
        <v>257</v>
      </c>
      <c r="J433" s="317"/>
      <c r="K433" s="230" t="s">
        <v>567</v>
      </c>
      <c r="L433" s="298"/>
      <c r="M433" s="230"/>
      <c r="N433" s="230"/>
      <c r="O433" s="230"/>
      <c r="P433" s="318"/>
      <c r="Q433" s="318"/>
      <c r="R433" s="230"/>
      <c r="S433" s="230"/>
      <c r="T433" s="285"/>
      <c r="U433" s="230"/>
      <c r="V433" s="230"/>
      <c r="W433" s="300"/>
      <c r="X433" s="230"/>
      <c r="Y433" s="230"/>
      <c r="Z433" s="230"/>
      <c r="AA433" s="230"/>
      <c r="AB433" s="230"/>
      <c r="AC433" s="274">
        <v>1505213145</v>
      </c>
      <c r="AD433" s="230">
        <v>29306222815.632816</v>
      </c>
      <c r="AE433" s="229">
        <v>5.1361553976757263E-2</v>
      </c>
      <c r="AF433" s="230" t="s">
        <v>2842</v>
      </c>
      <c r="AG433" s="231" t="s">
        <v>2842</v>
      </c>
      <c r="AH433" s="231" t="s">
        <v>2842</v>
      </c>
      <c r="AI433" s="230">
        <v>2859380000</v>
      </c>
      <c r="AJ433" s="231">
        <v>0.52641241982527676</v>
      </c>
      <c r="AK433" s="230">
        <v>840706457.33505595</v>
      </c>
      <c r="AL433" s="231">
        <v>1.7904146350574668</v>
      </c>
      <c r="AM433" s="230" t="s">
        <v>2842</v>
      </c>
      <c r="AN433" s="275" t="s">
        <v>2842</v>
      </c>
      <c r="AO433" s="230">
        <v>65705093</v>
      </c>
      <c r="AP433" s="230" t="s">
        <v>2842</v>
      </c>
      <c r="AQ433" s="230">
        <v>49.62326829268293</v>
      </c>
      <c r="AR433" s="230">
        <v>88.1</v>
      </c>
      <c r="AS433" s="232" t="s">
        <v>2842</v>
      </c>
      <c r="AT433" s="276" t="s">
        <v>2842</v>
      </c>
      <c r="AU433" s="466" t="s">
        <v>2842</v>
      </c>
      <c r="AV433" s="232">
        <v>-1.5155254064189101</v>
      </c>
      <c r="AW433" s="232">
        <v>-2.11756219579997</v>
      </c>
      <c r="AX433" s="232">
        <v>-1.65864882570179</v>
      </c>
      <c r="AY433" s="232">
        <v>-1.51023682958469</v>
      </c>
      <c r="AZ433" s="293">
        <v>-1.3035610183900299</v>
      </c>
    </row>
    <row r="434" spans="1:52" s="29" customFormat="1" ht="15" customHeight="1">
      <c r="A434" s="347" t="s">
        <v>181</v>
      </c>
      <c r="B434" s="53">
        <v>2007</v>
      </c>
      <c r="C434" s="27" t="s">
        <v>182</v>
      </c>
      <c r="D434" s="39" t="s">
        <v>81</v>
      </c>
      <c r="E434" s="27" t="s">
        <v>50</v>
      </c>
      <c r="F434" s="41" t="s">
        <v>659</v>
      </c>
      <c r="G434" s="43"/>
      <c r="H434" s="43"/>
      <c r="I434" s="43"/>
      <c r="J434" s="43"/>
      <c r="K434" s="27"/>
      <c r="L434" s="28"/>
      <c r="M434" s="27"/>
      <c r="N434" s="27"/>
      <c r="O434" s="18">
        <f>SUM(O435:O436)</f>
        <v>12303546531.135998</v>
      </c>
      <c r="P434" s="246">
        <v>6148771541.7605944</v>
      </c>
      <c r="Q434" s="246">
        <v>4083149750.8419681</v>
      </c>
      <c r="S434" s="27"/>
      <c r="T434" s="27"/>
      <c r="U434" s="27"/>
      <c r="V434" s="27"/>
      <c r="W434" s="30">
        <v>479.27</v>
      </c>
      <c r="X434" s="27"/>
      <c r="Y434" s="27"/>
      <c r="Z434" s="27"/>
      <c r="AA434" s="27"/>
      <c r="AB434" s="27" t="s">
        <v>1032</v>
      </c>
      <c r="AC434" s="273">
        <v>6148771541.7605944</v>
      </c>
      <c r="AD434" s="27">
        <v>10201201021.911829</v>
      </c>
      <c r="AE434" s="228">
        <v>0.60274976726301588</v>
      </c>
      <c r="AF434" s="27">
        <v>3357623304.3520594</v>
      </c>
      <c r="AG434" s="226">
        <v>1.8312868908762709</v>
      </c>
      <c r="AH434" s="226" t="s">
        <v>2842</v>
      </c>
      <c r="AI434" s="27">
        <v>31360000</v>
      </c>
      <c r="AJ434" s="226">
        <v>196.07052110205976</v>
      </c>
      <c r="AK434" s="27">
        <v>165581156.90503606</v>
      </c>
      <c r="AL434" s="226">
        <v>37.134488348133907</v>
      </c>
      <c r="AM434" s="27" t="s">
        <v>2842</v>
      </c>
      <c r="AN434" s="271" t="s">
        <v>2842</v>
      </c>
      <c r="AO434" s="27">
        <v>639618</v>
      </c>
      <c r="AP434" s="27" t="s">
        <v>2842</v>
      </c>
      <c r="AQ434" s="27">
        <v>49.845073170731709</v>
      </c>
      <c r="AR434" s="27">
        <v>82.2</v>
      </c>
      <c r="AS434" s="29" t="s">
        <v>2842</v>
      </c>
      <c r="AT434" s="270" t="s">
        <v>2842</v>
      </c>
      <c r="AU434" s="464">
        <v>12.515683594968587</v>
      </c>
      <c r="AV434" s="29">
        <v>-1.8909852725243199</v>
      </c>
      <c r="AW434" s="29">
        <v>0.21189458979335599</v>
      </c>
      <c r="AX434" s="29">
        <v>-1.6744156531326</v>
      </c>
      <c r="AY434" s="29">
        <v>-1.31762817374695</v>
      </c>
      <c r="AZ434" s="60">
        <v>-1.54170365109942</v>
      </c>
    </row>
    <row r="435" spans="1:52" s="29" customFormat="1" ht="15" customHeight="1">
      <c r="A435" s="63" t="s">
        <v>181</v>
      </c>
      <c r="B435" s="53">
        <v>2007</v>
      </c>
      <c r="C435" s="27" t="s">
        <v>182</v>
      </c>
      <c r="D435" s="39" t="s">
        <v>81</v>
      </c>
      <c r="E435" s="27" t="s">
        <v>552</v>
      </c>
      <c r="F435" s="41" t="s">
        <v>552</v>
      </c>
      <c r="G435" s="43">
        <f>160000000000*0.0283168</f>
        <v>4530688000</v>
      </c>
      <c r="H435" s="43"/>
      <c r="I435" s="43"/>
      <c r="J435" s="43"/>
      <c r="K435" s="27" t="s">
        <v>599</v>
      </c>
      <c r="L435" s="28">
        <v>0.22764700000000004</v>
      </c>
      <c r="M435" s="27" t="s">
        <v>600</v>
      </c>
      <c r="N435" s="27" t="s">
        <v>816</v>
      </c>
      <c r="O435" s="18">
        <f>G435*L435</f>
        <v>1031397531.1360002</v>
      </c>
      <c r="P435" s="246"/>
      <c r="Q435" s="246"/>
      <c r="S435" s="27"/>
      <c r="T435" s="27"/>
      <c r="U435" s="27"/>
      <c r="V435" s="27"/>
      <c r="W435" s="30"/>
      <c r="X435" s="27"/>
      <c r="Y435" s="27"/>
      <c r="Z435" s="27"/>
      <c r="AA435" s="27"/>
      <c r="AB435" s="27"/>
      <c r="AC435" s="273">
        <v>6148771541.7605944</v>
      </c>
      <c r="AD435" s="27">
        <v>10201201021.911829</v>
      </c>
      <c r="AE435" s="228">
        <v>0.60274976726301588</v>
      </c>
      <c r="AF435" s="27">
        <v>3357623304.3520594</v>
      </c>
      <c r="AG435" s="226">
        <v>1.8312868908762709</v>
      </c>
      <c r="AH435" s="226" t="s">
        <v>2842</v>
      </c>
      <c r="AI435" s="27">
        <v>31360000</v>
      </c>
      <c r="AJ435" s="226">
        <v>196.07052110205976</v>
      </c>
      <c r="AK435" s="27">
        <v>165581156.90503606</v>
      </c>
      <c r="AL435" s="226">
        <v>37.134488348133907</v>
      </c>
      <c r="AM435" s="27" t="s">
        <v>2842</v>
      </c>
      <c r="AN435" s="271" t="s">
        <v>2842</v>
      </c>
      <c r="AO435" s="27">
        <v>639618</v>
      </c>
      <c r="AP435" s="27" t="s">
        <v>2842</v>
      </c>
      <c r="AQ435" s="27">
        <v>49.845073170731709</v>
      </c>
      <c r="AR435" s="27">
        <v>82.2</v>
      </c>
      <c r="AS435" s="29" t="s">
        <v>2842</v>
      </c>
      <c r="AT435" s="270" t="s">
        <v>2842</v>
      </c>
      <c r="AU435" s="464">
        <v>12.515683594968587</v>
      </c>
      <c r="AV435" s="29">
        <v>-1.8909852725243199</v>
      </c>
      <c r="AW435" s="29">
        <v>0.21189458979335599</v>
      </c>
      <c r="AX435" s="29">
        <v>-1.6744156531326</v>
      </c>
      <c r="AY435" s="29">
        <v>-1.31762817374695</v>
      </c>
      <c r="AZ435" s="60">
        <v>-1.54170365109942</v>
      </c>
    </row>
    <row r="436" spans="1:52" s="287" customFormat="1" ht="15" customHeight="1">
      <c r="A436" s="359" t="s">
        <v>181</v>
      </c>
      <c r="B436" s="302">
        <v>2007</v>
      </c>
      <c r="C436" s="284" t="s">
        <v>182</v>
      </c>
      <c r="D436" s="314" t="s">
        <v>81</v>
      </c>
      <c r="E436" s="284" t="s">
        <v>98</v>
      </c>
      <c r="F436" s="315" t="s">
        <v>98</v>
      </c>
      <c r="G436" s="303">
        <v>156950000</v>
      </c>
      <c r="H436" s="303"/>
      <c r="I436" s="303"/>
      <c r="J436" s="303"/>
      <c r="K436" s="284" t="s">
        <v>603</v>
      </c>
      <c r="L436" s="304">
        <v>71.819999999999993</v>
      </c>
      <c r="M436" s="284" t="s">
        <v>626</v>
      </c>
      <c r="N436" s="284" t="s">
        <v>687</v>
      </c>
      <c r="O436" s="305">
        <f>G436*L436</f>
        <v>11272148999.999998</v>
      </c>
      <c r="P436" s="320"/>
      <c r="Q436" s="320"/>
      <c r="S436" s="284"/>
      <c r="T436" s="284"/>
      <c r="U436" s="284"/>
      <c r="V436" s="284"/>
      <c r="W436" s="307"/>
      <c r="X436" s="284"/>
      <c r="Y436" s="284"/>
      <c r="Z436" s="284"/>
      <c r="AA436" s="284"/>
      <c r="AB436" s="284"/>
      <c r="AC436" s="308">
        <v>6148771541.7605944</v>
      </c>
      <c r="AD436" s="284">
        <v>10201201021.911829</v>
      </c>
      <c r="AE436" s="309">
        <v>0.60274976726301588</v>
      </c>
      <c r="AF436" s="284">
        <v>3357623304.3520594</v>
      </c>
      <c r="AG436" s="310">
        <v>1.8312868908762709</v>
      </c>
      <c r="AH436" s="310" t="s">
        <v>2842</v>
      </c>
      <c r="AI436" s="284">
        <v>31360000</v>
      </c>
      <c r="AJ436" s="310">
        <v>196.07052110205976</v>
      </c>
      <c r="AK436" s="284">
        <v>165581156.90503606</v>
      </c>
      <c r="AL436" s="310">
        <v>37.134488348133907</v>
      </c>
      <c r="AM436" s="284" t="s">
        <v>2842</v>
      </c>
      <c r="AN436" s="311" t="s">
        <v>2842</v>
      </c>
      <c r="AO436" s="284">
        <v>639618</v>
      </c>
      <c r="AP436" s="284" t="s">
        <v>2842</v>
      </c>
      <c r="AQ436" s="284">
        <v>49.845073170731709</v>
      </c>
      <c r="AR436" s="284">
        <v>82.2</v>
      </c>
      <c r="AS436" s="287" t="s">
        <v>2842</v>
      </c>
      <c r="AT436" s="312" t="s">
        <v>2842</v>
      </c>
      <c r="AU436" s="465">
        <v>12.515683594968587</v>
      </c>
      <c r="AV436" s="287">
        <v>-1.8909852725243199</v>
      </c>
      <c r="AW436" s="287">
        <v>0.21189458979335599</v>
      </c>
      <c r="AX436" s="287">
        <v>-1.6744156531326</v>
      </c>
      <c r="AY436" s="287">
        <v>-1.31762817374695</v>
      </c>
      <c r="AZ436" s="313">
        <v>-1.54170365109942</v>
      </c>
    </row>
    <row r="437" spans="1:52" ht="15" customHeight="1">
      <c r="A437" s="63" t="s">
        <v>183</v>
      </c>
      <c r="B437" s="53">
        <v>2008</v>
      </c>
      <c r="C437" s="27" t="s">
        <v>182</v>
      </c>
      <c r="D437" s="39" t="s">
        <v>81</v>
      </c>
      <c r="E437" s="27" t="s">
        <v>50</v>
      </c>
      <c r="F437" s="41" t="s">
        <v>659</v>
      </c>
      <c r="G437" s="43"/>
      <c r="H437" s="43"/>
      <c r="I437" s="43"/>
      <c r="J437" s="43"/>
      <c r="K437" s="27"/>
      <c r="L437" s="28"/>
      <c r="M437" s="27"/>
      <c r="N437" s="27"/>
      <c r="O437" s="18">
        <f>SUM(O438:O439)</f>
        <v>17263740463.523201</v>
      </c>
      <c r="P437" s="246">
        <v>9119117112.0564747</v>
      </c>
      <c r="Q437" s="246">
        <v>6011049981.865613</v>
      </c>
      <c r="R437" s="29"/>
      <c r="S437" s="27"/>
      <c r="T437" s="27"/>
      <c r="U437" s="27"/>
      <c r="V437" s="27"/>
      <c r="W437" s="30">
        <v>447.81</v>
      </c>
      <c r="X437" s="27"/>
      <c r="Y437" s="27"/>
      <c r="Z437" s="27"/>
      <c r="AA437" s="27"/>
      <c r="AB437" s="27" t="s">
        <v>1032</v>
      </c>
      <c r="AC437" s="273">
        <v>9119117112.0564747</v>
      </c>
      <c r="AD437" s="27">
        <v>15439740345.257473</v>
      </c>
      <c r="AE437" s="228">
        <v>0.59062632584087049</v>
      </c>
      <c r="AF437" s="27">
        <v>5037369685.0437031</v>
      </c>
      <c r="AG437" s="226">
        <v>1.8102934035458547</v>
      </c>
      <c r="AH437" s="226" t="s">
        <v>2842</v>
      </c>
      <c r="AI437" s="27">
        <v>32080000</v>
      </c>
      <c r="AJ437" s="226">
        <v>284.26175536335643</v>
      </c>
      <c r="AK437" s="27">
        <v>276529084.0781427</v>
      </c>
      <c r="AL437" s="226">
        <v>32.977063307668416</v>
      </c>
      <c r="AM437" s="27" t="s">
        <v>2842</v>
      </c>
      <c r="AN437" s="271" t="s">
        <v>2842</v>
      </c>
      <c r="AO437" s="27">
        <v>658025</v>
      </c>
      <c r="AP437" s="27" t="s">
        <v>2842</v>
      </c>
      <c r="AQ437" s="27">
        <v>50.395731707317076</v>
      </c>
      <c r="AR437" s="27">
        <v>80.099999999999994</v>
      </c>
      <c r="AS437" s="29">
        <v>56.137650000000001</v>
      </c>
      <c r="AT437" s="270" t="s">
        <v>2842</v>
      </c>
      <c r="AU437" s="464">
        <v>12.515683594968587</v>
      </c>
      <c r="AV437" s="29">
        <v>-1.89792363779603</v>
      </c>
      <c r="AW437" s="29">
        <v>0.19259837028468199</v>
      </c>
      <c r="AX437" s="29">
        <v>-1.6691070782163799</v>
      </c>
      <c r="AY437" s="29">
        <v>-1.3215602214219999</v>
      </c>
      <c r="AZ437" s="60">
        <v>-1.5083383410405</v>
      </c>
    </row>
    <row r="438" spans="1:52" ht="15" customHeight="1">
      <c r="A438" s="63" t="s">
        <v>183</v>
      </c>
      <c r="B438" s="53">
        <v>2008</v>
      </c>
      <c r="C438" s="27" t="s">
        <v>182</v>
      </c>
      <c r="D438" s="39" t="s">
        <v>81</v>
      </c>
      <c r="E438" s="27" t="s">
        <v>552</v>
      </c>
      <c r="F438" s="41" t="s">
        <v>552</v>
      </c>
      <c r="G438" s="43">
        <f>267000000000*0.0283168</f>
        <v>7560585600</v>
      </c>
      <c r="H438" s="43"/>
      <c r="I438" s="43"/>
      <c r="J438" s="43"/>
      <c r="K438" s="27" t="s">
        <v>599</v>
      </c>
      <c r="L438" s="28">
        <v>0.32879700000000006</v>
      </c>
      <c r="M438" s="27" t="s">
        <v>600</v>
      </c>
      <c r="N438" s="27" t="s">
        <v>816</v>
      </c>
      <c r="O438" s="18">
        <f>G438*L438</f>
        <v>2485897863.5232005</v>
      </c>
      <c r="P438" s="246"/>
      <c r="Q438" s="246"/>
      <c r="R438" s="29"/>
      <c r="S438" s="27"/>
      <c r="T438" s="27"/>
      <c r="U438" s="27"/>
      <c r="V438" s="27"/>
      <c r="W438" s="30"/>
      <c r="X438" s="27"/>
      <c r="Y438" s="27"/>
      <c r="Z438" s="27"/>
      <c r="AA438" s="27"/>
      <c r="AB438" s="27"/>
      <c r="AC438" s="273">
        <v>9119117112.0564747</v>
      </c>
      <c r="AD438" s="27">
        <v>15439740345.257473</v>
      </c>
      <c r="AE438" s="228">
        <v>0.59062632584087049</v>
      </c>
      <c r="AF438" s="27">
        <v>5037369685.0437031</v>
      </c>
      <c r="AG438" s="226">
        <v>1.8102934035458547</v>
      </c>
      <c r="AH438" s="226" t="s">
        <v>2842</v>
      </c>
      <c r="AI438" s="27">
        <v>32080000</v>
      </c>
      <c r="AJ438" s="226">
        <v>284.26175536335643</v>
      </c>
      <c r="AK438" s="27">
        <v>276529084.0781427</v>
      </c>
      <c r="AL438" s="226">
        <v>32.977063307668416</v>
      </c>
      <c r="AM438" s="27" t="s">
        <v>2842</v>
      </c>
      <c r="AN438" s="271" t="s">
        <v>2842</v>
      </c>
      <c r="AO438" s="27">
        <v>658025</v>
      </c>
      <c r="AP438" s="27" t="s">
        <v>2842</v>
      </c>
      <c r="AQ438" s="27">
        <v>50.395731707317076</v>
      </c>
      <c r="AR438" s="27">
        <v>80.099999999999994</v>
      </c>
      <c r="AS438" s="29">
        <v>56.137650000000001</v>
      </c>
      <c r="AT438" s="270" t="s">
        <v>2842</v>
      </c>
      <c r="AU438" s="464">
        <v>12.515683594968587</v>
      </c>
      <c r="AV438" s="29">
        <v>-1.89792363779603</v>
      </c>
      <c r="AW438" s="29">
        <v>0.19259837028468199</v>
      </c>
      <c r="AX438" s="29">
        <v>-1.6691070782163799</v>
      </c>
      <c r="AY438" s="29">
        <v>-1.3215602214219999</v>
      </c>
      <c r="AZ438" s="60">
        <v>-1.5083383410405</v>
      </c>
    </row>
    <row r="439" spans="1:52" s="232" customFormat="1" ht="15" customHeight="1" thickBot="1">
      <c r="A439" s="363" t="s">
        <v>183</v>
      </c>
      <c r="B439" s="296">
        <v>2008</v>
      </c>
      <c r="C439" s="230" t="s">
        <v>182</v>
      </c>
      <c r="D439" s="323" t="s">
        <v>81</v>
      </c>
      <c r="E439" s="230" t="s">
        <v>98</v>
      </c>
      <c r="F439" s="324" t="s">
        <v>98</v>
      </c>
      <c r="G439" s="297">
        <v>150380000</v>
      </c>
      <c r="H439" s="297"/>
      <c r="I439" s="297"/>
      <c r="J439" s="297"/>
      <c r="K439" s="230" t="s">
        <v>603</v>
      </c>
      <c r="L439" s="298">
        <v>98.27</v>
      </c>
      <c r="M439" s="230" t="s">
        <v>626</v>
      </c>
      <c r="N439" s="230" t="s">
        <v>687</v>
      </c>
      <c r="O439" s="285">
        <f>G439*L439</f>
        <v>14777842600</v>
      </c>
      <c r="P439" s="325"/>
      <c r="Q439" s="325"/>
      <c r="S439" s="230"/>
      <c r="T439" s="230"/>
      <c r="U439" s="230"/>
      <c r="V439" s="230"/>
      <c r="W439" s="300"/>
      <c r="X439" s="230"/>
      <c r="Y439" s="230"/>
      <c r="Z439" s="230"/>
      <c r="AA439" s="230"/>
      <c r="AB439" s="230"/>
      <c r="AC439" s="274">
        <v>9119117112.0564747</v>
      </c>
      <c r="AD439" s="230">
        <v>15439740345.257473</v>
      </c>
      <c r="AE439" s="229">
        <v>0.59062632584087049</v>
      </c>
      <c r="AF439" s="230">
        <v>5037369685.0437031</v>
      </c>
      <c r="AG439" s="231">
        <v>1.8102934035458547</v>
      </c>
      <c r="AH439" s="231" t="s">
        <v>2842</v>
      </c>
      <c r="AI439" s="230">
        <v>32080000</v>
      </c>
      <c r="AJ439" s="231">
        <v>284.26175536335643</v>
      </c>
      <c r="AK439" s="230">
        <v>276529084.0781427</v>
      </c>
      <c r="AL439" s="231">
        <v>32.977063307668416</v>
      </c>
      <c r="AM439" s="230" t="s">
        <v>2842</v>
      </c>
      <c r="AN439" s="275" t="s">
        <v>2842</v>
      </c>
      <c r="AO439" s="230">
        <v>658025</v>
      </c>
      <c r="AP439" s="230" t="s">
        <v>2842</v>
      </c>
      <c r="AQ439" s="230">
        <v>50.395731707317076</v>
      </c>
      <c r="AR439" s="230">
        <v>80.099999999999994</v>
      </c>
      <c r="AS439" s="232">
        <v>56.137650000000001</v>
      </c>
      <c r="AT439" s="276" t="s">
        <v>2842</v>
      </c>
      <c r="AU439" s="466">
        <v>12.515683594968587</v>
      </c>
      <c r="AV439" s="232">
        <v>-1.89792363779603</v>
      </c>
      <c r="AW439" s="232">
        <v>0.19259837028468199</v>
      </c>
      <c r="AX439" s="232">
        <v>-1.6691070782163799</v>
      </c>
      <c r="AY439" s="232">
        <v>-1.3215602214219999</v>
      </c>
      <c r="AZ439" s="293">
        <v>-1.5083383410405</v>
      </c>
    </row>
    <row r="440" spans="1:52" s="66" customFormat="1" ht="15" customHeight="1">
      <c r="A440" s="179" t="s">
        <v>184</v>
      </c>
      <c r="B440" s="180">
        <v>2004</v>
      </c>
      <c r="C440" s="77" t="s">
        <v>185</v>
      </c>
      <c r="D440" s="181" t="s">
        <v>81</v>
      </c>
      <c r="E440" s="77" t="s">
        <v>98</v>
      </c>
      <c r="F440" s="77" t="s">
        <v>98</v>
      </c>
      <c r="G440" s="182">
        <v>99645000</v>
      </c>
      <c r="H440" s="182"/>
      <c r="I440" s="182"/>
      <c r="J440" s="182"/>
      <c r="K440" s="77" t="s">
        <v>603</v>
      </c>
      <c r="L440" s="83">
        <v>37.880000000000003</v>
      </c>
      <c r="M440" s="77" t="s">
        <v>626</v>
      </c>
      <c r="N440" s="77" t="s">
        <v>687</v>
      </c>
      <c r="O440" s="84">
        <f>G440*L440</f>
        <v>3774552600.0000005</v>
      </c>
      <c r="P440" s="248">
        <v>775990000</v>
      </c>
      <c r="Q440" s="248">
        <v>808829000</v>
      </c>
      <c r="R440" s="77" t="s">
        <v>619</v>
      </c>
      <c r="S440" s="77"/>
      <c r="T440" s="84"/>
      <c r="U440" s="77" t="s">
        <v>1033</v>
      </c>
      <c r="V440" s="77"/>
      <c r="W440" s="85">
        <v>526</v>
      </c>
      <c r="X440" s="77"/>
      <c r="Y440" s="77"/>
      <c r="Z440" s="77"/>
      <c r="AA440" s="77"/>
      <c r="AB440" s="77" t="s">
        <v>1032</v>
      </c>
      <c r="AC440" s="328">
        <v>775990000</v>
      </c>
      <c r="AD440" s="77">
        <v>7178135606.4142838</v>
      </c>
      <c r="AE440" s="233">
        <v>0.10810467265435693</v>
      </c>
      <c r="AF440" s="77">
        <v>1842914535.5908034</v>
      </c>
      <c r="AG440" s="234">
        <v>0.42106673153523766</v>
      </c>
      <c r="AH440" s="234" t="s">
        <v>2842</v>
      </c>
      <c r="AI440" s="77">
        <v>39870000</v>
      </c>
      <c r="AJ440" s="234">
        <v>19.463004765487835</v>
      </c>
      <c r="AK440" s="77">
        <v>105268417.37179929</v>
      </c>
      <c r="AL440" s="234">
        <v>7.3715366809331604</v>
      </c>
      <c r="AM440" s="77" t="s">
        <v>2842</v>
      </c>
      <c r="AN440" s="329" t="s">
        <v>2842</v>
      </c>
      <c r="AO440" s="77">
        <v>1347125</v>
      </c>
      <c r="AP440" s="77" t="s">
        <v>2842</v>
      </c>
      <c r="AQ440" s="77">
        <v>59.683853658536592</v>
      </c>
      <c r="AR440" s="77">
        <v>51.5</v>
      </c>
      <c r="AS440" s="66" t="s">
        <v>2842</v>
      </c>
      <c r="AT440" s="330">
        <v>37</v>
      </c>
      <c r="AU440" s="467">
        <v>45.964187711140028</v>
      </c>
      <c r="AV440" s="66">
        <v>-0.80573911191145897</v>
      </c>
      <c r="AW440" s="66">
        <v>0.38289902132814002</v>
      </c>
      <c r="AX440" s="66">
        <v>-0.80266474252814801</v>
      </c>
      <c r="AY440" s="66">
        <v>-0.46464591119438098</v>
      </c>
      <c r="AZ440" s="331">
        <v>-0.76164067104645905</v>
      </c>
    </row>
    <row r="441" spans="1:52" ht="15" customHeight="1">
      <c r="A441" s="63" t="s">
        <v>186</v>
      </c>
      <c r="B441" s="53">
        <v>2005</v>
      </c>
      <c r="C441" s="27" t="s">
        <v>185</v>
      </c>
      <c r="D441" s="39" t="s">
        <v>81</v>
      </c>
      <c r="E441" s="27" t="s">
        <v>36</v>
      </c>
      <c r="F441" s="27" t="s">
        <v>659</v>
      </c>
      <c r="G441" s="43"/>
      <c r="H441" s="43"/>
      <c r="I441" s="43"/>
      <c r="J441" s="43"/>
      <c r="K441" s="27"/>
      <c r="L441" s="28"/>
      <c r="M441" s="27"/>
      <c r="N441" s="27"/>
      <c r="O441" s="18">
        <f>O442+O443</f>
        <v>5385591253.1135435</v>
      </c>
      <c r="P441" s="213">
        <v>1716414357.4144487</v>
      </c>
      <c r="Q441" s="213">
        <v>1748730093.1558936</v>
      </c>
      <c r="R441" s="27" t="s">
        <v>619</v>
      </c>
      <c r="S441" s="27"/>
      <c r="T441" s="18"/>
      <c r="U441" s="27" t="s">
        <v>1033</v>
      </c>
      <c r="V441" s="27"/>
      <c r="W441" s="30" t="s">
        <v>803</v>
      </c>
      <c r="X441" s="27"/>
      <c r="Y441" s="27"/>
      <c r="Z441" s="27"/>
      <c r="AA441" s="27"/>
      <c r="AB441" s="27" t="s">
        <v>1034</v>
      </c>
      <c r="AC441" s="273">
        <v>1716414357.4144487</v>
      </c>
      <c r="AD441" s="27">
        <v>8665736617.550602</v>
      </c>
      <c r="AE441" s="228">
        <v>0.19806906592778475</v>
      </c>
      <c r="AF441" s="27">
        <v>2627711314.5398688</v>
      </c>
      <c r="AG441" s="226">
        <v>0.65319746043526294</v>
      </c>
      <c r="AH441" s="226" t="s">
        <v>2842</v>
      </c>
      <c r="AI441" s="27">
        <v>60430000</v>
      </c>
      <c r="AJ441" s="226">
        <v>28.403348625094303</v>
      </c>
      <c r="AK441" s="27">
        <v>105109156.73454665</v>
      </c>
      <c r="AL441" s="226">
        <v>16.329827112487031</v>
      </c>
      <c r="AM441" s="27" t="s">
        <v>2842</v>
      </c>
      <c r="AN441" s="271" t="s">
        <v>2842</v>
      </c>
      <c r="AO441" s="27">
        <v>1379465</v>
      </c>
      <c r="AP441" s="27">
        <v>32.700000000000003</v>
      </c>
      <c r="AQ441" s="27">
        <v>60.009146341463421</v>
      </c>
      <c r="AR441" s="27">
        <v>50.3</v>
      </c>
      <c r="AS441" s="29" t="s">
        <v>2842</v>
      </c>
      <c r="AT441" s="270">
        <v>37</v>
      </c>
      <c r="AU441" s="464">
        <v>45.964187711140028</v>
      </c>
      <c r="AV441" s="29">
        <v>-0.87559595195433904</v>
      </c>
      <c r="AW441" s="29">
        <v>0.31397842634678003</v>
      </c>
      <c r="AX441" s="29">
        <v>-0.83924121249319505</v>
      </c>
      <c r="AY441" s="29">
        <v>-0.231969430308965</v>
      </c>
      <c r="AZ441" s="60">
        <v>-0.54507656955893702</v>
      </c>
    </row>
    <row r="442" spans="1:52" ht="15" customHeight="1">
      <c r="A442" s="63" t="s">
        <v>186</v>
      </c>
      <c r="B442" s="53">
        <v>2005</v>
      </c>
      <c r="C442" s="27" t="s">
        <v>185</v>
      </c>
      <c r="D442" s="39" t="s">
        <v>81</v>
      </c>
      <c r="E442" s="27" t="s">
        <v>98</v>
      </c>
      <c r="F442" s="41" t="s">
        <v>98</v>
      </c>
      <c r="G442" s="43">
        <v>98550000</v>
      </c>
      <c r="H442" s="43"/>
      <c r="I442" s="43"/>
      <c r="J442" s="43"/>
      <c r="K442" s="27" t="s">
        <v>603</v>
      </c>
      <c r="L442" s="28">
        <v>54.041089499999998</v>
      </c>
      <c r="M442" s="27" t="s">
        <v>626</v>
      </c>
      <c r="N442" s="27" t="s">
        <v>687</v>
      </c>
      <c r="O442" s="18">
        <f>G442*L442</f>
        <v>5325749370.2249994</v>
      </c>
      <c r="P442" s="213">
        <v>1705652000</v>
      </c>
      <c r="Q442" s="213">
        <v>1737968000</v>
      </c>
      <c r="R442" s="27"/>
      <c r="S442" s="27"/>
      <c r="T442" s="18"/>
      <c r="U442" s="27"/>
      <c r="V442" s="27"/>
      <c r="W442" s="30"/>
      <c r="X442" s="27"/>
      <c r="Y442" s="27"/>
      <c r="Z442" s="27"/>
      <c r="AA442" s="27"/>
      <c r="AB442" s="27"/>
      <c r="AC442" s="273">
        <v>1716414357.4144487</v>
      </c>
      <c r="AD442" s="27">
        <v>8665736617.550602</v>
      </c>
      <c r="AE442" s="228">
        <v>0.19806906592778475</v>
      </c>
      <c r="AF442" s="27">
        <v>2627711314.5398688</v>
      </c>
      <c r="AG442" s="226">
        <v>0.65319746043526294</v>
      </c>
      <c r="AH442" s="226" t="s">
        <v>2842</v>
      </c>
      <c r="AI442" s="27">
        <v>60430000</v>
      </c>
      <c r="AJ442" s="226">
        <v>28.403348625094303</v>
      </c>
      <c r="AK442" s="27">
        <v>105109156.73454665</v>
      </c>
      <c r="AL442" s="226">
        <v>16.329827112487031</v>
      </c>
      <c r="AM442" s="27" t="s">
        <v>2842</v>
      </c>
      <c r="AN442" s="271" t="s">
        <v>2842</v>
      </c>
      <c r="AO442" s="27">
        <v>1379465</v>
      </c>
      <c r="AP442" s="27">
        <v>32.700000000000003</v>
      </c>
      <c r="AQ442" s="27">
        <v>60.009146341463421</v>
      </c>
      <c r="AR442" s="27">
        <v>50.3</v>
      </c>
      <c r="AS442" s="29" t="s">
        <v>2842</v>
      </c>
      <c r="AT442" s="270">
        <v>37</v>
      </c>
      <c r="AU442" s="464">
        <v>45.964187711140028</v>
      </c>
      <c r="AV442" s="29">
        <v>-0.87559595195433904</v>
      </c>
      <c r="AW442" s="29">
        <v>0.31397842634678003</v>
      </c>
      <c r="AX442" s="29">
        <v>-0.83924121249319505</v>
      </c>
      <c r="AY442" s="29">
        <v>-0.231969430308965</v>
      </c>
      <c r="AZ442" s="60">
        <v>-0.54507656955893702</v>
      </c>
    </row>
    <row r="443" spans="1:52" ht="15" customHeight="1">
      <c r="A443" s="63" t="s">
        <v>186</v>
      </c>
      <c r="B443" s="53">
        <v>2005</v>
      </c>
      <c r="C443" s="27" t="s">
        <v>185</v>
      </c>
      <c r="D443" s="39" t="s">
        <v>81</v>
      </c>
      <c r="E443" s="27" t="s">
        <v>19</v>
      </c>
      <c r="F443" s="41" t="s">
        <v>559</v>
      </c>
      <c r="G443" s="43"/>
      <c r="H443" s="43"/>
      <c r="I443" s="43"/>
      <c r="J443" s="43"/>
      <c r="K443" s="27"/>
      <c r="L443" s="28"/>
      <c r="M443" s="27"/>
      <c r="N443" s="27"/>
      <c r="O443" s="18">
        <f>SUM(O444:O449)</f>
        <v>59841882.888544366</v>
      </c>
      <c r="P443" s="213">
        <v>10762357.414448669</v>
      </c>
      <c r="Q443" s="213">
        <v>10762093.155893536</v>
      </c>
      <c r="R443" s="27"/>
      <c r="S443" s="27"/>
      <c r="T443" s="18"/>
      <c r="U443" s="27"/>
      <c r="V443" s="27"/>
      <c r="W443" s="30"/>
      <c r="X443" s="27"/>
      <c r="Y443" s="27"/>
      <c r="Z443" s="27"/>
      <c r="AA443" s="27"/>
      <c r="AB443" s="27"/>
      <c r="AC443" s="273">
        <v>1716414357.4144487</v>
      </c>
      <c r="AD443" s="27">
        <v>8665736617.550602</v>
      </c>
      <c r="AE443" s="228">
        <v>0.19806906592778475</v>
      </c>
      <c r="AF443" s="27">
        <v>2627711314.5398688</v>
      </c>
      <c r="AG443" s="226">
        <v>0.65319746043526294</v>
      </c>
      <c r="AH443" s="226" t="s">
        <v>2842</v>
      </c>
      <c r="AI443" s="27">
        <v>60430000</v>
      </c>
      <c r="AJ443" s="226">
        <v>28.403348625094303</v>
      </c>
      <c r="AK443" s="27">
        <v>105109156.73454665</v>
      </c>
      <c r="AL443" s="226">
        <v>16.329827112487031</v>
      </c>
      <c r="AM443" s="27" t="s">
        <v>2842</v>
      </c>
      <c r="AN443" s="271" t="s">
        <v>2842</v>
      </c>
      <c r="AO443" s="27">
        <v>1379465</v>
      </c>
      <c r="AP443" s="27">
        <v>32.700000000000003</v>
      </c>
      <c r="AQ443" s="27">
        <v>60.009146341463421</v>
      </c>
      <c r="AR443" s="27">
        <v>50.3</v>
      </c>
      <c r="AS443" s="29" t="s">
        <v>2842</v>
      </c>
      <c r="AT443" s="270">
        <v>37</v>
      </c>
      <c r="AU443" s="464">
        <v>45.964187711140028</v>
      </c>
      <c r="AV443" s="29">
        <v>-0.87559595195433904</v>
      </c>
      <c r="AW443" s="29">
        <v>0.31397842634678003</v>
      </c>
      <c r="AX443" s="29">
        <v>-0.83924121249319505</v>
      </c>
      <c r="AY443" s="29">
        <v>-0.231969430308965</v>
      </c>
      <c r="AZ443" s="60">
        <v>-0.54507656955893702</v>
      </c>
    </row>
    <row r="444" spans="1:52" ht="15" customHeight="1">
      <c r="A444" s="63" t="s">
        <v>186</v>
      </c>
      <c r="B444" s="53">
        <v>2005</v>
      </c>
      <c r="C444" s="27" t="s">
        <v>185</v>
      </c>
      <c r="D444" s="39" t="s">
        <v>81</v>
      </c>
      <c r="E444" s="27" t="s">
        <v>19</v>
      </c>
      <c r="F444" s="41" t="s">
        <v>566</v>
      </c>
      <c r="G444" s="43">
        <v>610000</v>
      </c>
      <c r="H444" s="43"/>
      <c r="I444" s="43"/>
      <c r="J444" s="43"/>
      <c r="K444" s="27" t="s">
        <v>567</v>
      </c>
      <c r="L444" s="28">
        <v>91</v>
      </c>
      <c r="M444" s="27" t="s">
        <v>568</v>
      </c>
      <c r="N444" s="27" t="s">
        <v>1035</v>
      </c>
      <c r="O444" s="18">
        <f>G444*L444</f>
        <v>55510000</v>
      </c>
      <c r="P444" s="213"/>
      <c r="Q444" s="213"/>
      <c r="R444" s="27"/>
      <c r="S444" s="27"/>
      <c r="T444" s="18"/>
      <c r="U444" s="27"/>
      <c r="V444" s="27"/>
      <c r="W444" s="30"/>
      <c r="X444" s="27"/>
      <c r="Y444" s="27"/>
      <c r="Z444" s="27"/>
      <c r="AA444" s="27"/>
      <c r="AB444" s="27"/>
      <c r="AC444" s="273">
        <v>1716414357.4144487</v>
      </c>
      <c r="AD444" s="27">
        <v>8665736617.550602</v>
      </c>
      <c r="AE444" s="228">
        <v>0.19806906592778475</v>
      </c>
      <c r="AF444" s="27">
        <v>2627711314.5398688</v>
      </c>
      <c r="AG444" s="226">
        <v>0.65319746043526294</v>
      </c>
      <c r="AH444" s="226" t="s">
        <v>2842</v>
      </c>
      <c r="AI444" s="27">
        <v>60430000</v>
      </c>
      <c r="AJ444" s="226">
        <v>28.403348625094303</v>
      </c>
      <c r="AK444" s="27">
        <v>105109156.73454665</v>
      </c>
      <c r="AL444" s="226">
        <v>16.329827112487031</v>
      </c>
      <c r="AM444" s="27" t="s">
        <v>2842</v>
      </c>
      <c r="AN444" s="271" t="s">
        <v>2842</v>
      </c>
      <c r="AO444" s="27">
        <v>1379465</v>
      </c>
      <c r="AP444" s="27">
        <v>32.700000000000003</v>
      </c>
      <c r="AQ444" s="27">
        <v>60.009146341463421</v>
      </c>
      <c r="AR444" s="27">
        <v>50.3</v>
      </c>
      <c r="AS444" s="29" t="s">
        <v>2842</v>
      </c>
      <c r="AT444" s="270">
        <v>37</v>
      </c>
      <c r="AU444" s="464">
        <v>45.964187711140028</v>
      </c>
      <c r="AV444" s="29">
        <v>-0.87559595195433904</v>
      </c>
      <c r="AW444" s="29">
        <v>0.31397842634678003</v>
      </c>
      <c r="AX444" s="29">
        <v>-0.83924121249319505</v>
      </c>
      <c r="AY444" s="29">
        <v>-0.231969430308965</v>
      </c>
      <c r="AZ444" s="60">
        <v>-0.54507656955893702</v>
      </c>
    </row>
    <row r="445" spans="1:52" ht="15" customHeight="1">
      <c r="A445" s="63" t="s">
        <v>186</v>
      </c>
      <c r="B445" s="53">
        <v>2005</v>
      </c>
      <c r="C445" s="27" t="s">
        <v>185</v>
      </c>
      <c r="D445" s="39" t="s">
        <v>81</v>
      </c>
      <c r="E445" s="27" t="s">
        <v>19</v>
      </c>
      <c r="F445" s="41" t="s">
        <v>904</v>
      </c>
      <c r="G445" s="43">
        <v>500</v>
      </c>
      <c r="H445" s="43"/>
      <c r="I445" s="43"/>
      <c r="J445" s="43"/>
      <c r="K445" s="27" t="s">
        <v>905</v>
      </c>
      <c r="L445" s="28">
        <v>65.680000000000007</v>
      </c>
      <c r="M445" s="27" t="s">
        <v>906</v>
      </c>
      <c r="N445" s="27" t="s">
        <v>1036</v>
      </c>
      <c r="O445" s="18">
        <f>G445*L445</f>
        <v>32840</v>
      </c>
      <c r="P445" s="213"/>
      <c r="Q445" s="213"/>
      <c r="R445" s="27"/>
      <c r="S445" s="27"/>
      <c r="T445" s="18"/>
      <c r="U445" s="27"/>
      <c r="V445" s="27"/>
      <c r="W445" s="30"/>
      <c r="X445" s="27"/>
      <c r="Y445" s="27"/>
      <c r="Z445" s="27"/>
      <c r="AA445" s="27"/>
      <c r="AB445" s="27"/>
      <c r="AC445" s="273">
        <v>1716414357.4144487</v>
      </c>
      <c r="AD445" s="27">
        <v>8665736617.550602</v>
      </c>
      <c r="AE445" s="228">
        <v>0.19806906592778475</v>
      </c>
      <c r="AF445" s="27">
        <v>2627711314.5398688</v>
      </c>
      <c r="AG445" s="226">
        <v>0.65319746043526294</v>
      </c>
      <c r="AH445" s="226" t="s">
        <v>2842</v>
      </c>
      <c r="AI445" s="27">
        <v>60430000</v>
      </c>
      <c r="AJ445" s="226">
        <v>28.403348625094303</v>
      </c>
      <c r="AK445" s="27">
        <v>105109156.73454665</v>
      </c>
      <c r="AL445" s="226">
        <v>16.329827112487031</v>
      </c>
      <c r="AM445" s="27" t="s">
        <v>2842</v>
      </c>
      <c r="AN445" s="271" t="s">
        <v>2842</v>
      </c>
      <c r="AO445" s="27">
        <v>1379465</v>
      </c>
      <c r="AP445" s="27">
        <v>32.700000000000003</v>
      </c>
      <c r="AQ445" s="27">
        <v>60.009146341463421</v>
      </c>
      <c r="AR445" s="27">
        <v>50.3</v>
      </c>
      <c r="AS445" s="29" t="s">
        <v>2842</v>
      </c>
      <c r="AT445" s="270">
        <v>37</v>
      </c>
      <c r="AU445" s="464">
        <v>45.964187711140028</v>
      </c>
      <c r="AV445" s="29">
        <v>-0.87559595195433904</v>
      </c>
      <c r="AW445" s="29">
        <v>0.31397842634678003</v>
      </c>
      <c r="AX445" s="29">
        <v>-0.83924121249319505</v>
      </c>
      <c r="AY445" s="29">
        <v>-0.231969430308965</v>
      </c>
      <c r="AZ445" s="60">
        <v>-0.54507656955893702</v>
      </c>
    </row>
    <row r="446" spans="1:52" ht="15" customHeight="1">
      <c r="A446" s="63" t="s">
        <v>186</v>
      </c>
      <c r="B446" s="53">
        <v>2005</v>
      </c>
      <c r="C446" s="27" t="s">
        <v>185</v>
      </c>
      <c r="D446" s="39" t="s">
        <v>81</v>
      </c>
      <c r="E446" s="27" t="s">
        <v>19</v>
      </c>
      <c r="F446" s="41" t="s">
        <v>730</v>
      </c>
      <c r="G446" s="43">
        <f>300*32.150743126506</f>
        <v>9645.2229379517994</v>
      </c>
      <c r="H446" s="43"/>
      <c r="I446" s="43"/>
      <c r="J446" s="43"/>
      <c r="K446" s="27" t="s">
        <v>731</v>
      </c>
      <c r="L446" s="28">
        <v>444.84258333333003</v>
      </c>
      <c r="M446" s="27" t="s">
        <v>732</v>
      </c>
      <c r="N446" s="27" t="s">
        <v>1037</v>
      </c>
      <c r="O446" s="18">
        <f>G446*L446</f>
        <v>4290605.8885443695</v>
      </c>
      <c r="P446" s="213"/>
      <c r="Q446" s="213"/>
      <c r="R446" s="27"/>
      <c r="S446" s="27"/>
      <c r="T446" s="18"/>
      <c r="U446" s="27"/>
      <c r="V446" s="27"/>
      <c r="W446" s="30"/>
      <c r="X446" s="27"/>
      <c r="Y446" s="27"/>
      <c r="Z446" s="27"/>
      <c r="AA446" s="27"/>
      <c r="AB446" s="27"/>
      <c r="AC446" s="273">
        <v>1716414357.4144487</v>
      </c>
      <c r="AD446" s="27">
        <v>8665736617.550602</v>
      </c>
      <c r="AE446" s="228">
        <v>0.19806906592778475</v>
      </c>
      <c r="AF446" s="27">
        <v>2627711314.5398688</v>
      </c>
      <c r="AG446" s="226">
        <v>0.65319746043526294</v>
      </c>
      <c r="AH446" s="226" t="s">
        <v>2842</v>
      </c>
      <c r="AI446" s="27">
        <v>60430000</v>
      </c>
      <c r="AJ446" s="226">
        <v>28.403348625094303</v>
      </c>
      <c r="AK446" s="27">
        <v>105109156.73454665</v>
      </c>
      <c r="AL446" s="226">
        <v>16.329827112487031</v>
      </c>
      <c r="AM446" s="27" t="s">
        <v>2842</v>
      </c>
      <c r="AN446" s="271" t="s">
        <v>2842</v>
      </c>
      <c r="AO446" s="27">
        <v>1379465</v>
      </c>
      <c r="AP446" s="27">
        <v>32.700000000000003</v>
      </c>
      <c r="AQ446" s="27">
        <v>60.009146341463421</v>
      </c>
      <c r="AR446" s="27">
        <v>50.3</v>
      </c>
      <c r="AS446" s="29" t="s">
        <v>2842</v>
      </c>
      <c r="AT446" s="270">
        <v>37</v>
      </c>
      <c r="AU446" s="464">
        <v>45.964187711140028</v>
      </c>
      <c r="AV446" s="29">
        <v>-0.87559595195433904</v>
      </c>
      <c r="AW446" s="29">
        <v>0.31397842634678003</v>
      </c>
      <c r="AX446" s="29">
        <v>-0.83924121249319505</v>
      </c>
      <c r="AY446" s="29">
        <v>-0.231969430308965</v>
      </c>
      <c r="AZ446" s="60">
        <v>-0.54507656955893702</v>
      </c>
    </row>
    <row r="447" spans="1:52" ht="15" customHeight="1">
      <c r="A447" s="63" t="s">
        <v>186</v>
      </c>
      <c r="B447" s="53">
        <v>2005</v>
      </c>
      <c r="C447" s="27" t="s">
        <v>185</v>
      </c>
      <c r="D447" s="39" t="s">
        <v>81</v>
      </c>
      <c r="E447" s="27" t="s">
        <v>19</v>
      </c>
      <c r="F447" s="41" t="s">
        <v>784</v>
      </c>
      <c r="G447" s="43"/>
      <c r="H447" s="43"/>
      <c r="I447" s="43"/>
      <c r="J447" s="43"/>
      <c r="K447" s="27"/>
      <c r="L447" s="28">
        <v>0.14299999999999999</v>
      </c>
      <c r="M447" s="27" t="s">
        <v>568</v>
      </c>
      <c r="N447" s="27" t="s">
        <v>1038</v>
      </c>
      <c r="O447" s="18">
        <f>G449*L447</f>
        <v>8437</v>
      </c>
      <c r="P447" s="213"/>
      <c r="Q447" s="213"/>
      <c r="R447" s="27"/>
      <c r="S447" s="27"/>
      <c r="T447" s="18"/>
      <c r="U447" s="27"/>
      <c r="V447" s="27"/>
      <c r="W447" s="30"/>
      <c r="X447" s="27"/>
      <c r="Y447" s="27"/>
      <c r="Z447" s="27"/>
      <c r="AA447" s="27"/>
      <c r="AB447" s="27"/>
      <c r="AC447" s="273">
        <v>1716414357.4144487</v>
      </c>
      <c r="AD447" s="27">
        <v>8665736617.550602</v>
      </c>
      <c r="AE447" s="228">
        <v>0.19806906592778475</v>
      </c>
      <c r="AF447" s="27">
        <v>2627711314.5398688</v>
      </c>
      <c r="AG447" s="226">
        <v>0.65319746043526294</v>
      </c>
      <c r="AH447" s="226" t="s">
        <v>2842</v>
      </c>
      <c r="AI447" s="27">
        <v>60430000</v>
      </c>
      <c r="AJ447" s="226">
        <v>28.403348625094303</v>
      </c>
      <c r="AK447" s="27">
        <v>105109156.73454665</v>
      </c>
      <c r="AL447" s="226">
        <v>16.329827112487031</v>
      </c>
      <c r="AM447" s="27" t="s">
        <v>2842</v>
      </c>
      <c r="AN447" s="271" t="s">
        <v>2842</v>
      </c>
      <c r="AO447" s="27">
        <v>1379465</v>
      </c>
      <c r="AP447" s="27">
        <v>32.700000000000003</v>
      </c>
      <c r="AQ447" s="27">
        <v>60.009146341463421</v>
      </c>
      <c r="AR447" s="27">
        <v>50.3</v>
      </c>
      <c r="AS447" s="29" t="s">
        <v>2842</v>
      </c>
      <c r="AT447" s="270">
        <v>37</v>
      </c>
      <c r="AU447" s="464">
        <v>45.964187711140028</v>
      </c>
      <c r="AV447" s="29">
        <v>-0.87559595195433904</v>
      </c>
      <c r="AW447" s="29">
        <v>0.31397842634678003</v>
      </c>
      <c r="AX447" s="29">
        <v>-0.83924121249319505</v>
      </c>
      <c r="AY447" s="29">
        <v>-0.231969430308965</v>
      </c>
      <c r="AZ447" s="60">
        <v>-0.54507656955893702</v>
      </c>
    </row>
    <row r="448" spans="1:52" ht="15" customHeight="1">
      <c r="A448" s="63" t="s">
        <v>186</v>
      </c>
      <c r="B448" s="53">
        <v>2005</v>
      </c>
      <c r="C448" s="27" t="s">
        <v>185</v>
      </c>
      <c r="D448" s="39" t="s">
        <v>81</v>
      </c>
      <c r="E448" s="27" t="s">
        <v>19</v>
      </c>
      <c r="F448" s="41" t="s">
        <v>1039</v>
      </c>
      <c r="G448" s="43">
        <v>2800000</v>
      </c>
      <c r="H448" s="43"/>
      <c r="I448" s="43"/>
      <c r="J448" s="43"/>
      <c r="K448" s="27" t="s">
        <v>567</v>
      </c>
      <c r="L448" s="28"/>
      <c r="M448" s="27"/>
      <c r="N448" s="27" t="s">
        <v>1040</v>
      </c>
      <c r="O448" s="18"/>
      <c r="P448" s="213"/>
      <c r="Q448" s="213"/>
      <c r="R448" s="27"/>
      <c r="S448" s="27"/>
      <c r="T448" s="18"/>
      <c r="U448" s="27"/>
      <c r="V448" s="27"/>
      <c r="W448" s="30"/>
      <c r="X448" s="27"/>
      <c r="Y448" s="27"/>
      <c r="Z448" s="27"/>
      <c r="AA448" s="27"/>
      <c r="AB448" s="27"/>
      <c r="AC448" s="273">
        <v>1716414357.4144487</v>
      </c>
      <c r="AD448" s="27">
        <v>8665736617.550602</v>
      </c>
      <c r="AE448" s="228">
        <v>0.19806906592778475</v>
      </c>
      <c r="AF448" s="27">
        <v>2627711314.5398688</v>
      </c>
      <c r="AG448" s="226">
        <v>0.65319746043526294</v>
      </c>
      <c r="AH448" s="226" t="s">
        <v>2842</v>
      </c>
      <c r="AI448" s="27">
        <v>60430000</v>
      </c>
      <c r="AJ448" s="226">
        <v>28.403348625094303</v>
      </c>
      <c r="AK448" s="27">
        <v>105109156.73454665</v>
      </c>
      <c r="AL448" s="226">
        <v>16.329827112487031</v>
      </c>
      <c r="AM448" s="27" t="s">
        <v>2842</v>
      </c>
      <c r="AN448" s="271" t="s">
        <v>2842</v>
      </c>
      <c r="AO448" s="27">
        <v>1379465</v>
      </c>
      <c r="AP448" s="27">
        <v>32.700000000000003</v>
      </c>
      <c r="AQ448" s="27">
        <v>60.009146341463421</v>
      </c>
      <c r="AR448" s="27">
        <v>50.3</v>
      </c>
      <c r="AS448" s="29" t="s">
        <v>2842</v>
      </c>
      <c r="AT448" s="270">
        <v>37</v>
      </c>
      <c r="AU448" s="464">
        <v>45.964187711140028</v>
      </c>
      <c r="AV448" s="29">
        <v>-0.87559595195433904</v>
      </c>
      <c r="AW448" s="29">
        <v>0.31397842634678003</v>
      </c>
      <c r="AX448" s="29">
        <v>-0.83924121249319505</v>
      </c>
      <c r="AY448" s="29">
        <v>-0.231969430308965</v>
      </c>
      <c r="AZ448" s="60">
        <v>-0.54507656955893702</v>
      </c>
    </row>
    <row r="449" spans="1:52" s="287" customFormat="1" ht="15" customHeight="1">
      <c r="A449" s="359" t="s">
        <v>186</v>
      </c>
      <c r="B449" s="302">
        <v>2005</v>
      </c>
      <c r="C449" s="284" t="s">
        <v>185</v>
      </c>
      <c r="D449" s="314" t="s">
        <v>81</v>
      </c>
      <c r="E449" s="284" t="s">
        <v>19</v>
      </c>
      <c r="F449" s="315" t="s">
        <v>1041</v>
      </c>
      <c r="G449" s="303">
        <v>59000</v>
      </c>
      <c r="H449" s="303"/>
      <c r="I449" s="303"/>
      <c r="J449" s="303"/>
      <c r="K449" s="284" t="s">
        <v>567</v>
      </c>
      <c r="L449" s="304"/>
      <c r="M449" s="284"/>
      <c r="N449" s="284" t="s">
        <v>1040</v>
      </c>
      <c r="O449" s="305"/>
      <c r="P449" s="306"/>
      <c r="Q449" s="306"/>
      <c r="R449" s="284"/>
      <c r="S449" s="284"/>
      <c r="T449" s="305"/>
      <c r="U449" s="284"/>
      <c r="V449" s="284"/>
      <c r="W449" s="307"/>
      <c r="X449" s="284"/>
      <c r="Y449" s="284"/>
      <c r="Z449" s="284"/>
      <c r="AA449" s="284"/>
      <c r="AB449" s="284"/>
      <c r="AC449" s="308">
        <v>1716414357.4144487</v>
      </c>
      <c r="AD449" s="284">
        <v>8665736617.550602</v>
      </c>
      <c r="AE449" s="309">
        <v>0.19806906592778475</v>
      </c>
      <c r="AF449" s="284">
        <v>2627711314.5398688</v>
      </c>
      <c r="AG449" s="310">
        <v>0.65319746043526294</v>
      </c>
      <c r="AH449" s="310" t="s">
        <v>2842</v>
      </c>
      <c r="AI449" s="284">
        <v>60430000</v>
      </c>
      <c r="AJ449" s="310">
        <v>28.403348625094303</v>
      </c>
      <c r="AK449" s="284">
        <v>105109156.73454665</v>
      </c>
      <c r="AL449" s="310">
        <v>16.329827112487031</v>
      </c>
      <c r="AM449" s="284" t="s">
        <v>2842</v>
      </c>
      <c r="AN449" s="311" t="s">
        <v>2842</v>
      </c>
      <c r="AO449" s="284">
        <v>1379465</v>
      </c>
      <c r="AP449" s="284">
        <v>32.700000000000003</v>
      </c>
      <c r="AQ449" s="284">
        <v>60.009146341463421</v>
      </c>
      <c r="AR449" s="284">
        <v>50.3</v>
      </c>
      <c r="AS449" s="287" t="s">
        <v>2842</v>
      </c>
      <c r="AT449" s="312">
        <v>37</v>
      </c>
      <c r="AU449" s="465">
        <v>45.964187711140028</v>
      </c>
      <c r="AV449" s="287">
        <v>-0.87559595195433904</v>
      </c>
      <c r="AW449" s="287">
        <v>0.31397842634678003</v>
      </c>
      <c r="AX449" s="287">
        <v>-0.83924121249319505</v>
      </c>
      <c r="AY449" s="287">
        <v>-0.231969430308965</v>
      </c>
      <c r="AZ449" s="313">
        <v>-0.54507656955893702</v>
      </c>
    </row>
    <row r="450" spans="1:52" s="29" customFormat="1" ht="15" customHeight="1">
      <c r="A450" s="347" t="s">
        <v>187</v>
      </c>
      <c r="B450" s="53">
        <v>2006</v>
      </c>
      <c r="C450" s="27" t="s">
        <v>185</v>
      </c>
      <c r="D450" s="39" t="s">
        <v>81</v>
      </c>
      <c r="E450" s="27" t="s">
        <v>36</v>
      </c>
      <c r="F450" s="27" t="s">
        <v>659</v>
      </c>
      <c r="G450" s="43"/>
      <c r="H450" s="43"/>
      <c r="I450" s="43"/>
      <c r="J450" s="43"/>
      <c r="K450" s="27"/>
      <c r="L450" s="28"/>
      <c r="M450" s="27"/>
      <c r="N450" s="27"/>
      <c r="O450" s="18">
        <f>O451+O452</f>
        <v>5803415216.9668932</v>
      </c>
      <c r="P450" s="213">
        <v>1944187567.1747403</v>
      </c>
      <c r="Q450" s="213">
        <v>2007587567.1747401</v>
      </c>
      <c r="R450" s="27" t="s">
        <v>619</v>
      </c>
      <c r="S450" s="27"/>
      <c r="T450" s="18"/>
      <c r="U450" s="27" t="s">
        <v>820</v>
      </c>
      <c r="V450" s="27"/>
      <c r="W450" s="30">
        <v>522.89</v>
      </c>
      <c r="X450" s="27"/>
      <c r="Y450" s="27"/>
      <c r="Z450" s="27"/>
      <c r="AA450" s="27"/>
      <c r="AB450" s="27" t="s">
        <v>1034</v>
      </c>
      <c r="AC450" s="273">
        <v>1944187567.1747403</v>
      </c>
      <c r="AD450" s="27">
        <v>9545982814.0849361</v>
      </c>
      <c r="AE450" s="228">
        <v>0.20366552140719596</v>
      </c>
      <c r="AF450" s="27">
        <v>2938062590.5190616</v>
      </c>
      <c r="AG450" s="226">
        <v>0.66172435313274403</v>
      </c>
      <c r="AH450" s="226" t="s">
        <v>2842</v>
      </c>
      <c r="AI450" s="27">
        <v>29050000</v>
      </c>
      <c r="AJ450" s="226">
        <v>66.925561692762145</v>
      </c>
      <c r="AK450" s="27">
        <v>125012965.79124597</v>
      </c>
      <c r="AL450" s="226">
        <v>15.55188739719414</v>
      </c>
      <c r="AM450" s="27" t="s">
        <v>2842</v>
      </c>
      <c r="AN450" s="271" t="s">
        <v>2842</v>
      </c>
      <c r="AO450" s="27">
        <v>1412907</v>
      </c>
      <c r="AP450" s="27" t="s">
        <v>2842</v>
      </c>
      <c r="AQ450" s="27">
        <v>60.431243902439029</v>
      </c>
      <c r="AR450" s="27">
        <v>49</v>
      </c>
      <c r="AS450" s="29" t="s">
        <v>2842</v>
      </c>
      <c r="AT450" s="270">
        <v>37</v>
      </c>
      <c r="AU450" s="464">
        <v>45.964187711140028</v>
      </c>
      <c r="AV450" s="29">
        <v>-0.98637035451663602</v>
      </c>
      <c r="AW450" s="29">
        <v>0.181107194869954</v>
      </c>
      <c r="AX450" s="29">
        <v>-0.848142100823019</v>
      </c>
      <c r="AY450" s="29">
        <v>-0.47528540908030997</v>
      </c>
      <c r="AZ450" s="60">
        <v>-0.96201247238732601</v>
      </c>
    </row>
    <row r="451" spans="1:52" s="29" customFormat="1" ht="15" customHeight="1">
      <c r="A451" s="63" t="s">
        <v>187</v>
      </c>
      <c r="B451" s="53">
        <v>2006</v>
      </c>
      <c r="C451" s="27" t="s">
        <v>185</v>
      </c>
      <c r="D451" s="39" t="s">
        <v>81</v>
      </c>
      <c r="E451" s="27" t="s">
        <v>98</v>
      </c>
      <c r="F451" s="41" t="s">
        <v>98</v>
      </c>
      <c r="G451" s="43">
        <v>88330000</v>
      </c>
      <c r="H451" s="43"/>
      <c r="I451" s="43"/>
      <c r="J451" s="43"/>
      <c r="K451" s="27" t="s">
        <v>603</v>
      </c>
      <c r="L451" s="28">
        <v>64.934062499999996</v>
      </c>
      <c r="M451" s="27" t="s">
        <v>626</v>
      </c>
      <c r="N451" s="27" t="s">
        <v>687</v>
      </c>
      <c r="O451" s="18">
        <f>G451*L451</f>
        <v>5735625740.625</v>
      </c>
      <c r="P451" s="213">
        <v>1933300000</v>
      </c>
      <c r="Q451" s="213">
        <v>1996699999.9999998</v>
      </c>
      <c r="R451" s="27"/>
      <c r="S451" s="27"/>
      <c r="T451" s="18"/>
      <c r="U451" s="27"/>
      <c r="V451" s="27"/>
      <c r="W451" s="30"/>
      <c r="X451" s="27"/>
      <c r="Y451" s="27"/>
      <c r="Z451" s="27"/>
      <c r="AA451" s="27"/>
      <c r="AB451" s="27"/>
      <c r="AC451" s="273">
        <v>1944187567.1747403</v>
      </c>
      <c r="AD451" s="27">
        <v>9545982814.0849361</v>
      </c>
      <c r="AE451" s="228">
        <v>0.20366552140719596</v>
      </c>
      <c r="AF451" s="27">
        <v>2938062590.5190616</v>
      </c>
      <c r="AG451" s="226">
        <v>0.66172435313274403</v>
      </c>
      <c r="AH451" s="226" t="s">
        <v>2842</v>
      </c>
      <c r="AI451" s="27">
        <v>29050000</v>
      </c>
      <c r="AJ451" s="226">
        <v>66.925561692762145</v>
      </c>
      <c r="AK451" s="27">
        <v>125012965.79124597</v>
      </c>
      <c r="AL451" s="226">
        <v>15.55188739719414</v>
      </c>
      <c r="AM451" s="27" t="s">
        <v>2842</v>
      </c>
      <c r="AN451" s="271" t="s">
        <v>2842</v>
      </c>
      <c r="AO451" s="27">
        <v>1412907</v>
      </c>
      <c r="AP451" s="27" t="s">
        <v>2842</v>
      </c>
      <c r="AQ451" s="27">
        <v>60.431243902439029</v>
      </c>
      <c r="AR451" s="27">
        <v>49</v>
      </c>
      <c r="AS451" s="29" t="s">
        <v>2842</v>
      </c>
      <c r="AT451" s="270">
        <v>37</v>
      </c>
      <c r="AU451" s="464">
        <v>45.964187711140028</v>
      </c>
      <c r="AV451" s="29">
        <v>-0.98637035451663602</v>
      </c>
      <c r="AW451" s="29">
        <v>0.181107194869954</v>
      </c>
      <c r="AX451" s="29">
        <v>-0.848142100823019</v>
      </c>
      <c r="AY451" s="29">
        <v>-0.47528540908030997</v>
      </c>
      <c r="AZ451" s="60">
        <v>-0.96201247238732601</v>
      </c>
    </row>
    <row r="452" spans="1:52" s="29" customFormat="1" ht="15" customHeight="1">
      <c r="A452" s="63" t="s">
        <v>187</v>
      </c>
      <c r="B452" s="53">
        <v>2006</v>
      </c>
      <c r="C452" s="27" t="s">
        <v>185</v>
      </c>
      <c r="D452" s="39" t="s">
        <v>81</v>
      </c>
      <c r="E452" s="27" t="s">
        <v>19</v>
      </c>
      <c r="F452" s="41" t="s">
        <v>559</v>
      </c>
      <c r="G452" s="43"/>
      <c r="H452" s="43"/>
      <c r="I452" s="43"/>
      <c r="J452" s="43"/>
      <c r="K452" s="27"/>
      <c r="L452" s="28"/>
      <c r="M452" s="27"/>
      <c r="N452" s="27"/>
      <c r="O452" s="18">
        <f>SUM(O453:O458)</f>
        <v>67789476.341892853</v>
      </c>
      <c r="P452" s="213">
        <v>10887567.174740385</v>
      </c>
      <c r="Q452" s="213">
        <v>10887567.174740385</v>
      </c>
      <c r="R452" s="27"/>
      <c r="S452" s="27"/>
      <c r="T452" s="18"/>
      <c r="U452" s="27"/>
      <c r="V452" s="27"/>
      <c r="W452" s="30"/>
      <c r="X452" s="27"/>
      <c r="Y452" s="27"/>
      <c r="Z452" s="27"/>
      <c r="AA452" s="27"/>
      <c r="AB452" s="27"/>
      <c r="AC452" s="273">
        <v>1944187567.1747403</v>
      </c>
      <c r="AD452" s="27">
        <v>9545982814.0849361</v>
      </c>
      <c r="AE452" s="228">
        <v>0.20366552140719596</v>
      </c>
      <c r="AF452" s="27">
        <v>2938062590.5190616</v>
      </c>
      <c r="AG452" s="226">
        <v>0.66172435313274403</v>
      </c>
      <c r="AH452" s="226" t="s">
        <v>2842</v>
      </c>
      <c r="AI452" s="27">
        <v>29050000</v>
      </c>
      <c r="AJ452" s="226">
        <v>66.925561692762145</v>
      </c>
      <c r="AK452" s="27">
        <v>125012965.79124597</v>
      </c>
      <c r="AL452" s="226">
        <v>15.55188739719414</v>
      </c>
      <c r="AM452" s="27" t="s">
        <v>2842</v>
      </c>
      <c r="AN452" s="271" t="s">
        <v>2842</v>
      </c>
      <c r="AO452" s="27">
        <v>1412907</v>
      </c>
      <c r="AP452" s="27" t="s">
        <v>2842</v>
      </c>
      <c r="AQ452" s="27">
        <v>60.431243902439029</v>
      </c>
      <c r="AR452" s="27">
        <v>49</v>
      </c>
      <c r="AS452" s="29" t="s">
        <v>2842</v>
      </c>
      <c r="AT452" s="270">
        <v>37</v>
      </c>
      <c r="AU452" s="464">
        <v>45.964187711140028</v>
      </c>
      <c r="AV452" s="29">
        <v>-0.98637035451663602</v>
      </c>
      <c r="AW452" s="29">
        <v>0.181107194869954</v>
      </c>
      <c r="AX452" s="29">
        <v>-0.848142100823019</v>
      </c>
      <c r="AY452" s="29">
        <v>-0.47528540908030997</v>
      </c>
      <c r="AZ452" s="60">
        <v>-0.96201247238732601</v>
      </c>
    </row>
    <row r="453" spans="1:52" s="29" customFormat="1" ht="15" customHeight="1">
      <c r="A453" s="63" t="s">
        <v>187</v>
      </c>
      <c r="B453" s="53">
        <v>2006</v>
      </c>
      <c r="C453" s="27" t="s">
        <v>185</v>
      </c>
      <c r="D453" s="39" t="s">
        <v>81</v>
      </c>
      <c r="E453" s="27" t="s">
        <v>19</v>
      </c>
      <c r="F453" s="41" t="s">
        <v>566</v>
      </c>
      <c r="G453" s="43">
        <v>610000</v>
      </c>
      <c r="H453" s="43"/>
      <c r="I453" s="43"/>
      <c r="J453" s="43"/>
      <c r="K453" s="27" t="s">
        <v>567</v>
      </c>
      <c r="L453" s="28">
        <v>101.5</v>
      </c>
      <c r="M453" s="27" t="s">
        <v>568</v>
      </c>
      <c r="N453" s="27" t="s">
        <v>1035</v>
      </c>
      <c r="O453" s="18">
        <f>G453*L453</f>
        <v>61915000</v>
      </c>
      <c r="P453" s="213"/>
      <c r="Q453" s="213"/>
      <c r="R453" s="27"/>
      <c r="S453" s="27"/>
      <c r="T453" s="18"/>
      <c r="U453" s="27"/>
      <c r="V453" s="27"/>
      <c r="W453" s="30"/>
      <c r="X453" s="27"/>
      <c r="Y453" s="27"/>
      <c r="Z453" s="27"/>
      <c r="AA453" s="27"/>
      <c r="AB453" s="27"/>
      <c r="AC453" s="273">
        <v>1944187567.1747403</v>
      </c>
      <c r="AD453" s="27">
        <v>9545982814.0849361</v>
      </c>
      <c r="AE453" s="228">
        <v>0.20366552140719596</v>
      </c>
      <c r="AF453" s="27">
        <v>2938062590.5190616</v>
      </c>
      <c r="AG453" s="226">
        <v>0.66172435313274403</v>
      </c>
      <c r="AH453" s="226" t="s">
        <v>2842</v>
      </c>
      <c r="AI453" s="27">
        <v>29050000</v>
      </c>
      <c r="AJ453" s="226">
        <v>66.925561692762145</v>
      </c>
      <c r="AK453" s="27">
        <v>125012965.79124597</v>
      </c>
      <c r="AL453" s="226">
        <v>15.55188739719414</v>
      </c>
      <c r="AM453" s="27" t="s">
        <v>2842</v>
      </c>
      <c r="AN453" s="271" t="s">
        <v>2842</v>
      </c>
      <c r="AO453" s="27">
        <v>1412907</v>
      </c>
      <c r="AP453" s="27" t="s">
        <v>2842</v>
      </c>
      <c r="AQ453" s="27">
        <v>60.431243902439029</v>
      </c>
      <c r="AR453" s="27">
        <v>49</v>
      </c>
      <c r="AS453" s="29" t="s">
        <v>2842</v>
      </c>
      <c r="AT453" s="270">
        <v>37</v>
      </c>
      <c r="AU453" s="464">
        <v>45.964187711140028</v>
      </c>
      <c r="AV453" s="29">
        <v>-0.98637035451663602</v>
      </c>
      <c r="AW453" s="29">
        <v>0.181107194869954</v>
      </c>
      <c r="AX453" s="29">
        <v>-0.848142100823019</v>
      </c>
      <c r="AY453" s="29">
        <v>-0.47528540908030997</v>
      </c>
      <c r="AZ453" s="60">
        <v>-0.96201247238732601</v>
      </c>
    </row>
    <row r="454" spans="1:52" s="29" customFormat="1" ht="15" customHeight="1">
      <c r="A454" s="63" t="s">
        <v>187</v>
      </c>
      <c r="B454" s="53">
        <v>2006</v>
      </c>
      <c r="C454" s="27" t="s">
        <v>185</v>
      </c>
      <c r="D454" s="39" t="s">
        <v>81</v>
      </c>
      <c r="E454" s="27" t="s">
        <v>19</v>
      </c>
      <c r="F454" s="41" t="s">
        <v>904</v>
      </c>
      <c r="G454" s="43">
        <v>500</v>
      </c>
      <c r="H454" s="43"/>
      <c r="I454" s="43"/>
      <c r="J454" s="43"/>
      <c r="K454" s="27" t="s">
        <v>905</v>
      </c>
      <c r="L454" s="28">
        <v>68.47</v>
      </c>
      <c r="M454" s="27" t="s">
        <v>906</v>
      </c>
      <c r="N454" s="27" t="s">
        <v>1042</v>
      </c>
      <c r="O454" s="18">
        <f>G454*L454</f>
        <v>34235</v>
      </c>
      <c r="P454" s="213"/>
      <c r="Q454" s="213"/>
      <c r="R454" s="27"/>
      <c r="S454" s="27"/>
      <c r="T454" s="18"/>
      <c r="U454" s="27"/>
      <c r="V454" s="27"/>
      <c r="W454" s="30"/>
      <c r="X454" s="27"/>
      <c r="Y454" s="27"/>
      <c r="Z454" s="27"/>
      <c r="AA454" s="27"/>
      <c r="AB454" s="27"/>
      <c r="AC454" s="273">
        <v>1944187567.1747403</v>
      </c>
      <c r="AD454" s="27">
        <v>9545982814.0849361</v>
      </c>
      <c r="AE454" s="228">
        <v>0.20366552140719596</v>
      </c>
      <c r="AF454" s="27">
        <v>2938062590.5190616</v>
      </c>
      <c r="AG454" s="226">
        <v>0.66172435313274403</v>
      </c>
      <c r="AH454" s="226" t="s">
        <v>2842</v>
      </c>
      <c r="AI454" s="27">
        <v>29050000</v>
      </c>
      <c r="AJ454" s="226">
        <v>66.925561692762145</v>
      </c>
      <c r="AK454" s="27">
        <v>125012965.79124597</v>
      </c>
      <c r="AL454" s="226">
        <v>15.55188739719414</v>
      </c>
      <c r="AM454" s="27" t="s">
        <v>2842</v>
      </c>
      <c r="AN454" s="271" t="s">
        <v>2842</v>
      </c>
      <c r="AO454" s="27">
        <v>1412907</v>
      </c>
      <c r="AP454" s="27" t="s">
        <v>2842</v>
      </c>
      <c r="AQ454" s="27">
        <v>60.431243902439029</v>
      </c>
      <c r="AR454" s="27">
        <v>49</v>
      </c>
      <c r="AS454" s="29" t="s">
        <v>2842</v>
      </c>
      <c r="AT454" s="270">
        <v>37</v>
      </c>
      <c r="AU454" s="464">
        <v>45.964187711140028</v>
      </c>
      <c r="AV454" s="29">
        <v>-0.98637035451663602</v>
      </c>
      <c r="AW454" s="29">
        <v>0.181107194869954</v>
      </c>
      <c r="AX454" s="29">
        <v>-0.848142100823019</v>
      </c>
      <c r="AY454" s="29">
        <v>-0.47528540908030997</v>
      </c>
      <c r="AZ454" s="60">
        <v>-0.96201247238732601</v>
      </c>
    </row>
    <row r="455" spans="1:52" s="29" customFormat="1" ht="15" customHeight="1">
      <c r="A455" s="63" t="s">
        <v>187</v>
      </c>
      <c r="B455" s="53">
        <v>2006</v>
      </c>
      <c r="C455" s="27" t="s">
        <v>185</v>
      </c>
      <c r="D455" s="39" t="s">
        <v>81</v>
      </c>
      <c r="E455" s="27" t="s">
        <v>19</v>
      </c>
      <c r="F455" s="41" t="s">
        <v>730</v>
      </c>
      <c r="G455" s="43">
        <f>300*32.150743126506</f>
        <v>9645.2229379517994</v>
      </c>
      <c r="H455" s="43"/>
      <c r="I455" s="43"/>
      <c r="J455" s="43"/>
      <c r="K455" s="27" t="s">
        <v>731</v>
      </c>
      <c r="L455" s="28">
        <v>604.33583333333002</v>
      </c>
      <c r="M455" s="27" t="s">
        <v>732</v>
      </c>
      <c r="N455" s="27" t="s">
        <v>1037</v>
      </c>
      <c r="O455" s="18">
        <f>G455*L455</f>
        <v>5828953.8418928506</v>
      </c>
      <c r="P455" s="213"/>
      <c r="Q455" s="213"/>
      <c r="R455" s="27"/>
      <c r="S455" s="27"/>
      <c r="T455" s="18"/>
      <c r="U455" s="27"/>
      <c r="V455" s="27"/>
      <c r="W455" s="30"/>
      <c r="X455" s="27"/>
      <c r="Y455" s="27"/>
      <c r="Z455" s="27"/>
      <c r="AA455" s="27"/>
      <c r="AB455" s="27"/>
      <c r="AC455" s="273">
        <v>1944187567.1747403</v>
      </c>
      <c r="AD455" s="27">
        <v>9545982814.0849361</v>
      </c>
      <c r="AE455" s="228">
        <v>0.20366552140719596</v>
      </c>
      <c r="AF455" s="27">
        <v>2938062590.5190616</v>
      </c>
      <c r="AG455" s="226">
        <v>0.66172435313274403</v>
      </c>
      <c r="AH455" s="226" t="s">
        <v>2842</v>
      </c>
      <c r="AI455" s="27">
        <v>29050000</v>
      </c>
      <c r="AJ455" s="226">
        <v>66.925561692762145</v>
      </c>
      <c r="AK455" s="27">
        <v>125012965.79124597</v>
      </c>
      <c r="AL455" s="226">
        <v>15.55188739719414</v>
      </c>
      <c r="AM455" s="27" t="s">
        <v>2842</v>
      </c>
      <c r="AN455" s="271" t="s">
        <v>2842</v>
      </c>
      <c r="AO455" s="27">
        <v>1412907</v>
      </c>
      <c r="AP455" s="27" t="s">
        <v>2842</v>
      </c>
      <c r="AQ455" s="27">
        <v>60.431243902439029</v>
      </c>
      <c r="AR455" s="27">
        <v>49</v>
      </c>
      <c r="AS455" s="29" t="s">
        <v>2842</v>
      </c>
      <c r="AT455" s="270">
        <v>37</v>
      </c>
      <c r="AU455" s="464">
        <v>45.964187711140028</v>
      </c>
      <c r="AV455" s="29">
        <v>-0.98637035451663602</v>
      </c>
      <c r="AW455" s="29">
        <v>0.181107194869954</v>
      </c>
      <c r="AX455" s="29">
        <v>-0.848142100823019</v>
      </c>
      <c r="AY455" s="29">
        <v>-0.47528540908030997</v>
      </c>
      <c r="AZ455" s="60">
        <v>-0.96201247238732601</v>
      </c>
    </row>
    <row r="456" spans="1:52" s="29" customFormat="1" ht="15" customHeight="1">
      <c r="A456" s="63" t="s">
        <v>187</v>
      </c>
      <c r="B456" s="53">
        <v>2006</v>
      </c>
      <c r="C456" s="27" t="s">
        <v>185</v>
      </c>
      <c r="D456" s="39" t="s">
        <v>81</v>
      </c>
      <c r="E456" s="27" t="s">
        <v>19</v>
      </c>
      <c r="F456" s="41" t="s">
        <v>784</v>
      </c>
      <c r="G456" s="43"/>
      <c r="H456" s="43"/>
      <c r="I456" s="43"/>
      <c r="J456" s="43"/>
      <c r="K456" s="27"/>
      <c r="L456" s="28">
        <v>0.15049999999999999</v>
      </c>
      <c r="M456" s="27" t="s">
        <v>568</v>
      </c>
      <c r="N456" s="27" t="s">
        <v>1038</v>
      </c>
      <c r="O456" s="18">
        <f>G458*L456</f>
        <v>11287.5</v>
      </c>
      <c r="P456" s="213"/>
      <c r="Q456" s="213"/>
      <c r="R456" s="27"/>
      <c r="S456" s="27"/>
      <c r="T456" s="18"/>
      <c r="U456" s="27"/>
      <c r="V456" s="27"/>
      <c r="W456" s="30"/>
      <c r="X456" s="27"/>
      <c r="Y456" s="27"/>
      <c r="Z456" s="27"/>
      <c r="AA456" s="27"/>
      <c r="AB456" s="27"/>
      <c r="AC456" s="273">
        <v>1944187567.1747403</v>
      </c>
      <c r="AD456" s="27">
        <v>9545982814.0849361</v>
      </c>
      <c r="AE456" s="228">
        <v>0.20366552140719596</v>
      </c>
      <c r="AF456" s="27">
        <v>2938062590.5190616</v>
      </c>
      <c r="AG456" s="226">
        <v>0.66172435313274403</v>
      </c>
      <c r="AH456" s="226" t="s">
        <v>2842</v>
      </c>
      <c r="AI456" s="27">
        <v>29050000</v>
      </c>
      <c r="AJ456" s="226">
        <v>66.925561692762145</v>
      </c>
      <c r="AK456" s="27">
        <v>125012965.79124597</v>
      </c>
      <c r="AL456" s="226">
        <v>15.55188739719414</v>
      </c>
      <c r="AM456" s="27" t="s">
        <v>2842</v>
      </c>
      <c r="AN456" s="271" t="s">
        <v>2842</v>
      </c>
      <c r="AO456" s="27">
        <v>1412907</v>
      </c>
      <c r="AP456" s="27" t="s">
        <v>2842</v>
      </c>
      <c r="AQ456" s="27">
        <v>60.431243902439029</v>
      </c>
      <c r="AR456" s="27">
        <v>49</v>
      </c>
      <c r="AS456" s="29" t="s">
        <v>2842</v>
      </c>
      <c r="AT456" s="270">
        <v>37</v>
      </c>
      <c r="AU456" s="464">
        <v>45.964187711140028</v>
      </c>
      <c r="AV456" s="29">
        <v>-0.98637035451663602</v>
      </c>
      <c r="AW456" s="29">
        <v>0.181107194869954</v>
      </c>
      <c r="AX456" s="29">
        <v>-0.848142100823019</v>
      </c>
      <c r="AY456" s="29">
        <v>-0.47528540908030997</v>
      </c>
      <c r="AZ456" s="60">
        <v>-0.96201247238732601</v>
      </c>
    </row>
    <row r="457" spans="1:52" s="29" customFormat="1" ht="15" customHeight="1">
      <c r="A457" s="63" t="s">
        <v>187</v>
      </c>
      <c r="B457" s="53">
        <v>2006</v>
      </c>
      <c r="C457" s="27" t="s">
        <v>185</v>
      </c>
      <c r="D457" s="39" t="s">
        <v>81</v>
      </c>
      <c r="E457" s="27" t="s">
        <v>19</v>
      </c>
      <c r="F457" s="41" t="s">
        <v>1039</v>
      </c>
      <c r="G457" s="43">
        <v>2925000</v>
      </c>
      <c r="H457" s="43"/>
      <c r="I457" s="43"/>
      <c r="J457" s="43"/>
      <c r="K457" s="27" t="s">
        <v>567</v>
      </c>
      <c r="L457" s="28"/>
      <c r="M457" s="27"/>
      <c r="N457" s="27" t="s">
        <v>1040</v>
      </c>
      <c r="O457" s="18"/>
      <c r="P457" s="213"/>
      <c r="Q457" s="213"/>
      <c r="R457" s="27"/>
      <c r="S457" s="27"/>
      <c r="T457" s="18"/>
      <c r="U457" s="27"/>
      <c r="V457" s="27"/>
      <c r="W457" s="30"/>
      <c r="X457" s="27"/>
      <c r="Y457" s="27"/>
      <c r="Z457" s="27"/>
      <c r="AA457" s="27"/>
      <c r="AB457" s="27"/>
      <c r="AC457" s="273">
        <v>1944187567.1747403</v>
      </c>
      <c r="AD457" s="27">
        <v>9545982814.0849361</v>
      </c>
      <c r="AE457" s="228">
        <v>0.20366552140719596</v>
      </c>
      <c r="AF457" s="27">
        <v>2938062590.5190616</v>
      </c>
      <c r="AG457" s="226">
        <v>0.66172435313274403</v>
      </c>
      <c r="AH457" s="226" t="s">
        <v>2842</v>
      </c>
      <c r="AI457" s="27">
        <v>29050000</v>
      </c>
      <c r="AJ457" s="226">
        <v>66.925561692762145</v>
      </c>
      <c r="AK457" s="27">
        <v>125012965.79124597</v>
      </c>
      <c r="AL457" s="226">
        <v>15.55188739719414</v>
      </c>
      <c r="AM457" s="27" t="s">
        <v>2842</v>
      </c>
      <c r="AN457" s="271" t="s">
        <v>2842</v>
      </c>
      <c r="AO457" s="27">
        <v>1412907</v>
      </c>
      <c r="AP457" s="27" t="s">
        <v>2842</v>
      </c>
      <c r="AQ457" s="27">
        <v>60.431243902439029</v>
      </c>
      <c r="AR457" s="27">
        <v>49</v>
      </c>
      <c r="AS457" s="29" t="s">
        <v>2842</v>
      </c>
      <c r="AT457" s="270">
        <v>37</v>
      </c>
      <c r="AU457" s="464">
        <v>45.964187711140028</v>
      </c>
      <c r="AV457" s="29">
        <v>-0.98637035451663602</v>
      </c>
      <c r="AW457" s="29">
        <v>0.181107194869954</v>
      </c>
      <c r="AX457" s="29">
        <v>-0.848142100823019</v>
      </c>
      <c r="AY457" s="29">
        <v>-0.47528540908030997</v>
      </c>
      <c r="AZ457" s="60">
        <v>-0.96201247238732601</v>
      </c>
    </row>
    <row r="458" spans="1:52" s="287" customFormat="1" ht="15" customHeight="1">
      <c r="A458" s="359" t="s">
        <v>187</v>
      </c>
      <c r="B458" s="302">
        <v>2006</v>
      </c>
      <c r="C458" s="284" t="s">
        <v>185</v>
      </c>
      <c r="D458" s="314" t="s">
        <v>81</v>
      </c>
      <c r="E458" s="284" t="s">
        <v>19</v>
      </c>
      <c r="F458" s="315" t="s">
        <v>1041</v>
      </c>
      <c r="G458" s="303">
        <v>75000</v>
      </c>
      <c r="H458" s="303"/>
      <c r="I458" s="303"/>
      <c r="J458" s="303"/>
      <c r="K458" s="284" t="s">
        <v>567</v>
      </c>
      <c r="L458" s="304"/>
      <c r="M458" s="284"/>
      <c r="N458" s="284" t="s">
        <v>1040</v>
      </c>
      <c r="O458" s="305"/>
      <c r="P458" s="306"/>
      <c r="Q458" s="306"/>
      <c r="R458" s="284"/>
      <c r="S458" s="284"/>
      <c r="T458" s="305"/>
      <c r="U458" s="284"/>
      <c r="V458" s="284"/>
      <c r="W458" s="307"/>
      <c r="X458" s="284"/>
      <c r="Y458" s="284"/>
      <c r="Z458" s="284"/>
      <c r="AA458" s="284"/>
      <c r="AB458" s="284"/>
      <c r="AC458" s="308">
        <v>1944187567.1747403</v>
      </c>
      <c r="AD458" s="284">
        <v>9545982814.0849361</v>
      </c>
      <c r="AE458" s="309">
        <v>0.20366552140719596</v>
      </c>
      <c r="AF458" s="284">
        <v>2938062590.5190616</v>
      </c>
      <c r="AG458" s="310">
        <v>0.66172435313274403</v>
      </c>
      <c r="AH458" s="310" t="s">
        <v>2842</v>
      </c>
      <c r="AI458" s="284">
        <v>29050000</v>
      </c>
      <c r="AJ458" s="310">
        <v>66.925561692762145</v>
      </c>
      <c r="AK458" s="284">
        <v>125012965.79124597</v>
      </c>
      <c r="AL458" s="310">
        <v>15.55188739719414</v>
      </c>
      <c r="AM458" s="284" t="s">
        <v>2842</v>
      </c>
      <c r="AN458" s="311" t="s">
        <v>2842</v>
      </c>
      <c r="AO458" s="284">
        <v>1412907</v>
      </c>
      <c r="AP458" s="284" t="s">
        <v>2842</v>
      </c>
      <c r="AQ458" s="284">
        <v>60.431243902439029</v>
      </c>
      <c r="AR458" s="284">
        <v>49</v>
      </c>
      <c r="AS458" s="287" t="s">
        <v>2842</v>
      </c>
      <c r="AT458" s="312">
        <v>37</v>
      </c>
      <c r="AU458" s="465">
        <v>45.964187711140028</v>
      </c>
      <c r="AV458" s="287">
        <v>-0.98637035451663602</v>
      </c>
      <c r="AW458" s="287">
        <v>0.181107194869954</v>
      </c>
      <c r="AX458" s="287">
        <v>-0.848142100823019</v>
      </c>
      <c r="AY458" s="287">
        <v>-0.47528540908030997</v>
      </c>
      <c r="AZ458" s="313">
        <v>-0.96201247238732601</v>
      </c>
    </row>
    <row r="459" spans="1:52" ht="15" customHeight="1">
      <c r="A459" s="63" t="s">
        <v>188</v>
      </c>
      <c r="B459" s="27">
        <v>2004</v>
      </c>
      <c r="C459" s="27" t="s">
        <v>189</v>
      </c>
      <c r="D459" s="27" t="s">
        <v>81</v>
      </c>
      <c r="E459" s="27" t="s">
        <v>19</v>
      </c>
      <c r="F459" s="27" t="s">
        <v>659</v>
      </c>
      <c r="G459" s="43"/>
      <c r="H459" s="43"/>
      <c r="I459" s="43"/>
      <c r="J459" s="43"/>
      <c r="K459" s="27"/>
      <c r="L459" s="28"/>
      <c r="M459" s="27"/>
      <c r="N459" s="27"/>
      <c r="O459" s="18">
        <f>SUM(O460:O467)</f>
        <v>934903925.15586007</v>
      </c>
      <c r="P459" s="213">
        <v>27021531.670000002</v>
      </c>
      <c r="Q459" s="213">
        <v>27012825.07</v>
      </c>
      <c r="R459" s="27" t="s">
        <v>619</v>
      </c>
      <c r="S459" s="27"/>
      <c r="T459" s="18"/>
      <c r="U459" s="27" t="s">
        <v>1044</v>
      </c>
      <c r="V459" s="27" t="s">
        <v>1045</v>
      </c>
      <c r="W459" s="30">
        <v>0.91</v>
      </c>
      <c r="X459" s="27">
        <v>8</v>
      </c>
      <c r="Y459" s="27" t="s">
        <v>1046</v>
      </c>
      <c r="Z459" s="27">
        <v>8</v>
      </c>
      <c r="AA459" s="27" t="s">
        <v>1048</v>
      </c>
      <c r="AB459" s="27" t="s">
        <v>3671</v>
      </c>
      <c r="AC459" s="273">
        <v>27021531.670000002</v>
      </c>
      <c r="AD459" s="27">
        <v>8881419348.2170506</v>
      </c>
      <c r="AE459" s="228">
        <v>3.0424789789285861E-3</v>
      </c>
      <c r="AF459" s="27">
        <v>733960494.93665707</v>
      </c>
      <c r="AG459" s="226">
        <v>3.6816057344247172E-2</v>
      </c>
      <c r="AH459" s="226" t="s">
        <v>2842</v>
      </c>
      <c r="AI459" s="27">
        <v>1418690000</v>
      </c>
      <c r="AJ459" s="226">
        <v>1.9046819016134604E-2</v>
      </c>
      <c r="AK459" s="27">
        <v>337329001.12580043</v>
      </c>
      <c r="AL459" s="226">
        <v>8.0104383494506701E-2</v>
      </c>
      <c r="AM459" s="27">
        <v>669266460.12037444</v>
      </c>
      <c r="AN459" s="271">
        <v>4.0374848106298204E-2</v>
      </c>
      <c r="AO459" s="27">
        <v>20835514</v>
      </c>
      <c r="AP459" s="27" t="s">
        <v>2842</v>
      </c>
      <c r="AQ459" s="27">
        <v>58.224853658536588</v>
      </c>
      <c r="AR459" s="27">
        <v>58.9</v>
      </c>
      <c r="AS459" s="29">
        <v>60.50224</v>
      </c>
      <c r="AT459" s="270">
        <v>48</v>
      </c>
      <c r="AU459" s="464">
        <v>62.7239016156134</v>
      </c>
      <c r="AV459" s="29">
        <v>0.15143036109805399</v>
      </c>
      <c r="AW459" s="29">
        <v>6.2279754288806499E-3</v>
      </c>
      <c r="AX459" s="29">
        <v>-0.16104440204609899</v>
      </c>
      <c r="AY459" s="29">
        <v>-0.349652907871289</v>
      </c>
      <c r="AZ459" s="60">
        <v>-0.224504582179965</v>
      </c>
    </row>
    <row r="460" spans="1:52" ht="15" customHeight="1">
      <c r="A460" s="63" t="s">
        <v>188</v>
      </c>
      <c r="B460" s="27">
        <v>2004</v>
      </c>
      <c r="C460" s="27" t="s">
        <v>189</v>
      </c>
      <c r="D460" s="27" t="s">
        <v>81</v>
      </c>
      <c r="E460" s="27" t="s">
        <v>19</v>
      </c>
      <c r="F460" s="27" t="s">
        <v>1049</v>
      </c>
      <c r="G460" s="43">
        <v>498</v>
      </c>
      <c r="H460" s="43"/>
      <c r="I460" s="43"/>
      <c r="J460" s="43"/>
      <c r="K460" s="27" t="s">
        <v>567</v>
      </c>
      <c r="L460" s="28">
        <v>22.5</v>
      </c>
      <c r="M460" s="27" t="s">
        <v>568</v>
      </c>
      <c r="N460" s="27" t="s">
        <v>1050</v>
      </c>
      <c r="O460" s="18"/>
      <c r="P460" s="244"/>
      <c r="Q460" s="244"/>
      <c r="R460" s="27"/>
      <c r="S460" s="27"/>
      <c r="T460" s="18"/>
      <c r="U460" s="27"/>
      <c r="V460" s="27"/>
      <c r="W460" s="30"/>
      <c r="X460" s="27">
        <v>1</v>
      </c>
      <c r="Y460" s="27" t="s">
        <v>1051</v>
      </c>
      <c r="Z460" s="27">
        <v>1</v>
      </c>
      <c r="AA460" s="27"/>
      <c r="AB460" s="27"/>
      <c r="AC460" s="273">
        <v>27021531.670000002</v>
      </c>
      <c r="AD460" s="27">
        <v>8881419348.2170506</v>
      </c>
      <c r="AE460" s="228">
        <v>3.0424789789285861E-3</v>
      </c>
      <c r="AF460" s="27">
        <v>733960494.93665707</v>
      </c>
      <c r="AG460" s="226">
        <v>3.6816057344247172E-2</v>
      </c>
      <c r="AH460" s="226" t="s">
        <v>2842</v>
      </c>
      <c r="AI460" s="27">
        <v>1418690000</v>
      </c>
      <c r="AJ460" s="226">
        <v>1.9046819016134604E-2</v>
      </c>
      <c r="AK460" s="27">
        <v>337329001.12580043</v>
      </c>
      <c r="AL460" s="226">
        <v>8.0104383494506701E-2</v>
      </c>
      <c r="AM460" s="27">
        <v>669266460.12037444</v>
      </c>
      <c r="AN460" s="271">
        <v>4.0374848106298204E-2</v>
      </c>
      <c r="AO460" s="27">
        <v>20835514</v>
      </c>
      <c r="AP460" s="27" t="s">
        <v>2842</v>
      </c>
      <c r="AQ460" s="27">
        <v>58.224853658536588</v>
      </c>
      <c r="AR460" s="27">
        <v>58.9</v>
      </c>
      <c r="AS460" s="29">
        <v>60.50224</v>
      </c>
      <c r="AT460" s="270">
        <v>48</v>
      </c>
      <c r="AU460" s="464">
        <v>62.7239016156134</v>
      </c>
      <c r="AV460" s="29">
        <v>0.15143036109805399</v>
      </c>
      <c r="AW460" s="29">
        <v>6.2279754288806499E-3</v>
      </c>
      <c r="AX460" s="29">
        <v>-0.16104440204609899</v>
      </c>
      <c r="AY460" s="29">
        <v>-0.349652907871289</v>
      </c>
      <c r="AZ460" s="60">
        <v>-0.224504582179965</v>
      </c>
    </row>
    <row r="461" spans="1:52" ht="15" customHeight="1">
      <c r="A461" s="63" t="s">
        <v>188</v>
      </c>
      <c r="B461" s="27">
        <v>2004</v>
      </c>
      <c r="C461" s="27" t="s">
        <v>189</v>
      </c>
      <c r="D461" s="27" t="s">
        <v>81</v>
      </c>
      <c r="E461" s="27" t="s">
        <v>19</v>
      </c>
      <c r="F461" s="27" t="s">
        <v>904</v>
      </c>
      <c r="G461" s="43">
        <v>920000</v>
      </c>
      <c r="H461" s="43"/>
      <c r="I461" s="43"/>
      <c r="J461" s="43"/>
      <c r="K461" s="27" t="s">
        <v>905</v>
      </c>
      <c r="L461" s="28">
        <v>28.61</v>
      </c>
      <c r="M461" s="27" t="s">
        <v>906</v>
      </c>
      <c r="N461" s="27" t="s">
        <v>1052</v>
      </c>
      <c r="O461" s="18">
        <f>G461*L461</f>
        <v>26321200</v>
      </c>
      <c r="P461" s="244"/>
      <c r="Q461" s="244"/>
      <c r="R461" s="27"/>
      <c r="S461" s="27"/>
      <c r="T461" s="18"/>
      <c r="U461" s="27"/>
      <c r="V461" s="27"/>
      <c r="W461" s="30"/>
      <c r="X461" s="27"/>
      <c r="Y461" s="27"/>
      <c r="Z461" s="27"/>
      <c r="AA461" s="27"/>
      <c r="AB461" s="27"/>
      <c r="AC461" s="273">
        <v>27021531.670000002</v>
      </c>
      <c r="AD461" s="27">
        <v>8881419348.2170506</v>
      </c>
      <c r="AE461" s="228">
        <v>3.0424789789285861E-3</v>
      </c>
      <c r="AF461" s="27">
        <v>733960494.93665707</v>
      </c>
      <c r="AG461" s="226">
        <v>3.6816057344247172E-2</v>
      </c>
      <c r="AH461" s="226" t="s">
        <v>2842</v>
      </c>
      <c r="AI461" s="27">
        <v>1418690000</v>
      </c>
      <c r="AJ461" s="226">
        <v>1.9046819016134604E-2</v>
      </c>
      <c r="AK461" s="27">
        <v>337329001.12580043</v>
      </c>
      <c r="AL461" s="226">
        <v>8.0104383494506701E-2</v>
      </c>
      <c r="AM461" s="27">
        <v>669266460.12037444</v>
      </c>
      <c r="AN461" s="271">
        <v>4.0374848106298204E-2</v>
      </c>
      <c r="AO461" s="27">
        <v>20835514</v>
      </c>
      <c r="AP461" s="27" t="s">
        <v>2842</v>
      </c>
      <c r="AQ461" s="27">
        <v>58.224853658536588</v>
      </c>
      <c r="AR461" s="27">
        <v>58.9</v>
      </c>
      <c r="AS461" s="29">
        <v>60.50224</v>
      </c>
      <c r="AT461" s="270">
        <v>48</v>
      </c>
      <c r="AU461" s="464">
        <v>62.7239016156134</v>
      </c>
      <c r="AV461" s="29">
        <v>0.15143036109805399</v>
      </c>
      <c r="AW461" s="29">
        <v>6.2279754288806499E-3</v>
      </c>
      <c r="AX461" s="29">
        <v>-0.16104440204609899</v>
      </c>
      <c r="AY461" s="29">
        <v>-0.349652907871289</v>
      </c>
      <c r="AZ461" s="60">
        <v>-0.224504582179965</v>
      </c>
    </row>
    <row r="462" spans="1:52" ht="15" customHeight="1">
      <c r="A462" s="63" t="s">
        <v>188</v>
      </c>
      <c r="B462" s="27">
        <v>2004</v>
      </c>
      <c r="C462" s="27" t="s">
        <v>189</v>
      </c>
      <c r="D462" s="27" t="s">
        <v>81</v>
      </c>
      <c r="E462" s="27" t="s">
        <v>19</v>
      </c>
      <c r="F462" s="27" t="s">
        <v>730</v>
      </c>
      <c r="G462" s="43">
        <f>63139*32.150743126506</f>
        <v>2029965.7702644623</v>
      </c>
      <c r="H462" s="43"/>
      <c r="I462" s="43"/>
      <c r="J462" s="43"/>
      <c r="K462" s="27" t="s">
        <v>731</v>
      </c>
      <c r="L462" s="28">
        <f>409.21158333333*1.0929</f>
        <v>447.22733942499633</v>
      </c>
      <c r="M462" s="27" t="s">
        <v>732</v>
      </c>
      <c r="N462" s="27" t="s">
        <v>1053</v>
      </c>
      <c r="O462" s="18">
        <f>G462*L462</f>
        <v>907856190.55918884</v>
      </c>
      <c r="P462" s="244"/>
      <c r="Q462" s="244"/>
      <c r="R462" s="27"/>
      <c r="S462" s="27"/>
      <c r="T462" s="18"/>
      <c r="U462" s="27"/>
      <c r="V462" s="27"/>
      <c r="W462" s="30"/>
      <c r="X462" s="27">
        <v>6</v>
      </c>
      <c r="Y462" s="27" t="s">
        <v>1054</v>
      </c>
      <c r="Z462" s="27">
        <v>6</v>
      </c>
      <c r="AA462" s="27"/>
      <c r="AB462" s="27"/>
      <c r="AC462" s="273">
        <v>27021531.670000002</v>
      </c>
      <c r="AD462" s="27">
        <v>8881419348.2170506</v>
      </c>
      <c r="AE462" s="228">
        <v>3.0424789789285861E-3</v>
      </c>
      <c r="AF462" s="27">
        <v>733960494.93665707</v>
      </c>
      <c r="AG462" s="226">
        <v>3.6816057344247172E-2</v>
      </c>
      <c r="AH462" s="226" t="s">
        <v>2842</v>
      </c>
      <c r="AI462" s="27">
        <v>1418690000</v>
      </c>
      <c r="AJ462" s="226">
        <v>1.9046819016134604E-2</v>
      </c>
      <c r="AK462" s="27">
        <v>337329001.12580043</v>
      </c>
      <c r="AL462" s="226">
        <v>8.0104383494506701E-2</v>
      </c>
      <c r="AM462" s="27">
        <v>669266460.12037444</v>
      </c>
      <c r="AN462" s="271">
        <v>4.0374848106298204E-2</v>
      </c>
      <c r="AO462" s="27">
        <v>20835514</v>
      </c>
      <c r="AP462" s="27" t="s">
        <v>2842</v>
      </c>
      <c r="AQ462" s="27">
        <v>58.224853658536588</v>
      </c>
      <c r="AR462" s="27">
        <v>58.9</v>
      </c>
      <c r="AS462" s="29">
        <v>60.50224</v>
      </c>
      <c r="AT462" s="270">
        <v>48</v>
      </c>
      <c r="AU462" s="464">
        <v>62.7239016156134</v>
      </c>
      <c r="AV462" s="29">
        <v>0.15143036109805399</v>
      </c>
      <c r="AW462" s="29">
        <v>6.2279754288806499E-3</v>
      </c>
      <c r="AX462" s="29">
        <v>-0.16104440204609899</v>
      </c>
      <c r="AY462" s="29">
        <v>-0.349652907871289</v>
      </c>
      <c r="AZ462" s="60">
        <v>-0.224504582179965</v>
      </c>
    </row>
    <row r="463" spans="1:52" ht="15" customHeight="1">
      <c r="A463" s="63" t="s">
        <v>188</v>
      </c>
      <c r="B463" s="27">
        <v>2004</v>
      </c>
      <c r="C463" s="27" t="s">
        <v>189</v>
      </c>
      <c r="D463" s="27" t="s">
        <v>81</v>
      </c>
      <c r="E463" s="27" t="s">
        <v>19</v>
      </c>
      <c r="F463" s="27" t="s">
        <v>784</v>
      </c>
      <c r="G463" s="43"/>
      <c r="H463" s="43"/>
      <c r="I463" s="43"/>
      <c r="J463" s="43"/>
      <c r="K463" s="27"/>
      <c r="L463" s="28">
        <v>2.89</v>
      </c>
      <c r="M463" s="27" t="s">
        <v>568</v>
      </c>
      <c r="N463" s="27" t="s">
        <v>1055</v>
      </c>
      <c r="O463" s="18"/>
      <c r="P463" s="244"/>
      <c r="Q463" s="244"/>
      <c r="R463" s="27"/>
      <c r="S463" s="27"/>
      <c r="T463" s="18"/>
      <c r="U463" s="27"/>
      <c r="V463" s="27"/>
      <c r="W463" s="30"/>
      <c r="X463" s="27">
        <v>1</v>
      </c>
      <c r="Y463" s="27" t="s">
        <v>1056</v>
      </c>
      <c r="Z463" s="27">
        <v>1</v>
      </c>
      <c r="AA463" s="27"/>
      <c r="AB463" s="27"/>
      <c r="AC463" s="273">
        <v>27021531.670000002</v>
      </c>
      <c r="AD463" s="27">
        <v>8881419348.2170506</v>
      </c>
      <c r="AE463" s="228">
        <v>3.0424789789285861E-3</v>
      </c>
      <c r="AF463" s="27">
        <v>733960494.93665707</v>
      </c>
      <c r="AG463" s="226">
        <v>3.6816057344247172E-2</v>
      </c>
      <c r="AH463" s="226" t="s">
        <v>2842</v>
      </c>
      <c r="AI463" s="27">
        <v>1418690000</v>
      </c>
      <c r="AJ463" s="226">
        <v>1.9046819016134604E-2</v>
      </c>
      <c r="AK463" s="27">
        <v>337329001.12580043</v>
      </c>
      <c r="AL463" s="226">
        <v>8.0104383494506701E-2</v>
      </c>
      <c r="AM463" s="27">
        <v>669266460.12037444</v>
      </c>
      <c r="AN463" s="271">
        <v>4.0374848106298204E-2</v>
      </c>
      <c r="AO463" s="27">
        <v>20835514</v>
      </c>
      <c r="AP463" s="27" t="s">
        <v>2842</v>
      </c>
      <c r="AQ463" s="27">
        <v>58.224853658536588</v>
      </c>
      <c r="AR463" s="27">
        <v>58.9</v>
      </c>
      <c r="AS463" s="29">
        <v>60.50224</v>
      </c>
      <c r="AT463" s="270">
        <v>48</v>
      </c>
      <c r="AU463" s="464">
        <v>62.7239016156134</v>
      </c>
      <c r="AV463" s="29">
        <v>0.15143036109805399</v>
      </c>
      <c r="AW463" s="29">
        <v>6.2279754288806499E-3</v>
      </c>
      <c r="AX463" s="29">
        <v>-0.16104440204609899</v>
      </c>
      <c r="AY463" s="29">
        <v>-0.349652907871289</v>
      </c>
      <c r="AZ463" s="60">
        <v>-0.224504582179965</v>
      </c>
    </row>
    <row r="464" spans="1:52" ht="15" customHeight="1">
      <c r="A464" s="63" t="s">
        <v>188</v>
      </c>
      <c r="B464" s="27">
        <v>2004</v>
      </c>
      <c r="C464" s="27" t="s">
        <v>189</v>
      </c>
      <c r="D464" s="27" t="s">
        <v>81</v>
      </c>
      <c r="E464" s="27" t="s">
        <v>19</v>
      </c>
      <c r="F464" s="27" t="s">
        <v>787</v>
      </c>
      <c r="G464" s="43">
        <v>1597</v>
      </c>
      <c r="H464" s="43"/>
      <c r="I464" s="43"/>
      <c r="J464" s="43"/>
      <c r="K464" s="27" t="s">
        <v>567</v>
      </c>
      <c r="L464" s="28"/>
      <c r="M464" s="27"/>
      <c r="N464" s="27" t="s">
        <v>1057</v>
      </c>
      <c r="O464" s="18"/>
      <c r="P464" s="244"/>
      <c r="Q464" s="244"/>
      <c r="R464" s="27"/>
      <c r="S464" s="27"/>
      <c r="T464" s="18"/>
      <c r="U464" s="27"/>
      <c r="V464" s="27"/>
      <c r="W464" s="30"/>
      <c r="X464" s="27"/>
      <c r="Y464" s="27"/>
      <c r="Z464" s="27"/>
      <c r="AA464" s="27"/>
      <c r="AB464" s="27"/>
      <c r="AC464" s="273">
        <v>27021531.670000002</v>
      </c>
      <c r="AD464" s="27">
        <v>8881419348.2170506</v>
      </c>
      <c r="AE464" s="228">
        <v>3.0424789789285861E-3</v>
      </c>
      <c r="AF464" s="27">
        <v>733960494.93665707</v>
      </c>
      <c r="AG464" s="226">
        <v>3.6816057344247172E-2</v>
      </c>
      <c r="AH464" s="226" t="s">
        <v>2842</v>
      </c>
      <c r="AI464" s="27">
        <v>1418690000</v>
      </c>
      <c r="AJ464" s="226">
        <v>1.9046819016134604E-2</v>
      </c>
      <c r="AK464" s="27">
        <v>337329001.12580043</v>
      </c>
      <c r="AL464" s="226">
        <v>8.0104383494506701E-2</v>
      </c>
      <c r="AM464" s="27">
        <v>669266460.12037444</v>
      </c>
      <c r="AN464" s="271">
        <v>4.0374848106298204E-2</v>
      </c>
      <c r="AO464" s="27">
        <v>20835514</v>
      </c>
      <c r="AP464" s="27" t="s">
        <v>2842</v>
      </c>
      <c r="AQ464" s="27">
        <v>58.224853658536588</v>
      </c>
      <c r="AR464" s="27">
        <v>58.9</v>
      </c>
      <c r="AS464" s="29">
        <v>60.50224</v>
      </c>
      <c r="AT464" s="270">
        <v>48</v>
      </c>
      <c r="AU464" s="464">
        <v>62.7239016156134</v>
      </c>
      <c r="AV464" s="29">
        <v>0.15143036109805399</v>
      </c>
      <c r="AW464" s="29">
        <v>6.2279754288806499E-3</v>
      </c>
      <c r="AX464" s="29">
        <v>-0.16104440204609899</v>
      </c>
      <c r="AY464" s="29">
        <v>-0.349652907871289</v>
      </c>
      <c r="AZ464" s="60">
        <v>-0.224504582179965</v>
      </c>
    </row>
    <row r="465" spans="1:52" ht="15" customHeight="1">
      <c r="A465" s="63" t="s">
        <v>188</v>
      </c>
      <c r="B465" s="27">
        <v>2004</v>
      </c>
      <c r="C465" s="27" t="s">
        <v>189</v>
      </c>
      <c r="D465" s="27" t="s">
        <v>81</v>
      </c>
      <c r="E465" s="27" t="s">
        <v>19</v>
      </c>
      <c r="F465" s="27" t="s">
        <v>789</v>
      </c>
      <c r="G465" s="43">
        <v>559</v>
      </c>
      <c r="H465" s="43"/>
      <c r="I465" s="43"/>
      <c r="J465" s="43"/>
      <c r="K465" s="27" t="s">
        <v>567</v>
      </c>
      <c r="L465" s="28"/>
      <c r="M465" s="27"/>
      <c r="N465" s="27" t="s">
        <v>1057</v>
      </c>
      <c r="O465" s="18"/>
      <c r="P465" s="244"/>
      <c r="Q465" s="244"/>
      <c r="R465" s="27"/>
      <c r="S465" s="27"/>
      <c r="T465" s="18"/>
      <c r="U465" s="27"/>
      <c r="V465" s="27"/>
      <c r="W465" s="30"/>
      <c r="X465" s="27"/>
      <c r="Y465" s="27"/>
      <c r="Z465" s="27"/>
      <c r="AA465" s="27"/>
      <c r="AB465" s="27"/>
      <c r="AC465" s="273">
        <v>27021531.670000002</v>
      </c>
      <c r="AD465" s="27">
        <v>8881419348.2170506</v>
      </c>
      <c r="AE465" s="228">
        <v>3.0424789789285861E-3</v>
      </c>
      <c r="AF465" s="27">
        <v>733960494.93665707</v>
      </c>
      <c r="AG465" s="226">
        <v>3.6816057344247172E-2</v>
      </c>
      <c r="AH465" s="226" t="s">
        <v>2842</v>
      </c>
      <c r="AI465" s="27">
        <v>1418690000</v>
      </c>
      <c r="AJ465" s="226">
        <v>1.9046819016134604E-2</v>
      </c>
      <c r="AK465" s="27">
        <v>337329001.12580043</v>
      </c>
      <c r="AL465" s="226">
        <v>8.0104383494506701E-2</v>
      </c>
      <c r="AM465" s="27">
        <v>669266460.12037444</v>
      </c>
      <c r="AN465" s="271">
        <v>4.0374848106298204E-2</v>
      </c>
      <c r="AO465" s="27">
        <v>20835514</v>
      </c>
      <c r="AP465" s="27" t="s">
        <v>2842</v>
      </c>
      <c r="AQ465" s="27">
        <v>58.224853658536588</v>
      </c>
      <c r="AR465" s="27">
        <v>58.9</v>
      </c>
      <c r="AS465" s="29">
        <v>60.50224</v>
      </c>
      <c r="AT465" s="270">
        <v>48</v>
      </c>
      <c r="AU465" s="464">
        <v>62.7239016156134</v>
      </c>
      <c r="AV465" s="29">
        <v>0.15143036109805399</v>
      </c>
      <c r="AW465" s="29">
        <v>6.2279754288806499E-3</v>
      </c>
      <c r="AX465" s="29">
        <v>-0.16104440204609899</v>
      </c>
      <c r="AY465" s="29">
        <v>-0.349652907871289</v>
      </c>
      <c r="AZ465" s="60">
        <v>-0.224504582179965</v>
      </c>
    </row>
    <row r="466" spans="1:52" ht="15" customHeight="1">
      <c r="A466" s="63" t="s">
        <v>188</v>
      </c>
      <c r="B466" s="27">
        <v>2004</v>
      </c>
      <c r="C466" s="27" t="s">
        <v>189</v>
      </c>
      <c r="D466" s="27" t="s">
        <v>81</v>
      </c>
      <c r="E466" s="27" t="s">
        <v>19</v>
      </c>
      <c r="F466" s="27" t="s">
        <v>1058</v>
      </c>
      <c r="G466" s="43">
        <v>265</v>
      </c>
      <c r="H466" s="43"/>
      <c r="I466" s="43"/>
      <c r="J466" s="43"/>
      <c r="K466" s="27" t="s">
        <v>567</v>
      </c>
      <c r="L466" s="28">
        <v>52.62</v>
      </c>
      <c r="M466" s="27" t="s">
        <v>568</v>
      </c>
      <c r="N466" s="27" t="s">
        <v>1059</v>
      </c>
      <c r="O466" s="18">
        <f>G466*L466</f>
        <v>13944.3</v>
      </c>
      <c r="P466" s="244"/>
      <c r="Q466" s="244"/>
      <c r="R466" s="27"/>
      <c r="S466" s="27"/>
      <c r="T466" s="18"/>
      <c r="U466" s="27"/>
      <c r="V466" s="27"/>
      <c r="W466" s="30"/>
      <c r="X466" s="27"/>
      <c r="Y466" s="27"/>
      <c r="Z466" s="27"/>
      <c r="AA466" s="27"/>
      <c r="AB466" s="27"/>
      <c r="AC466" s="273">
        <v>27021531.670000002</v>
      </c>
      <c r="AD466" s="27">
        <v>8881419348.2170506</v>
      </c>
      <c r="AE466" s="228">
        <v>3.0424789789285861E-3</v>
      </c>
      <c r="AF466" s="27">
        <v>733960494.93665707</v>
      </c>
      <c r="AG466" s="226">
        <v>3.6816057344247172E-2</v>
      </c>
      <c r="AH466" s="226" t="s">
        <v>2842</v>
      </c>
      <c r="AI466" s="27">
        <v>1418690000</v>
      </c>
      <c r="AJ466" s="226">
        <v>1.9046819016134604E-2</v>
      </c>
      <c r="AK466" s="27">
        <v>337329001.12580043</v>
      </c>
      <c r="AL466" s="226">
        <v>8.0104383494506701E-2</v>
      </c>
      <c r="AM466" s="27">
        <v>669266460.12037444</v>
      </c>
      <c r="AN466" s="271">
        <v>4.0374848106298204E-2</v>
      </c>
      <c r="AO466" s="27">
        <v>20835514</v>
      </c>
      <c r="AP466" s="27" t="s">
        <v>2842</v>
      </c>
      <c r="AQ466" s="27">
        <v>58.224853658536588</v>
      </c>
      <c r="AR466" s="27">
        <v>58.9</v>
      </c>
      <c r="AS466" s="29">
        <v>60.50224</v>
      </c>
      <c r="AT466" s="270">
        <v>48</v>
      </c>
      <c r="AU466" s="464">
        <v>62.7239016156134</v>
      </c>
      <c r="AV466" s="29">
        <v>0.15143036109805399</v>
      </c>
      <c r="AW466" s="29">
        <v>6.2279754288806499E-3</v>
      </c>
      <c r="AX466" s="29">
        <v>-0.16104440204609899</v>
      </c>
      <c r="AY466" s="29">
        <v>-0.349652907871289</v>
      </c>
      <c r="AZ466" s="60">
        <v>-0.224504582179965</v>
      </c>
    </row>
    <row r="467" spans="1:52" s="287" customFormat="1" ht="15" customHeight="1">
      <c r="A467" s="359" t="s">
        <v>188</v>
      </c>
      <c r="B467" s="284">
        <v>2004</v>
      </c>
      <c r="C467" s="284" t="s">
        <v>189</v>
      </c>
      <c r="D467" s="284" t="s">
        <v>81</v>
      </c>
      <c r="E467" s="284" t="s">
        <v>19</v>
      </c>
      <c r="F467" s="284" t="s">
        <v>735</v>
      </c>
      <c r="G467" s="303">
        <f>3329*32.150743126506</f>
        <v>107029.82386813848</v>
      </c>
      <c r="H467" s="303"/>
      <c r="I467" s="303"/>
      <c r="J467" s="303"/>
      <c r="K467" s="284" t="s">
        <v>731</v>
      </c>
      <c r="L467" s="304">
        <f>6.65786666667/1</f>
        <v>6.6578666666700004</v>
      </c>
      <c r="M467" s="284" t="s">
        <v>732</v>
      </c>
      <c r="N467" s="284" t="s">
        <v>1060</v>
      </c>
      <c r="O467" s="305">
        <f>G467*L467</f>
        <v>712590.29667124036</v>
      </c>
      <c r="P467" s="374"/>
      <c r="Q467" s="374"/>
      <c r="R467" s="284"/>
      <c r="S467" s="284"/>
      <c r="T467" s="305"/>
      <c r="U467" s="284"/>
      <c r="V467" s="284"/>
      <c r="W467" s="307"/>
      <c r="X467" s="284"/>
      <c r="Y467" s="284"/>
      <c r="Z467" s="284"/>
      <c r="AA467" s="284"/>
      <c r="AB467" s="284"/>
      <c r="AC467" s="308">
        <v>27021531.670000002</v>
      </c>
      <c r="AD467" s="284">
        <v>8881419348.2170506</v>
      </c>
      <c r="AE467" s="309">
        <v>3.0424789789285861E-3</v>
      </c>
      <c r="AF467" s="284">
        <v>733960494.93665707</v>
      </c>
      <c r="AG467" s="310">
        <v>3.6816057344247172E-2</v>
      </c>
      <c r="AH467" s="310" t="s">
        <v>2842</v>
      </c>
      <c r="AI467" s="284">
        <v>1418690000</v>
      </c>
      <c r="AJ467" s="310">
        <v>1.9046819016134604E-2</v>
      </c>
      <c r="AK467" s="284">
        <v>337329001.12580043</v>
      </c>
      <c r="AL467" s="310">
        <v>8.0104383494506701E-2</v>
      </c>
      <c r="AM467" s="284">
        <v>669266460.12037444</v>
      </c>
      <c r="AN467" s="311">
        <v>4.0374848106298204E-2</v>
      </c>
      <c r="AO467" s="284">
        <v>20835514</v>
      </c>
      <c r="AP467" s="284" t="s">
        <v>2842</v>
      </c>
      <c r="AQ467" s="284">
        <v>58.224853658536588</v>
      </c>
      <c r="AR467" s="284">
        <v>58.9</v>
      </c>
      <c r="AS467" s="287">
        <v>60.50224</v>
      </c>
      <c r="AT467" s="312">
        <v>48</v>
      </c>
      <c r="AU467" s="465">
        <v>62.7239016156134</v>
      </c>
      <c r="AV467" s="287">
        <v>0.15143036109805399</v>
      </c>
      <c r="AW467" s="287">
        <v>6.2279754288806499E-3</v>
      </c>
      <c r="AX467" s="287">
        <v>-0.16104440204609899</v>
      </c>
      <c r="AY467" s="287">
        <v>-0.349652907871289</v>
      </c>
      <c r="AZ467" s="313">
        <v>-0.224504582179965</v>
      </c>
    </row>
    <row r="468" spans="1:52" s="29" customFormat="1" ht="15" customHeight="1">
      <c r="A468" s="347" t="s">
        <v>192</v>
      </c>
      <c r="B468" s="27">
        <v>2005</v>
      </c>
      <c r="C468" s="27" t="s">
        <v>189</v>
      </c>
      <c r="D468" s="27" t="s">
        <v>81</v>
      </c>
      <c r="E468" s="27" t="s">
        <v>19</v>
      </c>
      <c r="F468" s="27" t="s">
        <v>659</v>
      </c>
      <c r="G468" s="43"/>
      <c r="H468" s="43"/>
      <c r="I468" s="43"/>
      <c r="J468" s="43"/>
      <c r="K468" s="27"/>
      <c r="L468" s="28"/>
      <c r="M468" s="27"/>
      <c r="N468" s="27"/>
      <c r="O468" s="18">
        <f>SUM(O469:O476)</f>
        <v>1079649431.4450934</v>
      </c>
      <c r="P468" s="213">
        <v>44654643</v>
      </c>
      <c r="Q468" s="213">
        <v>44137187</v>
      </c>
      <c r="R468" s="27" t="s">
        <v>619</v>
      </c>
      <c r="S468" s="27"/>
      <c r="T468" s="18"/>
      <c r="U468" s="29" t="s">
        <v>1061</v>
      </c>
      <c r="V468" s="27" t="s">
        <v>1045</v>
      </c>
      <c r="W468" s="30">
        <v>0.91</v>
      </c>
      <c r="X468" s="27">
        <v>9</v>
      </c>
      <c r="Y468" s="27" t="s">
        <v>1062</v>
      </c>
      <c r="Z468" s="27">
        <v>9</v>
      </c>
      <c r="AA468" s="27">
        <v>18</v>
      </c>
      <c r="AB468" s="27" t="s">
        <v>3672</v>
      </c>
      <c r="AC468" s="273">
        <v>44654643</v>
      </c>
      <c r="AD468" s="27">
        <v>10731883141.445677</v>
      </c>
      <c r="AE468" s="228">
        <v>4.1609326537993437E-3</v>
      </c>
      <c r="AF468" s="27">
        <v>1440540674.0762532</v>
      </c>
      <c r="AG468" s="226">
        <v>3.0998529790652939E-2</v>
      </c>
      <c r="AH468" s="226">
        <v>6.0211058751840671E-2</v>
      </c>
      <c r="AI468" s="27">
        <v>1150690000</v>
      </c>
      <c r="AJ468" s="226">
        <v>3.8806840243679877E-2</v>
      </c>
      <c r="AK468" s="27">
        <v>499777832.44920212</v>
      </c>
      <c r="AL468" s="226">
        <v>8.934898689116777E-2</v>
      </c>
      <c r="AM468" s="27">
        <v>796528952.26461136</v>
      </c>
      <c r="AN468" s="271">
        <v>5.6061544119698839E-2</v>
      </c>
      <c r="AO468" s="27">
        <v>21384034</v>
      </c>
      <c r="AP468" s="27" t="s">
        <v>2842</v>
      </c>
      <c r="AQ468" s="27">
        <v>58.704536585365858</v>
      </c>
      <c r="AR468" s="27">
        <v>57.9</v>
      </c>
      <c r="AS468" s="29">
        <v>67.437200000000004</v>
      </c>
      <c r="AT468" s="270">
        <v>48</v>
      </c>
      <c r="AU468" s="464">
        <v>62.7239016156134</v>
      </c>
      <c r="AV468" s="29">
        <v>0.23989395967392299</v>
      </c>
      <c r="AW468" s="29">
        <v>0.17959163187848701</v>
      </c>
      <c r="AX468" s="29">
        <v>-0.155174502719477</v>
      </c>
      <c r="AY468" s="29">
        <v>-0.10778984291930301</v>
      </c>
      <c r="AZ468" s="60">
        <v>-0.36275648264418903</v>
      </c>
    </row>
    <row r="469" spans="1:52" s="29" customFormat="1" ht="15" customHeight="1">
      <c r="A469" s="63" t="s">
        <v>192</v>
      </c>
      <c r="B469" s="27">
        <v>2005</v>
      </c>
      <c r="C469" s="27" t="s">
        <v>189</v>
      </c>
      <c r="D469" s="27" t="s">
        <v>81</v>
      </c>
      <c r="E469" s="27" t="s">
        <v>19</v>
      </c>
      <c r="F469" s="27" t="s">
        <v>1049</v>
      </c>
      <c r="G469" s="43">
        <v>727</v>
      </c>
      <c r="H469" s="43"/>
      <c r="I469" s="43"/>
      <c r="J469" s="43"/>
      <c r="K469" s="27" t="s">
        <v>567</v>
      </c>
      <c r="L469" s="28">
        <v>25.87</v>
      </c>
      <c r="M469" s="27" t="s">
        <v>568</v>
      </c>
      <c r="N469" s="27" t="s">
        <v>1050</v>
      </c>
      <c r="O469" s="18"/>
      <c r="P469" s="213">
        <v>431213</v>
      </c>
      <c r="Q469" s="213">
        <v>431341</v>
      </c>
      <c r="R469" s="27"/>
      <c r="S469" s="27"/>
      <c r="T469" s="18"/>
      <c r="U469" s="27"/>
      <c r="V469" s="27"/>
      <c r="W469" s="30"/>
      <c r="X469" s="27">
        <v>1</v>
      </c>
      <c r="Y469" s="27" t="s">
        <v>1051</v>
      </c>
      <c r="Z469" s="27">
        <v>1</v>
      </c>
      <c r="AA469" s="54" t="s">
        <v>1063</v>
      </c>
      <c r="AB469" s="27"/>
      <c r="AC469" s="273">
        <v>44654643</v>
      </c>
      <c r="AD469" s="27">
        <v>10731883141.445677</v>
      </c>
      <c r="AE469" s="228">
        <v>4.1609326537993437E-3</v>
      </c>
      <c r="AF469" s="27">
        <v>1440540674.0762532</v>
      </c>
      <c r="AG469" s="226">
        <v>3.0998529790652939E-2</v>
      </c>
      <c r="AH469" s="226">
        <v>6.0211058751840671E-2</v>
      </c>
      <c r="AI469" s="27">
        <v>1150690000</v>
      </c>
      <c r="AJ469" s="226">
        <v>3.8806840243679877E-2</v>
      </c>
      <c r="AK469" s="27">
        <v>499777832.44920212</v>
      </c>
      <c r="AL469" s="226">
        <v>8.934898689116777E-2</v>
      </c>
      <c r="AM469" s="27">
        <v>796528952.26461136</v>
      </c>
      <c r="AN469" s="271">
        <v>5.6061544119698839E-2</v>
      </c>
      <c r="AO469" s="27">
        <v>21384034</v>
      </c>
      <c r="AP469" s="27" t="s">
        <v>2842</v>
      </c>
      <c r="AQ469" s="27">
        <v>58.704536585365858</v>
      </c>
      <c r="AR469" s="27">
        <v>57.9</v>
      </c>
      <c r="AS469" s="29">
        <v>67.437200000000004</v>
      </c>
      <c r="AT469" s="270">
        <v>48</v>
      </c>
      <c r="AU469" s="464">
        <v>62.7239016156134</v>
      </c>
      <c r="AV469" s="29">
        <v>0.23989395967392299</v>
      </c>
      <c r="AW469" s="29">
        <v>0.17959163187848701</v>
      </c>
      <c r="AX469" s="29">
        <v>-0.155174502719477</v>
      </c>
      <c r="AY469" s="29">
        <v>-0.10778984291930301</v>
      </c>
      <c r="AZ469" s="60">
        <v>-0.36275648264418903</v>
      </c>
    </row>
    <row r="470" spans="1:52" s="29" customFormat="1" ht="15" customHeight="1">
      <c r="A470" s="63" t="s">
        <v>192</v>
      </c>
      <c r="B470" s="27">
        <v>2005</v>
      </c>
      <c r="C470" s="27" t="s">
        <v>189</v>
      </c>
      <c r="D470" s="27" t="s">
        <v>81</v>
      </c>
      <c r="E470" s="27" t="s">
        <v>19</v>
      </c>
      <c r="F470" s="27" t="s">
        <v>904</v>
      </c>
      <c r="G470" s="43">
        <v>1013000</v>
      </c>
      <c r="H470" s="43"/>
      <c r="I470" s="43"/>
      <c r="J470" s="43"/>
      <c r="K470" s="27" t="s">
        <v>905</v>
      </c>
      <c r="L470" s="28">
        <v>33.42</v>
      </c>
      <c r="M470" s="27" t="s">
        <v>906</v>
      </c>
      <c r="N470" s="27" t="s">
        <v>1064</v>
      </c>
      <c r="O470" s="18">
        <f>G470*L470</f>
        <v>33854460</v>
      </c>
      <c r="P470" s="244"/>
      <c r="Q470" s="244"/>
      <c r="R470" s="27"/>
      <c r="S470" s="27"/>
      <c r="T470" s="18"/>
      <c r="U470" s="27"/>
      <c r="V470" s="27"/>
      <c r="W470" s="30"/>
      <c r="X470" s="27"/>
      <c r="Y470" s="27"/>
      <c r="Z470" s="27"/>
      <c r="AA470" s="27"/>
      <c r="AB470" s="27"/>
      <c r="AC470" s="273">
        <v>44654643</v>
      </c>
      <c r="AD470" s="27">
        <v>10731883141.445677</v>
      </c>
      <c r="AE470" s="228">
        <v>4.1609326537993437E-3</v>
      </c>
      <c r="AF470" s="27">
        <v>1440540674.0762532</v>
      </c>
      <c r="AG470" s="226">
        <v>3.0998529790652939E-2</v>
      </c>
      <c r="AH470" s="226">
        <v>6.0211058751840671E-2</v>
      </c>
      <c r="AI470" s="27">
        <v>1150690000</v>
      </c>
      <c r="AJ470" s="226">
        <v>3.8806840243679877E-2</v>
      </c>
      <c r="AK470" s="27">
        <v>499777832.44920212</v>
      </c>
      <c r="AL470" s="226">
        <v>8.934898689116777E-2</v>
      </c>
      <c r="AM470" s="27">
        <v>796528952.26461136</v>
      </c>
      <c r="AN470" s="271">
        <v>5.6061544119698839E-2</v>
      </c>
      <c r="AO470" s="27">
        <v>21384034</v>
      </c>
      <c r="AP470" s="27" t="s">
        <v>2842</v>
      </c>
      <c r="AQ470" s="27">
        <v>58.704536585365858</v>
      </c>
      <c r="AR470" s="27">
        <v>57.9</v>
      </c>
      <c r="AS470" s="29">
        <v>67.437200000000004</v>
      </c>
      <c r="AT470" s="270">
        <v>48</v>
      </c>
      <c r="AU470" s="464">
        <v>62.7239016156134</v>
      </c>
      <c r="AV470" s="29">
        <v>0.23989395967392299</v>
      </c>
      <c r="AW470" s="29">
        <v>0.17959163187848701</v>
      </c>
      <c r="AX470" s="29">
        <v>-0.155174502719477</v>
      </c>
      <c r="AY470" s="29">
        <v>-0.10778984291930301</v>
      </c>
      <c r="AZ470" s="60">
        <v>-0.36275648264418903</v>
      </c>
    </row>
    <row r="471" spans="1:52" s="29" customFormat="1" ht="15" customHeight="1">
      <c r="A471" s="63" t="s">
        <v>192</v>
      </c>
      <c r="B471" s="27">
        <v>2005</v>
      </c>
      <c r="C471" s="27" t="s">
        <v>189</v>
      </c>
      <c r="D471" s="27" t="s">
        <v>81</v>
      </c>
      <c r="E471" s="27" t="s">
        <v>19</v>
      </c>
      <c r="F471" s="27" t="s">
        <v>730</v>
      </c>
      <c r="G471" s="43">
        <f>66852*32.150743126506</f>
        <v>2149341.4794931794</v>
      </c>
      <c r="H471" s="43"/>
      <c r="I471" s="43"/>
      <c r="J471" s="43"/>
      <c r="K471" s="27" t="s">
        <v>731</v>
      </c>
      <c r="L471" s="28">
        <f>444.84258333333*1.0929</f>
        <v>486.16845932499638</v>
      </c>
      <c r="M471" s="27" t="s">
        <v>732</v>
      </c>
      <c r="N471" s="27" t="s">
        <v>1053</v>
      </c>
      <c r="O471" s="18">
        <f>G471*L471</f>
        <v>1044942035.6485074</v>
      </c>
      <c r="P471" s="213">
        <v>42823299</v>
      </c>
      <c r="Q471" s="213">
        <v>42305715</v>
      </c>
      <c r="R471" s="27"/>
      <c r="S471" s="27"/>
      <c r="T471" s="18"/>
      <c r="U471" s="27"/>
      <c r="V471" s="27"/>
      <c r="W471" s="30"/>
      <c r="X471" s="27">
        <v>7</v>
      </c>
      <c r="Y471" s="27" t="s">
        <v>1065</v>
      </c>
      <c r="Z471" s="27">
        <v>7</v>
      </c>
      <c r="AA471" s="54" t="s">
        <v>1063</v>
      </c>
      <c r="AB471" s="27"/>
      <c r="AC471" s="273">
        <v>44654643</v>
      </c>
      <c r="AD471" s="27">
        <v>10731883141.445677</v>
      </c>
      <c r="AE471" s="228">
        <v>4.1609326537993437E-3</v>
      </c>
      <c r="AF471" s="27">
        <v>1440540674.0762532</v>
      </c>
      <c r="AG471" s="226">
        <v>3.0998529790652939E-2</v>
      </c>
      <c r="AH471" s="226">
        <v>6.0211058751840671E-2</v>
      </c>
      <c r="AI471" s="27">
        <v>1150690000</v>
      </c>
      <c r="AJ471" s="226">
        <v>3.8806840243679877E-2</v>
      </c>
      <c r="AK471" s="27">
        <v>499777832.44920212</v>
      </c>
      <c r="AL471" s="226">
        <v>8.934898689116777E-2</v>
      </c>
      <c r="AM471" s="27">
        <v>796528952.26461136</v>
      </c>
      <c r="AN471" s="271">
        <v>5.6061544119698839E-2</v>
      </c>
      <c r="AO471" s="27">
        <v>21384034</v>
      </c>
      <c r="AP471" s="27" t="s">
        <v>2842</v>
      </c>
      <c r="AQ471" s="27">
        <v>58.704536585365858</v>
      </c>
      <c r="AR471" s="27">
        <v>57.9</v>
      </c>
      <c r="AS471" s="29">
        <v>67.437200000000004</v>
      </c>
      <c r="AT471" s="270">
        <v>48</v>
      </c>
      <c r="AU471" s="464">
        <v>62.7239016156134</v>
      </c>
      <c r="AV471" s="29">
        <v>0.23989395967392299</v>
      </c>
      <c r="AW471" s="29">
        <v>0.17959163187848701</v>
      </c>
      <c r="AX471" s="29">
        <v>-0.155174502719477</v>
      </c>
      <c r="AY471" s="29">
        <v>-0.10778984291930301</v>
      </c>
      <c r="AZ471" s="60">
        <v>-0.36275648264418903</v>
      </c>
    </row>
    <row r="472" spans="1:52" s="29" customFormat="1" ht="15" customHeight="1">
      <c r="A472" s="63" t="s">
        <v>192</v>
      </c>
      <c r="B472" s="27">
        <v>2005</v>
      </c>
      <c r="C472" s="27" t="s">
        <v>189</v>
      </c>
      <c r="D472" s="27" t="s">
        <v>81</v>
      </c>
      <c r="E472" s="27" t="s">
        <v>19</v>
      </c>
      <c r="F472" s="27" t="s">
        <v>784</v>
      </c>
      <c r="G472" s="43"/>
      <c r="H472" s="43"/>
      <c r="I472" s="43"/>
      <c r="J472" s="43"/>
      <c r="K472" s="27"/>
      <c r="L472" s="28">
        <v>4.3899999999999997</v>
      </c>
      <c r="M472" s="27" t="s">
        <v>568</v>
      </c>
      <c r="N472" s="27" t="s">
        <v>1055</v>
      </c>
      <c r="O472" s="18"/>
      <c r="P472" s="213">
        <v>1400131</v>
      </c>
      <c r="Q472" s="213">
        <v>1400131</v>
      </c>
      <c r="R472" s="27"/>
      <c r="S472" s="27"/>
      <c r="T472" s="18"/>
      <c r="U472" s="27"/>
      <c r="V472" s="27"/>
      <c r="W472" s="30"/>
      <c r="X472" s="27">
        <v>1</v>
      </c>
      <c r="Y472" s="27" t="s">
        <v>1056</v>
      </c>
      <c r="Z472" s="27">
        <v>1</v>
      </c>
      <c r="AA472" s="54" t="s">
        <v>1063</v>
      </c>
      <c r="AB472" s="27"/>
      <c r="AC472" s="273">
        <v>44654643</v>
      </c>
      <c r="AD472" s="27">
        <v>10731883141.445677</v>
      </c>
      <c r="AE472" s="228">
        <v>4.1609326537993437E-3</v>
      </c>
      <c r="AF472" s="27">
        <v>1440540674.0762532</v>
      </c>
      <c r="AG472" s="226">
        <v>3.0998529790652939E-2</v>
      </c>
      <c r="AH472" s="226">
        <v>6.0211058751840671E-2</v>
      </c>
      <c r="AI472" s="27">
        <v>1150690000</v>
      </c>
      <c r="AJ472" s="226">
        <v>3.8806840243679877E-2</v>
      </c>
      <c r="AK472" s="27">
        <v>499777832.44920212</v>
      </c>
      <c r="AL472" s="226">
        <v>8.934898689116777E-2</v>
      </c>
      <c r="AM472" s="27">
        <v>796528952.26461136</v>
      </c>
      <c r="AN472" s="271">
        <v>5.6061544119698839E-2</v>
      </c>
      <c r="AO472" s="27">
        <v>21384034</v>
      </c>
      <c r="AP472" s="27" t="s">
        <v>2842</v>
      </c>
      <c r="AQ472" s="27">
        <v>58.704536585365858</v>
      </c>
      <c r="AR472" s="27">
        <v>57.9</v>
      </c>
      <c r="AS472" s="29">
        <v>67.437200000000004</v>
      </c>
      <c r="AT472" s="270">
        <v>48</v>
      </c>
      <c r="AU472" s="464">
        <v>62.7239016156134</v>
      </c>
      <c r="AV472" s="29">
        <v>0.23989395967392299</v>
      </c>
      <c r="AW472" s="29">
        <v>0.17959163187848701</v>
      </c>
      <c r="AX472" s="29">
        <v>-0.155174502719477</v>
      </c>
      <c r="AY472" s="29">
        <v>-0.10778984291930301</v>
      </c>
      <c r="AZ472" s="60">
        <v>-0.36275648264418903</v>
      </c>
    </row>
    <row r="473" spans="1:52" s="29" customFormat="1" ht="15" customHeight="1">
      <c r="A473" s="63" t="s">
        <v>192</v>
      </c>
      <c r="B473" s="27">
        <v>2005</v>
      </c>
      <c r="C473" s="27" t="s">
        <v>189</v>
      </c>
      <c r="D473" s="27" t="s">
        <v>81</v>
      </c>
      <c r="E473" s="27" t="s">
        <v>19</v>
      </c>
      <c r="F473" s="27" t="s">
        <v>787</v>
      </c>
      <c r="G473" s="43">
        <v>1715</v>
      </c>
      <c r="H473" s="43"/>
      <c r="I473" s="43"/>
      <c r="J473" s="43"/>
      <c r="K473" s="27" t="s">
        <v>567</v>
      </c>
      <c r="L473" s="28"/>
      <c r="M473" s="27"/>
      <c r="N473" s="27" t="s">
        <v>1057</v>
      </c>
      <c r="O473" s="18"/>
      <c r="P473" s="244"/>
      <c r="Q473" s="244"/>
      <c r="R473" s="27"/>
      <c r="S473" s="27"/>
      <c r="T473" s="18"/>
      <c r="U473" s="27"/>
      <c r="V473" s="27"/>
      <c r="W473" s="30"/>
      <c r="X473" s="27"/>
      <c r="Y473" s="27"/>
      <c r="Z473" s="27"/>
      <c r="AA473" s="27"/>
      <c r="AB473" s="27"/>
      <c r="AC473" s="273">
        <v>44654643</v>
      </c>
      <c r="AD473" s="27">
        <v>10731883141.445677</v>
      </c>
      <c r="AE473" s="228">
        <v>4.1609326537993437E-3</v>
      </c>
      <c r="AF473" s="27">
        <v>1440540674.0762532</v>
      </c>
      <c r="AG473" s="226">
        <v>3.0998529790652939E-2</v>
      </c>
      <c r="AH473" s="226">
        <v>6.0211058751840671E-2</v>
      </c>
      <c r="AI473" s="27">
        <v>1150690000</v>
      </c>
      <c r="AJ473" s="226">
        <v>3.8806840243679877E-2</v>
      </c>
      <c r="AK473" s="27">
        <v>499777832.44920212</v>
      </c>
      <c r="AL473" s="226">
        <v>8.934898689116777E-2</v>
      </c>
      <c r="AM473" s="27">
        <v>796528952.26461136</v>
      </c>
      <c r="AN473" s="271">
        <v>5.6061544119698839E-2</v>
      </c>
      <c r="AO473" s="27">
        <v>21384034</v>
      </c>
      <c r="AP473" s="27" t="s">
        <v>2842</v>
      </c>
      <c r="AQ473" s="27">
        <v>58.704536585365858</v>
      </c>
      <c r="AR473" s="27">
        <v>57.9</v>
      </c>
      <c r="AS473" s="29">
        <v>67.437200000000004</v>
      </c>
      <c r="AT473" s="270">
        <v>48</v>
      </c>
      <c r="AU473" s="464">
        <v>62.7239016156134</v>
      </c>
      <c r="AV473" s="29">
        <v>0.23989395967392299</v>
      </c>
      <c r="AW473" s="29">
        <v>0.17959163187848701</v>
      </c>
      <c r="AX473" s="29">
        <v>-0.155174502719477</v>
      </c>
      <c r="AY473" s="29">
        <v>-0.10778984291930301</v>
      </c>
      <c r="AZ473" s="60">
        <v>-0.36275648264418903</v>
      </c>
    </row>
    <row r="474" spans="1:52" s="29" customFormat="1" ht="15" customHeight="1">
      <c r="A474" s="63" t="s">
        <v>192</v>
      </c>
      <c r="B474" s="27">
        <v>2005</v>
      </c>
      <c r="C474" s="27" t="s">
        <v>189</v>
      </c>
      <c r="D474" s="27" t="s">
        <v>81</v>
      </c>
      <c r="E474" s="27" t="s">
        <v>19</v>
      </c>
      <c r="F474" s="27" t="s">
        <v>789</v>
      </c>
      <c r="G474" s="43">
        <v>600</v>
      </c>
      <c r="H474" s="43"/>
      <c r="I474" s="43"/>
      <c r="J474" s="43"/>
      <c r="K474" s="27" t="s">
        <v>567</v>
      </c>
      <c r="L474" s="28"/>
      <c r="M474" s="27"/>
      <c r="N474" s="27" t="s">
        <v>1057</v>
      </c>
      <c r="O474" s="18"/>
      <c r="P474" s="244"/>
      <c r="Q474" s="244"/>
      <c r="R474" s="27"/>
      <c r="S474" s="27"/>
      <c r="T474" s="18"/>
      <c r="U474" s="27"/>
      <c r="V474" s="27"/>
      <c r="W474" s="30"/>
      <c r="X474" s="27"/>
      <c r="Y474" s="27"/>
      <c r="Z474" s="27"/>
      <c r="AA474" s="27"/>
      <c r="AB474" s="27"/>
      <c r="AC474" s="273">
        <v>44654643</v>
      </c>
      <c r="AD474" s="27">
        <v>10731883141.445677</v>
      </c>
      <c r="AE474" s="228">
        <v>4.1609326537993437E-3</v>
      </c>
      <c r="AF474" s="27">
        <v>1440540674.0762532</v>
      </c>
      <c r="AG474" s="226">
        <v>3.0998529790652939E-2</v>
      </c>
      <c r="AH474" s="226">
        <v>6.0211058751840671E-2</v>
      </c>
      <c r="AI474" s="27">
        <v>1150690000</v>
      </c>
      <c r="AJ474" s="226">
        <v>3.8806840243679877E-2</v>
      </c>
      <c r="AK474" s="27">
        <v>499777832.44920212</v>
      </c>
      <c r="AL474" s="226">
        <v>8.934898689116777E-2</v>
      </c>
      <c r="AM474" s="27">
        <v>796528952.26461136</v>
      </c>
      <c r="AN474" s="271">
        <v>5.6061544119698839E-2</v>
      </c>
      <c r="AO474" s="27">
        <v>21384034</v>
      </c>
      <c r="AP474" s="27" t="s">
        <v>2842</v>
      </c>
      <c r="AQ474" s="27">
        <v>58.704536585365858</v>
      </c>
      <c r="AR474" s="27">
        <v>57.9</v>
      </c>
      <c r="AS474" s="29">
        <v>67.437200000000004</v>
      </c>
      <c r="AT474" s="270">
        <v>48</v>
      </c>
      <c r="AU474" s="464">
        <v>62.7239016156134</v>
      </c>
      <c r="AV474" s="29">
        <v>0.23989395967392299</v>
      </c>
      <c r="AW474" s="29">
        <v>0.17959163187848701</v>
      </c>
      <c r="AX474" s="29">
        <v>-0.155174502719477</v>
      </c>
      <c r="AY474" s="29">
        <v>-0.10778984291930301</v>
      </c>
      <c r="AZ474" s="60">
        <v>-0.36275648264418903</v>
      </c>
    </row>
    <row r="475" spans="1:52" s="29" customFormat="1" ht="15" customHeight="1">
      <c r="A475" s="63" t="s">
        <v>192</v>
      </c>
      <c r="B475" s="27">
        <v>2005</v>
      </c>
      <c r="C475" s="27" t="s">
        <v>189</v>
      </c>
      <c r="D475" s="27" t="s">
        <v>81</v>
      </c>
      <c r="E475" s="27" t="s">
        <v>19</v>
      </c>
      <c r="F475" s="27" t="s">
        <v>1058</v>
      </c>
      <c r="G475" s="43">
        <v>250</v>
      </c>
      <c r="H475" s="43"/>
      <c r="I475" s="43"/>
      <c r="J475" s="43"/>
      <c r="K475" s="27" t="s">
        <v>567</v>
      </c>
      <c r="L475" s="28">
        <v>55.44</v>
      </c>
      <c r="M475" s="27" t="s">
        <v>568</v>
      </c>
      <c r="N475" s="27" t="s">
        <v>1059</v>
      </c>
      <c r="O475" s="18">
        <f>G475*L475</f>
        <v>13860</v>
      </c>
      <c r="P475" s="244"/>
      <c r="Q475" s="244"/>
      <c r="R475" s="27"/>
      <c r="S475" s="27"/>
      <c r="T475" s="18"/>
      <c r="U475" s="27"/>
      <c r="V475" s="27"/>
      <c r="W475" s="30"/>
      <c r="X475" s="27"/>
      <c r="Y475" s="27"/>
      <c r="Z475" s="27"/>
      <c r="AA475" s="27"/>
      <c r="AB475" s="27"/>
      <c r="AC475" s="273">
        <v>44654643</v>
      </c>
      <c r="AD475" s="27">
        <v>10731883141.445677</v>
      </c>
      <c r="AE475" s="228">
        <v>4.1609326537993437E-3</v>
      </c>
      <c r="AF475" s="27">
        <v>1440540674.0762532</v>
      </c>
      <c r="AG475" s="226">
        <v>3.0998529790652939E-2</v>
      </c>
      <c r="AH475" s="226">
        <v>6.0211058751840671E-2</v>
      </c>
      <c r="AI475" s="27">
        <v>1150690000</v>
      </c>
      <c r="AJ475" s="226">
        <v>3.8806840243679877E-2</v>
      </c>
      <c r="AK475" s="27">
        <v>499777832.44920212</v>
      </c>
      <c r="AL475" s="226">
        <v>8.934898689116777E-2</v>
      </c>
      <c r="AM475" s="27">
        <v>796528952.26461136</v>
      </c>
      <c r="AN475" s="271">
        <v>5.6061544119698839E-2</v>
      </c>
      <c r="AO475" s="27">
        <v>21384034</v>
      </c>
      <c r="AP475" s="27" t="s">
        <v>2842</v>
      </c>
      <c r="AQ475" s="27">
        <v>58.704536585365858</v>
      </c>
      <c r="AR475" s="27">
        <v>57.9</v>
      </c>
      <c r="AS475" s="29">
        <v>67.437200000000004</v>
      </c>
      <c r="AT475" s="270">
        <v>48</v>
      </c>
      <c r="AU475" s="464">
        <v>62.7239016156134</v>
      </c>
      <c r="AV475" s="29">
        <v>0.23989395967392299</v>
      </c>
      <c r="AW475" s="29">
        <v>0.17959163187848701</v>
      </c>
      <c r="AX475" s="29">
        <v>-0.155174502719477</v>
      </c>
      <c r="AY475" s="29">
        <v>-0.10778984291930301</v>
      </c>
      <c r="AZ475" s="60">
        <v>-0.36275648264418903</v>
      </c>
    </row>
    <row r="476" spans="1:52" s="287" customFormat="1" ht="15" customHeight="1">
      <c r="A476" s="359" t="s">
        <v>192</v>
      </c>
      <c r="B476" s="284">
        <v>2005</v>
      </c>
      <c r="C476" s="284" t="s">
        <v>189</v>
      </c>
      <c r="D476" s="284" t="s">
        <v>81</v>
      </c>
      <c r="E476" s="284" t="s">
        <v>19</v>
      </c>
      <c r="F476" s="284" t="s">
        <v>735</v>
      </c>
      <c r="G476" s="303">
        <f>3571*32.150743126506</f>
        <v>114810.30370475292</v>
      </c>
      <c r="H476" s="303"/>
      <c r="I476" s="303"/>
      <c r="J476" s="303"/>
      <c r="K476" s="284" t="s">
        <v>731</v>
      </c>
      <c r="L476" s="304">
        <f>7.30836666667/1</f>
        <v>7.3083666666699996</v>
      </c>
      <c r="M476" s="284" t="s">
        <v>732</v>
      </c>
      <c r="N476" s="284" t="s">
        <v>1060</v>
      </c>
      <c r="O476" s="305">
        <f>G476*L476</f>
        <v>839075.79658607545</v>
      </c>
      <c r="P476" s="374"/>
      <c r="Q476" s="374"/>
      <c r="R476" s="284"/>
      <c r="S476" s="284"/>
      <c r="T476" s="305"/>
      <c r="U476" s="284"/>
      <c r="V476" s="284"/>
      <c r="W476" s="307"/>
      <c r="X476" s="284"/>
      <c r="Y476" s="284"/>
      <c r="Z476" s="284"/>
      <c r="AA476" s="284"/>
      <c r="AB476" s="284"/>
      <c r="AC476" s="308">
        <v>44654643</v>
      </c>
      <c r="AD476" s="284">
        <v>10731883141.445677</v>
      </c>
      <c r="AE476" s="309">
        <v>4.1609326537993437E-3</v>
      </c>
      <c r="AF476" s="284">
        <v>1440540674.0762532</v>
      </c>
      <c r="AG476" s="310">
        <v>3.0998529790652939E-2</v>
      </c>
      <c r="AH476" s="310">
        <v>6.0211058751840671E-2</v>
      </c>
      <c r="AI476" s="284">
        <v>1150690000</v>
      </c>
      <c r="AJ476" s="310">
        <v>3.8806840243679877E-2</v>
      </c>
      <c r="AK476" s="284">
        <v>499777832.44920212</v>
      </c>
      <c r="AL476" s="310">
        <v>8.934898689116777E-2</v>
      </c>
      <c r="AM476" s="284">
        <v>796528952.26461136</v>
      </c>
      <c r="AN476" s="311">
        <v>5.6061544119698839E-2</v>
      </c>
      <c r="AO476" s="284">
        <v>21384034</v>
      </c>
      <c r="AP476" s="284" t="s">
        <v>2842</v>
      </c>
      <c r="AQ476" s="284">
        <v>58.704536585365858</v>
      </c>
      <c r="AR476" s="284">
        <v>57.9</v>
      </c>
      <c r="AS476" s="287">
        <v>67.437200000000004</v>
      </c>
      <c r="AT476" s="312">
        <v>48</v>
      </c>
      <c r="AU476" s="465">
        <v>62.7239016156134</v>
      </c>
      <c r="AV476" s="287">
        <v>0.23989395967392299</v>
      </c>
      <c r="AW476" s="287">
        <v>0.17959163187848701</v>
      </c>
      <c r="AX476" s="287">
        <v>-0.155174502719477</v>
      </c>
      <c r="AY476" s="287">
        <v>-0.10778984291930301</v>
      </c>
      <c r="AZ476" s="313">
        <v>-0.36275648264418903</v>
      </c>
    </row>
    <row r="477" spans="1:52" ht="15" customHeight="1">
      <c r="A477" s="63" t="s">
        <v>195</v>
      </c>
      <c r="B477" s="27">
        <v>2006</v>
      </c>
      <c r="C477" s="27" t="s">
        <v>189</v>
      </c>
      <c r="D477" s="27" t="s">
        <v>81</v>
      </c>
      <c r="E477" s="27" t="s">
        <v>19</v>
      </c>
      <c r="F477" s="27" t="s">
        <v>659</v>
      </c>
      <c r="G477" s="43"/>
      <c r="H477" s="43"/>
      <c r="I477" s="43"/>
      <c r="J477" s="43"/>
      <c r="K477" s="27"/>
      <c r="L477" s="28"/>
      <c r="M477" s="27"/>
      <c r="N477" s="27"/>
      <c r="O477" s="18">
        <f>SUM(O478:O485)</f>
        <v>1514652632.5949056</v>
      </c>
      <c r="P477" s="213">
        <v>66220560</v>
      </c>
      <c r="Q477" s="213">
        <v>66776712</v>
      </c>
      <c r="R477" s="27" t="s">
        <v>619</v>
      </c>
      <c r="S477" s="27"/>
      <c r="T477" s="18"/>
      <c r="U477" s="29" t="s">
        <v>1061</v>
      </c>
      <c r="V477" s="27" t="s">
        <v>1045</v>
      </c>
      <c r="W477" s="30">
        <v>0.92</v>
      </c>
      <c r="X477" s="27">
        <v>11</v>
      </c>
      <c r="Y477" s="27" t="s">
        <v>1066</v>
      </c>
      <c r="Z477" s="27">
        <v>11</v>
      </c>
      <c r="AA477" s="27">
        <v>23</v>
      </c>
      <c r="AB477" s="27" t="s">
        <v>3673</v>
      </c>
      <c r="AC477" s="273">
        <v>66220560</v>
      </c>
      <c r="AD477" s="27">
        <v>20410331625.663353</v>
      </c>
      <c r="AE477" s="228">
        <v>3.2444627169475387E-3</v>
      </c>
      <c r="AF477" s="27">
        <v>3653041154.361227</v>
      </c>
      <c r="AG477" s="226">
        <v>1.8127515459534803E-2</v>
      </c>
      <c r="AH477" s="226">
        <v>2.7710160143612477E-2</v>
      </c>
      <c r="AI477" s="27">
        <v>1243240000</v>
      </c>
      <c r="AJ477" s="226">
        <v>5.3264502429136773E-2</v>
      </c>
      <c r="AK477" s="27">
        <v>625449657.26957333</v>
      </c>
      <c r="AL477" s="226">
        <v>0.10587672281904931</v>
      </c>
      <c r="AM477" s="27">
        <v>1073575279.3772422</v>
      </c>
      <c r="AN477" s="271">
        <v>6.1682269769114943E-2</v>
      </c>
      <c r="AO477" s="27">
        <v>21947779</v>
      </c>
      <c r="AP477" s="27">
        <v>31.9</v>
      </c>
      <c r="AQ477" s="27">
        <v>59.186707317073179</v>
      </c>
      <c r="AR477" s="27">
        <v>57.2</v>
      </c>
      <c r="AS477" s="29">
        <v>67.017709999999994</v>
      </c>
      <c r="AT477" s="270">
        <v>48</v>
      </c>
      <c r="AU477" s="464">
        <v>62.7239016156134</v>
      </c>
      <c r="AV477" s="29">
        <v>0.36521092735796301</v>
      </c>
      <c r="AW477" s="29">
        <v>1.6425267880939801E-2</v>
      </c>
      <c r="AX477" s="29">
        <v>0.105214744277195</v>
      </c>
      <c r="AY477" s="29">
        <v>-7.7542191410285094E-2</v>
      </c>
      <c r="AZ477" s="60">
        <v>-1.9105712134025201E-2</v>
      </c>
    </row>
    <row r="478" spans="1:52" ht="15" customHeight="1">
      <c r="A478" s="63" t="s">
        <v>195</v>
      </c>
      <c r="B478" s="27">
        <v>2006</v>
      </c>
      <c r="C478" s="27" t="s">
        <v>189</v>
      </c>
      <c r="D478" s="27" t="s">
        <v>81</v>
      </c>
      <c r="E478" s="27" t="s">
        <v>19</v>
      </c>
      <c r="F478" s="27" t="s">
        <v>1049</v>
      </c>
      <c r="G478" s="43">
        <v>886</v>
      </c>
      <c r="H478" s="43"/>
      <c r="I478" s="43"/>
      <c r="J478" s="43"/>
      <c r="K478" s="27" t="s">
        <v>567</v>
      </c>
      <c r="L478" s="28">
        <v>28.1</v>
      </c>
      <c r="M478" s="27" t="s">
        <v>568</v>
      </c>
      <c r="N478" s="27" t="s">
        <v>1067</v>
      </c>
      <c r="O478" s="18"/>
      <c r="P478" s="213">
        <v>673443</v>
      </c>
      <c r="Q478" s="213">
        <v>673950</v>
      </c>
      <c r="R478" s="27"/>
      <c r="S478" s="27"/>
      <c r="T478" s="18"/>
      <c r="U478" s="27"/>
      <c r="V478" s="27"/>
      <c r="W478" s="30"/>
      <c r="X478" s="27">
        <v>1</v>
      </c>
      <c r="Y478" s="27" t="s">
        <v>1051</v>
      </c>
      <c r="Z478" s="27">
        <v>1</v>
      </c>
      <c r="AA478" s="54" t="s">
        <v>1068</v>
      </c>
      <c r="AB478" s="27"/>
      <c r="AC478" s="273">
        <v>66220560</v>
      </c>
      <c r="AD478" s="27">
        <v>20410331625.663353</v>
      </c>
      <c r="AE478" s="228">
        <v>3.2444627169475387E-3</v>
      </c>
      <c r="AF478" s="27">
        <v>3653041154.361227</v>
      </c>
      <c r="AG478" s="226">
        <v>1.8127515459534803E-2</v>
      </c>
      <c r="AH478" s="226">
        <v>2.7710160143612477E-2</v>
      </c>
      <c r="AI478" s="27">
        <v>1243240000</v>
      </c>
      <c r="AJ478" s="226">
        <v>5.3264502429136773E-2</v>
      </c>
      <c r="AK478" s="27">
        <v>625449657.26957333</v>
      </c>
      <c r="AL478" s="226">
        <v>0.10587672281904931</v>
      </c>
      <c r="AM478" s="27">
        <v>1073575279.3772422</v>
      </c>
      <c r="AN478" s="271">
        <v>6.1682269769114943E-2</v>
      </c>
      <c r="AO478" s="27">
        <v>21947779</v>
      </c>
      <c r="AP478" s="27">
        <v>31.9</v>
      </c>
      <c r="AQ478" s="27">
        <v>59.186707317073179</v>
      </c>
      <c r="AR478" s="27">
        <v>57.2</v>
      </c>
      <c r="AS478" s="29">
        <v>67.017709999999994</v>
      </c>
      <c r="AT478" s="270">
        <v>48</v>
      </c>
      <c r="AU478" s="464">
        <v>62.7239016156134</v>
      </c>
      <c r="AV478" s="29">
        <v>0.36521092735796301</v>
      </c>
      <c r="AW478" s="29">
        <v>1.6425267880939801E-2</v>
      </c>
      <c r="AX478" s="29">
        <v>0.105214744277195</v>
      </c>
      <c r="AY478" s="29">
        <v>-7.7542191410285094E-2</v>
      </c>
      <c r="AZ478" s="60">
        <v>-1.9105712134025201E-2</v>
      </c>
    </row>
    <row r="479" spans="1:52" ht="15" customHeight="1">
      <c r="A479" s="63" t="s">
        <v>195</v>
      </c>
      <c r="B479" s="27">
        <v>2006</v>
      </c>
      <c r="C479" s="27" t="s">
        <v>189</v>
      </c>
      <c r="D479" s="27" t="s">
        <v>81</v>
      </c>
      <c r="E479" s="27" t="s">
        <v>19</v>
      </c>
      <c r="F479" s="27" t="s">
        <v>904</v>
      </c>
      <c r="G479" s="43">
        <v>973000</v>
      </c>
      <c r="H479" s="43"/>
      <c r="I479" s="43"/>
      <c r="J479" s="43"/>
      <c r="K479" s="27" t="s">
        <v>905</v>
      </c>
      <c r="L479" s="28">
        <v>31.78</v>
      </c>
      <c r="M479" s="27" t="s">
        <v>906</v>
      </c>
      <c r="N479" s="27" t="s">
        <v>1069</v>
      </c>
      <c r="O479" s="18">
        <f>G479*L479</f>
        <v>30921940</v>
      </c>
      <c r="P479" s="244"/>
      <c r="Q479" s="244"/>
      <c r="R479" s="27"/>
      <c r="S479" s="27"/>
      <c r="T479" s="18"/>
      <c r="U479" s="27"/>
      <c r="V479" s="27"/>
      <c r="W479" s="30"/>
      <c r="X479" s="27"/>
      <c r="Y479" s="27"/>
      <c r="Z479" s="27"/>
      <c r="AA479" s="27"/>
      <c r="AB479" s="27"/>
      <c r="AC479" s="273">
        <v>66220560</v>
      </c>
      <c r="AD479" s="27">
        <v>20410331625.663353</v>
      </c>
      <c r="AE479" s="228">
        <v>3.2444627169475387E-3</v>
      </c>
      <c r="AF479" s="27">
        <v>3653041154.361227</v>
      </c>
      <c r="AG479" s="226">
        <v>1.8127515459534803E-2</v>
      </c>
      <c r="AH479" s="226">
        <v>2.7710160143612477E-2</v>
      </c>
      <c r="AI479" s="27">
        <v>1243240000</v>
      </c>
      <c r="AJ479" s="226">
        <v>5.3264502429136773E-2</v>
      </c>
      <c r="AK479" s="27">
        <v>625449657.26957333</v>
      </c>
      <c r="AL479" s="226">
        <v>0.10587672281904931</v>
      </c>
      <c r="AM479" s="27">
        <v>1073575279.3772422</v>
      </c>
      <c r="AN479" s="271">
        <v>6.1682269769114943E-2</v>
      </c>
      <c r="AO479" s="27">
        <v>21947779</v>
      </c>
      <c r="AP479" s="27">
        <v>31.9</v>
      </c>
      <c r="AQ479" s="27">
        <v>59.186707317073179</v>
      </c>
      <c r="AR479" s="27">
        <v>57.2</v>
      </c>
      <c r="AS479" s="29">
        <v>67.017709999999994</v>
      </c>
      <c r="AT479" s="270">
        <v>48</v>
      </c>
      <c r="AU479" s="464">
        <v>62.7239016156134</v>
      </c>
      <c r="AV479" s="29">
        <v>0.36521092735796301</v>
      </c>
      <c r="AW479" s="29">
        <v>1.6425267880939801E-2</v>
      </c>
      <c r="AX479" s="29">
        <v>0.105214744277195</v>
      </c>
      <c r="AY479" s="29">
        <v>-7.7542191410285094E-2</v>
      </c>
      <c r="AZ479" s="60">
        <v>-1.9105712134025201E-2</v>
      </c>
    </row>
    <row r="480" spans="1:52" ht="15" customHeight="1">
      <c r="A480" s="63" t="s">
        <v>195</v>
      </c>
      <c r="B480" s="27">
        <v>2006</v>
      </c>
      <c r="C480" s="27" t="s">
        <v>189</v>
      </c>
      <c r="D480" s="27" t="s">
        <v>81</v>
      </c>
      <c r="E480" s="27" t="s">
        <v>19</v>
      </c>
      <c r="F480" s="27" t="s">
        <v>730</v>
      </c>
      <c r="G480" s="43">
        <f>69817*32.150743126506</f>
        <v>2244668.4328632695</v>
      </c>
      <c r="H480" s="43"/>
      <c r="I480" s="43"/>
      <c r="J480" s="43"/>
      <c r="K480" s="27" t="s">
        <v>731</v>
      </c>
      <c r="L480" s="28">
        <f>604.33583333333*1.0929</f>
        <v>660.47863224999639</v>
      </c>
      <c r="M480" s="27" t="s">
        <v>732</v>
      </c>
      <c r="N480" s="27" t="s">
        <v>1053</v>
      </c>
      <c r="O480" s="18">
        <f>G480*L480</f>
        <v>1482555536.3922751</v>
      </c>
      <c r="P480" s="213">
        <v>64400769</v>
      </c>
      <c r="Q480" s="213">
        <v>64955465</v>
      </c>
      <c r="R480" s="27"/>
      <c r="S480" s="27"/>
      <c r="T480" s="18"/>
      <c r="U480" s="27"/>
      <c r="V480" s="27"/>
      <c r="W480" s="30"/>
      <c r="X480" s="27">
        <v>9</v>
      </c>
      <c r="Y480" s="27" t="s">
        <v>1070</v>
      </c>
      <c r="Z480" s="27">
        <v>9</v>
      </c>
      <c r="AA480" s="54" t="s">
        <v>1068</v>
      </c>
      <c r="AB480" s="27"/>
      <c r="AC480" s="273">
        <v>66220560</v>
      </c>
      <c r="AD480" s="27">
        <v>20410331625.663353</v>
      </c>
      <c r="AE480" s="228">
        <v>3.2444627169475387E-3</v>
      </c>
      <c r="AF480" s="27">
        <v>3653041154.361227</v>
      </c>
      <c r="AG480" s="226">
        <v>1.8127515459534803E-2</v>
      </c>
      <c r="AH480" s="226">
        <v>2.7710160143612477E-2</v>
      </c>
      <c r="AI480" s="27">
        <v>1243240000</v>
      </c>
      <c r="AJ480" s="226">
        <v>5.3264502429136773E-2</v>
      </c>
      <c r="AK480" s="27">
        <v>625449657.26957333</v>
      </c>
      <c r="AL480" s="226">
        <v>0.10587672281904931</v>
      </c>
      <c r="AM480" s="27">
        <v>1073575279.3772422</v>
      </c>
      <c r="AN480" s="271">
        <v>6.1682269769114943E-2</v>
      </c>
      <c r="AO480" s="27">
        <v>21947779</v>
      </c>
      <c r="AP480" s="27">
        <v>31.9</v>
      </c>
      <c r="AQ480" s="27">
        <v>59.186707317073179</v>
      </c>
      <c r="AR480" s="27">
        <v>57.2</v>
      </c>
      <c r="AS480" s="29">
        <v>67.017709999999994</v>
      </c>
      <c r="AT480" s="270">
        <v>48</v>
      </c>
      <c r="AU480" s="464">
        <v>62.7239016156134</v>
      </c>
      <c r="AV480" s="29">
        <v>0.36521092735796301</v>
      </c>
      <c r="AW480" s="29">
        <v>1.6425267880939801E-2</v>
      </c>
      <c r="AX480" s="29">
        <v>0.105214744277195</v>
      </c>
      <c r="AY480" s="29">
        <v>-7.7542191410285094E-2</v>
      </c>
      <c r="AZ480" s="60">
        <v>-1.9105712134025201E-2</v>
      </c>
    </row>
    <row r="481" spans="1:52" ht="15" customHeight="1">
      <c r="A481" s="63" t="s">
        <v>195</v>
      </c>
      <c r="B481" s="27">
        <v>2006</v>
      </c>
      <c r="C481" s="27" t="s">
        <v>189</v>
      </c>
      <c r="D481" s="27" t="s">
        <v>81</v>
      </c>
      <c r="E481" s="27" t="s">
        <v>19</v>
      </c>
      <c r="F481" s="27" t="s">
        <v>784</v>
      </c>
      <c r="G481" s="43"/>
      <c r="H481" s="43"/>
      <c r="I481" s="43"/>
      <c r="J481" s="43"/>
      <c r="K481" s="27"/>
      <c r="L481" s="28">
        <v>3.51</v>
      </c>
      <c r="M481" s="27" t="s">
        <v>568</v>
      </c>
      <c r="N481" s="27" t="s">
        <v>1055</v>
      </c>
      <c r="O481" s="18"/>
      <c r="P481" s="213">
        <v>1146348</v>
      </c>
      <c r="Q481" s="213">
        <v>1147297</v>
      </c>
      <c r="R481" s="27"/>
      <c r="S481" s="27"/>
      <c r="T481" s="18"/>
      <c r="U481" s="27"/>
      <c r="V481" s="27"/>
      <c r="W481" s="30"/>
      <c r="X481" s="27">
        <v>1</v>
      </c>
      <c r="Y481" s="27" t="s">
        <v>1056</v>
      </c>
      <c r="Z481" s="27">
        <v>1</v>
      </c>
      <c r="AA481" s="54" t="s">
        <v>1068</v>
      </c>
      <c r="AB481" s="27"/>
      <c r="AC481" s="273">
        <v>66220560</v>
      </c>
      <c r="AD481" s="27">
        <v>20410331625.663353</v>
      </c>
      <c r="AE481" s="228">
        <v>3.2444627169475387E-3</v>
      </c>
      <c r="AF481" s="27">
        <v>3653041154.361227</v>
      </c>
      <c r="AG481" s="226">
        <v>1.8127515459534803E-2</v>
      </c>
      <c r="AH481" s="226">
        <v>2.7710160143612477E-2</v>
      </c>
      <c r="AI481" s="27">
        <v>1243240000</v>
      </c>
      <c r="AJ481" s="226">
        <v>5.3264502429136773E-2</v>
      </c>
      <c r="AK481" s="27">
        <v>625449657.26957333</v>
      </c>
      <c r="AL481" s="226">
        <v>0.10587672281904931</v>
      </c>
      <c r="AM481" s="27">
        <v>1073575279.3772422</v>
      </c>
      <c r="AN481" s="271">
        <v>6.1682269769114943E-2</v>
      </c>
      <c r="AO481" s="27">
        <v>21947779</v>
      </c>
      <c r="AP481" s="27">
        <v>31.9</v>
      </c>
      <c r="AQ481" s="27">
        <v>59.186707317073179</v>
      </c>
      <c r="AR481" s="27">
        <v>57.2</v>
      </c>
      <c r="AS481" s="29">
        <v>67.017709999999994</v>
      </c>
      <c r="AT481" s="270">
        <v>48</v>
      </c>
      <c r="AU481" s="464">
        <v>62.7239016156134</v>
      </c>
      <c r="AV481" s="29">
        <v>0.36521092735796301</v>
      </c>
      <c r="AW481" s="29">
        <v>1.6425267880939801E-2</v>
      </c>
      <c r="AX481" s="29">
        <v>0.105214744277195</v>
      </c>
      <c r="AY481" s="29">
        <v>-7.7542191410285094E-2</v>
      </c>
      <c r="AZ481" s="60">
        <v>-1.9105712134025201E-2</v>
      </c>
    </row>
    <row r="482" spans="1:52" ht="15" customHeight="1">
      <c r="A482" s="63" t="s">
        <v>195</v>
      </c>
      <c r="B482" s="27">
        <v>2006</v>
      </c>
      <c r="C482" s="27" t="s">
        <v>189</v>
      </c>
      <c r="D482" s="27" t="s">
        <v>81</v>
      </c>
      <c r="E482" s="27" t="s">
        <v>19</v>
      </c>
      <c r="F482" s="27" t="s">
        <v>787</v>
      </c>
      <c r="G482" s="43">
        <v>1659</v>
      </c>
      <c r="H482" s="43"/>
      <c r="I482" s="43"/>
      <c r="J482" s="43"/>
      <c r="K482" s="27" t="s">
        <v>567</v>
      </c>
      <c r="L482" s="28"/>
      <c r="M482" s="27"/>
      <c r="N482" s="27" t="s">
        <v>1057</v>
      </c>
      <c r="O482" s="18"/>
      <c r="P482" s="244"/>
      <c r="Q482" s="244"/>
      <c r="R482" s="27"/>
      <c r="S482" s="27"/>
      <c r="T482" s="18"/>
      <c r="U482" s="27"/>
      <c r="V482" s="27"/>
      <c r="W482" s="30"/>
      <c r="X482" s="27"/>
      <c r="Y482" s="27"/>
      <c r="Z482" s="27"/>
      <c r="AA482" s="27"/>
      <c r="AB482" s="27"/>
      <c r="AC482" s="273">
        <v>66220560</v>
      </c>
      <c r="AD482" s="27">
        <v>20410331625.663353</v>
      </c>
      <c r="AE482" s="228">
        <v>3.2444627169475387E-3</v>
      </c>
      <c r="AF482" s="27">
        <v>3653041154.361227</v>
      </c>
      <c r="AG482" s="226">
        <v>1.8127515459534803E-2</v>
      </c>
      <c r="AH482" s="226">
        <v>2.7710160143612477E-2</v>
      </c>
      <c r="AI482" s="27">
        <v>1243240000</v>
      </c>
      <c r="AJ482" s="226">
        <v>5.3264502429136773E-2</v>
      </c>
      <c r="AK482" s="27">
        <v>625449657.26957333</v>
      </c>
      <c r="AL482" s="226">
        <v>0.10587672281904931</v>
      </c>
      <c r="AM482" s="27">
        <v>1073575279.3772422</v>
      </c>
      <c r="AN482" s="271">
        <v>6.1682269769114943E-2</v>
      </c>
      <c r="AO482" s="27">
        <v>21947779</v>
      </c>
      <c r="AP482" s="27">
        <v>31.9</v>
      </c>
      <c r="AQ482" s="27">
        <v>59.186707317073179</v>
      </c>
      <c r="AR482" s="27">
        <v>57.2</v>
      </c>
      <c r="AS482" s="29">
        <v>67.017709999999994</v>
      </c>
      <c r="AT482" s="270">
        <v>48</v>
      </c>
      <c r="AU482" s="464">
        <v>62.7239016156134</v>
      </c>
      <c r="AV482" s="29">
        <v>0.36521092735796301</v>
      </c>
      <c r="AW482" s="29">
        <v>1.6425267880939801E-2</v>
      </c>
      <c r="AX482" s="29">
        <v>0.105214744277195</v>
      </c>
      <c r="AY482" s="29">
        <v>-7.7542191410285094E-2</v>
      </c>
      <c r="AZ482" s="60">
        <v>-1.9105712134025201E-2</v>
      </c>
    </row>
    <row r="483" spans="1:52" ht="15" customHeight="1">
      <c r="A483" s="63" t="s">
        <v>195</v>
      </c>
      <c r="B483" s="27">
        <v>2006</v>
      </c>
      <c r="C483" s="27" t="s">
        <v>189</v>
      </c>
      <c r="D483" s="27" t="s">
        <v>81</v>
      </c>
      <c r="E483" s="27" t="s">
        <v>19</v>
      </c>
      <c r="F483" s="27" t="s">
        <v>789</v>
      </c>
      <c r="G483" s="43">
        <v>580</v>
      </c>
      <c r="H483" s="43"/>
      <c r="I483" s="43"/>
      <c r="J483" s="43"/>
      <c r="K483" s="27" t="s">
        <v>567</v>
      </c>
      <c r="L483" s="28"/>
      <c r="M483" s="27"/>
      <c r="N483" s="27" t="s">
        <v>1057</v>
      </c>
      <c r="O483" s="18"/>
      <c r="P483" s="244"/>
      <c r="Q483" s="244"/>
      <c r="R483" s="27"/>
      <c r="S483" s="27"/>
      <c r="T483" s="18"/>
      <c r="U483" s="27"/>
      <c r="V483" s="27"/>
      <c r="W483" s="30"/>
      <c r="X483" s="27"/>
      <c r="Y483" s="27"/>
      <c r="Z483" s="27"/>
      <c r="AA483" s="27"/>
      <c r="AB483" s="27"/>
      <c r="AC483" s="273">
        <v>66220560</v>
      </c>
      <c r="AD483" s="27">
        <v>20410331625.663353</v>
      </c>
      <c r="AE483" s="228">
        <v>3.2444627169475387E-3</v>
      </c>
      <c r="AF483" s="27">
        <v>3653041154.361227</v>
      </c>
      <c r="AG483" s="226">
        <v>1.8127515459534803E-2</v>
      </c>
      <c r="AH483" s="226">
        <v>2.7710160143612477E-2</v>
      </c>
      <c r="AI483" s="27">
        <v>1243240000</v>
      </c>
      <c r="AJ483" s="226">
        <v>5.3264502429136773E-2</v>
      </c>
      <c r="AK483" s="27">
        <v>625449657.26957333</v>
      </c>
      <c r="AL483" s="226">
        <v>0.10587672281904931</v>
      </c>
      <c r="AM483" s="27">
        <v>1073575279.3772422</v>
      </c>
      <c r="AN483" s="271">
        <v>6.1682269769114943E-2</v>
      </c>
      <c r="AO483" s="27">
        <v>21947779</v>
      </c>
      <c r="AP483" s="27">
        <v>31.9</v>
      </c>
      <c r="AQ483" s="27">
        <v>59.186707317073179</v>
      </c>
      <c r="AR483" s="27">
        <v>57.2</v>
      </c>
      <c r="AS483" s="29">
        <v>67.017709999999994</v>
      </c>
      <c r="AT483" s="270">
        <v>48</v>
      </c>
      <c r="AU483" s="464">
        <v>62.7239016156134</v>
      </c>
      <c r="AV483" s="29">
        <v>0.36521092735796301</v>
      </c>
      <c r="AW483" s="29">
        <v>1.6425267880939801E-2</v>
      </c>
      <c r="AX483" s="29">
        <v>0.105214744277195</v>
      </c>
      <c r="AY483" s="29">
        <v>-7.7542191410285094E-2</v>
      </c>
      <c r="AZ483" s="60">
        <v>-1.9105712134025201E-2</v>
      </c>
    </row>
    <row r="484" spans="1:52" ht="15" customHeight="1">
      <c r="A484" s="63" t="s">
        <v>195</v>
      </c>
      <c r="B484" s="27">
        <v>2006</v>
      </c>
      <c r="C484" s="27" t="s">
        <v>189</v>
      </c>
      <c r="D484" s="27" t="s">
        <v>81</v>
      </c>
      <c r="E484" s="27" t="s">
        <v>19</v>
      </c>
      <c r="F484" s="27" t="s">
        <v>1058</v>
      </c>
      <c r="G484" s="43">
        <v>123</v>
      </c>
      <c r="H484" s="43"/>
      <c r="I484" s="43"/>
      <c r="J484" s="43"/>
      <c r="K484" s="27" t="s">
        <v>567</v>
      </c>
      <c r="L484" s="28">
        <v>60.73</v>
      </c>
      <c r="M484" s="27" t="s">
        <v>568</v>
      </c>
      <c r="N484" s="27" t="s">
        <v>1059</v>
      </c>
      <c r="O484" s="18">
        <f>G484*L484</f>
        <v>7469.79</v>
      </c>
      <c r="P484" s="244"/>
      <c r="Q484" s="244"/>
      <c r="R484" s="27"/>
      <c r="S484" s="27"/>
      <c r="T484" s="18"/>
      <c r="U484" s="27"/>
      <c r="V484" s="27"/>
      <c r="W484" s="30"/>
      <c r="X484" s="27"/>
      <c r="Y484" s="27"/>
      <c r="Z484" s="27"/>
      <c r="AA484" s="27"/>
      <c r="AB484" s="27"/>
      <c r="AC484" s="273">
        <v>66220560</v>
      </c>
      <c r="AD484" s="27">
        <v>20410331625.663353</v>
      </c>
      <c r="AE484" s="228">
        <v>3.2444627169475387E-3</v>
      </c>
      <c r="AF484" s="27">
        <v>3653041154.361227</v>
      </c>
      <c r="AG484" s="226">
        <v>1.8127515459534803E-2</v>
      </c>
      <c r="AH484" s="226">
        <v>2.7710160143612477E-2</v>
      </c>
      <c r="AI484" s="27">
        <v>1243240000</v>
      </c>
      <c r="AJ484" s="226">
        <v>5.3264502429136773E-2</v>
      </c>
      <c r="AK484" s="27">
        <v>625449657.26957333</v>
      </c>
      <c r="AL484" s="226">
        <v>0.10587672281904931</v>
      </c>
      <c r="AM484" s="27">
        <v>1073575279.3772422</v>
      </c>
      <c r="AN484" s="271">
        <v>6.1682269769114943E-2</v>
      </c>
      <c r="AO484" s="27">
        <v>21947779</v>
      </c>
      <c r="AP484" s="27">
        <v>31.9</v>
      </c>
      <c r="AQ484" s="27">
        <v>59.186707317073179</v>
      </c>
      <c r="AR484" s="27">
        <v>57.2</v>
      </c>
      <c r="AS484" s="29">
        <v>67.017709999999994</v>
      </c>
      <c r="AT484" s="270">
        <v>48</v>
      </c>
      <c r="AU484" s="464">
        <v>62.7239016156134</v>
      </c>
      <c r="AV484" s="29">
        <v>0.36521092735796301</v>
      </c>
      <c r="AW484" s="29">
        <v>1.6425267880939801E-2</v>
      </c>
      <c r="AX484" s="29">
        <v>0.105214744277195</v>
      </c>
      <c r="AY484" s="29">
        <v>-7.7542191410285094E-2</v>
      </c>
      <c r="AZ484" s="60">
        <v>-1.9105712134025201E-2</v>
      </c>
    </row>
    <row r="485" spans="1:52" s="287" customFormat="1" ht="15" customHeight="1">
      <c r="A485" s="359" t="s">
        <v>195</v>
      </c>
      <c r="B485" s="284">
        <v>2006</v>
      </c>
      <c r="C485" s="284" t="s">
        <v>189</v>
      </c>
      <c r="D485" s="284" t="s">
        <v>81</v>
      </c>
      <c r="E485" s="284" t="s">
        <v>19</v>
      </c>
      <c r="F485" s="284" t="s">
        <v>735</v>
      </c>
      <c r="G485" s="303">
        <f>3142*32.150743126506</f>
        <v>101017.63490348186</v>
      </c>
      <c r="H485" s="303"/>
      <c r="I485" s="303"/>
      <c r="J485" s="303"/>
      <c r="K485" s="284" t="s">
        <v>731</v>
      </c>
      <c r="L485" s="304">
        <f>11.55923333333/1</f>
        <v>11.559233333330001</v>
      </c>
      <c r="M485" s="284" t="s">
        <v>732</v>
      </c>
      <c r="N485" s="284" t="s">
        <v>1060</v>
      </c>
      <c r="O485" s="305">
        <f>G485*L485</f>
        <v>1167686.4126304877</v>
      </c>
      <c r="P485" s="374"/>
      <c r="Q485" s="374"/>
      <c r="R485" s="284"/>
      <c r="S485" s="284"/>
      <c r="T485" s="305"/>
      <c r="U485" s="284"/>
      <c r="V485" s="284"/>
      <c r="W485" s="307"/>
      <c r="X485" s="284"/>
      <c r="Y485" s="284"/>
      <c r="Z485" s="284"/>
      <c r="AA485" s="284"/>
      <c r="AB485" s="284"/>
      <c r="AC485" s="308">
        <v>66220560</v>
      </c>
      <c r="AD485" s="284">
        <v>20410331625.663353</v>
      </c>
      <c r="AE485" s="309">
        <v>3.2444627169475387E-3</v>
      </c>
      <c r="AF485" s="284">
        <v>3653041154.361227</v>
      </c>
      <c r="AG485" s="310">
        <v>1.8127515459534803E-2</v>
      </c>
      <c r="AH485" s="310">
        <v>2.7710160143612477E-2</v>
      </c>
      <c r="AI485" s="284">
        <v>1243240000</v>
      </c>
      <c r="AJ485" s="310">
        <v>5.3264502429136773E-2</v>
      </c>
      <c r="AK485" s="284">
        <v>625449657.26957333</v>
      </c>
      <c r="AL485" s="310">
        <v>0.10587672281904931</v>
      </c>
      <c r="AM485" s="284">
        <v>1073575279.3772422</v>
      </c>
      <c r="AN485" s="311">
        <v>6.1682269769114943E-2</v>
      </c>
      <c r="AO485" s="284">
        <v>21947779</v>
      </c>
      <c r="AP485" s="284">
        <v>31.9</v>
      </c>
      <c r="AQ485" s="284">
        <v>59.186707317073179</v>
      </c>
      <c r="AR485" s="284">
        <v>57.2</v>
      </c>
      <c r="AS485" s="287">
        <v>67.017709999999994</v>
      </c>
      <c r="AT485" s="312">
        <v>48</v>
      </c>
      <c r="AU485" s="465">
        <v>62.7239016156134</v>
      </c>
      <c r="AV485" s="287">
        <v>0.36521092735796301</v>
      </c>
      <c r="AW485" s="287">
        <v>1.6425267880939801E-2</v>
      </c>
      <c r="AX485" s="287">
        <v>0.105214744277195</v>
      </c>
      <c r="AY485" s="287">
        <v>-7.7542191410285094E-2</v>
      </c>
      <c r="AZ485" s="313">
        <v>-1.9105712134025201E-2</v>
      </c>
    </row>
    <row r="486" spans="1:52" s="29" customFormat="1" ht="15" customHeight="1">
      <c r="A486" s="347" t="s">
        <v>198</v>
      </c>
      <c r="B486" s="27">
        <v>2007</v>
      </c>
      <c r="C486" s="27" t="s">
        <v>189</v>
      </c>
      <c r="D486" s="27" t="s">
        <v>81</v>
      </c>
      <c r="E486" s="27" t="s">
        <v>19</v>
      </c>
      <c r="F486" s="27" t="s">
        <v>659</v>
      </c>
      <c r="G486" s="43"/>
      <c r="H486" s="43"/>
      <c r="I486" s="43"/>
      <c r="J486" s="43"/>
      <c r="K486" s="27"/>
      <c r="L486" s="28"/>
      <c r="M486" s="27"/>
      <c r="N486" s="27"/>
      <c r="O486" s="18">
        <f>SUM(O487:O494)</f>
        <v>1792410804.2344937</v>
      </c>
      <c r="P486" s="213">
        <v>61767543</v>
      </c>
      <c r="Q486" s="213">
        <v>64548464</v>
      </c>
      <c r="R486" s="27" t="s">
        <v>619</v>
      </c>
      <c r="S486" s="27"/>
      <c r="T486" s="18"/>
      <c r="U486" s="29" t="s">
        <v>1061</v>
      </c>
      <c r="V486" s="27" t="s">
        <v>1045</v>
      </c>
      <c r="W486" s="30">
        <v>0.99</v>
      </c>
      <c r="X486" s="27">
        <v>11</v>
      </c>
      <c r="Y486" s="27" t="s">
        <v>1066</v>
      </c>
      <c r="Z486" s="27">
        <v>11</v>
      </c>
      <c r="AA486" s="27">
        <v>20</v>
      </c>
      <c r="AB486" s="27" t="s">
        <v>3674</v>
      </c>
      <c r="AC486" s="273">
        <v>61767543</v>
      </c>
      <c r="AD486" s="27">
        <v>24757553101.626564</v>
      </c>
      <c r="AE486" s="228">
        <v>2.494896920808458E-3</v>
      </c>
      <c r="AF486" s="27">
        <v>3152379236.4301105</v>
      </c>
      <c r="AG486" s="226">
        <v>1.9593944245727305E-2</v>
      </c>
      <c r="AH486" s="226">
        <v>4.3208875809822168E-2</v>
      </c>
      <c r="AI486" s="27">
        <v>1165210000</v>
      </c>
      <c r="AJ486" s="226">
        <v>5.300979480093717E-2</v>
      </c>
      <c r="AK486" s="27">
        <v>928357363.48072934</v>
      </c>
      <c r="AL486" s="226">
        <v>6.6534230706602415E-2</v>
      </c>
      <c r="AM486" s="27">
        <v>1366582270.6354442</v>
      </c>
      <c r="AN486" s="271">
        <v>4.5198554325806412E-2</v>
      </c>
      <c r="AO486" s="27">
        <v>22525659</v>
      </c>
      <c r="AP486" s="27" t="s">
        <v>2842</v>
      </c>
      <c r="AQ486" s="27">
        <v>59.637853658536592</v>
      </c>
      <c r="AR486" s="27">
        <v>56.6</v>
      </c>
      <c r="AS486" s="29">
        <v>72.374099999999999</v>
      </c>
      <c r="AT486" s="270">
        <v>48</v>
      </c>
      <c r="AU486" s="464">
        <v>62.7239016156134</v>
      </c>
      <c r="AV486" s="29">
        <v>0.46092205798499603</v>
      </c>
      <c r="AW486" s="29">
        <v>-5.9158160726272599E-2</v>
      </c>
      <c r="AX486" s="29">
        <v>8.1160900607623099E-2</v>
      </c>
      <c r="AY486" s="29">
        <v>-5.5782085219552101E-2</v>
      </c>
      <c r="AZ486" s="60">
        <v>5.1259508215566997E-2</v>
      </c>
    </row>
    <row r="487" spans="1:52" s="29" customFormat="1" ht="15" customHeight="1">
      <c r="A487" s="63" t="s">
        <v>198</v>
      </c>
      <c r="B487" s="27">
        <v>2007</v>
      </c>
      <c r="C487" s="27" t="s">
        <v>189</v>
      </c>
      <c r="D487" s="27" t="s">
        <v>81</v>
      </c>
      <c r="E487" s="27" t="s">
        <v>19</v>
      </c>
      <c r="F487" s="27" t="s">
        <v>1049</v>
      </c>
      <c r="G487" s="43">
        <v>748</v>
      </c>
      <c r="H487" s="43"/>
      <c r="I487" s="43"/>
      <c r="J487" s="43"/>
      <c r="K487" s="27" t="s">
        <v>567</v>
      </c>
      <c r="L487" s="28">
        <v>31.2</v>
      </c>
      <c r="M487" s="27" t="s">
        <v>568</v>
      </c>
      <c r="N487" s="27" t="s">
        <v>1071</v>
      </c>
      <c r="O487" s="18">
        <f>G487*L487</f>
        <v>23337.599999999999</v>
      </c>
      <c r="P487" s="213">
        <v>559648</v>
      </c>
      <c r="Q487" s="213">
        <v>559648</v>
      </c>
      <c r="R487" s="27"/>
      <c r="S487" s="27"/>
      <c r="T487" s="18"/>
      <c r="U487" s="27"/>
      <c r="V487" s="27"/>
      <c r="W487" s="30"/>
      <c r="X487" s="27">
        <v>1</v>
      </c>
      <c r="Y487" s="27" t="s">
        <v>1051</v>
      </c>
      <c r="Z487" s="27">
        <v>1</v>
      </c>
      <c r="AA487" s="54" t="s">
        <v>1068</v>
      </c>
      <c r="AB487" s="27"/>
      <c r="AC487" s="273">
        <v>61767543</v>
      </c>
      <c r="AD487" s="27">
        <v>24757553101.626564</v>
      </c>
      <c r="AE487" s="228">
        <v>2.494896920808458E-3</v>
      </c>
      <c r="AF487" s="27">
        <v>3152379236.4301105</v>
      </c>
      <c r="AG487" s="226">
        <v>1.9593944245727305E-2</v>
      </c>
      <c r="AH487" s="226">
        <v>4.3208875809822168E-2</v>
      </c>
      <c r="AI487" s="27">
        <v>1165210000</v>
      </c>
      <c r="AJ487" s="226">
        <v>5.300979480093717E-2</v>
      </c>
      <c r="AK487" s="27">
        <v>928357363.48072934</v>
      </c>
      <c r="AL487" s="226">
        <v>6.6534230706602415E-2</v>
      </c>
      <c r="AM487" s="27">
        <v>1366582270.6354442</v>
      </c>
      <c r="AN487" s="271">
        <v>4.5198554325806412E-2</v>
      </c>
      <c r="AO487" s="27">
        <v>22525659</v>
      </c>
      <c r="AP487" s="27" t="s">
        <v>2842</v>
      </c>
      <c r="AQ487" s="27">
        <v>59.637853658536592</v>
      </c>
      <c r="AR487" s="27">
        <v>56.6</v>
      </c>
      <c r="AS487" s="29">
        <v>72.374099999999999</v>
      </c>
      <c r="AT487" s="270">
        <v>48</v>
      </c>
      <c r="AU487" s="464">
        <v>62.7239016156134</v>
      </c>
      <c r="AV487" s="29">
        <v>0.46092205798499603</v>
      </c>
      <c r="AW487" s="29">
        <v>-5.9158160726272599E-2</v>
      </c>
      <c r="AX487" s="29">
        <v>8.1160900607623099E-2</v>
      </c>
      <c r="AY487" s="29">
        <v>-5.5782085219552101E-2</v>
      </c>
      <c r="AZ487" s="60">
        <v>5.1259508215566997E-2</v>
      </c>
    </row>
    <row r="488" spans="1:52" s="29" customFormat="1" ht="15" customHeight="1">
      <c r="A488" s="63" t="s">
        <v>198</v>
      </c>
      <c r="B488" s="27">
        <v>2007</v>
      </c>
      <c r="C488" s="27" t="s">
        <v>189</v>
      </c>
      <c r="D488" s="27" t="s">
        <v>81</v>
      </c>
      <c r="E488" s="27" t="s">
        <v>19</v>
      </c>
      <c r="F488" s="27" t="s">
        <v>904</v>
      </c>
      <c r="G488" s="43">
        <v>895000</v>
      </c>
      <c r="H488" s="43"/>
      <c r="I488" s="43"/>
      <c r="J488" s="43"/>
      <c r="K488" s="27" t="s">
        <v>905</v>
      </c>
      <c r="L488" s="28">
        <v>25.93</v>
      </c>
      <c r="M488" s="27" t="s">
        <v>906</v>
      </c>
      <c r="N488" s="27" t="s">
        <v>990</v>
      </c>
      <c r="O488" s="18">
        <f>G488*L488</f>
        <v>23207350</v>
      </c>
      <c r="P488" s="244"/>
      <c r="Q488" s="244"/>
      <c r="R488" s="27"/>
      <c r="S488" s="27"/>
      <c r="T488" s="18"/>
      <c r="U488" s="27"/>
      <c r="V488" s="27"/>
      <c r="W488" s="30"/>
      <c r="X488" s="27"/>
      <c r="Y488" s="27"/>
      <c r="Z488" s="27"/>
      <c r="AA488" s="27"/>
      <c r="AB488" s="27"/>
      <c r="AC488" s="273">
        <v>61767543</v>
      </c>
      <c r="AD488" s="27">
        <v>24757553101.626564</v>
      </c>
      <c r="AE488" s="228">
        <v>2.494896920808458E-3</v>
      </c>
      <c r="AF488" s="27">
        <v>3152379236.4301105</v>
      </c>
      <c r="AG488" s="226">
        <v>1.9593944245727305E-2</v>
      </c>
      <c r="AH488" s="226">
        <v>4.3208875809822168E-2</v>
      </c>
      <c r="AI488" s="27">
        <v>1165210000</v>
      </c>
      <c r="AJ488" s="226">
        <v>5.300979480093717E-2</v>
      </c>
      <c r="AK488" s="27">
        <v>928357363.48072934</v>
      </c>
      <c r="AL488" s="226">
        <v>6.6534230706602415E-2</v>
      </c>
      <c r="AM488" s="27">
        <v>1366582270.6354442</v>
      </c>
      <c r="AN488" s="271">
        <v>4.5198554325806412E-2</v>
      </c>
      <c r="AO488" s="27">
        <v>22525659</v>
      </c>
      <c r="AP488" s="27" t="s">
        <v>2842</v>
      </c>
      <c r="AQ488" s="27">
        <v>59.637853658536592</v>
      </c>
      <c r="AR488" s="27">
        <v>56.6</v>
      </c>
      <c r="AS488" s="29">
        <v>72.374099999999999</v>
      </c>
      <c r="AT488" s="270">
        <v>48</v>
      </c>
      <c r="AU488" s="464">
        <v>62.7239016156134</v>
      </c>
      <c r="AV488" s="29">
        <v>0.46092205798499603</v>
      </c>
      <c r="AW488" s="29">
        <v>-5.9158160726272599E-2</v>
      </c>
      <c r="AX488" s="29">
        <v>8.1160900607623099E-2</v>
      </c>
      <c r="AY488" s="29">
        <v>-5.5782085219552101E-2</v>
      </c>
      <c r="AZ488" s="60">
        <v>5.1259508215566997E-2</v>
      </c>
    </row>
    <row r="489" spans="1:52" s="29" customFormat="1" ht="15" customHeight="1">
      <c r="A489" s="63" t="s">
        <v>198</v>
      </c>
      <c r="B489" s="27">
        <v>2007</v>
      </c>
      <c r="C489" s="27" t="s">
        <v>189</v>
      </c>
      <c r="D489" s="27" t="s">
        <v>81</v>
      </c>
      <c r="E489" s="27" t="s">
        <v>19</v>
      </c>
      <c r="F489" s="27" t="s">
        <v>730</v>
      </c>
      <c r="G489" s="43">
        <f>72209*32.150743126506</f>
        <v>2321573.0104218717</v>
      </c>
      <c r="H489" s="43"/>
      <c r="I489" s="43"/>
      <c r="J489" s="43"/>
      <c r="K489" s="27" t="s">
        <v>731</v>
      </c>
      <c r="L489" s="28">
        <f>696.72025*1.0929</f>
        <v>761.44556122500001</v>
      </c>
      <c r="M489" s="27" t="s">
        <v>732</v>
      </c>
      <c r="N489" s="27" t="s">
        <v>1072</v>
      </c>
      <c r="O489" s="18">
        <f>G489*L489</f>
        <v>1767751463.8454947</v>
      </c>
      <c r="P489" s="213">
        <v>59949084</v>
      </c>
      <c r="Q489" s="213">
        <v>62729648</v>
      </c>
      <c r="R489" s="27"/>
      <c r="S489" s="27"/>
      <c r="T489" s="18"/>
      <c r="U489" s="27"/>
      <c r="V489" s="27"/>
      <c r="W489" s="30"/>
      <c r="X489" s="27">
        <v>9</v>
      </c>
      <c r="Y489" s="27" t="s">
        <v>1070</v>
      </c>
      <c r="Z489" s="27">
        <v>9</v>
      </c>
      <c r="AA489" s="54" t="s">
        <v>1068</v>
      </c>
      <c r="AB489" s="27"/>
      <c r="AC489" s="273">
        <v>61767543</v>
      </c>
      <c r="AD489" s="27">
        <v>24757553101.626564</v>
      </c>
      <c r="AE489" s="228">
        <v>2.494896920808458E-3</v>
      </c>
      <c r="AF489" s="27">
        <v>3152379236.4301105</v>
      </c>
      <c r="AG489" s="226">
        <v>1.9593944245727305E-2</v>
      </c>
      <c r="AH489" s="226">
        <v>4.3208875809822168E-2</v>
      </c>
      <c r="AI489" s="27">
        <v>1165210000</v>
      </c>
      <c r="AJ489" s="226">
        <v>5.300979480093717E-2</v>
      </c>
      <c r="AK489" s="27">
        <v>928357363.48072934</v>
      </c>
      <c r="AL489" s="226">
        <v>6.6534230706602415E-2</v>
      </c>
      <c r="AM489" s="27">
        <v>1366582270.6354442</v>
      </c>
      <c r="AN489" s="271">
        <v>4.5198554325806412E-2</v>
      </c>
      <c r="AO489" s="27">
        <v>22525659</v>
      </c>
      <c r="AP489" s="27" t="s">
        <v>2842</v>
      </c>
      <c r="AQ489" s="27">
        <v>59.637853658536592</v>
      </c>
      <c r="AR489" s="27">
        <v>56.6</v>
      </c>
      <c r="AS489" s="29">
        <v>72.374099999999999</v>
      </c>
      <c r="AT489" s="270">
        <v>48</v>
      </c>
      <c r="AU489" s="464">
        <v>62.7239016156134</v>
      </c>
      <c r="AV489" s="29">
        <v>0.46092205798499603</v>
      </c>
      <c r="AW489" s="29">
        <v>-5.9158160726272599E-2</v>
      </c>
      <c r="AX489" s="29">
        <v>8.1160900607623099E-2</v>
      </c>
      <c r="AY489" s="29">
        <v>-5.5782085219552101E-2</v>
      </c>
      <c r="AZ489" s="60">
        <v>5.1259508215566997E-2</v>
      </c>
    </row>
    <row r="490" spans="1:52" s="29" customFormat="1" ht="15" customHeight="1">
      <c r="A490" s="63" t="s">
        <v>198</v>
      </c>
      <c r="B490" s="27">
        <v>2007</v>
      </c>
      <c r="C490" s="27" t="s">
        <v>189</v>
      </c>
      <c r="D490" s="27" t="s">
        <v>81</v>
      </c>
      <c r="E490" s="27" t="s">
        <v>19</v>
      </c>
      <c r="F490" s="27" t="s">
        <v>784</v>
      </c>
      <c r="G490" s="43"/>
      <c r="H490" s="43"/>
      <c r="I490" s="43"/>
      <c r="J490" s="43"/>
      <c r="K490" s="27"/>
      <c r="L490" s="28">
        <v>3.48</v>
      </c>
      <c r="M490" s="27" t="s">
        <v>568</v>
      </c>
      <c r="N490" s="27" t="s">
        <v>1055</v>
      </c>
      <c r="O490" s="18"/>
      <c r="P490" s="213">
        <v>1258811</v>
      </c>
      <c r="Q490" s="213">
        <v>1259168</v>
      </c>
      <c r="R490" s="27"/>
      <c r="S490" s="27"/>
      <c r="T490" s="18"/>
      <c r="U490" s="27"/>
      <c r="V490" s="27"/>
      <c r="W490" s="30"/>
      <c r="X490" s="27">
        <v>1</v>
      </c>
      <c r="Y490" s="27" t="s">
        <v>1056</v>
      </c>
      <c r="Z490" s="27">
        <v>1</v>
      </c>
      <c r="AA490" s="54" t="s">
        <v>1068</v>
      </c>
      <c r="AB490" s="27"/>
      <c r="AC490" s="273">
        <v>61767543</v>
      </c>
      <c r="AD490" s="27">
        <v>24757553101.626564</v>
      </c>
      <c r="AE490" s="228">
        <v>2.494896920808458E-3</v>
      </c>
      <c r="AF490" s="27">
        <v>3152379236.4301105</v>
      </c>
      <c r="AG490" s="226">
        <v>1.9593944245727305E-2</v>
      </c>
      <c r="AH490" s="226">
        <v>4.3208875809822168E-2</v>
      </c>
      <c r="AI490" s="27">
        <v>1165210000</v>
      </c>
      <c r="AJ490" s="226">
        <v>5.300979480093717E-2</v>
      </c>
      <c r="AK490" s="27">
        <v>928357363.48072934</v>
      </c>
      <c r="AL490" s="226">
        <v>6.6534230706602415E-2</v>
      </c>
      <c r="AM490" s="27">
        <v>1366582270.6354442</v>
      </c>
      <c r="AN490" s="271">
        <v>4.5198554325806412E-2</v>
      </c>
      <c r="AO490" s="27">
        <v>22525659</v>
      </c>
      <c r="AP490" s="27" t="s">
        <v>2842</v>
      </c>
      <c r="AQ490" s="27">
        <v>59.637853658536592</v>
      </c>
      <c r="AR490" s="27">
        <v>56.6</v>
      </c>
      <c r="AS490" s="29">
        <v>72.374099999999999</v>
      </c>
      <c r="AT490" s="270">
        <v>48</v>
      </c>
      <c r="AU490" s="464">
        <v>62.7239016156134</v>
      </c>
      <c r="AV490" s="29">
        <v>0.46092205798499603</v>
      </c>
      <c r="AW490" s="29">
        <v>-5.9158160726272599E-2</v>
      </c>
      <c r="AX490" s="29">
        <v>8.1160900607623099E-2</v>
      </c>
      <c r="AY490" s="29">
        <v>-5.5782085219552101E-2</v>
      </c>
      <c r="AZ490" s="60">
        <v>5.1259508215566997E-2</v>
      </c>
    </row>
    <row r="491" spans="1:52" s="29" customFormat="1" ht="15" customHeight="1">
      <c r="A491" s="63" t="s">
        <v>198</v>
      </c>
      <c r="B491" s="27">
        <v>2007</v>
      </c>
      <c r="C491" s="27" t="s">
        <v>189</v>
      </c>
      <c r="D491" s="27" t="s">
        <v>81</v>
      </c>
      <c r="E491" s="27" t="s">
        <v>19</v>
      </c>
      <c r="F491" s="27" t="s">
        <v>787</v>
      </c>
      <c r="G491" s="43">
        <v>1854</v>
      </c>
      <c r="H491" s="43"/>
      <c r="I491" s="43"/>
      <c r="J491" s="43"/>
      <c r="K491" s="27" t="s">
        <v>567</v>
      </c>
      <c r="L491" s="28"/>
      <c r="M491" s="27"/>
      <c r="N491" s="27" t="s">
        <v>788</v>
      </c>
      <c r="O491" s="18"/>
      <c r="P491" s="244"/>
      <c r="Q491" s="244"/>
      <c r="R491" s="27"/>
      <c r="S491" s="27"/>
      <c r="T491" s="18"/>
      <c r="U491" s="27"/>
      <c r="V491" s="27"/>
      <c r="W491" s="30"/>
      <c r="X491" s="27"/>
      <c r="Y491" s="27"/>
      <c r="Z491" s="27"/>
      <c r="AA491" s="27"/>
      <c r="AB491" s="27"/>
      <c r="AC491" s="273">
        <v>61767543</v>
      </c>
      <c r="AD491" s="27">
        <v>24757553101.626564</v>
      </c>
      <c r="AE491" s="228">
        <v>2.494896920808458E-3</v>
      </c>
      <c r="AF491" s="27">
        <v>3152379236.4301105</v>
      </c>
      <c r="AG491" s="226">
        <v>1.9593944245727305E-2</v>
      </c>
      <c r="AH491" s="226">
        <v>4.3208875809822168E-2</v>
      </c>
      <c r="AI491" s="27">
        <v>1165210000</v>
      </c>
      <c r="AJ491" s="226">
        <v>5.300979480093717E-2</v>
      </c>
      <c r="AK491" s="27">
        <v>928357363.48072934</v>
      </c>
      <c r="AL491" s="226">
        <v>6.6534230706602415E-2</v>
      </c>
      <c r="AM491" s="27">
        <v>1366582270.6354442</v>
      </c>
      <c r="AN491" s="271">
        <v>4.5198554325806412E-2</v>
      </c>
      <c r="AO491" s="27">
        <v>22525659</v>
      </c>
      <c r="AP491" s="27" t="s">
        <v>2842</v>
      </c>
      <c r="AQ491" s="27">
        <v>59.637853658536592</v>
      </c>
      <c r="AR491" s="27">
        <v>56.6</v>
      </c>
      <c r="AS491" s="29">
        <v>72.374099999999999</v>
      </c>
      <c r="AT491" s="270">
        <v>48</v>
      </c>
      <c r="AU491" s="464">
        <v>62.7239016156134</v>
      </c>
      <c r="AV491" s="29">
        <v>0.46092205798499603</v>
      </c>
      <c r="AW491" s="29">
        <v>-5.9158160726272599E-2</v>
      </c>
      <c r="AX491" s="29">
        <v>8.1160900607623099E-2</v>
      </c>
      <c r="AY491" s="29">
        <v>-5.5782085219552101E-2</v>
      </c>
      <c r="AZ491" s="60">
        <v>5.1259508215566997E-2</v>
      </c>
    </row>
    <row r="492" spans="1:52" s="29" customFormat="1" ht="15" customHeight="1">
      <c r="A492" s="63" t="s">
        <v>198</v>
      </c>
      <c r="B492" s="27">
        <v>2007</v>
      </c>
      <c r="C492" s="27" t="s">
        <v>189</v>
      </c>
      <c r="D492" s="27" t="s">
        <v>81</v>
      </c>
      <c r="E492" s="27" t="s">
        <v>19</v>
      </c>
      <c r="F492" s="27" t="s">
        <v>789</v>
      </c>
      <c r="G492" s="43">
        <v>515</v>
      </c>
      <c r="H492" s="43"/>
      <c r="I492" s="43"/>
      <c r="J492" s="43"/>
      <c r="K492" s="27" t="s">
        <v>567</v>
      </c>
      <c r="L492" s="28"/>
      <c r="M492" s="27"/>
      <c r="N492" s="27" t="s">
        <v>788</v>
      </c>
      <c r="O492" s="18"/>
      <c r="P492" s="244"/>
      <c r="Q492" s="244"/>
      <c r="R492" s="27"/>
      <c r="S492" s="27"/>
      <c r="T492" s="18"/>
      <c r="U492" s="27"/>
      <c r="V492" s="27"/>
      <c r="W492" s="30"/>
      <c r="X492" s="27"/>
      <c r="Y492" s="27"/>
      <c r="Z492" s="27"/>
      <c r="AA492" s="27"/>
      <c r="AB492" s="27"/>
      <c r="AC492" s="273">
        <v>61767543</v>
      </c>
      <c r="AD492" s="27">
        <v>24757553101.626564</v>
      </c>
      <c r="AE492" s="228">
        <v>2.494896920808458E-3</v>
      </c>
      <c r="AF492" s="27">
        <v>3152379236.4301105</v>
      </c>
      <c r="AG492" s="226">
        <v>1.9593944245727305E-2</v>
      </c>
      <c r="AH492" s="226">
        <v>4.3208875809822168E-2</v>
      </c>
      <c r="AI492" s="27">
        <v>1165210000</v>
      </c>
      <c r="AJ492" s="226">
        <v>5.300979480093717E-2</v>
      </c>
      <c r="AK492" s="27">
        <v>928357363.48072934</v>
      </c>
      <c r="AL492" s="226">
        <v>6.6534230706602415E-2</v>
      </c>
      <c r="AM492" s="27">
        <v>1366582270.6354442</v>
      </c>
      <c r="AN492" s="271">
        <v>4.5198554325806412E-2</v>
      </c>
      <c r="AO492" s="27">
        <v>22525659</v>
      </c>
      <c r="AP492" s="27" t="s">
        <v>2842</v>
      </c>
      <c r="AQ492" s="27">
        <v>59.637853658536592</v>
      </c>
      <c r="AR492" s="27">
        <v>56.6</v>
      </c>
      <c r="AS492" s="29">
        <v>72.374099999999999</v>
      </c>
      <c r="AT492" s="270">
        <v>48</v>
      </c>
      <c r="AU492" s="464">
        <v>62.7239016156134</v>
      </c>
      <c r="AV492" s="29">
        <v>0.46092205798499603</v>
      </c>
      <c r="AW492" s="29">
        <v>-5.9158160726272599E-2</v>
      </c>
      <c r="AX492" s="29">
        <v>8.1160900607623099E-2</v>
      </c>
      <c r="AY492" s="29">
        <v>-5.5782085219552101E-2</v>
      </c>
      <c r="AZ492" s="60">
        <v>5.1259508215566997E-2</v>
      </c>
    </row>
    <row r="493" spans="1:52" s="29" customFormat="1" ht="15" customHeight="1">
      <c r="A493" s="63" t="s">
        <v>198</v>
      </c>
      <c r="B493" s="27">
        <v>2007</v>
      </c>
      <c r="C493" s="27" t="s">
        <v>189</v>
      </c>
      <c r="D493" s="27" t="s">
        <v>81</v>
      </c>
      <c r="E493" s="27" t="s">
        <v>19</v>
      </c>
      <c r="F493" s="27" t="s">
        <v>1058</v>
      </c>
      <c r="G493" s="43">
        <v>124</v>
      </c>
      <c r="H493" s="43"/>
      <c r="I493" s="43"/>
      <c r="J493" s="43"/>
      <c r="K493" s="27" t="s">
        <v>567</v>
      </c>
      <c r="L493" s="28">
        <v>62.89</v>
      </c>
      <c r="M493" s="27" t="s">
        <v>568</v>
      </c>
      <c r="N493" s="27" t="s">
        <v>1073</v>
      </c>
      <c r="O493" s="18">
        <f>G493*L493</f>
        <v>7798.36</v>
      </c>
      <c r="P493" s="244"/>
      <c r="Q493" s="244"/>
      <c r="R493" s="27"/>
      <c r="S493" s="27"/>
      <c r="T493" s="18"/>
      <c r="U493" s="27"/>
      <c r="V493" s="27"/>
      <c r="W493" s="30"/>
      <c r="X493" s="27"/>
      <c r="Y493" s="27"/>
      <c r="Z493" s="27"/>
      <c r="AA493" s="27"/>
      <c r="AB493" s="27"/>
      <c r="AC493" s="273">
        <v>61767543</v>
      </c>
      <c r="AD493" s="27">
        <v>24757553101.626564</v>
      </c>
      <c r="AE493" s="228">
        <v>2.494896920808458E-3</v>
      </c>
      <c r="AF493" s="27">
        <v>3152379236.4301105</v>
      </c>
      <c r="AG493" s="226">
        <v>1.9593944245727305E-2</v>
      </c>
      <c r="AH493" s="226">
        <v>4.3208875809822168E-2</v>
      </c>
      <c r="AI493" s="27">
        <v>1165210000</v>
      </c>
      <c r="AJ493" s="226">
        <v>5.300979480093717E-2</v>
      </c>
      <c r="AK493" s="27">
        <v>928357363.48072934</v>
      </c>
      <c r="AL493" s="226">
        <v>6.6534230706602415E-2</v>
      </c>
      <c r="AM493" s="27">
        <v>1366582270.6354442</v>
      </c>
      <c r="AN493" s="271">
        <v>4.5198554325806412E-2</v>
      </c>
      <c r="AO493" s="27">
        <v>22525659</v>
      </c>
      <c r="AP493" s="27" t="s">
        <v>2842</v>
      </c>
      <c r="AQ493" s="27">
        <v>59.637853658536592</v>
      </c>
      <c r="AR493" s="27">
        <v>56.6</v>
      </c>
      <c r="AS493" s="29">
        <v>72.374099999999999</v>
      </c>
      <c r="AT493" s="270">
        <v>48</v>
      </c>
      <c r="AU493" s="464">
        <v>62.7239016156134</v>
      </c>
      <c r="AV493" s="29">
        <v>0.46092205798499603</v>
      </c>
      <c r="AW493" s="29">
        <v>-5.9158160726272599E-2</v>
      </c>
      <c r="AX493" s="29">
        <v>8.1160900607623099E-2</v>
      </c>
      <c r="AY493" s="29">
        <v>-5.5782085219552101E-2</v>
      </c>
      <c r="AZ493" s="60">
        <v>5.1259508215566997E-2</v>
      </c>
    </row>
    <row r="494" spans="1:52" s="287" customFormat="1" ht="15" customHeight="1">
      <c r="A494" s="359" t="s">
        <v>198</v>
      </c>
      <c r="B494" s="284">
        <v>2007</v>
      </c>
      <c r="C494" s="284" t="s">
        <v>189</v>
      </c>
      <c r="D494" s="284" t="s">
        <v>81</v>
      </c>
      <c r="E494" s="284" t="s">
        <v>19</v>
      </c>
      <c r="F494" s="284" t="s">
        <v>735</v>
      </c>
      <c r="G494" s="303">
        <f>3300*32.150743126506</f>
        <v>106097.4523174698</v>
      </c>
      <c r="H494" s="303"/>
      <c r="I494" s="303"/>
      <c r="J494" s="303"/>
      <c r="K494" s="284" t="s">
        <v>731</v>
      </c>
      <c r="L494" s="304">
        <f>13.391975/1</f>
        <v>13.391975</v>
      </c>
      <c r="M494" s="284" t="s">
        <v>732</v>
      </c>
      <c r="N494" s="284" t="s">
        <v>1074</v>
      </c>
      <c r="O494" s="305">
        <f>G494*L494</f>
        <v>1420854.4289992477</v>
      </c>
      <c r="P494" s="374"/>
      <c r="Q494" s="374"/>
      <c r="R494" s="284"/>
      <c r="S494" s="284"/>
      <c r="T494" s="305"/>
      <c r="U494" s="284"/>
      <c r="V494" s="284"/>
      <c r="W494" s="307"/>
      <c r="X494" s="284"/>
      <c r="Y494" s="284"/>
      <c r="Z494" s="284"/>
      <c r="AA494" s="284"/>
      <c r="AB494" s="284"/>
      <c r="AC494" s="308">
        <v>61767543</v>
      </c>
      <c r="AD494" s="284">
        <v>24757553101.626564</v>
      </c>
      <c r="AE494" s="309">
        <v>2.494896920808458E-3</v>
      </c>
      <c r="AF494" s="284">
        <v>3152379236.4301105</v>
      </c>
      <c r="AG494" s="310">
        <v>1.9593944245727305E-2</v>
      </c>
      <c r="AH494" s="310">
        <v>4.3208875809822168E-2</v>
      </c>
      <c r="AI494" s="284">
        <v>1165210000</v>
      </c>
      <c r="AJ494" s="310">
        <v>5.300979480093717E-2</v>
      </c>
      <c r="AK494" s="284">
        <v>928357363.48072934</v>
      </c>
      <c r="AL494" s="310">
        <v>6.6534230706602415E-2</v>
      </c>
      <c r="AM494" s="284">
        <v>1366582270.6354442</v>
      </c>
      <c r="AN494" s="311">
        <v>4.5198554325806412E-2</v>
      </c>
      <c r="AO494" s="284">
        <v>22525659</v>
      </c>
      <c r="AP494" s="284" t="s">
        <v>2842</v>
      </c>
      <c r="AQ494" s="284">
        <v>59.637853658536592</v>
      </c>
      <c r="AR494" s="284">
        <v>56.6</v>
      </c>
      <c r="AS494" s="287">
        <v>72.374099999999999</v>
      </c>
      <c r="AT494" s="312">
        <v>48</v>
      </c>
      <c r="AU494" s="465">
        <v>62.7239016156134</v>
      </c>
      <c r="AV494" s="287">
        <v>0.46092205798499603</v>
      </c>
      <c r="AW494" s="287">
        <v>-5.9158160726272599E-2</v>
      </c>
      <c r="AX494" s="287">
        <v>8.1160900607623099E-2</v>
      </c>
      <c r="AY494" s="287">
        <v>-5.5782085219552101E-2</v>
      </c>
      <c r="AZ494" s="313">
        <v>5.1259508215566997E-2</v>
      </c>
    </row>
    <row r="495" spans="1:52" ht="15" customHeight="1">
      <c r="A495" s="63" t="s">
        <v>200</v>
      </c>
      <c r="B495" s="27">
        <v>2008</v>
      </c>
      <c r="C495" s="27" t="s">
        <v>189</v>
      </c>
      <c r="D495" s="27" t="s">
        <v>81</v>
      </c>
      <c r="E495" s="27" t="s">
        <v>19</v>
      </c>
      <c r="F495" s="27" t="s">
        <v>659</v>
      </c>
      <c r="G495" s="43"/>
      <c r="H495" s="43"/>
      <c r="I495" s="43"/>
      <c r="J495" s="43"/>
      <c r="K495" s="27"/>
      <c r="L495" s="28"/>
      <c r="M495" s="27"/>
      <c r="N495" s="27"/>
      <c r="O495" s="18">
        <f>SUM(O496:O503)</f>
        <v>2255364846.0082254</v>
      </c>
      <c r="P495" s="213">
        <v>91193482</v>
      </c>
      <c r="Q495" s="213">
        <v>90840454</v>
      </c>
      <c r="R495" s="27" t="s">
        <v>619</v>
      </c>
      <c r="S495" s="27"/>
      <c r="T495" s="18"/>
      <c r="U495" s="29" t="s">
        <v>670</v>
      </c>
      <c r="V495" s="27" t="s">
        <v>1045</v>
      </c>
      <c r="W495" s="30">
        <v>1.05</v>
      </c>
      <c r="X495" s="27">
        <v>11</v>
      </c>
      <c r="Y495" s="27" t="s">
        <v>1066</v>
      </c>
      <c r="Z495" s="27">
        <v>11</v>
      </c>
      <c r="AA495" s="27">
        <v>19</v>
      </c>
      <c r="AB495" s="27" t="s">
        <v>3675</v>
      </c>
      <c r="AC495" s="273">
        <v>91193482</v>
      </c>
      <c r="AD495" s="27">
        <v>28528014620.735378</v>
      </c>
      <c r="AE495" s="228">
        <v>3.1966291104504932E-3</v>
      </c>
      <c r="AF495" s="27">
        <v>4854612248.0105391</v>
      </c>
      <c r="AG495" s="226">
        <v>1.8784915733974811E-2</v>
      </c>
      <c r="AH495" s="226">
        <v>6.5595048177573848E-2</v>
      </c>
      <c r="AI495" s="27">
        <v>1306930000</v>
      </c>
      <c r="AJ495" s="226">
        <v>6.9776867927126937E-2</v>
      </c>
      <c r="AK495" s="27">
        <v>925187726.45792925</v>
      </c>
      <c r="AL495" s="226">
        <v>9.8567544069281171E-2</v>
      </c>
      <c r="AM495" s="27">
        <v>1642631670.6560946</v>
      </c>
      <c r="AN495" s="271">
        <v>5.5516695330472834E-2</v>
      </c>
      <c r="AO495" s="27">
        <v>23110139</v>
      </c>
      <c r="AP495" s="27" t="s">
        <v>2842</v>
      </c>
      <c r="AQ495" s="27">
        <v>60.029951219512206</v>
      </c>
      <c r="AR495" s="27">
        <v>56.1</v>
      </c>
      <c r="AS495" s="29">
        <v>77.891919999999999</v>
      </c>
      <c r="AT495" s="270">
        <v>48</v>
      </c>
      <c r="AU495" s="464">
        <v>62.7239016156134</v>
      </c>
      <c r="AV495" s="29">
        <v>0.383351857136566</v>
      </c>
      <c r="AW495" s="29">
        <v>-1.4740866742343E-2</v>
      </c>
      <c r="AX495" s="29">
        <v>2.19835429444157E-2</v>
      </c>
      <c r="AY495" s="29">
        <v>-3.5495346850020502E-2</v>
      </c>
      <c r="AZ495" s="60">
        <v>-4.40878305117159E-2</v>
      </c>
    </row>
    <row r="496" spans="1:52" ht="15" customHeight="1">
      <c r="A496" s="63" t="s">
        <v>200</v>
      </c>
      <c r="B496" s="27">
        <v>2008</v>
      </c>
      <c r="C496" s="27" t="s">
        <v>189</v>
      </c>
      <c r="D496" s="27" t="s">
        <v>81</v>
      </c>
      <c r="E496" s="27" t="s">
        <v>19</v>
      </c>
      <c r="F496" s="27" t="s">
        <v>1049</v>
      </c>
      <c r="G496" s="43">
        <v>796</v>
      </c>
      <c r="H496" s="43"/>
      <c r="I496" s="43"/>
      <c r="J496" s="43"/>
      <c r="K496" s="27" t="s">
        <v>567</v>
      </c>
      <c r="L496" s="28">
        <v>26.43</v>
      </c>
      <c r="M496" s="27" t="s">
        <v>568</v>
      </c>
      <c r="N496" s="27" t="s">
        <v>1075</v>
      </c>
      <c r="O496" s="18"/>
      <c r="P496" s="213">
        <v>450138</v>
      </c>
      <c r="Q496" s="213">
        <v>451636</v>
      </c>
      <c r="R496" s="27"/>
      <c r="S496" s="27"/>
      <c r="T496" s="18"/>
      <c r="U496" s="27"/>
      <c r="V496" s="27"/>
      <c r="W496" s="30"/>
      <c r="X496" s="27">
        <v>1</v>
      </c>
      <c r="Y496" s="27" t="s">
        <v>1051</v>
      </c>
      <c r="Z496" s="27">
        <v>1</v>
      </c>
      <c r="AA496" s="54" t="s">
        <v>1076</v>
      </c>
      <c r="AB496" s="27"/>
      <c r="AC496" s="273">
        <v>91193482</v>
      </c>
      <c r="AD496" s="27">
        <v>28528014620.735378</v>
      </c>
      <c r="AE496" s="228">
        <v>3.1966291104504932E-3</v>
      </c>
      <c r="AF496" s="27">
        <v>4854612248.0105391</v>
      </c>
      <c r="AG496" s="226">
        <v>1.8784915733974811E-2</v>
      </c>
      <c r="AH496" s="226">
        <v>6.5595048177573848E-2</v>
      </c>
      <c r="AI496" s="27">
        <v>1306930000</v>
      </c>
      <c r="AJ496" s="226">
        <v>6.9776867927126937E-2</v>
      </c>
      <c r="AK496" s="27">
        <v>925187726.45792925</v>
      </c>
      <c r="AL496" s="226">
        <v>9.8567544069281171E-2</v>
      </c>
      <c r="AM496" s="27">
        <v>1642631670.6560946</v>
      </c>
      <c r="AN496" s="271">
        <v>5.5516695330472834E-2</v>
      </c>
      <c r="AO496" s="27">
        <v>23110139</v>
      </c>
      <c r="AP496" s="27" t="s">
        <v>2842</v>
      </c>
      <c r="AQ496" s="27">
        <v>60.029951219512206</v>
      </c>
      <c r="AR496" s="27">
        <v>56.1</v>
      </c>
      <c r="AS496" s="29">
        <v>77.891919999999999</v>
      </c>
      <c r="AT496" s="270">
        <v>48</v>
      </c>
      <c r="AU496" s="464">
        <v>62.7239016156134</v>
      </c>
      <c r="AV496" s="29">
        <v>0.383351857136566</v>
      </c>
      <c r="AW496" s="29">
        <v>-1.4740866742343E-2</v>
      </c>
      <c r="AX496" s="29">
        <v>2.19835429444157E-2</v>
      </c>
      <c r="AY496" s="29">
        <v>-3.5495346850020502E-2</v>
      </c>
      <c r="AZ496" s="60">
        <v>-4.40878305117159E-2</v>
      </c>
    </row>
    <row r="497" spans="1:52" ht="15" customHeight="1">
      <c r="A497" s="63" t="s">
        <v>200</v>
      </c>
      <c r="B497" s="27">
        <v>2008</v>
      </c>
      <c r="C497" s="27" t="s">
        <v>189</v>
      </c>
      <c r="D497" s="27" t="s">
        <v>81</v>
      </c>
      <c r="E497" s="27" t="s">
        <v>19</v>
      </c>
      <c r="F497" s="27" t="s">
        <v>904</v>
      </c>
      <c r="G497" s="43">
        <v>643000</v>
      </c>
      <c r="H497" s="43"/>
      <c r="I497" s="43"/>
      <c r="J497" s="43"/>
      <c r="K497" s="27" t="s">
        <v>905</v>
      </c>
      <c r="L497" s="28">
        <v>28.7</v>
      </c>
      <c r="M497" s="27" t="s">
        <v>906</v>
      </c>
      <c r="N497" s="27" t="s">
        <v>1077</v>
      </c>
      <c r="O497" s="18">
        <f>G497*L497</f>
        <v>18454100</v>
      </c>
      <c r="P497" s="244"/>
      <c r="Q497" s="244"/>
      <c r="R497" s="27"/>
      <c r="S497" s="27"/>
      <c r="T497" s="18"/>
      <c r="U497" s="27"/>
      <c r="V497" s="27"/>
      <c r="W497" s="30"/>
      <c r="X497" s="27"/>
      <c r="Y497" s="27"/>
      <c r="Z497" s="27"/>
      <c r="AA497" s="27"/>
      <c r="AB497" s="27"/>
      <c r="AC497" s="273">
        <v>91193482</v>
      </c>
      <c r="AD497" s="27">
        <v>28528014620.735378</v>
      </c>
      <c r="AE497" s="228">
        <v>3.1966291104504932E-3</v>
      </c>
      <c r="AF497" s="27">
        <v>4854612248.0105391</v>
      </c>
      <c r="AG497" s="226">
        <v>1.8784915733974811E-2</v>
      </c>
      <c r="AH497" s="226">
        <v>6.5595048177573848E-2</v>
      </c>
      <c r="AI497" s="27">
        <v>1306930000</v>
      </c>
      <c r="AJ497" s="226">
        <v>6.9776867927126937E-2</v>
      </c>
      <c r="AK497" s="27">
        <v>925187726.45792925</v>
      </c>
      <c r="AL497" s="226">
        <v>9.8567544069281171E-2</v>
      </c>
      <c r="AM497" s="27">
        <v>1642631670.6560946</v>
      </c>
      <c r="AN497" s="271">
        <v>5.5516695330472834E-2</v>
      </c>
      <c r="AO497" s="27">
        <v>23110139</v>
      </c>
      <c r="AP497" s="27" t="s">
        <v>2842</v>
      </c>
      <c r="AQ497" s="27">
        <v>60.029951219512206</v>
      </c>
      <c r="AR497" s="27">
        <v>56.1</v>
      </c>
      <c r="AS497" s="29">
        <v>77.891919999999999</v>
      </c>
      <c r="AT497" s="270">
        <v>48</v>
      </c>
      <c r="AU497" s="464">
        <v>62.7239016156134</v>
      </c>
      <c r="AV497" s="29">
        <v>0.383351857136566</v>
      </c>
      <c r="AW497" s="29">
        <v>-1.4740866742343E-2</v>
      </c>
      <c r="AX497" s="29">
        <v>2.19835429444157E-2</v>
      </c>
      <c r="AY497" s="29">
        <v>-3.5495346850020502E-2</v>
      </c>
      <c r="AZ497" s="60">
        <v>-4.40878305117159E-2</v>
      </c>
    </row>
    <row r="498" spans="1:52" ht="15" customHeight="1">
      <c r="A498" s="63" t="s">
        <v>200</v>
      </c>
      <c r="B498" s="27">
        <v>2008</v>
      </c>
      <c r="C498" s="27" t="s">
        <v>189</v>
      </c>
      <c r="D498" s="27" t="s">
        <v>81</v>
      </c>
      <c r="E498" s="27" t="s">
        <v>19</v>
      </c>
      <c r="F498" s="27" t="s">
        <v>730</v>
      </c>
      <c r="G498" s="43">
        <f>72980*32.150743126506</f>
        <v>2346361.233372408</v>
      </c>
      <c r="H498" s="43"/>
      <c r="I498" s="43"/>
      <c r="J498" s="43"/>
      <c r="K498" s="27" t="s">
        <v>731</v>
      </c>
      <c r="L498" s="28">
        <f>871.70725*1.0929</f>
        <v>952.68885352500001</v>
      </c>
      <c r="M498" s="27" t="s">
        <v>732</v>
      </c>
      <c r="N498" s="27" t="s">
        <v>1072</v>
      </c>
      <c r="O498" s="18">
        <f>G498*L498</f>
        <v>2235352193.3770642</v>
      </c>
      <c r="P498" s="213">
        <v>86750625</v>
      </c>
      <c r="Q498" s="213">
        <v>86396099</v>
      </c>
      <c r="R498" s="27"/>
      <c r="S498" s="27"/>
      <c r="T498" s="18"/>
      <c r="U498" s="27"/>
      <c r="V498" s="27"/>
      <c r="W498" s="30"/>
      <c r="X498" s="27">
        <v>9</v>
      </c>
      <c r="Y498" s="27" t="s">
        <v>1070</v>
      </c>
      <c r="Z498" s="27">
        <v>9</v>
      </c>
      <c r="AA498" s="54" t="s">
        <v>1076</v>
      </c>
      <c r="AB498" s="27"/>
      <c r="AC498" s="273">
        <v>91193482</v>
      </c>
      <c r="AD498" s="27">
        <v>28528014620.735378</v>
      </c>
      <c r="AE498" s="228">
        <v>3.1966291104504932E-3</v>
      </c>
      <c r="AF498" s="27">
        <v>4854612248.0105391</v>
      </c>
      <c r="AG498" s="226">
        <v>1.8784915733974811E-2</v>
      </c>
      <c r="AH498" s="226">
        <v>6.5595048177573848E-2</v>
      </c>
      <c r="AI498" s="27">
        <v>1306930000</v>
      </c>
      <c r="AJ498" s="226">
        <v>6.9776867927126937E-2</v>
      </c>
      <c r="AK498" s="27">
        <v>925187726.45792925</v>
      </c>
      <c r="AL498" s="226">
        <v>9.8567544069281171E-2</v>
      </c>
      <c r="AM498" s="27">
        <v>1642631670.6560946</v>
      </c>
      <c r="AN498" s="271">
        <v>5.5516695330472834E-2</v>
      </c>
      <c r="AO498" s="27">
        <v>23110139</v>
      </c>
      <c r="AP498" s="27" t="s">
        <v>2842</v>
      </c>
      <c r="AQ498" s="27">
        <v>60.029951219512206</v>
      </c>
      <c r="AR498" s="27">
        <v>56.1</v>
      </c>
      <c r="AS498" s="29">
        <v>77.891919999999999</v>
      </c>
      <c r="AT498" s="270">
        <v>48</v>
      </c>
      <c r="AU498" s="464">
        <v>62.7239016156134</v>
      </c>
      <c r="AV498" s="29">
        <v>0.383351857136566</v>
      </c>
      <c r="AW498" s="29">
        <v>-1.4740866742343E-2</v>
      </c>
      <c r="AX498" s="29">
        <v>2.19835429444157E-2</v>
      </c>
      <c r="AY498" s="29">
        <v>-3.5495346850020502E-2</v>
      </c>
      <c r="AZ498" s="60">
        <v>-4.40878305117159E-2</v>
      </c>
    </row>
    <row r="499" spans="1:52" ht="15" customHeight="1">
      <c r="A499" s="63" t="s">
        <v>200</v>
      </c>
      <c r="B499" s="27">
        <v>2008</v>
      </c>
      <c r="C499" s="27" t="s">
        <v>189</v>
      </c>
      <c r="D499" s="27" t="s">
        <v>81</v>
      </c>
      <c r="E499" s="27" t="s">
        <v>19</v>
      </c>
      <c r="F499" s="27" t="s">
        <v>784</v>
      </c>
      <c r="G499" s="43"/>
      <c r="H499" s="43"/>
      <c r="I499" s="43"/>
      <c r="J499" s="43"/>
      <c r="K499" s="27"/>
      <c r="L499" s="28">
        <v>12.15</v>
      </c>
      <c r="M499" s="27" t="s">
        <v>568</v>
      </c>
      <c r="N499" s="27" t="s">
        <v>785</v>
      </c>
      <c r="O499" s="18"/>
      <c r="P499" s="213">
        <v>3992719</v>
      </c>
      <c r="Q499" s="213">
        <v>3992719</v>
      </c>
      <c r="R499" s="27"/>
      <c r="S499" s="27"/>
      <c r="T499" s="18"/>
      <c r="U499" s="27"/>
      <c r="V499" s="27"/>
      <c r="W499" s="30"/>
      <c r="X499" s="27">
        <v>1</v>
      </c>
      <c r="Y499" s="27" t="s">
        <v>1056</v>
      </c>
      <c r="Z499" s="27">
        <v>1</v>
      </c>
      <c r="AA499" s="54" t="s">
        <v>1076</v>
      </c>
      <c r="AB499" s="27"/>
      <c r="AC499" s="273">
        <v>91193482</v>
      </c>
      <c r="AD499" s="27">
        <v>28528014620.735378</v>
      </c>
      <c r="AE499" s="228">
        <v>3.1966291104504932E-3</v>
      </c>
      <c r="AF499" s="27">
        <v>4854612248.0105391</v>
      </c>
      <c r="AG499" s="226">
        <v>1.8784915733974811E-2</v>
      </c>
      <c r="AH499" s="226">
        <v>6.5595048177573848E-2</v>
      </c>
      <c r="AI499" s="27">
        <v>1306930000</v>
      </c>
      <c r="AJ499" s="226">
        <v>6.9776867927126937E-2</v>
      </c>
      <c r="AK499" s="27">
        <v>925187726.45792925</v>
      </c>
      <c r="AL499" s="226">
        <v>9.8567544069281171E-2</v>
      </c>
      <c r="AM499" s="27">
        <v>1642631670.6560946</v>
      </c>
      <c r="AN499" s="271">
        <v>5.5516695330472834E-2</v>
      </c>
      <c r="AO499" s="27">
        <v>23110139</v>
      </c>
      <c r="AP499" s="27" t="s">
        <v>2842</v>
      </c>
      <c r="AQ499" s="27">
        <v>60.029951219512206</v>
      </c>
      <c r="AR499" s="27">
        <v>56.1</v>
      </c>
      <c r="AS499" s="29">
        <v>77.891919999999999</v>
      </c>
      <c r="AT499" s="270">
        <v>48</v>
      </c>
      <c r="AU499" s="464">
        <v>62.7239016156134</v>
      </c>
      <c r="AV499" s="29">
        <v>0.383351857136566</v>
      </c>
      <c r="AW499" s="29">
        <v>-1.4740866742343E-2</v>
      </c>
      <c r="AX499" s="29">
        <v>2.19835429444157E-2</v>
      </c>
      <c r="AY499" s="29">
        <v>-3.5495346850020502E-2</v>
      </c>
      <c r="AZ499" s="60">
        <v>-4.40878305117159E-2</v>
      </c>
    </row>
    <row r="500" spans="1:52" ht="15" customHeight="1">
      <c r="A500" s="63" t="s">
        <v>200</v>
      </c>
      <c r="B500" s="27">
        <v>2008</v>
      </c>
      <c r="C500" s="27" t="s">
        <v>189</v>
      </c>
      <c r="D500" s="27" t="s">
        <v>81</v>
      </c>
      <c r="E500" s="27" t="s">
        <v>19</v>
      </c>
      <c r="F500" s="27" t="s">
        <v>787</v>
      </c>
      <c r="G500" s="43">
        <v>914</v>
      </c>
      <c r="H500" s="43"/>
      <c r="I500" s="43"/>
      <c r="J500" s="43"/>
      <c r="K500" s="27" t="s">
        <v>567</v>
      </c>
      <c r="L500" s="28"/>
      <c r="M500" s="27"/>
      <c r="N500" s="27" t="s">
        <v>788</v>
      </c>
      <c r="O500" s="18"/>
      <c r="P500" s="244"/>
      <c r="Q500" s="244"/>
      <c r="R500" s="27"/>
      <c r="S500" s="27"/>
      <c r="T500" s="18"/>
      <c r="U500" s="27"/>
      <c r="V500" s="27"/>
      <c r="W500" s="30"/>
      <c r="X500" s="27"/>
      <c r="Y500" s="27"/>
      <c r="Z500" s="27"/>
      <c r="AA500" s="27"/>
      <c r="AB500" s="27"/>
      <c r="AC500" s="273">
        <v>91193482</v>
      </c>
      <c r="AD500" s="27">
        <v>28528014620.735378</v>
      </c>
      <c r="AE500" s="228">
        <v>3.1966291104504932E-3</v>
      </c>
      <c r="AF500" s="27">
        <v>4854612248.0105391</v>
      </c>
      <c r="AG500" s="226">
        <v>1.8784915733974811E-2</v>
      </c>
      <c r="AH500" s="226">
        <v>6.5595048177573848E-2</v>
      </c>
      <c r="AI500" s="27">
        <v>1306930000</v>
      </c>
      <c r="AJ500" s="226">
        <v>6.9776867927126937E-2</v>
      </c>
      <c r="AK500" s="27">
        <v>925187726.45792925</v>
      </c>
      <c r="AL500" s="226">
        <v>9.8567544069281171E-2</v>
      </c>
      <c r="AM500" s="27">
        <v>1642631670.6560946</v>
      </c>
      <c r="AN500" s="271">
        <v>5.5516695330472834E-2</v>
      </c>
      <c r="AO500" s="27">
        <v>23110139</v>
      </c>
      <c r="AP500" s="27" t="s">
        <v>2842</v>
      </c>
      <c r="AQ500" s="27">
        <v>60.029951219512206</v>
      </c>
      <c r="AR500" s="27">
        <v>56.1</v>
      </c>
      <c r="AS500" s="29">
        <v>77.891919999999999</v>
      </c>
      <c r="AT500" s="270">
        <v>48</v>
      </c>
      <c r="AU500" s="464">
        <v>62.7239016156134</v>
      </c>
      <c r="AV500" s="29">
        <v>0.383351857136566</v>
      </c>
      <c r="AW500" s="29">
        <v>-1.4740866742343E-2</v>
      </c>
      <c r="AX500" s="29">
        <v>2.19835429444157E-2</v>
      </c>
      <c r="AY500" s="29">
        <v>-3.5495346850020502E-2</v>
      </c>
      <c r="AZ500" s="60">
        <v>-4.40878305117159E-2</v>
      </c>
    </row>
    <row r="501" spans="1:52" ht="15" customHeight="1">
      <c r="A501" s="63" t="s">
        <v>200</v>
      </c>
      <c r="B501" s="27">
        <v>2008</v>
      </c>
      <c r="C501" s="27" t="s">
        <v>189</v>
      </c>
      <c r="D501" s="27" t="s">
        <v>81</v>
      </c>
      <c r="E501" s="27" t="s">
        <v>19</v>
      </c>
      <c r="F501" s="27" t="s">
        <v>789</v>
      </c>
      <c r="G501" s="43">
        <v>256</v>
      </c>
      <c r="H501" s="43"/>
      <c r="I501" s="43"/>
      <c r="J501" s="43"/>
      <c r="K501" s="27" t="s">
        <v>567</v>
      </c>
      <c r="L501" s="28"/>
      <c r="M501" s="27"/>
      <c r="N501" s="27" t="s">
        <v>788</v>
      </c>
      <c r="O501" s="18"/>
      <c r="P501" s="244"/>
      <c r="Q501" s="244"/>
      <c r="R501" s="27"/>
      <c r="S501" s="27"/>
      <c r="T501" s="18"/>
      <c r="U501" s="27"/>
      <c r="V501" s="27"/>
      <c r="W501" s="30"/>
      <c r="X501" s="27"/>
      <c r="Y501" s="27"/>
      <c r="Z501" s="27"/>
      <c r="AA501" s="27"/>
      <c r="AB501" s="27"/>
      <c r="AC501" s="273">
        <v>91193482</v>
      </c>
      <c r="AD501" s="27">
        <v>28528014620.735378</v>
      </c>
      <c r="AE501" s="228">
        <v>3.1966291104504932E-3</v>
      </c>
      <c r="AF501" s="27">
        <v>4854612248.0105391</v>
      </c>
      <c r="AG501" s="226">
        <v>1.8784915733974811E-2</v>
      </c>
      <c r="AH501" s="226">
        <v>6.5595048177573848E-2</v>
      </c>
      <c r="AI501" s="27">
        <v>1306930000</v>
      </c>
      <c r="AJ501" s="226">
        <v>6.9776867927126937E-2</v>
      </c>
      <c r="AK501" s="27">
        <v>925187726.45792925</v>
      </c>
      <c r="AL501" s="226">
        <v>9.8567544069281171E-2</v>
      </c>
      <c r="AM501" s="27">
        <v>1642631670.6560946</v>
      </c>
      <c r="AN501" s="271">
        <v>5.5516695330472834E-2</v>
      </c>
      <c r="AO501" s="27">
        <v>23110139</v>
      </c>
      <c r="AP501" s="27" t="s">
        <v>2842</v>
      </c>
      <c r="AQ501" s="27">
        <v>60.029951219512206</v>
      </c>
      <c r="AR501" s="27">
        <v>56.1</v>
      </c>
      <c r="AS501" s="29">
        <v>77.891919999999999</v>
      </c>
      <c r="AT501" s="270">
        <v>48</v>
      </c>
      <c r="AU501" s="464">
        <v>62.7239016156134</v>
      </c>
      <c r="AV501" s="29">
        <v>0.383351857136566</v>
      </c>
      <c r="AW501" s="29">
        <v>-1.4740866742343E-2</v>
      </c>
      <c r="AX501" s="29">
        <v>2.19835429444157E-2</v>
      </c>
      <c r="AY501" s="29">
        <v>-3.5495346850020502E-2</v>
      </c>
      <c r="AZ501" s="60">
        <v>-4.40878305117159E-2</v>
      </c>
    </row>
    <row r="502" spans="1:52" ht="15" customHeight="1">
      <c r="A502" s="63" t="s">
        <v>200</v>
      </c>
      <c r="B502" s="27">
        <v>2008</v>
      </c>
      <c r="C502" s="27" t="s">
        <v>189</v>
      </c>
      <c r="D502" s="27" t="s">
        <v>81</v>
      </c>
      <c r="E502" s="27" t="s">
        <v>19</v>
      </c>
      <c r="F502" s="27" t="s">
        <v>1058</v>
      </c>
      <c r="G502" s="43">
        <v>239</v>
      </c>
      <c r="H502" s="43"/>
      <c r="I502" s="43"/>
      <c r="J502" s="43"/>
      <c r="K502" s="27" t="s">
        <v>567</v>
      </c>
      <c r="L502" s="28">
        <v>65.58</v>
      </c>
      <c r="M502" s="27" t="s">
        <v>568</v>
      </c>
      <c r="N502" s="27" t="s">
        <v>1078</v>
      </c>
      <c r="O502" s="18">
        <f>G502*L502</f>
        <v>15673.619999999999</v>
      </c>
      <c r="P502" s="244"/>
      <c r="Q502" s="244"/>
      <c r="R502" s="27"/>
      <c r="S502" s="27"/>
      <c r="T502" s="18"/>
      <c r="U502" s="27"/>
      <c r="V502" s="27"/>
      <c r="W502" s="30"/>
      <c r="X502" s="27"/>
      <c r="Y502" s="27"/>
      <c r="Z502" s="27"/>
      <c r="AA502" s="27"/>
      <c r="AB502" s="27"/>
      <c r="AC502" s="273">
        <v>91193482</v>
      </c>
      <c r="AD502" s="27">
        <v>28528014620.735378</v>
      </c>
      <c r="AE502" s="228">
        <v>3.1966291104504932E-3</v>
      </c>
      <c r="AF502" s="27">
        <v>4854612248.0105391</v>
      </c>
      <c r="AG502" s="226">
        <v>1.8784915733974811E-2</v>
      </c>
      <c r="AH502" s="226">
        <v>6.5595048177573848E-2</v>
      </c>
      <c r="AI502" s="27">
        <v>1306930000</v>
      </c>
      <c r="AJ502" s="226">
        <v>6.9776867927126937E-2</v>
      </c>
      <c r="AK502" s="27">
        <v>925187726.45792925</v>
      </c>
      <c r="AL502" s="226">
        <v>9.8567544069281171E-2</v>
      </c>
      <c r="AM502" s="27">
        <v>1642631670.6560946</v>
      </c>
      <c r="AN502" s="271">
        <v>5.5516695330472834E-2</v>
      </c>
      <c r="AO502" s="27">
        <v>23110139</v>
      </c>
      <c r="AP502" s="27" t="s">
        <v>2842</v>
      </c>
      <c r="AQ502" s="27">
        <v>60.029951219512206</v>
      </c>
      <c r="AR502" s="27">
        <v>56.1</v>
      </c>
      <c r="AS502" s="29">
        <v>77.891919999999999</v>
      </c>
      <c r="AT502" s="270">
        <v>48</v>
      </c>
      <c r="AU502" s="464">
        <v>62.7239016156134</v>
      </c>
      <c r="AV502" s="29">
        <v>0.383351857136566</v>
      </c>
      <c r="AW502" s="29">
        <v>-1.4740866742343E-2</v>
      </c>
      <c r="AX502" s="29">
        <v>2.19835429444157E-2</v>
      </c>
      <c r="AY502" s="29">
        <v>-3.5495346850020502E-2</v>
      </c>
      <c r="AZ502" s="60">
        <v>-4.40878305117159E-2</v>
      </c>
    </row>
    <row r="503" spans="1:52" s="287" customFormat="1" ht="15" customHeight="1">
      <c r="A503" s="359" t="s">
        <v>200</v>
      </c>
      <c r="B503" s="284">
        <v>2008</v>
      </c>
      <c r="C503" s="284" t="s">
        <v>189</v>
      </c>
      <c r="D503" s="284" t="s">
        <v>81</v>
      </c>
      <c r="E503" s="284" t="s">
        <v>19</v>
      </c>
      <c r="F503" s="284" t="s">
        <v>735</v>
      </c>
      <c r="G503" s="303">
        <f>3200*32.150743126506</f>
        <v>102882.3780048192</v>
      </c>
      <c r="H503" s="303"/>
      <c r="I503" s="303"/>
      <c r="J503" s="303"/>
      <c r="K503" s="284" t="s">
        <v>731</v>
      </c>
      <c r="L503" s="304">
        <f>14.99653333333/1</f>
        <v>14.996533333329999</v>
      </c>
      <c r="M503" s="284" t="s">
        <v>732</v>
      </c>
      <c r="N503" s="284" t="s">
        <v>1074</v>
      </c>
      <c r="O503" s="305">
        <f>G503*L503</f>
        <v>1542879.0111615283</v>
      </c>
      <c r="P503" s="374"/>
      <c r="Q503" s="374"/>
      <c r="R503" s="284"/>
      <c r="S503" s="284"/>
      <c r="T503" s="305"/>
      <c r="U503" s="284"/>
      <c r="V503" s="284"/>
      <c r="W503" s="307"/>
      <c r="X503" s="284"/>
      <c r="Y503" s="284"/>
      <c r="Z503" s="284"/>
      <c r="AA503" s="284"/>
      <c r="AB503" s="284"/>
      <c r="AC503" s="308">
        <v>91193482</v>
      </c>
      <c r="AD503" s="284">
        <v>28528014620.735378</v>
      </c>
      <c r="AE503" s="309">
        <v>3.1966291104504932E-3</v>
      </c>
      <c r="AF503" s="284">
        <v>4854612248.0105391</v>
      </c>
      <c r="AG503" s="310">
        <v>1.8784915733974811E-2</v>
      </c>
      <c r="AH503" s="310">
        <v>6.5595048177573848E-2</v>
      </c>
      <c r="AI503" s="284">
        <v>1306930000</v>
      </c>
      <c r="AJ503" s="310">
        <v>6.9776867927126937E-2</v>
      </c>
      <c r="AK503" s="284">
        <v>925187726.45792925</v>
      </c>
      <c r="AL503" s="310">
        <v>9.8567544069281171E-2</v>
      </c>
      <c r="AM503" s="284">
        <v>1642631670.6560946</v>
      </c>
      <c r="AN503" s="311">
        <v>5.5516695330472834E-2</v>
      </c>
      <c r="AO503" s="284">
        <v>23110139</v>
      </c>
      <c r="AP503" s="284" t="s">
        <v>2842</v>
      </c>
      <c r="AQ503" s="284">
        <v>60.029951219512206</v>
      </c>
      <c r="AR503" s="284">
        <v>56.1</v>
      </c>
      <c r="AS503" s="287">
        <v>77.891919999999999</v>
      </c>
      <c r="AT503" s="312">
        <v>48</v>
      </c>
      <c r="AU503" s="465">
        <v>62.7239016156134</v>
      </c>
      <c r="AV503" s="287">
        <v>0.383351857136566</v>
      </c>
      <c r="AW503" s="287">
        <v>-1.4740866742343E-2</v>
      </c>
      <c r="AX503" s="287">
        <v>2.19835429444157E-2</v>
      </c>
      <c r="AY503" s="287">
        <v>-3.5495346850020502E-2</v>
      </c>
      <c r="AZ503" s="313">
        <v>-4.40878305117159E-2</v>
      </c>
    </row>
    <row r="504" spans="1:52" s="29" customFormat="1" ht="15" customHeight="1">
      <c r="A504" s="347" t="s">
        <v>202</v>
      </c>
      <c r="B504" s="27">
        <v>2009</v>
      </c>
      <c r="C504" s="27" t="s">
        <v>189</v>
      </c>
      <c r="D504" s="27" t="s">
        <v>81</v>
      </c>
      <c r="E504" s="27" t="s">
        <v>19</v>
      </c>
      <c r="F504" s="27" t="s">
        <v>659</v>
      </c>
      <c r="G504" s="43"/>
      <c r="H504" s="43"/>
      <c r="I504" s="43"/>
      <c r="J504" s="43"/>
      <c r="K504" s="27"/>
      <c r="L504" s="28"/>
      <c r="M504" s="27"/>
      <c r="N504" s="27"/>
      <c r="O504" s="18">
        <f>SUM(O505:O512)</f>
        <v>2739857191.1794629</v>
      </c>
      <c r="P504" s="213">
        <v>111972313.33333333</v>
      </c>
      <c r="Q504" s="213">
        <v>111975972.38095237</v>
      </c>
      <c r="R504" s="27" t="s">
        <v>619</v>
      </c>
      <c r="S504" s="18"/>
      <c r="T504" s="18"/>
      <c r="U504" s="29" t="s">
        <v>670</v>
      </c>
      <c r="V504" s="27" t="s">
        <v>1045</v>
      </c>
      <c r="W504" s="30">
        <v>1.05</v>
      </c>
      <c r="X504" s="27">
        <v>10</v>
      </c>
      <c r="Y504" s="27" t="s">
        <v>1079</v>
      </c>
      <c r="Z504" s="27">
        <v>10</v>
      </c>
      <c r="AA504" s="27">
        <v>16</v>
      </c>
      <c r="AB504" s="27" t="s">
        <v>1080</v>
      </c>
      <c r="AC504" s="273">
        <v>111972313.33333333</v>
      </c>
      <c r="AD504" s="27">
        <v>25978508375.922771</v>
      </c>
      <c r="AE504" s="228">
        <v>4.3101902431438585E-3</v>
      </c>
      <c r="AF504" s="27">
        <v>4550655312.210392</v>
      </c>
      <c r="AG504" s="226">
        <v>2.4605755798046802E-2</v>
      </c>
      <c r="AH504" s="226">
        <v>6.4125240068867148E-2</v>
      </c>
      <c r="AI504" s="27">
        <v>1581820000</v>
      </c>
      <c r="AJ504" s="226">
        <v>7.0787013271632254E-2</v>
      </c>
      <c r="AK504" s="27">
        <v>767847132.11776698</v>
      </c>
      <c r="AL504" s="226">
        <v>0.14582630923489573</v>
      </c>
      <c r="AM504" s="27">
        <v>1381352628.0221038</v>
      </c>
      <c r="AN504" s="271">
        <v>8.1059905386839132E-2</v>
      </c>
      <c r="AO504" s="27">
        <v>23691533</v>
      </c>
      <c r="AP504" s="27" t="s">
        <v>2842</v>
      </c>
      <c r="AQ504" s="27">
        <v>60.351024390243907</v>
      </c>
      <c r="AR504" s="27">
        <v>55.6</v>
      </c>
      <c r="AS504" s="29">
        <v>76.468360000000004</v>
      </c>
      <c r="AT504" s="270">
        <v>48</v>
      </c>
      <c r="AU504" s="464">
        <v>62.7239016156134</v>
      </c>
      <c r="AV504" s="29">
        <v>0.48685563342905602</v>
      </c>
      <c r="AW504" s="29">
        <v>3.5919231106770803E-2</v>
      </c>
      <c r="AX504" s="29">
        <v>-3.78100282636896E-2</v>
      </c>
      <c r="AY504" s="29">
        <v>9.0179455574476194E-2</v>
      </c>
      <c r="AZ504" s="60">
        <v>3.13423438627983E-2</v>
      </c>
    </row>
    <row r="505" spans="1:52" s="29" customFormat="1" ht="15" customHeight="1">
      <c r="A505" s="63" t="s">
        <v>202</v>
      </c>
      <c r="B505" s="27">
        <v>2009</v>
      </c>
      <c r="C505" s="27" t="s">
        <v>189</v>
      </c>
      <c r="D505" s="27" t="s">
        <v>81</v>
      </c>
      <c r="E505" s="27" t="s">
        <v>19</v>
      </c>
      <c r="F505" s="27" t="s">
        <v>1049</v>
      </c>
      <c r="G505" s="43">
        <v>490</v>
      </c>
      <c r="H505" s="43"/>
      <c r="I505" s="43"/>
      <c r="J505" s="43"/>
      <c r="K505" s="27" t="s">
        <v>567</v>
      </c>
      <c r="L505" s="28">
        <v>29.8</v>
      </c>
      <c r="M505" s="27" t="s">
        <v>568</v>
      </c>
      <c r="N505" s="27" t="s">
        <v>1081</v>
      </c>
      <c r="O505" s="18"/>
      <c r="P505" s="213">
        <v>563882</v>
      </c>
      <c r="Q505" s="213">
        <v>565789</v>
      </c>
      <c r="R505" s="27"/>
      <c r="S505" s="27"/>
      <c r="T505" s="18"/>
      <c r="U505" s="27"/>
      <c r="V505" s="27"/>
      <c r="W505" s="30"/>
      <c r="X505" s="27">
        <v>1</v>
      </c>
      <c r="Y505" s="27" t="s">
        <v>1051</v>
      </c>
      <c r="Z505" s="27">
        <v>1</v>
      </c>
      <c r="AA505" s="54" t="s">
        <v>1082</v>
      </c>
      <c r="AB505" s="27"/>
      <c r="AC505" s="273">
        <v>111972313.33333333</v>
      </c>
      <c r="AD505" s="27">
        <v>25978508375.922771</v>
      </c>
      <c r="AE505" s="228">
        <v>4.3101902431438585E-3</v>
      </c>
      <c r="AF505" s="27">
        <v>4550655312.210392</v>
      </c>
      <c r="AG505" s="226">
        <v>2.4605755798046802E-2</v>
      </c>
      <c r="AH505" s="226">
        <v>6.4125240068867148E-2</v>
      </c>
      <c r="AI505" s="27">
        <v>1581820000</v>
      </c>
      <c r="AJ505" s="226">
        <v>7.0787013271632254E-2</v>
      </c>
      <c r="AK505" s="27">
        <v>767847132.11776698</v>
      </c>
      <c r="AL505" s="226">
        <v>0.14582630923489573</v>
      </c>
      <c r="AM505" s="27">
        <v>1381352628.0221038</v>
      </c>
      <c r="AN505" s="271">
        <v>8.1059905386839132E-2</v>
      </c>
      <c r="AO505" s="27">
        <v>23691533</v>
      </c>
      <c r="AP505" s="27" t="s">
        <v>2842</v>
      </c>
      <c r="AQ505" s="27">
        <v>60.351024390243907</v>
      </c>
      <c r="AR505" s="27">
        <v>55.6</v>
      </c>
      <c r="AS505" s="29">
        <v>76.468360000000004</v>
      </c>
      <c r="AT505" s="270">
        <v>48</v>
      </c>
      <c r="AU505" s="464">
        <v>62.7239016156134</v>
      </c>
      <c r="AV505" s="29">
        <v>0.48685563342905602</v>
      </c>
      <c r="AW505" s="29">
        <v>3.5919231106770803E-2</v>
      </c>
      <c r="AX505" s="29">
        <v>-3.78100282636896E-2</v>
      </c>
      <c r="AY505" s="29">
        <v>9.0179455574476194E-2</v>
      </c>
      <c r="AZ505" s="60">
        <v>3.13423438627983E-2</v>
      </c>
    </row>
    <row r="506" spans="1:52" s="29" customFormat="1" ht="15" customHeight="1">
      <c r="A506" s="63" t="s">
        <v>202</v>
      </c>
      <c r="B506" s="27">
        <v>2009</v>
      </c>
      <c r="C506" s="27" t="s">
        <v>189</v>
      </c>
      <c r="D506" s="27" t="s">
        <v>81</v>
      </c>
      <c r="E506" s="27" t="s">
        <v>19</v>
      </c>
      <c r="F506" s="27" t="s">
        <v>904</v>
      </c>
      <c r="G506" s="43">
        <v>376000</v>
      </c>
      <c r="H506" s="43"/>
      <c r="I506" s="43"/>
      <c r="J506" s="43"/>
      <c r="K506" s="27" t="s">
        <v>905</v>
      </c>
      <c r="L506" s="28">
        <v>18.559999999999999</v>
      </c>
      <c r="M506" s="27" t="s">
        <v>906</v>
      </c>
      <c r="N506" s="27" t="s">
        <v>1083</v>
      </c>
      <c r="O506" s="18">
        <f>G506*L506</f>
        <v>6978559.9999999991</v>
      </c>
      <c r="P506" s="244"/>
      <c r="Q506" s="244"/>
      <c r="R506" s="27"/>
      <c r="S506" s="27"/>
      <c r="T506" s="18"/>
      <c r="U506" s="27"/>
      <c r="V506" s="27"/>
      <c r="W506" s="30"/>
      <c r="X506" s="27"/>
      <c r="Y506" s="27"/>
      <c r="Z506" s="27"/>
      <c r="AA506" s="27"/>
      <c r="AB506" s="27"/>
      <c r="AC506" s="273">
        <v>111972313.33333333</v>
      </c>
      <c r="AD506" s="27">
        <v>25978508375.922771</v>
      </c>
      <c r="AE506" s="228">
        <v>4.3101902431438585E-3</v>
      </c>
      <c r="AF506" s="27">
        <v>4550655312.210392</v>
      </c>
      <c r="AG506" s="226">
        <v>2.4605755798046802E-2</v>
      </c>
      <c r="AH506" s="226">
        <v>6.4125240068867148E-2</v>
      </c>
      <c r="AI506" s="27">
        <v>1581820000</v>
      </c>
      <c r="AJ506" s="226">
        <v>7.0787013271632254E-2</v>
      </c>
      <c r="AK506" s="27">
        <v>767847132.11776698</v>
      </c>
      <c r="AL506" s="226">
        <v>0.14582630923489573</v>
      </c>
      <c r="AM506" s="27">
        <v>1381352628.0221038</v>
      </c>
      <c r="AN506" s="271">
        <v>8.1059905386839132E-2</v>
      </c>
      <c r="AO506" s="27">
        <v>23691533</v>
      </c>
      <c r="AP506" s="27" t="s">
        <v>2842</v>
      </c>
      <c r="AQ506" s="27">
        <v>60.351024390243907</v>
      </c>
      <c r="AR506" s="27">
        <v>55.6</v>
      </c>
      <c r="AS506" s="29">
        <v>76.468360000000004</v>
      </c>
      <c r="AT506" s="270">
        <v>48</v>
      </c>
      <c r="AU506" s="464">
        <v>62.7239016156134</v>
      </c>
      <c r="AV506" s="29">
        <v>0.48685563342905602</v>
      </c>
      <c r="AW506" s="29">
        <v>3.5919231106770803E-2</v>
      </c>
      <c r="AX506" s="29">
        <v>-3.78100282636896E-2</v>
      </c>
      <c r="AY506" s="29">
        <v>9.0179455574476194E-2</v>
      </c>
      <c r="AZ506" s="60">
        <v>3.13423438627983E-2</v>
      </c>
    </row>
    <row r="507" spans="1:52" s="29" customFormat="1" ht="15" customHeight="1">
      <c r="A507" s="63" t="s">
        <v>202</v>
      </c>
      <c r="B507" s="27">
        <v>2009</v>
      </c>
      <c r="C507" s="27" t="s">
        <v>189</v>
      </c>
      <c r="D507" s="27" t="s">
        <v>81</v>
      </c>
      <c r="E507" s="27" t="s">
        <v>19</v>
      </c>
      <c r="F507" s="27" t="s">
        <v>730</v>
      </c>
      <c r="G507" s="43">
        <f>79883*32.150743126506</f>
        <v>2568297.8131746789</v>
      </c>
      <c r="H507" s="43"/>
      <c r="I507" s="43"/>
      <c r="J507" s="43"/>
      <c r="K507" s="27" t="s">
        <v>731</v>
      </c>
      <c r="L507" s="28">
        <f>972.96591666667*1.0929</f>
        <v>1063.3544503250037</v>
      </c>
      <c r="M507" s="27" t="s">
        <v>732</v>
      </c>
      <c r="N507" s="27" t="s">
        <v>1072</v>
      </c>
      <c r="O507" s="18">
        <f>G507*L507</f>
        <v>2731010909.3992696</v>
      </c>
      <c r="P507" s="213">
        <v>103065649.33333333</v>
      </c>
      <c r="Q507" s="213">
        <v>103067401.38095237</v>
      </c>
      <c r="R507" s="27"/>
      <c r="S507" s="27"/>
      <c r="T507" s="18"/>
      <c r="U507" s="27"/>
      <c r="V507" s="27"/>
      <c r="W507" s="30"/>
      <c r="X507" s="27">
        <v>8</v>
      </c>
      <c r="Y507" s="27" t="s">
        <v>1084</v>
      </c>
      <c r="Z507" s="27">
        <v>8</v>
      </c>
      <c r="AA507" s="54" t="s">
        <v>1082</v>
      </c>
      <c r="AB507" s="27"/>
      <c r="AC507" s="273">
        <v>111972313.33333333</v>
      </c>
      <c r="AD507" s="27">
        <v>25978508375.922771</v>
      </c>
      <c r="AE507" s="228">
        <v>4.3101902431438585E-3</v>
      </c>
      <c r="AF507" s="27">
        <v>4550655312.210392</v>
      </c>
      <c r="AG507" s="226">
        <v>2.4605755798046802E-2</v>
      </c>
      <c r="AH507" s="226">
        <v>6.4125240068867148E-2</v>
      </c>
      <c r="AI507" s="27">
        <v>1581820000</v>
      </c>
      <c r="AJ507" s="226">
        <v>7.0787013271632254E-2</v>
      </c>
      <c r="AK507" s="27">
        <v>767847132.11776698</v>
      </c>
      <c r="AL507" s="226">
        <v>0.14582630923489573</v>
      </c>
      <c r="AM507" s="27">
        <v>1381352628.0221038</v>
      </c>
      <c r="AN507" s="271">
        <v>8.1059905386839132E-2</v>
      </c>
      <c r="AO507" s="27">
        <v>23691533</v>
      </c>
      <c r="AP507" s="27" t="s">
        <v>2842</v>
      </c>
      <c r="AQ507" s="27">
        <v>60.351024390243907</v>
      </c>
      <c r="AR507" s="27">
        <v>55.6</v>
      </c>
      <c r="AS507" s="29">
        <v>76.468360000000004</v>
      </c>
      <c r="AT507" s="270">
        <v>48</v>
      </c>
      <c r="AU507" s="464">
        <v>62.7239016156134</v>
      </c>
      <c r="AV507" s="29">
        <v>0.48685563342905602</v>
      </c>
      <c r="AW507" s="29">
        <v>3.5919231106770803E-2</v>
      </c>
      <c r="AX507" s="29">
        <v>-3.78100282636896E-2</v>
      </c>
      <c r="AY507" s="29">
        <v>9.0179455574476194E-2</v>
      </c>
      <c r="AZ507" s="60">
        <v>3.13423438627983E-2</v>
      </c>
    </row>
    <row r="508" spans="1:52" s="29" customFormat="1" ht="15" customHeight="1">
      <c r="A508" s="63" t="s">
        <v>202</v>
      </c>
      <c r="B508" s="27">
        <v>2009</v>
      </c>
      <c r="C508" s="27" t="s">
        <v>189</v>
      </c>
      <c r="D508" s="27" t="s">
        <v>81</v>
      </c>
      <c r="E508" s="27" t="s">
        <v>19</v>
      </c>
      <c r="F508" s="27" t="s">
        <v>784</v>
      </c>
      <c r="G508" s="43"/>
      <c r="H508" s="43"/>
      <c r="I508" s="43"/>
      <c r="J508" s="43"/>
      <c r="K508" s="27"/>
      <c r="L508" s="28">
        <v>7.95</v>
      </c>
      <c r="M508" s="27" t="s">
        <v>568</v>
      </c>
      <c r="N508" s="27" t="s">
        <v>785</v>
      </c>
      <c r="O508" s="18"/>
      <c r="P508" s="213">
        <v>8342782</v>
      </c>
      <c r="Q508" s="213">
        <v>8342782</v>
      </c>
      <c r="R508" s="27"/>
      <c r="S508" s="27"/>
      <c r="T508" s="18"/>
      <c r="U508" s="27"/>
      <c r="V508" s="27"/>
      <c r="W508" s="30"/>
      <c r="X508" s="27">
        <v>1</v>
      </c>
      <c r="Y508" s="27" t="s">
        <v>1056</v>
      </c>
      <c r="Z508" s="27">
        <v>1</v>
      </c>
      <c r="AA508" s="54" t="s">
        <v>1082</v>
      </c>
      <c r="AB508" s="27"/>
      <c r="AC508" s="273">
        <v>111972313.33333333</v>
      </c>
      <c r="AD508" s="27">
        <v>25978508375.922771</v>
      </c>
      <c r="AE508" s="228">
        <v>4.3101902431438585E-3</v>
      </c>
      <c r="AF508" s="27">
        <v>4550655312.210392</v>
      </c>
      <c r="AG508" s="226">
        <v>2.4605755798046802E-2</v>
      </c>
      <c r="AH508" s="226">
        <v>6.4125240068867148E-2</v>
      </c>
      <c r="AI508" s="27">
        <v>1581820000</v>
      </c>
      <c r="AJ508" s="226">
        <v>7.0787013271632254E-2</v>
      </c>
      <c r="AK508" s="27">
        <v>767847132.11776698</v>
      </c>
      <c r="AL508" s="226">
        <v>0.14582630923489573</v>
      </c>
      <c r="AM508" s="27">
        <v>1381352628.0221038</v>
      </c>
      <c r="AN508" s="271">
        <v>8.1059905386839132E-2</v>
      </c>
      <c r="AO508" s="27">
        <v>23691533</v>
      </c>
      <c r="AP508" s="27" t="s">
        <v>2842</v>
      </c>
      <c r="AQ508" s="27">
        <v>60.351024390243907</v>
      </c>
      <c r="AR508" s="27">
        <v>55.6</v>
      </c>
      <c r="AS508" s="29">
        <v>76.468360000000004</v>
      </c>
      <c r="AT508" s="270">
        <v>48</v>
      </c>
      <c r="AU508" s="464">
        <v>62.7239016156134</v>
      </c>
      <c r="AV508" s="29">
        <v>0.48685563342905602</v>
      </c>
      <c r="AW508" s="29">
        <v>3.5919231106770803E-2</v>
      </c>
      <c r="AX508" s="29">
        <v>-3.78100282636896E-2</v>
      </c>
      <c r="AY508" s="29">
        <v>9.0179455574476194E-2</v>
      </c>
      <c r="AZ508" s="60">
        <v>3.13423438627983E-2</v>
      </c>
    </row>
    <row r="509" spans="1:52" s="29" customFormat="1" ht="15" customHeight="1">
      <c r="A509" s="63" t="s">
        <v>202</v>
      </c>
      <c r="B509" s="27">
        <v>2009</v>
      </c>
      <c r="C509" s="27" t="s">
        <v>189</v>
      </c>
      <c r="D509" s="27" t="s">
        <v>81</v>
      </c>
      <c r="E509" s="27" t="s">
        <v>19</v>
      </c>
      <c r="F509" s="27" t="s">
        <v>787</v>
      </c>
      <c r="G509" s="43">
        <v>882</v>
      </c>
      <c r="H509" s="43"/>
      <c r="I509" s="43"/>
      <c r="J509" s="43"/>
      <c r="K509" s="27" t="s">
        <v>567</v>
      </c>
      <c r="L509" s="28"/>
      <c r="M509" s="27"/>
      <c r="N509" s="27" t="s">
        <v>788</v>
      </c>
      <c r="O509" s="18"/>
      <c r="P509" s="244"/>
      <c r="Q509" s="244"/>
      <c r="R509" s="27"/>
      <c r="S509" s="27"/>
      <c r="T509" s="18"/>
      <c r="U509" s="27"/>
      <c r="V509" s="27"/>
      <c r="W509" s="30"/>
      <c r="X509" s="27"/>
      <c r="Y509" s="27"/>
      <c r="Z509" s="27"/>
      <c r="AA509" s="27"/>
      <c r="AB509" s="27"/>
      <c r="AC509" s="273">
        <v>111972313.33333333</v>
      </c>
      <c r="AD509" s="27">
        <v>25978508375.922771</v>
      </c>
      <c r="AE509" s="228">
        <v>4.3101902431438585E-3</v>
      </c>
      <c r="AF509" s="27">
        <v>4550655312.210392</v>
      </c>
      <c r="AG509" s="226">
        <v>2.4605755798046802E-2</v>
      </c>
      <c r="AH509" s="226">
        <v>6.4125240068867148E-2</v>
      </c>
      <c r="AI509" s="27">
        <v>1581820000</v>
      </c>
      <c r="AJ509" s="226">
        <v>7.0787013271632254E-2</v>
      </c>
      <c r="AK509" s="27">
        <v>767847132.11776698</v>
      </c>
      <c r="AL509" s="226">
        <v>0.14582630923489573</v>
      </c>
      <c r="AM509" s="27">
        <v>1381352628.0221038</v>
      </c>
      <c r="AN509" s="271">
        <v>8.1059905386839132E-2</v>
      </c>
      <c r="AO509" s="27">
        <v>23691533</v>
      </c>
      <c r="AP509" s="27" t="s">
        <v>2842</v>
      </c>
      <c r="AQ509" s="27">
        <v>60.351024390243907</v>
      </c>
      <c r="AR509" s="27">
        <v>55.6</v>
      </c>
      <c r="AS509" s="29">
        <v>76.468360000000004</v>
      </c>
      <c r="AT509" s="270">
        <v>48</v>
      </c>
      <c r="AU509" s="464">
        <v>62.7239016156134</v>
      </c>
      <c r="AV509" s="29">
        <v>0.48685563342905602</v>
      </c>
      <c r="AW509" s="29">
        <v>3.5919231106770803E-2</v>
      </c>
      <c r="AX509" s="29">
        <v>-3.78100282636896E-2</v>
      </c>
      <c r="AY509" s="29">
        <v>9.0179455574476194E-2</v>
      </c>
      <c r="AZ509" s="60">
        <v>3.13423438627983E-2</v>
      </c>
    </row>
    <row r="510" spans="1:52" s="29" customFormat="1" ht="15" customHeight="1">
      <c r="A510" s="63" t="s">
        <v>202</v>
      </c>
      <c r="B510" s="27">
        <v>2009</v>
      </c>
      <c r="C510" s="27" t="s">
        <v>189</v>
      </c>
      <c r="D510" s="27" t="s">
        <v>81</v>
      </c>
      <c r="E510" s="27" t="s">
        <v>19</v>
      </c>
      <c r="F510" s="27" t="s">
        <v>789</v>
      </c>
      <c r="G510" s="43">
        <v>248</v>
      </c>
      <c r="H510" s="43"/>
      <c r="I510" s="43"/>
      <c r="J510" s="43"/>
      <c r="K510" s="27" t="s">
        <v>567</v>
      </c>
      <c r="L510" s="28"/>
      <c r="M510" s="27"/>
      <c r="N510" s="27" t="s">
        <v>788</v>
      </c>
      <c r="O510" s="18"/>
      <c r="P510" s="244"/>
      <c r="Q510" s="244"/>
      <c r="R510" s="27"/>
      <c r="S510" s="27"/>
      <c r="T510" s="18"/>
      <c r="U510" s="27"/>
      <c r="V510" s="27"/>
      <c r="W510" s="30"/>
      <c r="X510" s="27"/>
      <c r="Y510" s="27"/>
      <c r="Z510" s="27"/>
      <c r="AA510" s="27"/>
      <c r="AB510" s="27"/>
      <c r="AC510" s="273">
        <v>111972313.33333333</v>
      </c>
      <c r="AD510" s="27">
        <v>25978508375.922771</v>
      </c>
      <c r="AE510" s="228">
        <v>4.3101902431438585E-3</v>
      </c>
      <c r="AF510" s="27">
        <v>4550655312.210392</v>
      </c>
      <c r="AG510" s="226">
        <v>2.4605755798046802E-2</v>
      </c>
      <c r="AH510" s="226">
        <v>6.4125240068867148E-2</v>
      </c>
      <c r="AI510" s="27">
        <v>1581820000</v>
      </c>
      <c r="AJ510" s="226">
        <v>7.0787013271632254E-2</v>
      </c>
      <c r="AK510" s="27">
        <v>767847132.11776698</v>
      </c>
      <c r="AL510" s="226">
        <v>0.14582630923489573</v>
      </c>
      <c r="AM510" s="27">
        <v>1381352628.0221038</v>
      </c>
      <c r="AN510" s="271">
        <v>8.1059905386839132E-2</v>
      </c>
      <c r="AO510" s="27">
        <v>23691533</v>
      </c>
      <c r="AP510" s="27" t="s">
        <v>2842</v>
      </c>
      <c r="AQ510" s="27">
        <v>60.351024390243907</v>
      </c>
      <c r="AR510" s="27">
        <v>55.6</v>
      </c>
      <c r="AS510" s="29">
        <v>76.468360000000004</v>
      </c>
      <c r="AT510" s="270">
        <v>48</v>
      </c>
      <c r="AU510" s="464">
        <v>62.7239016156134</v>
      </c>
      <c r="AV510" s="29">
        <v>0.48685563342905602</v>
      </c>
      <c r="AW510" s="29">
        <v>3.5919231106770803E-2</v>
      </c>
      <c r="AX510" s="29">
        <v>-3.78100282636896E-2</v>
      </c>
      <c r="AY510" s="29">
        <v>9.0179455574476194E-2</v>
      </c>
      <c r="AZ510" s="60">
        <v>3.13423438627983E-2</v>
      </c>
    </row>
    <row r="511" spans="1:52" s="29" customFormat="1" ht="15" customHeight="1">
      <c r="A511" s="63" t="s">
        <v>202</v>
      </c>
      <c r="B511" s="27">
        <v>2009</v>
      </c>
      <c r="C511" s="27" t="s">
        <v>189</v>
      </c>
      <c r="D511" s="27" t="s">
        <v>81</v>
      </c>
      <c r="E511" s="27" t="s">
        <v>19</v>
      </c>
      <c r="F511" s="27" t="s">
        <v>1058</v>
      </c>
      <c r="G511" s="43">
        <v>250</v>
      </c>
      <c r="H511" s="43"/>
      <c r="I511" s="43"/>
      <c r="J511" s="43"/>
      <c r="K511" s="27" t="s">
        <v>567</v>
      </c>
      <c r="L511" s="28">
        <v>73.67</v>
      </c>
      <c r="M511" s="27" t="s">
        <v>568</v>
      </c>
      <c r="N511" s="27" t="s">
        <v>1078</v>
      </c>
      <c r="O511" s="18">
        <f>G511*L511</f>
        <v>18417.5</v>
      </c>
      <c r="P511" s="244"/>
      <c r="Q511" s="244"/>
      <c r="R511" s="27"/>
      <c r="S511" s="27"/>
      <c r="T511" s="18"/>
      <c r="U511" s="27"/>
      <c r="V511" s="27"/>
      <c r="W511" s="30"/>
      <c r="X511" s="27"/>
      <c r="Y511" s="27"/>
      <c r="Z511" s="27"/>
      <c r="AA511" s="27"/>
      <c r="AB511" s="27"/>
      <c r="AC511" s="273">
        <v>111972313.33333333</v>
      </c>
      <c r="AD511" s="27">
        <v>25978508375.922771</v>
      </c>
      <c r="AE511" s="228">
        <v>4.3101902431438585E-3</v>
      </c>
      <c r="AF511" s="27">
        <v>4550655312.210392</v>
      </c>
      <c r="AG511" s="226">
        <v>2.4605755798046802E-2</v>
      </c>
      <c r="AH511" s="226">
        <v>6.4125240068867148E-2</v>
      </c>
      <c r="AI511" s="27">
        <v>1581820000</v>
      </c>
      <c r="AJ511" s="226">
        <v>7.0787013271632254E-2</v>
      </c>
      <c r="AK511" s="27">
        <v>767847132.11776698</v>
      </c>
      <c r="AL511" s="226">
        <v>0.14582630923489573</v>
      </c>
      <c r="AM511" s="27">
        <v>1381352628.0221038</v>
      </c>
      <c r="AN511" s="271">
        <v>8.1059905386839132E-2</v>
      </c>
      <c r="AO511" s="27">
        <v>23691533</v>
      </c>
      <c r="AP511" s="27" t="s">
        <v>2842</v>
      </c>
      <c r="AQ511" s="27">
        <v>60.351024390243907</v>
      </c>
      <c r="AR511" s="27">
        <v>55.6</v>
      </c>
      <c r="AS511" s="29">
        <v>76.468360000000004</v>
      </c>
      <c r="AT511" s="270">
        <v>48</v>
      </c>
      <c r="AU511" s="464">
        <v>62.7239016156134</v>
      </c>
      <c r="AV511" s="29">
        <v>0.48685563342905602</v>
      </c>
      <c r="AW511" s="29">
        <v>3.5919231106770803E-2</v>
      </c>
      <c r="AX511" s="29">
        <v>-3.78100282636896E-2</v>
      </c>
      <c r="AY511" s="29">
        <v>9.0179455574476194E-2</v>
      </c>
      <c r="AZ511" s="60">
        <v>3.13423438627983E-2</v>
      </c>
    </row>
    <row r="512" spans="1:52" s="287" customFormat="1" ht="15" customHeight="1">
      <c r="A512" s="359" t="s">
        <v>202</v>
      </c>
      <c r="B512" s="284">
        <v>2009</v>
      </c>
      <c r="C512" s="284" t="s">
        <v>189</v>
      </c>
      <c r="D512" s="284" t="s">
        <v>81</v>
      </c>
      <c r="E512" s="284" t="s">
        <v>19</v>
      </c>
      <c r="F512" s="284" t="s">
        <v>735</v>
      </c>
      <c r="G512" s="303">
        <f>3928*32.150743126506</f>
        <v>126288.11900091557</v>
      </c>
      <c r="H512" s="303"/>
      <c r="I512" s="303"/>
      <c r="J512" s="303"/>
      <c r="K512" s="284" t="s">
        <v>731</v>
      </c>
      <c r="L512" s="304">
        <f>14.64353333333/1</f>
        <v>14.64353333333</v>
      </c>
      <c r="M512" s="284" t="s">
        <v>732</v>
      </c>
      <c r="N512" s="284" t="s">
        <v>1074</v>
      </c>
      <c r="O512" s="305">
        <f>G512*L512</f>
        <v>1849304.2801934527</v>
      </c>
      <c r="P512" s="374"/>
      <c r="Q512" s="374"/>
      <c r="R512" s="284"/>
      <c r="S512" s="284"/>
      <c r="T512" s="305"/>
      <c r="U512" s="284"/>
      <c r="V512" s="284"/>
      <c r="W512" s="307"/>
      <c r="X512" s="284"/>
      <c r="Y512" s="284"/>
      <c r="Z512" s="284"/>
      <c r="AA512" s="284"/>
      <c r="AB512" s="284"/>
      <c r="AC512" s="308">
        <v>111972313.33333333</v>
      </c>
      <c r="AD512" s="284">
        <v>25978508375.922771</v>
      </c>
      <c r="AE512" s="309">
        <v>4.3101902431438585E-3</v>
      </c>
      <c r="AF512" s="284">
        <v>4550655312.210392</v>
      </c>
      <c r="AG512" s="310">
        <v>2.4605755798046802E-2</v>
      </c>
      <c r="AH512" s="310">
        <v>6.4125240068867148E-2</v>
      </c>
      <c r="AI512" s="284">
        <v>1581820000</v>
      </c>
      <c r="AJ512" s="310">
        <v>7.0787013271632254E-2</v>
      </c>
      <c r="AK512" s="284">
        <v>767847132.11776698</v>
      </c>
      <c r="AL512" s="310">
        <v>0.14582630923489573</v>
      </c>
      <c r="AM512" s="284">
        <v>1381352628.0221038</v>
      </c>
      <c r="AN512" s="311">
        <v>8.1059905386839132E-2</v>
      </c>
      <c r="AO512" s="284">
        <v>23691533</v>
      </c>
      <c r="AP512" s="284" t="s">
        <v>2842</v>
      </c>
      <c r="AQ512" s="284">
        <v>60.351024390243907</v>
      </c>
      <c r="AR512" s="284">
        <v>55.6</v>
      </c>
      <c r="AS512" s="287">
        <v>76.468360000000004</v>
      </c>
      <c r="AT512" s="312">
        <v>48</v>
      </c>
      <c r="AU512" s="465">
        <v>62.7239016156134</v>
      </c>
      <c r="AV512" s="287">
        <v>0.48685563342905602</v>
      </c>
      <c r="AW512" s="287">
        <v>3.5919231106770803E-2</v>
      </c>
      <c r="AX512" s="287">
        <v>-3.78100282636896E-2</v>
      </c>
      <c r="AY512" s="287">
        <v>9.0179455574476194E-2</v>
      </c>
      <c r="AZ512" s="313">
        <v>3.13423438627983E-2</v>
      </c>
    </row>
    <row r="513" spans="1:52" ht="15" customHeight="1">
      <c r="A513" s="63" t="s">
        <v>205</v>
      </c>
      <c r="B513" s="27">
        <v>2010</v>
      </c>
      <c r="C513" s="27" t="s">
        <v>189</v>
      </c>
      <c r="D513" s="27" t="s">
        <v>81</v>
      </c>
      <c r="E513" s="27" t="s">
        <v>30</v>
      </c>
      <c r="F513" s="27" t="s">
        <v>659</v>
      </c>
      <c r="G513" s="43"/>
      <c r="H513" s="43"/>
      <c r="I513" s="43"/>
      <c r="J513" s="43"/>
      <c r="K513" s="27"/>
      <c r="L513" s="28"/>
      <c r="M513" s="27"/>
      <c r="N513" s="27"/>
      <c r="O513" s="18">
        <f>O514+O517</f>
        <v>3547069800.1124434</v>
      </c>
      <c r="P513" s="213">
        <v>212460480</v>
      </c>
      <c r="Q513" s="213">
        <v>192644934</v>
      </c>
      <c r="R513" s="27" t="s">
        <v>619</v>
      </c>
      <c r="S513" s="27"/>
      <c r="T513" s="18"/>
      <c r="U513" s="29" t="s">
        <v>1085</v>
      </c>
      <c r="V513" s="27" t="s">
        <v>1086</v>
      </c>
      <c r="W513" s="30">
        <v>1.41</v>
      </c>
      <c r="X513" s="27">
        <v>18</v>
      </c>
      <c r="Y513" s="27" t="s">
        <v>1087</v>
      </c>
      <c r="Z513" s="27">
        <v>18</v>
      </c>
      <c r="AA513" s="27" t="s">
        <v>1088</v>
      </c>
      <c r="AB513" s="27" t="s">
        <v>1089</v>
      </c>
      <c r="AC513" s="273">
        <v>212460480</v>
      </c>
      <c r="AD513" s="27">
        <v>32174839712.793278</v>
      </c>
      <c r="AE513" s="228">
        <v>6.6033112176009379E-3</v>
      </c>
      <c r="AF513" s="27">
        <v>5369015502.8738136</v>
      </c>
      <c r="AG513" s="226">
        <v>3.9571589965847302E-2</v>
      </c>
      <c r="AH513" s="226">
        <v>9.7613785718062798E-2</v>
      </c>
      <c r="AI513" s="27">
        <v>1692540000</v>
      </c>
      <c r="AJ513" s="226">
        <v>0.12552759757524196</v>
      </c>
      <c r="AK513" s="27">
        <v>996447511.7225523</v>
      </c>
      <c r="AL513" s="226">
        <v>0.21321793421182914</v>
      </c>
      <c r="AM513" s="27">
        <v>1782679169.1270244</v>
      </c>
      <c r="AN513" s="271">
        <v>0.11918043564958557</v>
      </c>
      <c r="AO513" s="27">
        <v>24262901</v>
      </c>
      <c r="AP513" s="27" t="s">
        <v>2842</v>
      </c>
      <c r="AQ513" s="27">
        <v>60.599560975609762</v>
      </c>
      <c r="AR513" s="27">
        <v>55</v>
      </c>
      <c r="AS513" s="29" t="s">
        <v>2842</v>
      </c>
      <c r="AT513" s="270">
        <v>48</v>
      </c>
      <c r="AU513" s="464">
        <v>62.7239016156134</v>
      </c>
      <c r="AV513" s="29">
        <v>0.49273590158772701</v>
      </c>
      <c r="AW513" s="29">
        <v>2.3701678540307001E-2</v>
      </c>
      <c r="AX513" s="29">
        <v>-3.9284599288337801E-2</v>
      </c>
      <c r="AY513" s="29">
        <v>0.12388794437980399</v>
      </c>
      <c r="AZ513" s="60">
        <v>5.9723912887098503E-2</v>
      </c>
    </row>
    <row r="514" spans="1:52" ht="15" customHeight="1">
      <c r="A514" s="63" t="s">
        <v>205</v>
      </c>
      <c r="B514" s="27">
        <v>2010</v>
      </c>
      <c r="C514" s="27" t="s">
        <v>189</v>
      </c>
      <c r="D514" s="27" t="s">
        <v>81</v>
      </c>
      <c r="E514" s="27" t="s">
        <v>50</v>
      </c>
      <c r="F514" s="27" t="s">
        <v>597</v>
      </c>
      <c r="G514" s="43"/>
      <c r="H514" s="43"/>
      <c r="I514" s="43"/>
      <c r="J514" s="43"/>
      <c r="K514" s="29"/>
      <c r="L514" s="28"/>
      <c r="M514" s="29"/>
      <c r="N514" s="29"/>
      <c r="O514" s="18">
        <f>SUM(O515:O516)</f>
        <v>253323844.86088243</v>
      </c>
      <c r="P514" s="213">
        <v>422252</v>
      </c>
      <c r="Q514" s="213">
        <v>428281</v>
      </c>
      <c r="R514" s="27"/>
      <c r="S514" s="27"/>
      <c r="T514" s="18"/>
      <c r="U514" s="27"/>
      <c r="V514" s="27"/>
      <c r="W514" s="30"/>
      <c r="X514" s="27">
        <v>7</v>
      </c>
      <c r="Y514" s="27" t="s">
        <v>1090</v>
      </c>
      <c r="Z514" s="27">
        <v>7</v>
      </c>
      <c r="AA514" s="27" t="s">
        <v>1091</v>
      </c>
      <c r="AB514" s="29"/>
      <c r="AC514" s="273">
        <v>212460480</v>
      </c>
      <c r="AD514" s="27">
        <v>32174839712.793278</v>
      </c>
      <c r="AE514" s="228">
        <v>6.6033112176009379E-3</v>
      </c>
      <c r="AF514" s="27">
        <v>5369015502.8738136</v>
      </c>
      <c r="AG514" s="226">
        <v>3.9571589965847302E-2</v>
      </c>
      <c r="AH514" s="226">
        <v>9.7613785718062798E-2</v>
      </c>
      <c r="AI514" s="27">
        <v>1692540000</v>
      </c>
      <c r="AJ514" s="226">
        <v>0.12552759757524196</v>
      </c>
      <c r="AK514" s="27">
        <v>996447511.7225523</v>
      </c>
      <c r="AL514" s="226">
        <v>0.21321793421182914</v>
      </c>
      <c r="AM514" s="27">
        <v>1782679169.1270244</v>
      </c>
      <c r="AN514" s="271">
        <v>0.11918043564958557</v>
      </c>
      <c r="AO514" s="27">
        <v>24262901</v>
      </c>
      <c r="AP514" s="27" t="s">
        <v>2842</v>
      </c>
      <c r="AQ514" s="27">
        <v>60.599560975609762</v>
      </c>
      <c r="AR514" s="27">
        <v>55</v>
      </c>
      <c r="AS514" s="29" t="s">
        <v>2842</v>
      </c>
      <c r="AT514" s="270">
        <v>48</v>
      </c>
      <c r="AU514" s="464">
        <v>62.7239016156134</v>
      </c>
      <c r="AV514" s="29">
        <v>0.49273590158772701</v>
      </c>
      <c r="AW514" s="29">
        <v>2.3701678540307001E-2</v>
      </c>
      <c r="AX514" s="29">
        <v>-3.9284599288337801E-2</v>
      </c>
      <c r="AY514" s="29">
        <v>0.12388794437980399</v>
      </c>
      <c r="AZ514" s="60">
        <v>5.9723912887098503E-2</v>
      </c>
    </row>
    <row r="515" spans="1:52" ht="15" customHeight="1">
      <c r="A515" s="63" t="s">
        <v>205</v>
      </c>
      <c r="B515" s="27">
        <v>2010</v>
      </c>
      <c r="C515" s="27" t="s">
        <v>189</v>
      </c>
      <c r="D515" s="27" t="s">
        <v>81</v>
      </c>
      <c r="E515" s="27" t="s">
        <v>552</v>
      </c>
      <c r="F515" s="27" t="s">
        <v>552</v>
      </c>
      <c r="G515" s="43">
        <f>9000000000*0.0283168</f>
        <v>254851200</v>
      </c>
      <c r="H515" s="43"/>
      <c r="I515" s="43"/>
      <c r="J515" s="43"/>
      <c r="K515" s="27" t="s">
        <v>599</v>
      </c>
      <c r="L515" s="28">
        <v>0.1741077336927683</v>
      </c>
      <c r="M515" s="27" t="s">
        <v>600</v>
      </c>
      <c r="N515" s="27" t="s">
        <v>816</v>
      </c>
      <c r="O515" s="18">
        <f>G515*L515</f>
        <v>44371564.860882431</v>
      </c>
      <c r="P515" s="213"/>
      <c r="Q515" s="213"/>
      <c r="R515" s="27"/>
      <c r="S515" s="27"/>
      <c r="T515" s="18"/>
      <c r="U515" s="27"/>
      <c r="V515" s="27"/>
      <c r="W515" s="30"/>
      <c r="X515" s="27"/>
      <c r="Y515" s="27"/>
      <c r="Z515" s="27"/>
      <c r="AA515" s="27"/>
      <c r="AB515" s="27"/>
      <c r="AC515" s="273">
        <v>212460480</v>
      </c>
      <c r="AD515" s="27">
        <v>32174839712.793278</v>
      </c>
      <c r="AE515" s="228">
        <v>6.6033112176009379E-3</v>
      </c>
      <c r="AF515" s="27">
        <v>5369015502.8738136</v>
      </c>
      <c r="AG515" s="226">
        <v>3.9571589965847302E-2</v>
      </c>
      <c r="AH515" s="226">
        <v>9.7613785718062798E-2</v>
      </c>
      <c r="AI515" s="27">
        <v>1692540000</v>
      </c>
      <c r="AJ515" s="226">
        <v>0.12552759757524196</v>
      </c>
      <c r="AK515" s="27">
        <v>996447511.7225523</v>
      </c>
      <c r="AL515" s="226">
        <v>0.21321793421182914</v>
      </c>
      <c r="AM515" s="27">
        <v>1782679169.1270244</v>
      </c>
      <c r="AN515" s="271">
        <v>0.11918043564958557</v>
      </c>
      <c r="AO515" s="27">
        <v>24262901</v>
      </c>
      <c r="AP515" s="27" t="s">
        <v>2842</v>
      </c>
      <c r="AQ515" s="27">
        <v>60.599560975609762</v>
      </c>
      <c r="AR515" s="27">
        <v>55</v>
      </c>
      <c r="AS515" s="29" t="s">
        <v>2842</v>
      </c>
      <c r="AT515" s="270">
        <v>48</v>
      </c>
      <c r="AU515" s="464">
        <v>62.7239016156134</v>
      </c>
      <c r="AV515" s="29">
        <v>0.49273590158772701</v>
      </c>
      <c r="AW515" s="29">
        <v>2.3701678540307001E-2</v>
      </c>
      <c r="AX515" s="29">
        <v>-3.9284599288337801E-2</v>
      </c>
      <c r="AY515" s="29">
        <v>0.12388794437980399</v>
      </c>
      <c r="AZ515" s="60">
        <v>5.9723912887098503E-2</v>
      </c>
    </row>
    <row r="516" spans="1:52" ht="15" customHeight="1">
      <c r="A516" s="63" t="s">
        <v>205</v>
      </c>
      <c r="B516" s="27">
        <v>2010</v>
      </c>
      <c r="C516" s="27" t="s">
        <v>189</v>
      </c>
      <c r="D516" s="27" t="s">
        <v>81</v>
      </c>
      <c r="E516" s="27" t="s">
        <v>98</v>
      </c>
      <c r="F516" s="27" t="s">
        <v>98</v>
      </c>
      <c r="G516" s="43">
        <v>2628000</v>
      </c>
      <c r="H516" s="43"/>
      <c r="I516" s="43"/>
      <c r="J516" s="43"/>
      <c r="K516" s="27" t="s">
        <v>603</v>
      </c>
      <c r="L516" s="28">
        <v>79.510000000000005</v>
      </c>
      <c r="M516" s="27" t="s">
        <v>626</v>
      </c>
      <c r="N516" s="27" t="s">
        <v>947</v>
      </c>
      <c r="O516" s="18">
        <f>G516*L516</f>
        <v>208952280</v>
      </c>
      <c r="P516" s="213"/>
      <c r="Q516" s="213"/>
      <c r="R516" s="27"/>
      <c r="S516" s="27"/>
      <c r="T516" s="18"/>
      <c r="U516" s="27"/>
      <c r="V516" s="27"/>
      <c r="W516" s="30"/>
      <c r="X516" s="27"/>
      <c r="Y516" s="27"/>
      <c r="Z516" s="27"/>
      <c r="AA516" s="27"/>
      <c r="AB516" s="27"/>
      <c r="AC516" s="273">
        <v>212460480</v>
      </c>
      <c r="AD516" s="27">
        <v>32174839712.793278</v>
      </c>
      <c r="AE516" s="228">
        <v>6.6033112176009379E-3</v>
      </c>
      <c r="AF516" s="27">
        <v>5369015502.8738136</v>
      </c>
      <c r="AG516" s="226">
        <v>3.9571589965847302E-2</v>
      </c>
      <c r="AH516" s="226">
        <v>9.7613785718062798E-2</v>
      </c>
      <c r="AI516" s="27">
        <v>1692540000</v>
      </c>
      <c r="AJ516" s="226">
        <v>0.12552759757524196</v>
      </c>
      <c r="AK516" s="27">
        <v>996447511.7225523</v>
      </c>
      <c r="AL516" s="226">
        <v>0.21321793421182914</v>
      </c>
      <c r="AM516" s="27">
        <v>1782679169.1270244</v>
      </c>
      <c r="AN516" s="271">
        <v>0.11918043564958557</v>
      </c>
      <c r="AO516" s="27">
        <v>24262901</v>
      </c>
      <c r="AP516" s="27" t="s">
        <v>2842</v>
      </c>
      <c r="AQ516" s="27">
        <v>60.599560975609762</v>
      </c>
      <c r="AR516" s="27">
        <v>55</v>
      </c>
      <c r="AS516" s="29" t="s">
        <v>2842</v>
      </c>
      <c r="AT516" s="270">
        <v>48</v>
      </c>
      <c r="AU516" s="464">
        <v>62.7239016156134</v>
      </c>
      <c r="AV516" s="29">
        <v>0.49273590158772701</v>
      </c>
      <c r="AW516" s="29">
        <v>2.3701678540307001E-2</v>
      </c>
      <c r="AX516" s="29">
        <v>-3.9284599288337801E-2</v>
      </c>
      <c r="AY516" s="29">
        <v>0.12388794437980399</v>
      </c>
      <c r="AZ516" s="60">
        <v>5.9723912887098503E-2</v>
      </c>
    </row>
    <row r="517" spans="1:52" ht="15" customHeight="1">
      <c r="A517" s="63" t="s">
        <v>205</v>
      </c>
      <c r="B517" s="27">
        <v>2010</v>
      </c>
      <c r="C517" s="27" t="s">
        <v>189</v>
      </c>
      <c r="D517" s="27" t="s">
        <v>81</v>
      </c>
      <c r="E517" s="27" t="s">
        <v>19</v>
      </c>
      <c r="F517" s="27" t="s">
        <v>559</v>
      </c>
      <c r="G517" s="43"/>
      <c r="H517" s="43"/>
      <c r="I517" s="43"/>
      <c r="J517" s="43"/>
      <c r="K517" s="27"/>
      <c r="L517" s="28"/>
      <c r="M517" s="27"/>
      <c r="N517" s="27"/>
      <c r="O517" s="18">
        <f>SUM(O518:O523)</f>
        <v>3293745955.2515612</v>
      </c>
      <c r="P517" s="213">
        <v>212038228</v>
      </c>
      <c r="Q517" s="213">
        <v>192216653</v>
      </c>
      <c r="R517" s="27"/>
      <c r="S517" s="27"/>
      <c r="T517" s="18"/>
      <c r="U517" s="27"/>
      <c r="V517" s="27"/>
      <c r="W517" s="30"/>
      <c r="X517" s="27">
        <v>11</v>
      </c>
      <c r="Y517" s="27" t="s">
        <v>1092</v>
      </c>
      <c r="Z517" s="27">
        <v>11</v>
      </c>
      <c r="AA517" s="54" t="s">
        <v>1093</v>
      </c>
      <c r="AB517" s="27"/>
      <c r="AC517" s="273">
        <v>212460480</v>
      </c>
      <c r="AD517" s="27">
        <v>32174839712.793278</v>
      </c>
      <c r="AE517" s="228">
        <v>6.6033112176009379E-3</v>
      </c>
      <c r="AF517" s="27">
        <v>5369015502.8738136</v>
      </c>
      <c r="AG517" s="226">
        <v>3.9571589965847302E-2</v>
      </c>
      <c r="AH517" s="226">
        <v>9.7613785718062798E-2</v>
      </c>
      <c r="AI517" s="27">
        <v>1692540000</v>
      </c>
      <c r="AJ517" s="226">
        <v>0.12552759757524196</v>
      </c>
      <c r="AK517" s="27">
        <v>996447511.7225523</v>
      </c>
      <c r="AL517" s="226">
        <v>0.21321793421182914</v>
      </c>
      <c r="AM517" s="27">
        <v>1782679169.1270244</v>
      </c>
      <c r="AN517" s="271">
        <v>0.11918043564958557</v>
      </c>
      <c r="AO517" s="27">
        <v>24262901</v>
      </c>
      <c r="AP517" s="27" t="s">
        <v>2842</v>
      </c>
      <c r="AQ517" s="27">
        <v>60.599560975609762</v>
      </c>
      <c r="AR517" s="27">
        <v>55</v>
      </c>
      <c r="AS517" s="29" t="s">
        <v>2842</v>
      </c>
      <c r="AT517" s="270">
        <v>48</v>
      </c>
      <c r="AU517" s="464">
        <v>62.7239016156134</v>
      </c>
      <c r="AV517" s="29">
        <v>0.49273590158772701</v>
      </c>
      <c r="AW517" s="29">
        <v>2.3701678540307001E-2</v>
      </c>
      <c r="AX517" s="29">
        <v>-3.9284599288337801E-2</v>
      </c>
      <c r="AY517" s="29">
        <v>0.12388794437980399</v>
      </c>
      <c r="AZ517" s="60">
        <v>5.9723912887098503E-2</v>
      </c>
    </row>
    <row r="518" spans="1:52" ht="15" customHeight="1">
      <c r="A518" s="63" t="s">
        <v>205</v>
      </c>
      <c r="B518" s="27">
        <v>2010</v>
      </c>
      <c r="C518" s="27" t="s">
        <v>189</v>
      </c>
      <c r="D518" s="27" t="s">
        <v>81</v>
      </c>
      <c r="E518" s="27" t="s">
        <v>19</v>
      </c>
      <c r="F518" s="27" t="s">
        <v>1049</v>
      </c>
      <c r="G518" s="43">
        <v>595</v>
      </c>
      <c r="H518" s="43"/>
      <c r="I518" s="43"/>
      <c r="J518" s="43"/>
      <c r="K518" s="27" t="s">
        <v>567</v>
      </c>
      <c r="L518" s="28">
        <v>29.41</v>
      </c>
      <c r="M518" s="27" t="s">
        <v>568</v>
      </c>
      <c r="N518" s="27" t="s">
        <v>1081</v>
      </c>
      <c r="O518" s="18"/>
      <c r="P518" s="213">
        <v>733208</v>
      </c>
      <c r="Q518" s="213">
        <v>741418</v>
      </c>
      <c r="R518" s="27"/>
      <c r="S518" s="27"/>
      <c r="T518" s="18"/>
      <c r="U518" s="27"/>
      <c r="V518" s="27"/>
      <c r="W518" s="30"/>
      <c r="X518" s="27">
        <v>1</v>
      </c>
      <c r="Y518" s="27" t="s">
        <v>1051</v>
      </c>
      <c r="Z518" s="27">
        <v>1</v>
      </c>
      <c r="AA518" s="54" t="s">
        <v>1093</v>
      </c>
      <c r="AB518" s="27"/>
      <c r="AC518" s="273">
        <v>212460480</v>
      </c>
      <c r="AD518" s="27">
        <v>32174839712.793278</v>
      </c>
      <c r="AE518" s="228">
        <v>6.6033112176009379E-3</v>
      </c>
      <c r="AF518" s="27">
        <v>5369015502.8738136</v>
      </c>
      <c r="AG518" s="226">
        <v>3.9571589965847302E-2</v>
      </c>
      <c r="AH518" s="226">
        <v>9.7613785718062798E-2</v>
      </c>
      <c r="AI518" s="27">
        <v>1692540000</v>
      </c>
      <c r="AJ518" s="226">
        <v>0.12552759757524196</v>
      </c>
      <c r="AK518" s="27">
        <v>996447511.7225523</v>
      </c>
      <c r="AL518" s="226">
        <v>0.21321793421182914</v>
      </c>
      <c r="AM518" s="27">
        <v>1782679169.1270244</v>
      </c>
      <c r="AN518" s="271">
        <v>0.11918043564958557</v>
      </c>
      <c r="AO518" s="27">
        <v>24262901</v>
      </c>
      <c r="AP518" s="27" t="s">
        <v>2842</v>
      </c>
      <c r="AQ518" s="27">
        <v>60.599560975609762</v>
      </c>
      <c r="AR518" s="27">
        <v>55</v>
      </c>
      <c r="AS518" s="29" t="s">
        <v>2842</v>
      </c>
      <c r="AT518" s="270">
        <v>48</v>
      </c>
      <c r="AU518" s="464">
        <v>62.7239016156134</v>
      </c>
      <c r="AV518" s="29">
        <v>0.49273590158772701</v>
      </c>
      <c r="AW518" s="29">
        <v>2.3701678540307001E-2</v>
      </c>
      <c r="AX518" s="29">
        <v>-3.9284599288337801E-2</v>
      </c>
      <c r="AY518" s="29">
        <v>0.12388794437980399</v>
      </c>
      <c r="AZ518" s="60">
        <v>5.9723912887098503E-2</v>
      </c>
    </row>
    <row r="519" spans="1:52" ht="15" customHeight="1">
      <c r="A519" s="63" t="s">
        <v>205</v>
      </c>
      <c r="B519" s="27">
        <v>2010</v>
      </c>
      <c r="C519" s="27" t="s">
        <v>189</v>
      </c>
      <c r="D519" s="27" t="s">
        <v>81</v>
      </c>
      <c r="E519" s="27" t="s">
        <v>19</v>
      </c>
      <c r="F519" s="27" t="s">
        <v>904</v>
      </c>
      <c r="G519" s="43">
        <v>334000</v>
      </c>
      <c r="H519" s="43"/>
      <c r="I519" s="43"/>
      <c r="J519" s="43"/>
      <c r="K519" s="27" t="s">
        <v>905</v>
      </c>
      <c r="L519" s="28">
        <v>34.58</v>
      </c>
      <c r="M519" s="27" t="s">
        <v>906</v>
      </c>
      <c r="N519" s="27" t="s">
        <v>1094</v>
      </c>
      <c r="O519" s="18">
        <f>G519*L519</f>
        <v>11549720</v>
      </c>
      <c r="P519" s="213"/>
      <c r="Q519" s="213"/>
      <c r="R519" s="27"/>
      <c r="S519" s="27"/>
      <c r="T519" s="18"/>
      <c r="U519" s="27"/>
      <c r="V519" s="27"/>
      <c r="W519" s="30"/>
      <c r="X519" s="27"/>
      <c r="Y519" s="27"/>
      <c r="Z519" s="27"/>
      <c r="AA519" s="54"/>
      <c r="AB519" s="27"/>
      <c r="AC519" s="273">
        <v>212460480</v>
      </c>
      <c r="AD519" s="27">
        <v>32174839712.793278</v>
      </c>
      <c r="AE519" s="228">
        <v>6.6033112176009379E-3</v>
      </c>
      <c r="AF519" s="27">
        <v>5369015502.8738136</v>
      </c>
      <c r="AG519" s="226">
        <v>3.9571589965847302E-2</v>
      </c>
      <c r="AH519" s="226">
        <v>9.7613785718062798E-2</v>
      </c>
      <c r="AI519" s="27">
        <v>1692540000</v>
      </c>
      <c r="AJ519" s="226">
        <v>0.12552759757524196</v>
      </c>
      <c r="AK519" s="27">
        <v>996447511.7225523</v>
      </c>
      <c r="AL519" s="226">
        <v>0.21321793421182914</v>
      </c>
      <c r="AM519" s="27">
        <v>1782679169.1270244</v>
      </c>
      <c r="AN519" s="271">
        <v>0.11918043564958557</v>
      </c>
      <c r="AO519" s="27">
        <v>24262901</v>
      </c>
      <c r="AP519" s="27" t="s">
        <v>2842</v>
      </c>
      <c r="AQ519" s="27">
        <v>60.599560975609762</v>
      </c>
      <c r="AR519" s="27">
        <v>55</v>
      </c>
      <c r="AS519" s="29" t="s">
        <v>2842</v>
      </c>
      <c r="AT519" s="270">
        <v>48</v>
      </c>
      <c r="AU519" s="464">
        <v>62.7239016156134</v>
      </c>
      <c r="AV519" s="29">
        <v>0.49273590158772701</v>
      </c>
      <c r="AW519" s="29">
        <v>2.3701678540307001E-2</v>
      </c>
      <c r="AX519" s="29">
        <v>-3.9284599288337801E-2</v>
      </c>
      <c r="AY519" s="29">
        <v>0.12388794437980399</v>
      </c>
      <c r="AZ519" s="60">
        <v>5.9723912887098503E-2</v>
      </c>
    </row>
    <row r="520" spans="1:52" ht="15" customHeight="1">
      <c r="A520" s="63" t="s">
        <v>205</v>
      </c>
      <c r="B520" s="27">
        <v>2010</v>
      </c>
      <c r="C520" s="27" t="s">
        <v>189</v>
      </c>
      <c r="D520" s="27" t="s">
        <v>81</v>
      </c>
      <c r="E520" s="27" t="s">
        <v>19</v>
      </c>
      <c r="F520" s="27" t="s">
        <v>730</v>
      </c>
      <c r="G520" s="43">
        <f>76332*32.150743126506</f>
        <v>2454130.5243324558</v>
      </c>
      <c r="H520" s="43">
        <f>2556556*0.911458333</f>
        <v>2330194.2699811482</v>
      </c>
      <c r="I520" s="43"/>
      <c r="J520" s="43"/>
      <c r="K520" s="27" t="s">
        <v>731</v>
      </c>
      <c r="L520" s="28">
        <f>1219/ 0.911458333</f>
        <v>1337.4171433462554</v>
      </c>
      <c r="M520" s="27" t="s">
        <v>732</v>
      </c>
      <c r="N520" s="27" t="s">
        <v>1095</v>
      </c>
      <c r="O520" s="18">
        <f>G520*L520</f>
        <v>3282196235.2515612</v>
      </c>
      <c r="P520" s="213">
        <v>203397829</v>
      </c>
      <c r="Q520" s="213">
        <v>183571999</v>
      </c>
      <c r="R520" s="27"/>
      <c r="S520" s="27"/>
      <c r="T520" s="18"/>
      <c r="U520" s="27"/>
      <c r="V520" s="27"/>
      <c r="W520" s="30"/>
      <c r="X520" s="27">
        <v>9</v>
      </c>
      <c r="Y520" s="27" t="s">
        <v>1096</v>
      </c>
      <c r="Z520" s="27">
        <v>9</v>
      </c>
      <c r="AA520" s="54" t="s">
        <v>1097</v>
      </c>
      <c r="AB520" s="27" t="s">
        <v>1098</v>
      </c>
      <c r="AC520" s="273">
        <v>212460480</v>
      </c>
      <c r="AD520" s="27">
        <v>32174839712.793278</v>
      </c>
      <c r="AE520" s="228">
        <v>6.6033112176009379E-3</v>
      </c>
      <c r="AF520" s="27">
        <v>5369015502.8738136</v>
      </c>
      <c r="AG520" s="226">
        <v>3.9571589965847302E-2</v>
      </c>
      <c r="AH520" s="226">
        <v>9.7613785718062798E-2</v>
      </c>
      <c r="AI520" s="27">
        <v>1692540000</v>
      </c>
      <c r="AJ520" s="226">
        <v>0.12552759757524196</v>
      </c>
      <c r="AK520" s="27">
        <v>996447511.7225523</v>
      </c>
      <c r="AL520" s="226">
        <v>0.21321793421182914</v>
      </c>
      <c r="AM520" s="27">
        <v>1782679169.1270244</v>
      </c>
      <c r="AN520" s="271">
        <v>0.11918043564958557</v>
      </c>
      <c r="AO520" s="27">
        <v>24262901</v>
      </c>
      <c r="AP520" s="27" t="s">
        <v>2842</v>
      </c>
      <c r="AQ520" s="27">
        <v>60.599560975609762</v>
      </c>
      <c r="AR520" s="27">
        <v>55</v>
      </c>
      <c r="AS520" s="29" t="s">
        <v>2842</v>
      </c>
      <c r="AT520" s="270">
        <v>48</v>
      </c>
      <c r="AU520" s="464">
        <v>62.7239016156134</v>
      </c>
      <c r="AV520" s="29">
        <v>0.49273590158772701</v>
      </c>
      <c r="AW520" s="29">
        <v>2.3701678540307001E-2</v>
      </c>
      <c r="AX520" s="29">
        <v>-3.9284599288337801E-2</v>
      </c>
      <c r="AY520" s="29">
        <v>0.12388794437980399</v>
      </c>
      <c r="AZ520" s="60">
        <v>5.9723912887098503E-2</v>
      </c>
    </row>
    <row r="521" spans="1:52" ht="15" customHeight="1">
      <c r="A521" s="63" t="s">
        <v>205</v>
      </c>
      <c r="B521" s="27">
        <v>2010</v>
      </c>
      <c r="C521" s="27" t="s">
        <v>189</v>
      </c>
      <c r="D521" s="27" t="s">
        <v>81</v>
      </c>
      <c r="E521" s="27" t="s">
        <v>19</v>
      </c>
      <c r="F521" s="27" t="s">
        <v>784</v>
      </c>
      <c r="G521" s="43"/>
      <c r="H521" s="43"/>
      <c r="I521" s="43"/>
      <c r="J521" s="43"/>
      <c r="K521" s="27"/>
      <c r="L521" s="28">
        <v>9.64</v>
      </c>
      <c r="M521" s="27" t="s">
        <v>568</v>
      </c>
      <c r="N521" s="27" t="s">
        <v>785</v>
      </c>
      <c r="O521" s="18"/>
      <c r="P521" s="213">
        <v>8640399</v>
      </c>
      <c r="Q521" s="213">
        <v>8644654</v>
      </c>
      <c r="R521" s="27"/>
      <c r="S521" s="27"/>
      <c r="T521" s="18"/>
      <c r="U521" s="27"/>
      <c r="V521" s="27"/>
      <c r="W521" s="30"/>
      <c r="X521" s="27">
        <v>1</v>
      </c>
      <c r="Y521" s="27" t="s">
        <v>1056</v>
      </c>
      <c r="Z521" s="27">
        <v>1</v>
      </c>
      <c r="AA521" s="54" t="s">
        <v>1093</v>
      </c>
      <c r="AB521" s="27"/>
      <c r="AC521" s="273">
        <v>212460480</v>
      </c>
      <c r="AD521" s="27">
        <v>32174839712.793278</v>
      </c>
      <c r="AE521" s="228">
        <v>6.6033112176009379E-3</v>
      </c>
      <c r="AF521" s="27">
        <v>5369015502.8738136</v>
      </c>
      <c r="AG521" s="226">
        <v>3.9571589965847302E-2</v>
      </c>
      <c r="AH521" s="226">
        <v>9.7613785718062798E-2</v>
      </c>
      <c r="AI521" s="27">
        <v>1692540000</v>
      </c>
      <c r="AJ521" s="226">
        <v>0.12552759757524196</v>
      </c>
      <c r="AK521" s="27">
        <v>996447511.7225523</v>
      </c>
      <c r="AL521" s="226">
        <v>0.21321793421182914</v>
      </c>
      <c r="AM521" s="27">
        <v>1782679169.1270244</v>
      </c>
      <c r="AN521" s="271">
        <v>0.11918043564958557</v>
      </c>
      <c r="AO521" s="27">
        <v>24262901</v>
      </c>
      <c r="AP521" s="27" t="s">
        <v>2842</v>
      </c>
      <c r="AQ521" s="27">
        <v>60.599560975609762</v>
      </c>
      <c r="AR521" s="27">
        <v>55</v>
      </c>
      <c r="AS521" s="29" t="s">
        <v>2842</v>
      </c>
      <c r="AT521" s="270">
        <v>48</v>
      </c>
      <c r="AU521" s="464">
        <v>62.7239016156134</v>
      </c>
      <c r="AV521" s="29">
        <v>0.49273590158772701</v>
      </c>
      <c r="AW521" s="29">
        <v>2.3701678540307001E-2</v>
      </c>
      <c r="AX521" s="29">
        <v>-3.9284599288337801E-2</v>
      </c>
      <c r="AY521" s="29">
        <v>0.12388794437980399</v>
      </c>
      <c r="AZ521" s="60">
        <v>5.9723912887098503E-2</v>
      </c>
    </row>
    <row r="522" spans="1:52" ht="15" customHeight="1">
      <c r="A522" s="63" t="s">
        <v>205</v>
      </c>
      <c r="B522" s="27">
        <v>2010</v>
      </c>
      <c r="C522" s="27" t="s">
        <v>189</v>
      </c>
      <c r="D522" s="27" t="s">
        <v>81</v>
      </c>
      <c r="E522" s="27" t="s">
        <v>19</v>
      </c>
      <c r="F522" s="27" t="s">
        <v>787</v>
      </c>
      <c r="G522" s="43">
        <v>1529</v>
      </c>
      <c r="H522" s="43"/>
      <c r="I522" s="43"/>
      <c r="J522" s="43"/>
      <c r="K522" s="27" t="s">
        <v>567</v>
      </c>
      <c r="L522" s="28"/>
      <c r="M522" s="27"/>
      <c r="N522" s="27" t="s">
        <v>788</v>
      </c>
      <c r="O522" s="18"/>
      <c r="P522" s="244"/>
      <c r="Q522" s="244"/>
      <c r="R522" s="27"/>
      <c r="S522" s="27"/>
      <c r="T522" s="18"/>
      <c r="U522" s="27"/>
      <c r="V522" s="27"/>
      <c r="W522" s="30"/>
      <c r="X522" s="27"/>
      <c r="Y522" s="27"/>
      <c r="Z522" s="27"/>
      <c r="AA522" s="27"/>
      <c r="AB522" s="27"/>
      <c r="AC522" s="273">
        <v>212460480</v>
      </c>
      <c r="AD522" s="27">
        <v>32174839712.793278</v>
      </c>
      <c r="AE522" s="228">
        <v>6.6033112176009379E-3</v>
      </c>
      <c r="AF522" s="27">
        <v>5369015502.8738136</v>
      </c>
      <c r="AG522" s="226">
        <v>3.9571589965847302E-2</v>
      </c>
      <c r="AH522" s="226">
        <v>9.7613785718062798E-2</v>
      </c>
      <c r="AI522" s="27">
        <v>1692540000</v>
      </c>
      <c r="AJ522" s="226">
        <v>0.12552759757524196</v>
      </c>
      <c r="AK522" s="27">
        <v>996447511.7225523</v>
      </c>
      <c r="AL522" s="226">
        <v>0.21321793421182914</v>
      </c>
      <c r="AM522" s="27">
        <v>1782679169.1270244</v>
      </c>
      <c r="AN522" s="271">
        <v>0.11918043564958557</v>
      </c>
      <c r="AO522" s="27">
        <v>24262901</v>
      </c>
      <c r="AP522" s="27" t="s">
        <v>2842</v>
      </c>
      <c r="AQ522" s="27">
        <v>60.599560975609762</v>
      </c>
      <c r="AR522" s="27">
        <v>55</v>
      </c>
      <c r="AS522" s="29" t="s">
        <v>2842</v>
      </c>
      <c r="AT522" s="270">
        <v>48</v>
      </c>
      <c r="AU522" s="464">
        <v>62.7239016156134</v>
      </c>
      <c r="AV522" s="29">
        <v>0.49273590158772701</v>
      </c>
      <c r="AW522" s="29">
        <v>2.3701678540307001E-2</v>
      </c>
      <c r="AX522" s="29">
        <v>-3.9284599288337801E-2</v>
      </c>
      <c r="AY522" s="29">
        <v>0.12388794437980399</v>
      </c>
      <c r="AZ522" s="60">
        <v>5.9723912887098503E-2</v>
      </c>
    </row>
    <row r="523" spans="1:52" s="287" customFormat="1" ht="15" customHeight="1">
      <c r="A523" s="359" t="s">
        <v>205</v>
      </c>
      <c r="B523" s="284">
        <v>2010</v>
      </c>
      <c r="C523" s="284" t="s">
        <v>189</v>
      </c>
      <c r="D523" s="284" t="s">
        <v>81</v>
      </c>
      <c r="E523" s="284" t="s">
        <v>19</v>
      </c>
      <c r="F523" s="284" t="s">
        <v>789</v>
      </c>
      <c r="G523" s="303">
        <v>426</v>
      </c>
      <c r="H523" s="303"/>
      <c r="I523" s="303"/>
      <c r="J523" s="303"/>
      <c r="K523" s="284" t="s">
        <v>567</v>
      </c>
      <c r="L523" s="304"/>
      <c r="M523" s="284"/>
      <c r="N523" s="284" t="s">
        <v>788</v>
      </c>
      <c r="O523" s="305"/>
      <c r="P523" s="374"/>
      <c r="Q523" s="374"/>
      <c r="R523" s="284"/>
      <c r="S523" s="284"/>
      <c r="T523" s="305"/>
      <c r="U523" s="284"/>
      <c r="V523" s="284"/>
      <c r="W523" s="307"/>
      <c r="X523" s="284"/>
      <c r="Y523" s="284"/>
      <c r="Z523" s="284"/>
      <c r="AA523" s="284"/>
      <c r="AB523" s="284"/>
      <c r="AC523" s="308">
        <v>212460480</v>
      </c>
      <c r="AD523" s="284">
        <v>32174839712.793278</v>
      </c>
      <c r="AE523" s="309">
        <v>6.6033112176009379E-3</v>
      </c>
      <c r="AF523" s="284">
        <v>5369015502.8738136</v>
      </c>
      <c r="AG523" s="310">
        <v>3.9571589965847302E-2</v>
      </c>
      <c r="AH523" s="310">
        <v>9.7613785718062798E-2</v>
      </c>
      <c r="AI523" s="284">
        <v>1692540000</v>
      </c>
      <c r="AJ523" s="310">
        <v>0.12552759757524196</v>
      </c>
      <c r="AK523" s="284">
        <v>996447511.7225523</v>
      </c>
      <c r="AL523" s="310">
        <v>0.21321793421182914</v>
      </c>
      <c r="AM523" s="284">
        <v>1782679169.1270244</v>
      </c>
      <c r="AN523" s="311">
        <v>0.11918043564958557</v>
      </c>
      <c r="AO523" s="284">
        <v>24262901</v>
      </c>
      <c r="AP523" s="284" t="s">
        <v>2842</v>
      </c>
      <c r="AQ523" s="284">
        <v>60.599560975609762</v>
      </c>
      <c r="AR523" s="284">
        <v>55</v>
      </c>
      <c r="AS523" s="287" t="s">
        <v>2842</v>
      </c>
      <c r="AT523" s="312">
        <v>48</v>
      </c>
      <c r="AU523" s="465">
        <v>62.7239016156134</v>
      </c>
      <c r="AV523" s="287">
        <v>0.49273590158772701</v>
      </c>
      <c r="AW523" s="287">
        <v>2.3701678540307001E-2</v>
      </c>
      <c r="AX523" s="287">
        <v>-3.9284599288337801E-2</v>
      </c>
      <c r="AY523" s="287">
        <v>0.12388794437980399</v>
      </c>
      <c r="AZ523" s="313">
        <v>5.9723912887098503E-2</v>
      </c>
    </row>
    <row r="524" spans="1:52" s="29" customFormat="1" ht="15" customHeight="1">
      <c r="A524" s="347" t="s">
        <v>208</v>
      </c>
      <c r="B524" s="27">
        <v>2011</v>
      </c>
      <c r="C524" s="27" t="s">
        <v>189</v>
      </c>
      <c r="D524" s="27" t="s">
        <v>81</v>
      </c>
      <c r="E524" s="27" t="s">
        <v>30</v>
      </c>
      <c r="F524" s="27" t="s">
        <v>659</v>
      </c>
      <c r="G524" s="43"/>
      <c r="H524" s="43"/>
      <c r="I524" s="43"/>
      <c r="J524" s="43"/>
      <c r="K524" s="27"/>
      <c r="L524" s="28"/>
      <c r="M524" s="27"/>
      <c r="N524" s="27"/>
      <c r="O524" s="18">
        <f>O525+O528</f>
        <v>7840436969.3720951</v>
      </c>
      <c r="P524" s="213">
        <v>942698326.41000009</v>
      </c>
      <c r="Q524" s="213">
        <v>897711128</v>
      </c>
      <c r="R524" s="27" t="s">
        <v>3693</v>
      </c>
      <c r="S524" s="27" t="s">
        <v>1099</v>
      </c>
      <c r="T524" s="18">
        <v>444124723.69</v>
      </c>
      <c r="U524" s="29" t="s">
        <v>1085</v>
      </c>
      <c r="V524" s="27" t="s">
        <v>1086</v>
      </c>
      <c r="W524" s="30">
        <v>1.41</v>
      </c>
      <c r="X524" s="27">
        <v>18</v>
      </c>
      <c r="Y524" s="27" t="s">
        <v>1087</v>
      </c>
      <c r="Z524" s="27">
        <v>18</v>
      </c>
      <c r="AA524" s="27" t="s">
        <v>1100</v>
      </c>
      <c r="AB524" s="27" t="s">
        <v>1101</v>
      </c>
      <c r="AC524" s="273">
        <v>942698326.41000009</v>
      </c>
      <c r="AD524" s="27">
        <v>39564771637.397896</v>
      </c>
      <c r="AE524" s="228">
        <v>2.3826709655994358E-2</v>
      </c>
      <c r="AF524" s="27">
        <v>6751332632.2055759</v>
      </c>
      <c r="AG524" s="226">
        <v>0.13963144430376442</v>
      </c>
      <c r="AH524" s="226">
        <v>0.48769819837816242</v>
      </c>
      <c r="AI524" s="27">
        <v>1810220000</v>
      </c>
      <c r="AJ524" s="226">
        <v>0.52076450730297985</v>
      </c>
      <c r="AK524" s="27">
        <v>1164956932.5134692</v>
      </c>
      <c r="AL524" s="226">
        <v>0.80921302762332004</v>
      </c>
      <c r="AM524" s="27">
        <v>3220956189.5690708</v>
      </c>
      <c r="AN524" s="271">
        <v>0.29267654414638994</v>
      </c>
      <c r="AO524" s="27">
        <v>24820706</v>
      </c>
      <c r="AP524" s="27" t="s">
        <v>2842</v>
      </c>
      <c r="AQ524" s="27">
        <v>60.788585365853663</v>
      </c>
      <c r="AR524" s="27">
        <v>54.2</v>
      </c>
      <c r="AS524" s="29">
        <v>83.901820000000001</v>
      </c>
      <c r="AT524" s="270">
        <v>48</v>
      </c>
      <c r="AU524" s="464">
        <v>62.7239016156134</v>
      </c>
      <c r="AV524" s="29">
        <v>0.47086549338413702</v>
      </c>
      <c r="AW524" s="29">
        <v>0.15929445803695699</v>
      </c>
      <c r="AX524" s="29">
        <v>-5.30835220297124E-2</v>
      </c>
      <c r="AY524" s="29">
        <v>0.13121087605596901</v>
      </c>
      <c r="AZ524" s="60">
        <v>5.1506769050044601E-2</v>
      </c>
    </row>
    <row r="525" spans="1:52" s="29" customFormat="1" ht="15" customHeight="1">
      <c r="A525" s="63" t="s">
        <v>208</v>
      </c>
      <c r="B525" s="27">
        <v>2011</v>
      </c>
      <c r="C525" s="27" t="s">
        <v>189</v>
      </c>
      <c r="D525" s="27" t="s">
        <v>81</v>
      </c>
      <c r="E525" s="27" t="s">
        <v>50</v>
      </c>
      <c r="F525" s="27" t="s">
        <v>597</v>
      </c>
      <c r="G525" s="43"/>
      <c r="H525" s="43"/>
      <c r="I525" s="43"/>
      <c r="J525" s="43"/>
      <c r="L525" s="28"/>
      <c r="O525" s="18">
        <f>SUM(O526:O527)</f>
        <v>3246577008.6277413</v>
      </c>
      <c r="P525" s="213">
        <v>444350554.41000003</v>
      </c>
      <c r="Q525" s="213">
        <v>444351020</v>
      </c>
      <c r="R525" s="27"/>
      <c r="S525" s="27" t="s">
        <v>1099</v>
      </c>
      <c r="T525" s="18">
        <v>444124723.69</v>
      </c>
      <c r="U525" s="27"/>
      <c r="V525" s="27"/>
      <c r="W525" s="30"/>
      <c r="X525" s="27">
        <v>7</v>
      </c>
      <c r="Y525" s="27" t="s">
        <v>1090</v>
      </c>
      <c r="Z525" s="27">
        <v>7</v>
      </c>
      <c r="AA525" s="27" t="s">
        <v>1102</v>
      </c>
      <c r="AC525" s="273">
        <v>942698326.41000009</v>
      </c>
      <c r="AD525" s="27">
        <v>39564771637.397896</v>
      </c>
      <c r="AE525" s="228">
        <v>2.3826709655994358E-2</v>
      </c>
      <c r="AF525" s="27">
        <v>6751332632.2055759</v>
      </c>
      <c r="AG525" s="226">
        <v>0.13963144430376442</v>
      </c>
      <c r="AH525" s="226">
        <v>0.48769819837816242</v>
      </c>
      <c r="AI525" s="27">
        <v>1810220000</v>
      </c>
      <c r="AJ525" s="226">
        <v>0.52076450730297985</v>
      </c>
      <c r="AK525" s="27">
        <v>1164956932.5134692</v>
      </c>
      <c r="AL525" s="226">
        <v>0.80921302762332004</v>
      </c>
      <c r="AM525" s="27">
        <v>3220956189.5690708</v>
      </c>
      <c r="AN525" s="271">
        <v>0.29267654414638994</v>
      </c>
      <c r="AO525" s="27">
        <v>24820706</v>
      </c>
      <c r="AP525" s="27" t="s">
        <v>2842</v>
      </c>
      <c r="AQ525" s="27">
        <v>60.788585365853663</v>
      </c>
      <c r="AR525" s="27">
        <v>54.2</v>
      </c>
      <c r="AS525" s="29">
        <v>83.901820000000001</v>
      </c>
      <c r="AT525" s="270">
        <v>48</v>
      </c>
      <c r="AU525" s="464">
        <v>62.7239016156134</v>
      </c>
      <c r="AV525" s="29">
        <v>0.47086549338413702</v>
      </c>
      <c r="AW525" s="29">
        <v>0.15929445803695699</v>
      </c>
      <c r="AX525" s="29">
        <v>-5.30835220297124E-2</v>
      </c>
      <c r="AY525" s="29">
        <v>0.13121087605596901</v>
      </c>
      <c r="AZ525" s="60">
        <v>5.1506769050044601E-2</v>
      </c>
    </row>
    <row r="526" spans="1:52" s="29" customFormat="1" ht="15" customHeight="1">
      <c r="A526" s="63" t="s">
        <v>208</v>
      </c>
      <c r="B526" s="27">
        <v>2011</v>
      </c>
      <c r="C526" s="27" t="s">
        <v>189</v>
      </c>
      <c r="D526" s="27" t="s">
        <v>81</v>
      </c>
      <c r="E526" s="27" t="s">
        <v>552</v>
      </c>
      <c r="F526" s="27" t="s">
        <v>552</v>
      </c>
      <c r="G526" s="43">
        <f>16000000000*0.0283168</f>
        <v>453068800</v>
      </c>
      <c r="H526" s="43"/>
      <c r="I526" s="43"/>
      <c r="J526" s="43"/>
      <c r="K526" s="27" t="s">
        <v>599</v>
      </c>
      <c r="L526" s="28">
        <v>0.19666043794616025</v>
      </c>
      <c r="M526" s="27" t="s">
        <v>600</v>
      </c>
      <c r="N526" s="27" t="s">
        <v>816</v>
      </c>
      <c r="O526" s="18">
        <f>G526*L526</f>
        <v>89100708.627741292</v>
      </c>
      <c r="P526" s="213"/>
      <c r="Q526" s="213"/>
      <c r="R526" s="27"/>
      <c r="S526" s="27"/>
      <c r="T526" s="18"/>
      <c r="U526" s="27"/>
      <c r="V526" s="27"/>
      <c r="W526" s="30"/>
      <c r="X526" s="27"/>
      <c r="Y526" s="27"/>
      <c r="Z526" s="27"/>
      <c r="AA526" s="27"/>
      <c r="AB526" s="27"/>
      <c r="AC526" s="273">
        <v>942698326.41000009</v>
      </c>
      <c r="AD526" s="27">
        <v>39564771637.397896</v>
      </c>
      <c r="AE526" s="228">
        <v>2.3826709655994358E-2</v>
      </c>
      <c r="AF526" s="27">
        <v>6751332632.2055759</v>
      </c>
      <c r="AG526" s="226">
        <v>0.13963144430376442</v>
      </c>
      <c r="AH526" s="226">
        <v>0.48769819837816242</v>
      </c>
      <c r="AI526" s="27">
        <v>1810220000</v>
      </c>
      <c r="AJ526" s="226">
        <v>0.52076450730297985</v>
      </c>
      <c r="AK526" s="27">
        <v>1164956932.5134692</v>
      </c>
      <c r="AL526" s="226">
        <v>0.80921302762332004</v>
      </c>
      <c r="AM526" s="27">
        <v>3220956189.5690708</v>
      </c>
      <c r="AN526" s="271">
        <v>0.29267654414638994</v>
      </c>
      <c r="AO526" s="27">
        <v>24820706</v>
      </c>
      <c r="AP526" s="27" t="s">
        <v>2842</v>
      </c>
      <c r="AQ526" s="27">
        <v>60.788585365853663</v>
      </c>
      <c r="AR526" s="27">
        <v>54.2</v>
      </c>
      <c r="AS526" s="29">
        <v>83.901820000000001</v>
      </c>
      <c r="AT526" s="270">
        <v>48</v>
      </c>
      <c r="AU526" s="464">
        <v>62.7239016156134</v>
      </c>
      <c r="AV526" s="29">
        <v>0.47086549338413702</v>
      </c>
      <c r="AW526" s="29">
        <v>0.15929445803695699</v>
      </c>
      <c r="AX526" s="29">
        <v>-5.30835220297124E-2</v>
      </c>
      <c r="AY526" s="29">
        <v>0.13121087605596901</v>
      </c>
      <c r="AZ526" s="60">
        <v>5.1506769050044601E-2</v>
      </c>
    </row>
    <row r="527" spans="1:52" s="29" customFormat="1" ht="15" customHeight="1">
      <c r="A527" s="63" t="s">
        <v>208</v>
      </c>
      <c r="B527" s="27">
        <v>2011</v>
      </c>
      <c r="C527" s="27" t="s">
        <v>189</v>
      </c>
      <c r="D527" s="27" t="s">
        <v>81</v>
      </c>
      <c r="E527" s="27" t="s">
        <v>98</v>
      </c>
      <c r="F527" s="27" t="s">
        <v>98</v>
      </c>
      <c r="G527" s="43">
        <v>27922500</v>
      </c>
      <c r="H527" s="43"/>
      <c r="I527" s="43"/>
      <c r="J527" s="43"/>
      <c r="K527" s="27" t="s">
        <v>603</v>
      </c>
      <c r="L527" s="28">
        <v>113.08</v>
      </c>
      <c r="M527" s="27" t="s">
        <v>626</v>
      </c>
      <c r="N527" s="27" t="s">
        <v>947</v>
      </c>
      <c r="O527" s="18">
        <f>G527*L527</f>
        <v>3157476300</v>
      </c>
      <c r="P527" s="213"/>
      <c r="Q527" s="213"/>
      <c r="R527" s="27"/>
      <c r="S527" s="27"/>
      <c r="T527" s="67"/>
      <c r="U527" s="27"/>
      <c r="V527" s="27"/>
      <c r="W527" s="30"/>
      <c r="X527" s="27"/>
      <c r="Y527" s="27"/>
      <c r="Z527" s="27"/>
      <c r="AA527" s="27" t="s">
        <v>1103</v>
      </c>
      <c r="AB527" s="27"/>
      <c r="AC527" s="273">
        <v>942698326.41000009</v>
      </c>
      <c r="AD527" s="27">
        <v>39564771637.397896</v>
      </c>
      <c r="AE527" s="228">
        <v>2.3826709655994358E-2</v>
      </c>
      <c r="AF527" s="27">
        <v>6751332632.2055759</v>
      </c>
      <c r="AG527" s="226">
        <v>0.13963144430376442</v>
      </c>
      <c r="AH527" s="226">
        <v>0.48769819837816242</v>
      </c>
      <c r="AI527" s="27">
        <v>1810220000</v>
      </c>
      <c r="AJ527" s="226">
        <v>0.52076450730297985</v>
      </c>
      <c r="AK527" s="27">
        <v>1164956932.5134692</v>
      </c>
      <c r="AL527" s="226">
        <v>0.80921302762332004</v>
      </c>
      <c r="AM527" s="27">
        <v>3220956189.5690708</v>
      </c>
      <c r="AN527" s="271">
        <v>0.29267654414638994</v>
      </c>
      <c r="AO527" s="27">
        <v>24820706</v>
      </c>
      <c r="AP527" s="27" t="s">
        <v>2842</v>
      </c>
      <c r="AQ527" s="27">
        <v>60.788585365853663</v>
      </c>
      <c r="AR527" s="27">
        <v>54.2</v>
      </c>
      <c r="AS527" s="29">
        <v>83.901820000000001</v>
      </c>
      <c r="AT527" s="270">
        <v>48</v>
      </c>
      <c r="AU527" s="464">
        <v>62.7239016156134</v>
      </c>
      <c r="AV527" s="29">
        <v>0.47086549338413702</v>
      </c>
      <c r="AW527" s="29">
        <v>0.15929445803695699</v>
      </c>
      <c r="AX527" s="29">
        <v>-5.30835220297124E-2</v>
      </c>
      <c r="AY527" s="29">
        <v>0.13121087605596901</v>
      </c>
      <c r="AZ527" s="60">
        <v>5.1506769050044601E-2</v>
      </c>
    </row>
    <row r="528" spans="1:52" s="29" customFormat="1" ht="15" customHeight="1">
      <c r="A528" s="63" t="s">
        <v>208</v>
      </c>
      <c r="B528" s="27">
        <v>2011</v>
      </c>
      <c r="C528" s="27" t="s">
        <v>189</v>
      </c>
      <c r="D528" s="27" t="s">
        <v>81</v>
      </c>
      <c r="E528" s="27" t="s">
        <v>19</v>
      </c>
      <c r="F528" s="27" t="s">
        <v>559</v>
      </c>
      <c r="G528" s="43"/>
      <c r="H528" s="43"/>
      <c r="I528" s="43"/>
      <c r="J528" s="43"/>
      <c r="K528" s="27"/>
      <c r="L528" s="28"/>
      <c r="M528" s="27"/>
      <c r="N528" s="27"/>
      <c r="O528" s="18">
        <f>SUM(O529:O534)</f>
        <v>4593859960.7443533</v>
      </c>
      <c r="P528" s="213">
        <v>498347772</v>
      </c>
      <c r="Q528" s="213">
        <v>453360108</v>
      </c>
      <c r="R528" s="27"/>
      <c r="S528" s="27"/>
      <c r="T528" s="18"/>
      <c r="U528" s="27"/>
      <c r="V528" s="27"/>
      <c r="W528" s="30"/>
      <c r="X528" s="27">
        <v>11</v>
      </c>
      <c r="Y528" s="27" t="s">
        <v>1092</v>
      </c>
      <c r="Z528" s="27">
        <v>11</v>
      </c>
      <c r="AA528" s="54" t="s">
        <v>1104</v>
      </c>
      <c r="AB528" s="27"/>
      <c r="AC528" s="273">
        <v>942698326.41000009</v>
      </c>
      <c r="AD528" s="27">
        <v>39564771637.397896</v>
      </c>
      <c r="AE528" s="228">
        <v>2.3826709655994358E-2</v>
      </c>
      <c r="AF528" s="27">
        <v>6751332632.2055759</v>
      </c>
      <c r="AG528" s="226">
        <v>0.13963144430376442</v>
      </c>
      <c r="AH528" s="226">
        <v>0.48769819837816242</v>
      </c>
      <c r="AI528" s="27">
        <v>1810220000</v>
      </c>
      <c r="AJ528" s="226">
        <v>0.52076450730297985</v>
      </c>
      <c r="AK528" s="27">
        <v>1164956932.5134692</v>
      </c>
      <c r="AL528" s="226">
        <v>0.80921302762332004</v>
      </c>
      <c r="AM528" s="27">
        <v>3220956189.5690708</v>
      </c>
      <c r="AN528" s="271">
        <v>0.29267654414638994</v>
      </c>
      <c r="AO528" s="27">
        <v>24820706</v>
      </c>
      <c r="AP528" s="27" t="s">
        <v>2842</v>
      </c>
      <c r="AQ528" s="27">
        <v>60.788585365853663</v>
      </c>
      <c r="AR528" s="27">
        <v>54.2</v>
      </c>
      <c r="AS528" s="29">
        <v>83.901820000000001</v>
      </c>
      <c r="AT528" s="270">
        <v>48</v>
      </c>
      <c r="AU528" s="464">
        <v>62.7239016156134</v>
      </c>
      <c r="AV528" s="29">
        <v>0.47086549338413702</v>
      </c>
      <c r="AW528" s="29">
        <v>0.15929445803695699</v>
      </c>
      <c r="AX528" s="29">
        <v>-5.30835220297124E-2</v>
      </c>
      <c r="AY528" s="29">
        <v>0.13121087605596901</v>
      </c>
      <c r="AZ528" s="60">
        <v>5.1506769050044601E-2</v>
      </c>
    </row>
    <row r="529" spans="1:52" s="29" customFormat="1" ht="15" customHeight="1">
      <c r="A529" s="63" t="s">
        <v>208</v>
      </c>
      <c r="B529" s="27">
        <v>2011</v>
      </c>
      <c r="C529" s="27" t="s">
        <v>189</v>
      </c>
      <c r="D529" s="27" t="s">
        <v>81</v>
      </c>
      <c r="E529" s="27" t="s">
        <v>19</v>
      </c>
      <c r="F529" s="27" t="s">
        <v>1049</v>
      </c>
      <c r="G529" s="43">
        <v>408</v>
      </c>
      <c r="H529" s="43"/>
      <c r="I529" s="43"/>
      <c r="J529" s="43"/>
      <c r="K529" s="27" t="s">
        <v>567</v>
      </c>
      <c r="L529" s="28">
        <v>30.49</v>
      </c>
      <c r="M529" s="27" t="s">
        <v>568</v>
      </c>
      <c r="N529" s="27" t="s">
        <v>1105</v>
      </c>
      <c r="O529" s="18"/>
      <c r="P529" s="213">
        <v>489265</v>
      </c>
      <c r="Q529" s="213">
        <v>497474</v>
      </c>
      <c r="R529" s="27"/>
      <c r="S529" s="27"/>
      <c r="T529" s="18"/>
      <c r="U529" s="27"/>
      <c r="V529" s="27"/>
      <c r="W529" s="30"/>
      <c r="X529" s="27">
        <v>1</v>
      </c>
      <c r="Y529" s="27" t="s">
        <v>1051</v>
      </c>
      <c r="Z529" s="27">
        <v>1</v>
      </c>
      <c r="AA529" s="54" t="s">
        <v>1104</v>
      </c>
      <c r="AB529" s="27"/>
      <c r="AC529" s="273">
        <v>942698326.41000009</v>
      </c>
      <c r="AD529" s="27">
        <v>39564771637.397896</v>
      </c>
      <c r="AE529" s="228">
        <v>2.3826709655994358E-2</v>
      </c>
      <c r="AF529" s="27">
        <v>6751332632.2055759</v>
      </c>
      <c r="AG529" s="226">
        <v>0.13963144430376442</v>
      </c>
      <c r="AH529" s="226">
        <v>0.48769819837816242</v>
      </c>
      <c r="AI529" s="27">
        <v>1810220000</v>
      </c>
      <c r="AJ529" s="226">
        <v>0.52076450730297985</v>
      </c>
      <c r="AK529" s="27">
        <v>1164956932.5134692</v>
      </c>
      <c r="AL529" s="226">
        <v>0.80921302762332004</v>
      </c>
      <c r="AM529" s="27">
        <v>3220956189.5690708</v>
      </c>
      <c r="AN529" s="271">
        <v>0.29267654414638994</v>
      </c>
      <c r="AO529" s="27">
        <v>24820706</v>
      </c>
      <c r="AP529" s="27" t="s">
        <v>2842</v>
      </c>
      <c r="AQ529" s="27">
        <v>60.788585365853663</v>
      </c>
      <c r="AR529" s="27">
        <v>54.2</v>
      </c>
      <c r="AS529" s="29">
        <v>83.901820000000001</v>
      </c>
      <c r="AT529" s="270">
        <v>48</v>
      </c>
      <c r="AU529" s="464">
        <v>62.7239016156134</v>
      </c>
      <c r="AV529" s="29">
        <v>0.47086549338413702</v>
      </c>
      <c r="AW529" s="29">
        <v>0.15929445803695699</v>
      </c>
      <c r="AX529" s="29">
        <v>-5.30835220297124E-2</v>
      </c>
      <c r="AY529" s="29">
        <v>0.13121087605596901</v>
      </c>
      <c r="AZ529" s="60">
        <v>5.1506769050044601E-2</v>
      </c>
    </row>
    <row r="530" spans="1:52" s="29" customFormat="1" ht="15" customHeight="1">
      <c r="A530" s="63" t="s">
        <v>208</v>
      </c>
      <c r="B530" s="27">
        <v>2011</v>
      </c>
      <c r="C530" s="27" t="s">
        <v>189</v>
      </c>
      <c r="D530" s="27" t="s">
        <v>81</v>
      </c>
      <c r="E530" s="27" t="s">
        <v>19</v>
      </c>
      <c r="F530" s="27" t="s">
        <v>904</v>
      </c>
      <c r="G530" s="43">
        <v>302000</v>
      </c>
      <c r="H530" s="43"/>
      <c r="I530" s="43"/>
      <c r="J530" s="43"/>
      <c r="K530" s="27" t="s">
        <v>905</v>
      </c>
      <c r="L530" s="28">
        <v>50.54</v>
      </c>
      <c r="M530" s="27" t="s">
        <v>906</v>
      </c>
      <c r="N530" s="27" t="s">
        <v>1106</v>
      </c>
      <c r="O530" s="18">
        <f>G530*L530</f>
        <v>15263080</v>
      </c>
      <c r="P530" s="213"/>
      <c r="Q530" s="213"/>
      <c r="R530" s="27"/>
      <c r="S530" s="27"/>
      <c r="T530" s="18"/>
      <c r="U530" s="27"/>
      <c r="V530" s="27"/>
      <c r="W530" s="30"/>
      <c r="X530" s="27"/>
      <c r="Y530" s="27"/>
      <c r="Z530" s="27"/>
      <c r="AA530" s="54"/>
      <c r="AB530" s="27"/>
      <c r="AC530" s="273">
        <v>942698326.41000009</v>
      </c>
      <c r="AD530" s="27">
        <v>39564771637.397896</v>
      </c>
      <c r="AE530" s="228">
        <v>2.3826709655994358E-2</v>
      </c>
      <c r="AF530" s="27">
        <v>6751332632.2055759</v>
      </c>
      <c r="AG530" s="226">
        <v>0.13963144430376442</v>
      </c>
      <c r="AH530" s="226">
        <v>0.48769819837816242</v>
      </c>
      <c r="AI530" s="27">
        <v>1810220000</v>
      </c>
      <c r="AJ530" s="226">
        <v>0.52076450730297985</v>
      </c>
      <c r="AK530" s="27">
        <v>1164956932.5134692</v>
      </c>
      <c r="AL530" s="226">
        <v>0.80921302762332004</v>
      </c>
      <c r="AM530" s="27">
        <v>3220956189.5690708</v>
      </c>
      <c r="AN530" s="271">
        <v>0.29267654414638994</v>
      </c>
      <c r="AO530" s="27">
        <v>24820706</v>
      </c>
      <c r="AP530" s="27" t="s">
        <v>2842</v>
      </c>
      <c r="AQ530" s="27">
        <v>60.788585365853663</v>
      </c>
      <c r="AR530" s="27">
        <v>54.2</v>
      </c>
      <c r="AS530" s="29">
        <v>83.901820000000001</v>
      </c>
      <c r="AT530" s="270">
        <v>48</v>
      </c>
      <c r="AU530" s="464">
        <v>62.7239016156134</v>
      </c>
      <c r="AV530" s="29">
        <v>0.47086549338413702</v>
      </c>
      <c r="AW530" s="29">
        <v>0.15929445803695699</v>
      </c>
      <c r="AX530" s="29">
        <v>-5.30835220297124E-2</v>
      </c>
      <c r="AY530" s="29">
        <v>0.13121087605596901</v>
      </c>
      <c r="AZ530" s="60">
        <v>5.1506769050044601E-2</v>
      </c>
    </row>
    <row r="531" spans="1:52" s="29" customFormat="1" ht="15" customHeight="1">
      <c r="A531" s="63" t="s">
        <v>208</v>
      </c>
      <c r="B531" s="27">
        <v>2011</v>
      </c>
      <c r="C531" s="27" t="s">
        <v>189</v>
      </c>
      <c r="D531" s="27" t="s">
        <v>81</v>
      </c>
      <c r="E531" s="27" t="s">
        <v>19</v>
      </c>
      <c r="F531" s="27" t="s">
        <v>730</v>
      </c>
      <c r="G531" s="43">
        <f>82993*32.150743126506</f>
        <v>2668286.6242981125</v>
      </c>
      <c r="H531" s="43">
        <f>2662943*0.911458333</f>
        <v>2427161.5876540192</v>
      </c>
      <c r="I531" s="43"/>
      <c r="J531" s="43"/>
      <c r="K531" s="27" t="s">
        <v>731</v>
      </c>
      <c r="L531" s="28">
        <f>1564/0.911458333</f>
        <v>1715.9314291989692</v>
      </c>
      <c r="M531" s="27" t="s">
        <v>732</v>
      </c>
      <c r="N531" s="27" t="s">
        <v>1095</v>
      </c>
      <c r="O531" s="18">
        <f>G531*L531</f>
        <v>4578596880.7443533</v>
      </c>
      <c r="P531" s="213">
        <f>P528-P529-P532</f>
        <v>462115969</v>
      </c>
      <c r="Q531" s="213">
        <f>Q528-Q529-Q532</f>
        <v>437484699</v>
      </c>
      <c r="R531" s="27"/>
      <c r="S531" s="27"/>
      <c r="T531" s="18"/>
      <c r="U531" s="27">
        <f>(L520+L531)/(L562+L592)</f>
        <v>1.0928722585915764</v>
      </c>
      <c r="V531" s="27"/>
      <c r="W531" s="30"/>
      <c r="X531" s="27">
        <v>9</v>
      </c>
      <c r="Y531" s="27" t="s">
        <v>1096</v>
      </c>
      <c r="Z531" s="27">
        <v>9</v>
      </c>
      <c r="AA531" s="54" t="s">
        <v>1107</v>
      </c>
      <c r="AB531" s="27"/>
      <c r="AC531" s="273">
        <v>942698326.41000009</v>
      </c>
      <c r="AD531" s="27">
        <v>39564771637.397896</v>
      </c>
      <c r="AE531" s="228">
        <v>2.3826709655994358E-2</v>
      </c>
      <c r="AF531" s="27">
        <v>6751332632.2055759</v>
      </c>
      <c r="AG531" s="226">
        <v>0.13963144430376442</v>
      </c>
      <c r="AH531" s="226">
        <v>0.48769819837816242</v>
      </c>
      <c r="AI531" s="27">
        <v>1810220000</v>
      </c>
      <c r="AJ531" s="226">
        <v>0.52076450730297985</v>
      </c>
      <c r="AK531" s="27">
        <v>1164956932.5134692</v>
      </c>
      <c r="AL531" s="226">
        <v>0.80921302762332004</v>
      </c>
      <c r="AM531" s="27">
        <v>3220956189.5690708</v>
      </c>
      <c r="AN531" s="271">
        <v>0.29267654414638994</v>
      </c>
      <c r="AO531" s="27">
        <v>24820706</v>
      </c>
      <c r="AP531" s="27" t="s">
        <v>2842</v>
      </c>
      <c r="AQ531" s="27">
        <v>60.788585365853663</v>
      </c>
      <c r="AR531" s="27">
        <v>54.2</v>
      </c>
      <c r="AS531" s="29">
        <v>83.901820000000001</v>
      </c>
      <c r="AT531" s="270">
        <v>48</v>
      </c>
      <c r="AU531" s="464">
        <v>62.7239016156134</v>
      </c>
      <c r="AV531" s="29">
        <v>0.47086549338413702</v>
      </c>
      <c r="AW531" s="29">
        <v>0.15929445803695699</v>
      </c>
      <c r="AX531" s="29">
        <v>-5.30835220297124E-2</v>
      </c>
      <c r="AY531" s="29">
        <v>0.13121087605596901</v>
      </c>
      <c r="AZ531" s="60">
        <v>5.1506769050044601E-2</v>
      </c>
    </row>
    <row r="532" spans="1:52" s="29" customFormat="1" ht="15" customHeight="1">
      <c r="A532" s="63" t="s">
        <v>208</v>
      </c>
      <c r="B532" s="27">
        <v>2011</v>
      </c>
      <c r="C532" s="27" t="s">
        <v>189</v>
      </c>
      <c r="D532" s="27" t="s">
        <v>81</v>
      </c>
      <c r="E532" s="27" t="s">
        <v>19</v>
      </c>
      <c r="F532" s="27" t="s">
        <v>784</v>
      </c>
      <c r="G532" s="43"/>
      <c r="H532" s="43"/>
      <c r="I532" s="43"/>
      <c r="J532" s="43"/>
      <c r="K532" s="27"/>
      <c r="L532" s="28">
        <v>7.88</v>
      </c>
      <c r="M532" s="27" t="s">
        <v>568</v>
      </c>
      <c r="N532" s="27" t="s">
        <v>785</v>
      </c>
      <c r="O532" s="18"/>
      <c r="P532" s="213">
        <v>35742538</v>
      </c>
      <c r="Q532" s="213">
        <v>15377935</v>
      </c>
      <c r="R532" s="27"/>
      <c r="S532" s="27"/>
      <c r="T532" s="18"/>
      <c r="U532" s="27"/>
      <c r="V532" s="27"/>
      <c r="W532" s="30"/>
      <c r="X532" s="27">
        <v>1</v>
      </c>
      <c r="Y532" s="27" t="s">
        <v>1056</v>
      </c>
      <c r="Z532" s="27">
        <v>1</v>
      </c>
      <c r="AA532" s="54" t="s">
        <v>1104</v>
      </c>
      <c r="AB532" s="27"/>
      <c r="AC532" s="273">
        <v>942698326.41000009</v>
      </c>
      <c r="AD532" s="27">
        <v>39564771637.397896</v>
      </c>
      <c r="AE532" s="228">
        <v>2.3826709655994358E-2</v>
      </c>
      <c r="AF532" s="27">
        <v>6751332632.2055759</v>
      </c>
      <c r="AG532" s="226">
        <v>0.13963144430376442</v>
      </c>
      <c r="AH532" s="226">
        <v>0.48769819837816242</v>
      </c>
      <c r="AI532" s="27">
        <v>1810220000</v>
      </c>
      <c r="AJ532" s="226">
        <v>0.52076450730297985</v>
      </c>
      <c r="AK532" s="27">
        <v>1164956932.5134692</v>
      </c>
      <c r="AL532" s="226">
        <v>0.80921302762332004</v>
      </c>
      <c r="AM532" s="27">
        <v>3220956189.5690708</v>
      </c>
      <c r="AN532" s="271">
        <v>0.29267654414638994</v>
      </c>
      <c r="AO532" s="27">
        <v>24820706</v>
      </c>
      <c r="AP532" s="27" t="s">
        <v>2842</v>
      </c>
      <c r="AQ532" s="27">
        <v>60.788585365853663</v>
      </c>
      <c r="AR532" s="27">
        <v>54.2</v>
      </c>
      <c r="AS532" s="29">
        <v>83.901820000000001</v>
      </c>
      <c r="AT532" s="270">
        <v>48</v>
      </c>
      <c r="AU532" s="464">
        <v>62.7239016156134</v>
      </c>
      <c r="AV532" s="29">
        <v>0.47086549338413702</v>
      </c>
      <c r="AW532" s="29">
        <v>0.15929445803695699</v>
      </c>
      <c r="AX532" s="29">
        <v>-5.30835220297124E-2</v>
      </c>
      <c r="AY532" s="29">
        <v>0.13121087605596901</v>
      </c>
      <c r="AZ532" s="60">
        <v>5.1506769050044601E-2</v>
      </c>
    </row>
    <row r="533" spans="1:52" s="29" customFormat="1" ht="15" customHeight="1">
      <c r="A533" s="63" t="s">
        <v>208</v>
      </c>
      <c r="B533" s="27">
        <v>2011</v>
      </c>
      <c r="C533" s="27" t="s">
        <v>189</v>
      </c>
      <c r="D533" s="27" t="s">
        <v>81</v>
      </c>
      <c r="E533" s="27" t="s">
        <v>19</v>
      </c>
      <c r="F533" s="27" t="s">
        <v>787</v>
      </c>
      <c r="G533" s="43">
        <v>1729</v>
      </c>
      <c r="H533" s="43"/>
      <c r="I533" s="43"/>
      <c r="J533" s="43"/>
      <c r="K533" s="27" t="s">
        <v>567</v>
      </c>
      <c r="L533" s="28"/>
      <c r="M533" s="27"/>
      <c r="N533" s="27" t="s">
        <v>788</v>
      </c>
      <c r="O533" s="18"/>
      <c r="P533" s="244"/>
      <c r="Q533" s="244"/>
      <c r="R533" s="27"/>
      <c r="S533" s="27"/>
      <c r="T533" s="18"/>
      <c r="U533" s="27"/>
      <c r="V533" s="27"/>
      <c r="W533" s="30"/>
      <c r="X533" s="27"/>
      <c r="Y533" s="27"/>
      <c r="Z533" s="27"/>
      <c r="AA533" s="27"/>
      <c r="AB533" s="27"/>
      <c r="AC533" s="273">
        <v>942698326.41000009</v>
      </c>
      <c r="AD533" s="27">
        <v>39564771637.397896</v>
      </c>
      <c r="AE533" s="228">
        <v>2.3826709655994358E-2</v>
      </c>
      <c r="AF533" s="27">
        <v>6751332632.2055759</v>
      </c>
      <c r="AG533" s="226">
        <v>0.13963144430376442</v>
      </c>
      <c r="AH533" s="226">
        <v>0.48769819837816242</v>
      </c>
      <c r="AI533" s="27">
        <v>1810220000</v>
      </c>
      <c r="AJ533" s="226">
        <v>0.52076450730297985</v>
      </c>
      <c r="AK533" s="27">
        <v>1164956932.5134692</v>
      </c>
      <c r="AL533" s="226">
        <v>0.80921302762332004</v>
      </c>
      <c r="AM533" s="27">
        <v>3220956189.5690708</v>
      </c>
      <c r="AN533" s="271">
        <v>0.29267654414638994</v>
      </c>
      <c r="AO533" s="27">
        <v>24820706</v>
      </c>
      <c r="AP533" s="27" t="s">
        <v>2842</v>
      </c>
      <c r="AQ533" s="27">
        <v>60.788585365853663</v>
      </c>
      <c r="AR533" s="27">
        <v>54.2</v>
      </c>
      <c r="AS533" s="29">
        <v>83.901820000000001</v>
      </c>
      <c r="AT533" s="270">
        <v>48</v>
      </c>
      <c r="AU533" s="464">
        <v>62.7239016156134</v>
      </c>
      <c r="AV533" s="29">
        <v>0.47086549338413702</v>
      </c>
      <c r="AW533" s="29">
        <v>0.15929445803695699</v>
      </c>
      <c r="AX533" s="29">
        <v>-5.30835220297124E-2</v>
      </c>
      <c r="AY533" s="29">
        <v>0.13121087605596901</v>
      </c>
      <c r="AZ533" s="60">
        <v>5.1506769050044601E-2</v>
      </c>
    </row>
    <row r="534" spans="1:52" s="287" customFormat="1" ht="15" customHeight="1">
      <c r="A534" s="359" t="s">
        <v>208</v>
      </c>
      <c r="B534" s="284">
        <v>2011</v>
      </c>
      <c r="C534" s="284" t="s">
        <v>189</v>
      </c>
      <c r="D534" s="284" t="s">
        <v>81</v>
      </c>
      <c r="E534" s="284" t="s">
        <v>19</v>
      </c>
      <c r="F534" s="284" t="s">
        <v>789</v>
      </c>
      <c r="G534" s="303">
        <v>484</v>
      </c>
      <c r="H534" s="303"/>
      <c r="I534" s="303"/>
      <c r="J534" s="303"/>
      <c r="K534" s="284" t="s">
        <v>567</v>
      </c>
      <c r="L534" s="304"/>
      <c r="M534" s="284"/>
      <c r="N534" s="284" t="s">
        <v>788</v>
      </c>
      <c r="O534" s="305"/>
      <c r="P534" s="374"/>
      <c r="Q534" s="374"/>
      <c r="R534" s="284"/>
      <c r="S534" s="284"/>
      <c r="T534" s="305"/>
      <c r="U534" s="284"/>
      <c r="V534" s="284"/>
      <c r="W534" s="307"/>
      <c r="X534" s="284"/>
      <c r="Y534" s="284"/>
      <c r="Z534" s="284"/>
      <c r="AA534" s="284"/>
      <c r="AB534" s="284"/>
      <c r="AC534" s="308">
        <v>942698326.41000009</v>
      </c>
      <c r="AD534" s="284">
        <v>39564771637.397896</v>
      </c>
      <c r="AE534" s="309">
        <v>2.3826709655994358E-2</v>
      </c>
      <c r="AF534" s="284">
        <v>6751332632.2055759</v>
      </c>
      <c r="AG534" s="310">
        <v>0.13963144430376442</v>
      </c>
      <c r="AH534" s="310">
        <v>0.48769819837816242</v>
      </c>
      <c r="AI534" s="284">
        <v>1810220000</v>
      </c>
      <c r="AJ534" s="310">
        <v>0.52076450730297985</v>
      </c>
      <c r="AK534" s="284">
        <v>1164956932.5134692</v>
      </c>
      <c r="AL534" s="310">
        <v>0.80921302762332004</v>
      </c>
      <c r="AM534" s="284">
        <v>3220956189.5690708</v>
      </c>
      <c r="AN534" s="311">
        <v>0.29267654414638994</v>
      </c>
      <c r="AO534" s="284">
        <v>24820706</v>
      </c>
      <c r="AP534" s="284" t="s">
        <v>2842</v>
      </c>
      <c r="AQ534" s="284">
        <v>60.788585365853663</v>
      </c>
      <c r="AR534" s="284">
        <v>54.2</v>
      </c>
      <c r="AS534" s="287">
        <v>83.901820000000001</v>
      </c>
      <c r="AT534" s="312">
        <v>48</v>
      </c>
      <c r="AU534" s="465">
        <v>62.7239016156134</v>
      </c>
      <c r="AV534" s="287">
        <v>0.47086549338413702</v>
      </c>
      <c r="AW534" s="287">
        <v>0.15929445803695699</v>
      </c>
      <c r="AX534" s="287">
        <v>-5.30835220297124E-2</v>
      </c>
      <c r="AY534" s="287">
        <v>0.13121087605596901</v>
      </c>
      <c r="AZ534" s="313">
        <v>5.1506769050044601E-2</v>
      </c>
    </row>
    <row r="535" spans="1:52" ht="15" customHeight="1">
      <c r="A535" s="59" t="s">
        <v>209</v>
      </c>
      <c r="B535" s="27">
        <v>2012</v>
      </c>
      <c r="C535" s="27" t="s">
        <v>189</v>
      </c>
      <c r="D535" s="27" t="s">
        <v>81</v>
      </c>
      <c r="E535" s="27" t="s">
        <v>36</v>
      </c>
      <c r="F535" s="27" t="s">
        <v>659</v>
      </c>
      <c r="G535" s="176"/>
      <c r="H535" s="176"/>
      <c r="I535" s="27"/>
      <c r="J535" s="176"/>
      <c r="K535" s="27"/>
      <c r="L535" s="28"/>
      <c r="M535" s="27"/>
      <c r="N535" s="27" t="s">
        <v>674</v>
      </c>
      <c r="O535" s="18">
        <v>14517340000</v>
      </c>
      <c r="P535" s="243">
        <v>1112429755.6600001</v>
      </c>
      <c r="Q535" s="243">
        <v>1110806094.97</v>
      </c>
      <c r="R535" s="27" t="s">
        <v>619</v>
      </c>
      <c r="S535" s="27"/>
      <c r="T535" s="18"/>
      <c r="U535" s="27" t="s">
        <v>689</v>
      </c>
      <c r="V535" s="27" t="s">
        <v>1108</v>
      </c>
      <c r="W535" s="30">
        <v>1.95</v>
      </c>
      <c r="X535" s="27">
        <v>20</v>
      </c>
      <c r="Y535" s="27" t="s">
        <v>1109</v>
      </c>
      <c r="Z535" s="27">
        <v>18</v>
      </c>
      <c r="AA535" s="27"/>
      <c r="AB535" s="27" t="s">
        <v>1110</v>
      </c>
      <c r="AC535" s="273">
        <v>1112429755.6600001</v>
      </c>
      <c r="AD535" s="27">
        <v>41740926505.118301</v>
      </c>
      <c r="AE535" s="228">
        <v>2.665081608870357E-2</v>
      </c>
      <c r="AF535" s="27">
        <v>7304662138.3957024</v>
      </c>
      <c r="AG535" s="226">
        <v>0.15229037764973469</v>
      </c>
      <c r="AH535" s="226">
        <v>0.33193526662845435</v>
      </c>
      <c r="AI535" s="27">
        <v>1807910000</v>
      </c>
      <c r="AJ535" s="226">
        <v>0.61531257399981198</v>
      </c>
      <c r="AK535" s="27">
        <v>1233652657.6304164</v>
      </c>
      <c r="AL535" s="226">
        <v>0.90173660209733619</v>
      </c>
      <c r="AM535" s="27" t="s">
        <v>2842</v>
      </c>
      <c r="AN535" s="271" t="s">
        <v>2842</v>
      </c>
      <c r="AO535" s="27">
        <v>25366462</v>
      </c>
      <c r="AP535" s="27">
        <v>24.2</v>
      </c>
      <c r="AQ535" s="27">
        <v>60.947121951219515</v>
      </c>
      <c r="AR535" s="27">
        <v>53.3</v>
      </c>
      <c r="AS535" s="29">
        <v>82.343050000000005</v>
      </c>
      <c r="AT535" s="270">
        <v>48</v>
      </c>
      <c r="AU535" s="464">
        <v>62.7239016156134</v>
      </c>
      <c r="AV535" s="29">
        <v>0.41305456254643802</v>
      </c>
      <c r="AW535" s="29">
        <v>0.100284810417618</v>
      </c>
      <c r="AX535" s="29">
        <v>-7.3201838672357494E-2</v>
      </c>
      <c r="AY535" s="29">
        <v>0.116592682617531</v>
      </c>
      <c r="AZ535" s="60">
        <v>-8.6503058626665005E-2</v>
      </c>
    </row>
    <row r="536" spans="1:52" ht="15" customHeight="1">
      <c r="A536" s="59" t="s">
        <v>209</v>
      </c>
      <c r="B536" s="27">
        <v>2012</v>
      </c>
      <c r="C536" s="27" t="s">
        <v>189</v>
      </c>
      <c r="D536" s="183" t="s">
        <v>81</v>
      </c>
      <c r="E536" s="27" t="s">
        <v>98</v>
      </c>
      <c r="F536" s="27" t="s">
        <v>659</v>
      </c>
      <c r="G536" s="176"/>
      <c r="H536" s="176"/>
      <c r="I536" s="27"/>
      <c r="J536" s="176">
        <v>26351278</v>
      </c>
      <c r="K536" s="27" t="s">
        <v>603</v>
      </c>
      <c r="L536" s="28"/>
      <c r="M536" s="27"/>
      <c r="N536" s="27"/>
      <c r="O536" s="18">
        <v>2976060000</v>
      </c>
      <c r="P536" s="243">
        <v>541510082.84000003</v>
      </c>
      <c r="Q536" s="243">
        <v>541507932.21000004</v>
      </c>
      <c r="R536" s="27"/>
      <c r="S536" s="27"/>
      <c r="T536" s="18"/>
      <c r="U536" s="27"/>
      <c r="V536" s="27"/>
      <c r="W536" s="30"/>
      <c r="X536" s="27"/>
      <c r="Y536" s="27"/>
      <c r="Z536" s="27"/>
      <c r="AA536" s="27"/>
      <c r="AB536" s="27"/>
      <c r="AC536" s="273">
        <v>1112429755.6600001</v>
      </c>
      <c r="AD536" s="27">
        <v>41740926505.118301</v>
      </c>
      <c r="AE536" s="228">
        <v>2.665081608870357E-2</v>
      </c>
      <c r="AF536" s="27">
        <v>7304662138.3957024</v>
      </c>
      <c r="AG536" s="226">
        <v>0.15229037764973469</v>
      </c>
      <c r="AH536" s="226">
        <v>0.33193526662845435</v>
      </c>
      <c r="AI536" s="27">
        <v>1807910000</v>
      </c>
      <c r="AJ536" s="226">
        <v>0.61531257399981198</v>
      </c>
      <c r="AK536" s="27">
        <v>1233652657.6304164</v>
      </c>
      <c r="AL536" s="226">
        <v>0.90173660209733619</v>
      </c>
      <c r="AM536" s="27" t="s">
        <v>2842</v>
      </c>
      <c r="AN536" s="271" t="s">
        <v>2842</v>
      </c>
      <c r="AO536" s="27">
        <v>25366462</v>
      </c>
      <c r="AP536" s="27">
        <v>24.2</v>
      </c>
      <c r="AQ536" s="27">
        <v>60.947121951219515</v>
      </c>
      <c r="AR536" s="27">
        <v>53.3</v>
      </c>
      <c r="AS536" s="29">
        <v>82.343050000000005</v>
      </c>
      <c r="AT536" s="270">
        <v>48</v>
      </c>
      <c r="AU536" s="464">
        <v>62.7239016156134</v>
      </c>
      <c r="AV536" s="29">
        <v>0.41305456254643802</v>
      </c>
      <c r="AW536" s="29">
        <v>0.100284810417618</v>
      </c>
      <c r="AX536" s="29">
        <v>-7.3201838672357494E-2</v>
      </c>
      <c r="AY536" s="29">
        <v>0.116592682617531</v>
      </c>
      <c r="AZ536" s="60">
        <v>-8.6503058626665005E-2</v>
      </c>
    </row>
    <row r="537" spans="1:52" ht="15" customHeight="1">
      <c r="A537" s="59" t="s">
        <v>209</v>
      </c>
      <c r="B537" s="27">
        <v>2012</v>
      </c>
      <c r="C537" s="27" t="s">
        <v>189</v>
      </c>
      <c r="D537" s="183" t="s">
        <v>81</v>
      </c>
      <c r="E537" s="27" t="s">
        <v>19</v>
      </c>
      <c r="F537" s="27" t="s">
        <v>559</v>
      </c>
      <c r="G537" s="176"/>
      <c r="H537" s="176"/>
      <c r="I537" s="27"/>
      <c r="J537" s="176"/>
      <c r="K537" s="27"/>
      <c r="L537" s="28"/>
      <c r="M537" s="27"/>
      <c r="N537" s="27"/>
      <c r="O537" s="18">
        <v>5770640000</v>
      </c>
      <c r="P537" s="243">
        <v>570919672.82000005</v>
      </c>
      <c r="Q537" s="243">
        <v>569298162.75999999</v>
      </c>
      <c r="R537" s="27"/>
      <c r="S537" s="27"/>
      <c r="T537" s="18"/>
      <c r="U537" s="27"/>
      <c r="V537" s="27"/>
      <c r="W537" s="30"/>
      <c r="X537" s="27"/>
      <c r="Y537" s="27"/>
      <c r="Z537" s="27"/>
      <c r="AA537" s="27"/>
      <c r="AB537" s="27"/>
      <c r="AC537" s="273">
        <v>1112429755.6600001</v>
      </c>
      <c r="AD537" s="27">
        <v>41740926505.118301</v>
      </c>
      <c r="AE537" s="228">
        <v>2.665081608870357E-2</v>
      </c>
      <c r="AF537" s="27">
        <v>7304662138.3957024</v>
      </c>
      <c r="AG537" s="226">
        <v>0.15229037764973469</v>
      </c>
      <c r="AH537" s="226">
        <v>0.33193526662845435</v>
      </c>
      <c r="AI537" s="27">
        <v>1807910000</v>
      </c>
      <c r="AJ537" s="226">
        <v>0.61531257399981198</v>
      </c>
      <c r="AK537" s="27">
        <v>1233652657.6304164</v>
      </c>
      <c r="AL537" s="226">
        <v>0.90173660209733619</v>
      </c>
      <c r="AM537" s="27" t="s">
        <v>2842</v>
      </c>
      <c r="AN537" s="271" t="s">
        <v>2842</v>
      </c>
      <c r="AO537" s="27">
        <v>25366462</v>
      </c>
      <c r="AP537" s="27">
        <v>24.2</v>
      </c>
      <c r="AQ537" s="27">
        <v>60.947121951219515</v>
      </c>
      <c r="AR537" s="27">
        <v>53.3</v>
      </c>
      <c r="AS537" s="29">
        <v>82.343050000000005</v>
      </c>
      <c r="AT537" s="270">
        <v>48</v>
      </c>
      <c r="AU537" s="464">
        <v>62.7239016156134</v>
      </c>
      <c r="AV537" s="29">
        <v>0.41305456254643802</v>
      </c>
      <c r="AW537" s="29">
        <v>0.100284810417618</v>
      </c>
      <c r="AX537" s="29">
        <v>-7.3201838672357494E-2</v>
      </c>
      <c r="AY537" s="29">
        <v>0.116592682617531</v>
      </c>
      <c r="AZ537" s="60">
        <v>-8.6503058626665005E-2</v>
      </c>
    </row>
    <row r="538" spans="1:52" ht="15" customHeight="1">
      <c r="A538" s="59" t="s">
        <v>209</v>
      </c>
      <c r="B538" s="27">
        <v>2012</v>
      </c>
      <c r="C538" s="27" t="s">
        <v>189</v>
      </c>
      <c r="D538" s="183" t="s">
        <v>81</v>
      </c>
      <c r="E538" s="27" t="s">
        <v>19</v>
      </c>
      <c r="F538" s="27" t="s">
        <v>730</v>
      </c>
      <c r="G538" s="176"/>
      <c r="H538" s="176"/>
      <c r="I538" s="18"/>
      <c r="J538" s="18">
        <v>3166483</v>
      </c>
      <c r="K538" s="27" t="s">
        <v>1111</v>
      </c>
      <c r="L538" s="28"/>
      <c r="M538" s="27"/>
      <c r="N538" s="27"/>
      <c r="O538" s="18">
        <v>5643270000</v>
      </c>
      <c r="P538" s="243"/>
      <c r="Q538" s="244"/>
      <c r="R538" s="27"/>
      <c r="S538" s="27"/>
      <c r="T538" s="18"/>
      <c r="U538" s="27"/>
      <c r="V538" s="27"/>
      <c r="W538" s="30"/>
      <c r="X538" s="27"/>
      <c r="Y538" s="27"/>
      <c r="Z538" s="27"/>
      <c r="AA538" s="27"/>
      <c r="AB538" s="27"/>
      <c r="AC538" s="273">
        <v>1112429755.6600001</v>
      </c>
      <c r="AD538" s="27">
        <v>41740926505.118301</v>
      </c>
      <c r="AE538" s="228">
        <v>2.665081608870357E-2</v>
      </c>
      <c r="AF538" s="27">
        <v>7304662138.3957024</v>
      </c>
      <c r="AG538" s="226">
        <v>0.15229037764973469</v>
      </c>
      <c r="AH538" s="226">
        <v>0.33193526662845435</v>
      </c>
      <c r="AI538" s="27">
        <v>1807910000</v>
      </c>
      <c r="AJ538" s="226">
        <v>0.61531257399981198</v>
      </c>
      <c r="AK538" s="27">
        <v>1233652657.6304164</v>
      </c>
      <c r="AL538" s="226">
        <v>0.90173660209733619</v>
      </c>
      <c r="AM538" s="27" t="s">
        <v>2842</v>
      </c>
      <c r="AN538" s="271" t="s">
        <v>2842</v>
      </c>
      <c r="AO538" s="27">
        <v>25366462</v>
      </c>
      <c r="AP538" s="27">
        <v>24.2</v>
      </c>
      <c r="AQ538" s="27">
        <v>60.947121951219515</v>
      </c>
      <c r="AR538" s="27">
        <v>53.3</v>
      </c>
      <c r="AS538" s="29">
        <v>82.343050000000005</v>
      </c>
      <c r="AT538" s="270">
        <v>48</v>
      </c>
      <c r="AU538" s="464">
        <v>62.7239016156134</v>
      </c>
      <c r="AV538" s="29">
        <v>0.41305456254643802</v>
      </c>
      <c r="AW538" s="29">
        <v>0.100284810417618</v>
      </c>
      <c r="AX538" s="29">
        <v>-7.3201838672357494E-2</v>
      </c>
      <c r="AY538" s="29">
        <v>0.116592682617531</v>
      </c>
      <c r="AZ538" s="60">
        <v>-8.6503058626665005E-2</v>
      </c>
    </row>
    <row r="539" spans="1:52" ht="15" customHeight="1">
      <c r="A539" s="59" t="s">
        <v>209</v>
      </c>
      <c r="B539" s="27">
        <v>2012</v>
      </c>
      <c r="C539" s="27" t="s">
        <v>189</v>
      </c>
      <c r="D539" s="183" t="s">
        <v>81</v>
      </c>
      <c r="E539" s="27" t="s">
        <v>19</v>
      </c>
      <c r="F539" s="27" t="s">
        <v>1112</v>
      </c>
      <c r="G539" s="176"/>
      <c r="H539" s="176"/>
      <c r="I539" s="18"/>
      <c r="J539" s="18">
        <v>215118</v>
      </c>
      <c r="K539" s="27" t="s">
        <v>905</v>
      </c>
      <c r="L539" s="28"/>
      <c r="M539" s="27"/>
      <c r="N539" s="27"/>
      <c r="O539" s="18">
        <v>10380000</v>
      </c>
      <c r="P539" s="243"/>
      <c r="Q539" s="244"/>
      <c r="R539" s="27"/>
      <c r="S539" s="27"/>
      <c r="T539" s="18"/>
      <c r="U539" s="27"/>
      <c r="V539" s="27"/>
      <c r="W539" s="30"/>
      <c r="X539" s="27"/>
      <c r="Y539" s="27"/>
      <c r="Z539" s="27"/>
      <c r="AA539" s="27"/>
      <c r="AB539" s="27" t="s">
        <v>3694</v>
      </c>
      <c r="AC539" s="273">
        <v>1112429755.6600001</v>
      </c>
      <c r="AD539" s="27">
        <v>41740926505.118301</v>
      </c>
      <c r="AE539" s="228">
        <v>2.665081608870357E-2</v>
      </c>
      <c r="AF539" s="27">
        <v>7304662138.3957024</v>
      </c>
      <c r="AG539" s="226">
        <v>0.15229037764973469</v>
      </c>
      <c r="AH539" s="226">
        <v>0.33193526662845435</v>
      </c>
      <c r="AI539" s="27">
        <v>1807910000</v>
      </c>
      <c r="AJ539" s="226">
        <v>0.61531257399981198</v>
      </c>
      <c r="AK539" s="27">
        <v>1233652657.6304164</v>
      </c>
      <c r="AL539" s="226">
        <v>0.90173660209733619</v>
      </c>
      <c r="AM539" s="27" t="s">
        <v>2842</v>
      </c>
      <c r="AN539" s="271" t="s">
        <v>2842</v>
      </c>
      <c r="AO539" s="27">
        <v>25366462</v>
      </c>
      <c r="AP539" s="27">
        <v>24.2</v>
      </c>
      <c r="AQ539" s="27">
        <v>60.947121951219515</v>
      </c>
      <c r="AR539" s="27">
        <v>53.3</v>
      </c>
      <c r="AS539" s="29">
        <v>82.343050000000005</v>
      </c>
      <c r="AT539" s="270">
        <v>48</v>
      </c>
      <c r="AU539" s="464">
        <v>62.7239016156134</v>
      </c>
      <c r="AV539" s="29">
        <v>0.41305456254643802</v>
      </c>
      <c r="AW539" s="29">
        <v>0.100284810417618</v>
      </c>
      <c r="AX539" s="29">
        <v>-7.3201838672357494E-2</v>
      </c>
      <c r="AY539" s="29">
        <v>0.116592682617531</v>
      </c>
      <c r="AZ539" s="60">
        <v>-8.6503058626665005E-2</v>
      </c>
    </row>
    <row r="540" spans="1:52" ht="15" customHeight="1">
      <c r="A540" s="59" t="s">
        <v>209</v>
      </c>
      <c r="B540" s="27">
        <v>2012</v>
      </c>
      <c r="C540" s="27" t="s">
        <v>189</v>
      </c>
      <c r="D540" s="183" t="s">
        <v>81</v>
      </c>
      <c r="E540" s="27" t="s">
        <v>19</v>
      </c>
      <c r="F540" s="27" t="s">
        <v>1049</v>
      </c>
      <c r="G540" s="176"/>
      <c r="H540" s="176"/>
      <c r="I540" s="18"/>
      <c r="J540" s="18">
        <v>752771</v>
      </c>
      <c r="K540" s="27" t="s">
        <v>567</v>
      </c>
      <c r="L540" s="28"/>
      <c r="M540" s="27"/>
      <c r="N540" s="27"/>
      <c r="O540" s="18">
        <v>24620000</v>
      </c>
      <c r="P540" s="243"/>
      <c r="Q540" s="244"/>
      <c r="R540" s="27"/>
      <c r="S540" s="27"/>
      <c r="T540" s="18"/>
      <c r="U540" s="27"/>
      <c r="V540" s="27"/>
      <c r="W540" s="30"/>
      <c r="X540" s="27"/>
      <c r="Y540" s="27"/>
      <c r="Z540" s="27"/>
      <c r="AA540" s="27"/>
      <c r="AB540" s="27"/>
      <c r="AC540" s="273">
        <v>1112429755.6600001</v>
      </c>
      <c r="AD540" s="27">
        <v>41740926505.118301</v>
      </c>
      <c r="AE540" s="228">
        <v>2.665081608870357E-2</v>
      </c>
      <c r="AF540" s="27">
        <v>7304662138.3957024</v>
      </c>
      <c r="AG540" s="226">
        <v>0.15229037764973469</v>
      </c>
      <c r="AH540" s="226">
        <v>0.33193526662845435</v>
      </c>
      <c r="AI540" s="27">
        <v>1807910000</v>
      </c>
      <c r="AJ540" s="226">
        <v>0.61531257399981198</v>
      </c>
      <c r="AK540" s="27">
        <v>1233652657.6304164</v>
      </c>
      <c r="AL540" s="226">
        <v>0.90173660209733619</v>
      </c>
      <c r="AM540" s="27" t="s">
        <v>2842</v>
      </c>
      <c r="AN540" s="271" t="s">
        <v>2842</v>
      </c>
      <c r="AO540" s="27">
        <v>25366462</v>
      </c>
      <c r="AP540" s="27">
        <v>24.2</v>
      </c>
      <c r="AQ540" s="27">
        <v>60.947121951219515</v>
      </c>
      <c r="AR540" s="27">
        <v>53.3</v>
      </c>
      <c r="AS540" s="29">
        <v>82.343050000000005</v>
      </c>
      <c r="AT540" s="270">
        <v>48</v>
      </c>
      <c r="AU540" s="464">
        <v>62.7239016156134</v>
      </c>
      <c r="AV540" s="29">
        <v>0.41305456254643802</v>
      </c>
      <c r="AW540" s="29">
        <v>0.100284810417618</v>
      </c>
      <c r="AX540" s="29">
        <v>-7.3201838672357494E-2</v>
      </c>
      <c r="AY540" s="29">
        <v>0.116592682617531</v>
      </c>
      <c r="AZ540" s="60">
        <v>-8.6503058626665005E-2</v>
      </c>
    </row>
    <row r="541" spans="1:52" s="287" customFormat="1" ht="15" customHeight="1">
      <c r="A541" s="344" t="s">
        <v>209</v>
      </c>
      <c r="B541" s="284">
        <v>2012</v>
      </c>
      <c r="C541" s="284" t="s">
        <v>189</v>
      </c>
      <c r="D541" s="375" t="s">
        <v>81</v>
      </c>
      <c r="E541" s="284" t="s">
        <v>19</v>
      </c>
      <c r="F541" s="284" t="s">
        <v>784</v>
      </c>
      <c r="G541" s="373"/>
      <c r="H541" s="373"/>
      <c r="I541" s="305"/>
      <c r="J541" s="305">
        <v>1484738</v>
      </c>
      <c r="K541" s="284" t="s">
        <v>567</v>
      </c>
      <c r="L541" s="304"/>
      <c r="M541" s="284"/>
      <c r="N541" s="284"/>
      <c r="O541" s="305">
        <v>92370000</v>
      </c>
      <c r="P541" s="376"/>
      <c r="Q541" s="374"/>
      <c r="R541" s="284"/>
      <c r="S541" s="284"/>
      <c r="T541" s="305"/>
      <c r="U541" s="284"/>
      <c r="V541" s="284"/>
      <c r="W541" s="307"/>
      <c r="X541" s="284"/>
      <c r="Y541" s="284"/>
      <c r="Z541" s="284"/>
      <c r="AA541" s="284"/>
      <c r="AB541" s="284" t="s">
        <v>3694</v>
      </c>
      <c r="AC541" s="308">
        <v>1112429755.6600001</v>
      </c>
      <c r="AD541" s="284">
        <v>41740926505.118301</v>
      </c>
      <c r="AE541" s="309">
        <v>2.665081608870357E-2</v>
      </c>
      <c r="AF541" s="284">
        <v>7304662138.3957024</v>
      </c>
      <c r="AG541" s="310">
        <v>0.15229037764973469</v>
      </c>
      <c r="AH541" s="310">
        <v>0.33193526662845435</v>
      </c>
      <c r="AI541" s="284">
        <v>1807910000</v>
      </c>
      <c r="AJ541" s="310">
        <v>0.61531257399981198</v>
      </c>
      <c r="AK541" s="284">
        <v>1233652657.6304164</v>
      </c>
      <c r="AL541" s="310">
        <v>0.90173660209733619</v>
      </c>
      <c r="AM541" s="284" t="s">
        <v>2842</v>
      </c>
      <c r="AN541" s="311" t="s">
        <v>2842</v>
      </c>
      <c r="AO541" s="284">
        <v>25366462</v>
      </c>
      <c r="AP541" s="284">
        <v>24.2</v>
      </c>
      <c r="AQ541" s="284">
        <v>60.947121951219515</v>
      </c>
      <c r="AR541" s="284">
        <v>53.3</v>
      </c>
      <c r="AS541" s="287">
        <v>82.343050000000005</v>
      </c>
      <c r="AT541" s="312">
        <v>48</v>
      </c>
      <c r="AU541" s="465">
        <v>62.7239016156134</v>
      </c>
      <c r="AV541" s="287">
        <v>0.41305456254643802</v>
      </c>
      <c r="AW541" s="287">
        <v>0.100284810417618</v>
      </c>
      <c r="AX541" s="287">
        <v>-7.3201838672357494E-2</v>
      </c>
      <c r="AY541" s="287">
        <v>0.116592682617531</v>
      </c>
      <c r="AZ541" s="313">
        <v>-8.6503058626665005E-2</v>
      </c>
    </row>
    <row r="542" spans="1:52" ht="15" customHeight="1">
      <c r="A542" s="174" t="s">
        <v>211</v>
      </c>
      <c r="B542" s="184">
        <v>2013</v>
      </c>
      <c r="C542" s="27" t="s">
        <v>189</v>
      </c>
      <c r="D542" s="185" t="s">
        <v>81</v>
      </c>
      <c r="E542" s="185" t="s">
        <v>36</v>
      </c>
      <c r="F542" s="186" t="s">
        <v>659</v>
      </c>
      <c r="G542" s="187"/>
      <c r="H542" s="187"/>
      <c r="I542" s="186"/>
      <c r="J542" s="188"/>
      <c r="K542" s="27"/>
      <c r="L542" s="28"/>
      <c r="M542" s="27"/>
      <c r="N542" s="27" t="s">
        <v>674</v>
      </c>
      <c r="O542" s="18">
        <v>14162850000</v>
      </c>
      <c r="P542" s="243">
        <v>1269116732.9300001</v>
      </c>
      <c r="Q542" s="243">
        <v>1215635816.8599999</v>
      </c>
      <c r="R542" s="27" t="s">
        <v>619</v>
      </c>
      <c r="S542" s="27"/>
      <c r="T542" s="18"/>
      <c r="U542" s="27" t="s">
        <v>689</v>
      </c>
      <c r="V542" s="27" t="s">
        <v>1108</v>
      </c>
      <c r="W542" s="30">
        <v>1.95</v>
      </c>
      <c r="X542" s="27">
        <v>21</v>
      </c>
      <c r="Y542" s="27" t="s">
        <v>1113</v>
      </c>
      <c r="Z542" s="27">
        <v>19</v>
      </c>
      <c r="AA542" s="27"/>
      <c r="AB542" s="68" t="s">
        <v>1114</v>
      </c>
      <c r="AC542" s="273">
        <v>1269116732.9300001</v>
      </c>
      <c r="AD542" s="27">
        <v>48137027487.179489</v>
      </c>
      <c r="AE542" s="228">
        <v>2.6364667682648425E-2</v>
      </c>
      <c r="AF542" s="27">
        <v>7677374513.9302568</v>
      </c>
      <c r="AG542" s="226">
        <v>0.16530608616620746</v>
      </c>
      <c r="AH542" s="226">
        <v>0.2823579753533354</v>
      </c>
      <c r="AI542" s="27" t="s">
        <v>2842</v>
      </c>
      <c r="AJ542" s="226" t="s">
        <v>2842</v>
      </c>
      <c r="AK542" s="27" t="s">
        <v>2842</v>
      </c>
      <c r="AL542" s="226" t="s">
        <v>2842</v>
      </c>
      <c r="AM542" s="27" t="s">
        <v>2842</v>
      </c>
      <c r="AN542" s="271" t="s">
        <v>2842</v>
      </c>
      <c r="AO542" s="27">
        <v>25904598</v>
      </c>
      <c r="AP542" s="27" t="s">
        <v>2842</v>
      </c>
      <c r="AQ542" s="27" t="s">
        <v>2842</v>
      </c>
      <c r="AR542" s="27">
        <v>52.3</v>
      </c>
      <c r="AS542" s="29">
        <v>87.639740000000003</v>
      </c>
      <c r="AT542" s="270">
        <v>48</v>
      </c>
      <c r="AU542" s="464">
        <v>62.7239016156134</v>
      </c>
      <c r="AV542" s="29">
        <v>0.41065856814384499</v>
      </c>
      <c r="AW542" s="29">
        <v>2.0406404510140402E-2</v>
      </c>
      <c r="AX542" s="29">
        <v>-8.6076162755489294E-2</v>
      </c>
      <c r="AY542" s="29">
        <v>7.7964797616004902E-2</v>
      </c>
      <c r="AZ542" s="60">
        <v>-7.4241228401660905E-2</v>
      </c>
    </row>
    <row r="543" spans="1:52" ht="15" customHeight="1">
      <c r="A543" s="174" t="s">
        <v>211</v>
      </c>
      <c r="B543" s="184">
        <v>2013</v>
      </c>
      <c r="C543" s="27" t="s">
        <v>189</v>
      </c>
      <c r="D543" s="185" t="s">
        <v>81</v>
      </c>
      <c r="E543" s="185" t="s">
        <v>98</v>
      </c>
      <c r="F543" s="186" t="s">
        <v>98</v>
      </c>
      <c r="G543" s="187"/>
      <c r="H543" s="187"/>
      <c r="I543" s="186"/>
      <c r="J543" s="188">
        <v>35587558</v>
      </c>
      <c r="K543" s="27" t="s">
        <v>603</v>
      </c>
      <c r="L543" s="28"/>
      <c r="M543" s="27"/>
      <c r="N543" s="27"/>
      <c r="O543" s="18">
        <v>3885070000</v>
      </c>
      <c r="P543" s="243">
        <v>845870483.70000005</v>
      </c>
      <c r="Q543" s="243">
        <v>790799528.13999999</v>
      </c>
      <c r="R543" s="27"/>
      <c r="S543" s="27"/>
      <c r="T543" s="18"/>
      <c r="U543" s="27"/>
      <c r="V543" s="27"/>
      <c r="W543" s="30"/>
      <c r="X543" s="27"/>
      <c r="Y543" s="27"/>
      <c r="Z543" s="27"/>
      <c r="AA543" s="27"/>
      <c r="AB543" s="27"/>
      <c r="AC543" s="273">
        <v>1269116732.9300001</v>
      </c>
      <c r="AD543" s="27">
        <v>48137027487.179489</v>
      </c>
      <c r="AE543" s="228">
        <v>2.6364667682648425E-2</v>
      </c>
      <c r="AF543" s="27">
        <v>7677374513.9302568</v>
      </c>
      <c r="AG543" s="226">
        <v>0.16530608616620746</v>
      </c>
      <c r="AH543" s="226">
        <v>0.2823579753533354</v>
      </c>
      <c r="AI543" s="27" t="s">
        <v>2842</v>
      </c>
      <c r="AJ543" s="226" t="s">
        <v>2842</v>
      </c>
      <c r="AK543" s="27" t="s">
        <v>2842</v>
      </c>
      <c r="AL543" s="226" t="s">
        <v>2842</v>
      </c>
      <c r="AM543" s="27" t="s">
        <v>2842</v>
      </c>
      <c r="AN543" s="271" t="s">
        <v>2842</v>
      </c>
      <c r="AO543" s="27">
        <v>25904598</v>
      </c>
      <c r="AP543" s="27" t="s">
        <v>2842</v>
      </c>
      <c r="AQ543" s="27" t="s">
        <v>2842</v>
      </c>
      <c r="AR543" s="27">
        <v>52.3</v>
      </c>
      <c r="AS543" s="29">
        <v>87.639740000000003</v>
      </c>
      <c r="AT543" s="270">
        <v>48</v>
      </c>
      <c r="AU543" s="464">
        <v>62.7239016156134</v>
      </c>
      <c r="AV543" s="29">
        <v>0.41065856814384499</v>
      </c>
      <c r="AW543" s="29">
        <v>2.0406404510140402E-2</v>
      </c>
      <c r="AX543" s="29">
        <v>-8.6076162755489294E-2</v>
      </c>
      <c r="AY543" s="29">
        <v>7.7964797616004902E-2</v>
      </c>
      <c r="AZ543" s="60">
        <v>-7.4241228401660905E-2</v>
      </c>
    </row>
    <row r="544" spans="1:52" ht="15" customHeight="1">
      <c r="A544" s="174" t="s">
        <v>211</v>
      </c>
      <c r="B544" s="189">
        <v>2013</v>
      </c>
      <c r="C544" s="27" t="s">
        <v>189</v>
      </c>
      <c r="D544" s="185" t="s">
        <v>81</v>
      </c>
      <c r="E544" s="185" t="s">
        <v>19</v>
      </c>
      <c r="F544" s="186" t="s">
        <v>659</v>
      </c>
      <c r="G544" s="187"/>
      <c r="H544" s="187"/>
      <c r="I544" s="186"/>
      <c r="J544" s="188"/>
      <c r="K544" s="27"/>
      <c r="L544" s="28"/>
      <c r="M544" s="27"/>
      <c r="N544" s="27"/>
      <c r="O544" s="18">
        <v>5138890000</v>
      </c>
      <c r="P544" s="214">
        <v>423246249.23000002</v>
      </c>
      <c r="Q544" s="214">
        <v>424836288.72000003</v>
      </c>
      <c r="R544" s="27"/>
      <c r="S544" s="27"/>
      <c r="T544" s="18"/>
      <c r="U544" s="27"/>
      <c r="V544" s="27"/>
      <c r="W544" s="30"/>
      <c r="X544" s="27"/>
      <c r="Y544" s="27"/>
      <c r="Z544" s="27"/>
      <c r="AA544" s="27"/>
      <c r="AB544" s="27"/>
      <c r="AC544" s="273">
        <v>1269116732.9300001</v>
      </c>
      <c r="AD544" s="27">
        <v>48137027487.179489</v>
      </c>
      <c r="AE544" s="228">
        <v>2.6364667682648425E-2</v>
      </c>
      <c r="AF544" s="27">
        <v>7677374513.9302568</v>
      </c>
      <c r="AG544" s="226">
        <v>0.16530608616620746</v>
      </c>
      <c r="AH544" s="226">
        <v>0.2823579753533354</v>
      </c>
      <c r="AI544" s="27" t="s">
        <v>2842</v>
      </c>
      <c r="AJ544" s="226" t="s">
        <v>2842</v>
      </c>
      <c r="AK544" s="27" t="s">
        <v>2842</v>
      </c>
      <c r="AL544" s="226" t="s">
        <v>2842</v>
      </c>
      <c r="AM544" s="27" t="s">
        <v>2842</v>
      </c>
      <c r="AN544" s="271" t="s">
        <v>2842</v>
      </c>
      <c r="AO544" s="27">
        <v>25904598</v>
      </c>
      <c r="AP544" s="27" t="s">
        <v>2842</v>
      </c>
      <c r="AQ544" s="27" t="s">
        <v>2842</v>
      </c>
      <c r="AR544" s="27">
        <v>52.3</v>
      </c>
      <c r="AS544" s="29">
        <v>87.639740000000003</v>
      </c>
      <c r="AT544" s="270">
        <v>48</v>
      </c>
      <c r="AU544" s="464">
        <v>62.7239016156134</v>
      </c>
      <c r="AV544" s="29">
        <v>0.41065856814384499</v>
      </c>
      <c r="AW544" s="29">
        <v>2.0406404510140402E-2</v>
      </c>
      <c r="AX544" s="29">
        <v>-8.6076162755489294E-2</v>
      </c>
      <c r="AY544" s="29">
        <v>7.7964797616004902E-2</v>
      </c>
      <c r="AZ544" s="60">
        <v>-7.4241228401660905E-2</v>
      </c>
    </row>
    <row r="545" spans="1:52" ht="15" customHeight="1">
      <c r="A545" s="174" t="s">
        <v>211</v>
      </c>
      <c r="B545" s="189">
        <v>2013</v>
      </c>
      <c r="C545" s="27" t="s">
        <v>189</v>
      </c>
      <c r="D545" s="185" t="s">
        <v>81</v>
      </c>
      <c r="E545" s="185" t="s">
        <v>19</v>
      </c>
      <c r="F545" s="186" t="s">
        <v>730</v>
      </c>
      <c r="G545" s="187"/>
      <c r="H545" s="187"/>
      <c r="I545" s="186"/>
      <c r="J545" s="188">
        <v>3192648</v>
      </c>
      <c r="K545" s="27" t="s">
        <v>1111</v>
      </c>
      <c r="L545" s="28"/>
      <c r="M545" s="27"/>
      <c r="N545" s="27"/>
      <c r="O545" s="18">
        <v>4965710000</v>
      </c>
      <c r="P545" s="244"/>
      <c r="Q545" s="244"/>
      <c r="R545" s="27"/>
      <c r="S545" s="27"/>
      <c r="T545" s="18"/>
      <c r="U545" s="27"/>
      <c r="V545" s="27"/>
      <c r="W545" s="30"/>
      <c r="X545" s="27"/>
      <c r="Y545" s="27"/>
      <c r="Z545" s="27"/>
      <c r="AA545" s="27"/>
      <c r="AB545" s="27"/>
      <c r="AC545" s="273">
        <v>1269116732.9300001</v>
      </c>
      <c r="AD545" s="27">
        <v>48137027487.179489</v>
      </c>
      <c r="AE545" s="228">
        <v>2.6364667682648425E-2</v>
      </c>
      <c r="AF545" s="27">
        <v>7677374513.9302568</v>
      </c>
      <c r="AG545" s="226">
        <v>0.16530608616620746</v>
      </c>
      <c r="AH545" s="226">
        <v>0.2823579753533354</v>
      </c>
      <c r="AI545" s="27" t="s">
        <v>2842</v>
      </c>
      <c r="AJ545" s="226" t="s">
        <v>2842</v>
      </c>
      <c r="AK545" s="27" t="s">
        <v>2842</v>
      </c>
      <c r="AL545" s="226" t="s">
        <v>2842</v>
      </c>
      <c r="AM545" s="27" t="s">
        <v>2842</v>
      </c>
      <c r="AN545" s="271" t="s">
        <v>2842</v>
      </c>
      <c r="AO545" s="27">
        <v>25904598</v>
      </c>
      <c r="AP545" s="27" t="s">
        <v>2842</v>
      </c>
      <c r="AQ545" s="27" t="s">
        <v>2842</v>
      </c>
      <c r="AR545" s="27">
        <v>52.3</v>
      </c>
      <c r="AS545" s="29">
        <v>87.639740000000003</v>
      </c>
      <c r="AT545" s="270">
        <v>48</v>
      </c>
      <c r="AU545" s="464">
        <v>62.7239016156134</v>
      </c>
      <c r="AV545" s="29">
        <v>0.41065856814384499</v>
      </c>
      <c r="AW545" s="29">
        <v>2.0406404510140402E-2</v>
      </c>
      <c r="AX545" s="29">
        <v>-8.6076162755489294E-2</v>
      </c>
      <c r="AY545" s="29">
        <v>7.7964797616004902E-2</v>
      </c>
      <c r="AZ545" s="60">
        <v>-7.4241228401660905E-2</v>
      </c>
    </row>
    <row r="546" spans="1:52" ht="15" customHeight="1">
      <c r="A546" s="174" t="s">
        <v>211</v>
      </c>
      <c r="B546" s="189">
        <v>2013</v>
      </c>
      <c r="C546" s="27" t="s">
        <v>189</v>
      </c>
      <c r="D546" s="183" t="s">
        <v>81</v>
      </c>
      <c r="E546" s="185" t="s">
        <v>19</v>
      </c>
      <c r="F546" s="186" t="s">
        <v>1112</v>
      </c>
      <c r="G546" s="187"/>
      <c r="H546" s="187"/>
      <c r="I546" s="186"/>
      <c r="J546" s="188">
        <v>159074</v>
      </c>
      <c r="K546" s="27" t="s">
        <v>905</v>
      </c>
      <c r="L546" s="28"/>
      <c r="M546" s="27"/>
      <c r="N546" s="27"/>
      <c r="O546" s="18">
        <v>6930000</v>
      </c>
      <c r="P546" s="244"/>
      <c r="Q546" s="244"/>
      <c r="R546" s="27"/>
      <c r="S546" s="27"/>
      <c r="T546" s="18"/>
      <c r="U546" s="27"/>
      <c r="V546" s="27"/>
      <c r="W546" s="30"/>
      <c r="X546" s="27"/>
      <c r="Y546" s="27"/>
      <c r="Z546" s="27"/>
      <c r="AA546" s="27"/>
      <c r="AB546" s="27" t="s">
        <v>3694</v>
      </c>
      <c r="AC546" s="273">
        <v>1269116732.9300001</v>
      </c>
      <c r="AD546" s="27">
        <v>48137027487.179489</v>
      </c>
      <c r="AE546" s="228">
        <v>2.6364667682648425E-2</v>
      </c>
      <c r="AF546" s="27">
        <v>7677374513.9302568</v>
      </c>
      <c r="AG546" s="226">
        <v>0.16530608616620746</v>
      </c>
      <c r="AH546" s="226">
        <v>0.2823579753533354</v>
      </c>
      <c r="AI546" s="27" t="s">
        <v>2842</v>
      </c>
      <c r="AJ546" s="226" t="s">
        <v>2842</v>
      </c>
      <c r="AK546" s="27" t="s">
        <v>2842</v>
      </c>
      <c r="AL546" s="226" t="s">
        <v>2842</v>
      </c>
      <c r="AM546" s="27" t="s">
        <v>2842</v>
      </c>
      <c r="AN546" s="271" t="s">
        <v>2842</v>
      </c>
      <c r="AO546" s="27">
        <v>25904598</v>
      </c>
      <c r="AP546" s="27" t="s">
        <v>2842</v>
      </c>
      <c r="AQ546" s="27" t="s">
        <v>2842</v>
      </c>
      <c r="AR546" s="27">
        <v>52.3</v>
      </c>
      <c r="AS546" s="29">
        <v>87.639740000000003</v>
      </c>
      <c r="AT546" s="270">
        <v>48</v>
      </c>
      <c r="AU546" s="464">
        <v>62.7239016156134</v>
      </c>
      <c r="AV546" s="29">
        <v>0.41065856814384499</v>
      </c>
      <c r="AW546" s="29">
        <v>2.0406404510140402E-2</v>
      </c>
      <c r="AX546" s="29">
        <v>-8.6076162755489294E-2</v>
      </c>
      <c r="AY546" s="29">
        <v>7.7964797616004902E-2</v>
      </c>
      <c r="AZ546" s="60">
        <v>-7.4241228401660905E-2</v>
      </c>
    </row>
    <row r="547" spans="1:52" ht="15" customHeight="1">
      <c r="A547" s="174" t="s">
        <v>211</v>
      </c>
      <c r="B547" s="189">
        <v>2013</v>
      </c>
      <c r="C547" s="27" t="s">
        <v>189</v>
      </c>
      <c r="D547" s="183" t="s">
        <v>81</v>
      </c>
      <c r="E547" s="186" t="s">
        <v>19</v>
      </c>
      <c r="F547" s="186" t="s">
        <v>1049</v>
      </c>
      <c r="G547" s="187"/>
      <c r="H547" s="187"/>
      <c r="I547" s="186"/>
      <c r="J547" s="188">
        <v>826994</v>
      </c>
      <c r="K547" s="27" t="s">
        <v>567</v>
      </c>
      <c r="L547" s="28"/>
      <c r="M547" s="27"/>
      <c r="N547" s="27"/>
      <c r="O547" s="18">
        <v>32560000</v>
      </c>
      <c r="P547" s="244"/>
      <c r="Q547" s="244"/>
      <c r="R547" s="27"/>
      <c r="S547" s="27"/>
      <c r="T547" s="18"/>
      <c r="U547" s="27"/>
      <c r="V547" s="27"/>
      <c r="W547" s="30"/>
      <c r="X547" s="27"/>
      <c r="Y547" s="27"/>
      <c r="Z547" s="27"/>
      <c r="AA547" s="27"/>
      <c r="AB547" s="27"/>
      <c r="AC547" s="273">
        <v>1269116732.9300001</v>
      </c>
      <c r="AD547" s="27">
        <v>48137027487.179489</v>
      </c>
      <c r="AE547" s="228">
        <v>2.6364667682648425E-2</v>
      </c>
      <c r="AF547" s="27">
        <v>7677374513.9302568</v>
      </c>
      <c r="AG547" s="226">
        <v>0.16530608616620746</v>
      </c>
      <c r="AH547" s="226">
        <v>0.2823579753533354</v>
      </c>
      <c r="AI547" s="27" t="s">
        <v>2842</v>
      </c>
      <c r="AJ547" s="226" t="s">
        <v>2842</v>
      </c>
      <c r="AK547" s="27" t="s">
        <v>2842</v>
      </c>
      <c r="AL547" s="226" t="s">
        <v>2842</v>
      </c>
      <c r="AM547" s="27" t="s">
        <v>2842</v>
      </c>
      <c r="AN547" s="271" t="s">
        <v>2842</v>
      </c>
      <c r="AO547" s="27">
        <v>25904598</v>
      </c>
      <c r="AP547" s="27" t="s">
        <v>2842</v>
      </c>
      <c r="AQ547" s="27" t="s">
        <v>2842</v>
      </c>
      <c r="AR547" s="27">
        <v>52.3</v>
      </c>
      <c r="AS547" s="29">
        <v>87.639740000000003</v>
      </c>
      <c r="AT547" s="270">
        <v>48</v>
      </c>
      <c r="AU547" s="464">
        <v>62.7239016156134</v>
      </c>
      <c r="AV547" s="29">
        <v>0.41065856814384499</v>
      </c>
      <c r="AW547" s="29">
        <v>2.0406404510140402E-2</v>
      </c>
      <c r="AX547" s="29">
        <v>-8.6076162755489294E-2</v>
      </c>
      <c r="AY547" s="29">
        <v>7.7964797616004902E-2</v>
      </c>
      <c r="AZ547" s="60">
        <v>-7.4241228401660905E-2</v>
      </c>
    </row>
    <row r="548" spans="1:52" s="232" customFormat="1" ht="15" customHeight="1" thickBot="1">
      <c r="A548" s="377" t="s">
        <v>211</v>
      </c>
      <c r="B548" s="378">
        <v>2013</v>
      </c>
      <c r="C548" s="230" t="s">
        <v>189</v>
      </c>
      <c r="D548" s="379" t="s">
        <v>81</v>
      </c>
      <c r="E548" s="380" t="s">
        <v>19</v>
      </c>
      <c r="F548" s="380" t="s">
        <v>784</v>
      </c>
      <c r="G548" s="381"/>
      <c r="H548" s="381"/>
      <c r="I548" s="380"/>
      <c r="J548" s="382">
        <v>1977911</v>
      </c>
      <c r="K548" s="230" t="s">
        <v>567</v>
      </c>
      <c r="L548" s="298"/>
      <c r="M548" s="230"/>
      <c r="N548" s="230"/>
      <c r="O548" s="285">
        <v>133690000</v>
      </c>
      <c r="P548" s="318"/>
      <c r="Q548" s="318"/>
      <c r="R548" s="230"/>
      <c r="S548" s="230"/>
      <c r="T548" s="285"/>
      <c r="U548" s="230"/>
      <c r="V548" s="230"/>
      <c r="W548" s="300"/>
      <c r="X548" s="230"/>
      <c r="Y548" s="230"/>
      <c r="Z548" s="230"/>
      <c r="AA548" s="230"/>
      <c r="AB548" s="230" t="s">
        <v>3694</v>
      </c>
      <c r="AC548" s="274">
        <v>1269116732.9300001</v>
      </c>
      <c r="AD548" s="230">
        <v>48137027487.179489</v>
      </c>
      <c r="AE548" s="229">
        <v>2.6364667682648425E-2</v>
      </c>
      <c r="AF548" s="230">
        <v>7677374513.9302568</v>
      </c>
      <c r="AG548" s="231">
        <v>0.16530608616620746</v>
      </c>
      <c r="AH548" s="231">
        <v>0.2823579753533354</v>
      </c>
      <c r="AI548" s="230" t="s">
        <v>2842</v>
      </c>
      <c r="AJ548" s="231" t="s">
        <v>2842</v>
      </c>
      <c r="AK548" s="230" t="s">
        <v>2842</v>
      </c>
      <c r="AL548" s="231" t="s">
        <v>2842</v>
      </c>
      <c r="AM548" s="230" t="s">
        <v>2842</v>
      </c>
      <c r="AN548" s="275" t="s">
        <v>2842</v>
      </c>
      <c r="AO548" s="230">
        <v>25904598</v>
      </c>
      <c r="AP548" s="230" t="s">
        <v>2842</v>
      </c>
      <c r="AQ548" s="230" t="s">
        <v>2842</v>
      </c>
      <c r="AR548" s="230">
        <v>52.3</v>
      </c>
      <c r="AS548" s="232">
        <v>87.639740000000003</v>
      </c>
      <c r="AT548" s="276">
        <v>48</v>
      </c>
      <c r="AU548" s="466">
        <v>62.7239016156134</v>
      </c>
      <c r="AV548" s="232">
        <v>0.41065856814384499</v>
      </c>
      <c r="AW548" s="232">
        <v>2.0406404510140402E-2</v>
      </c>
      <c r="AX548" s="232">
        <v>-8.6076162755489294E-2</v>
      </c>
      <c r="AY548" s="232">
        <v>7.7964797616004902E-2</v>
      </c>
      <c r="AZ548" s="293">
        <v>-7.4241228401660905E-2</v>
      </c>
    </row>
    <row r="549" spans="1:52" ht="15" customHeight="1">
      <c r="A549" s="63" t="s">
        <v>212</v>
      </c>
      <c r="B549" s="53">
        <v>2010</v>
      </c>
      <c r="C549" s="190" t="s">
        <v>213</v>
      </c>
      <c r="D549" s="69" t="s">
        <v>214</v>
      </c>
      <c r="E549" s="27" t="s">
        <v>30</v>
      </c>
      <c r="F549" s="27" t="s">
        <v>659</v>
      </c>
      <c r="G549" s="43"/>
      <c r="H549" s="43"/>
      <c r="I549" s="43"/>
      <c r="J549" s="43"/>
      <c r="K549" s="27"/>
      <c r="L549" s="28"/>
      <c r="M549" s="27"/>
      <c r="N549" s="27"/>
      <c r="O549" s="18">
        <f>O550+O553</f>
        <v>1371113691.0246789</v>
      </c>
      <c r="P549" s="213">
        <v>155800631</v>
      </c>
      <c r="Q549" s="213">
        <v>157157449</v>
      </c>
      <c r="R549" s="27" t="s">
        <v>619</v>
      </c>
      <c r="S549" s="27"/>
      <c r="T549" s="18"/>
      <c r="U549" s="27" t="s">
        <v>1116</v>
      </c>
      <c r="V549" s="27"/>
      <c r="W549" s="30">
        <v>8.0500000000000007</v>
      </c>
      <c r="X549" s="27"/>
      <c r="Y549" s="27"/>
      <c r="Z549" s="27">
        <v>8</v>
      </c>
      <c r="AA549" s="27"/>
      <c r="AB549" s="27"/>
      <c r="AC549" s="273">
        <v>155800631</v>
      </c>
      <c r="AD549" s="27">
        <v>41337958251.631958</v>
      </c>
      <c r="AE549" s="228">
        <v>3.7689483852011299E-3</v>
      </c>
      <c r="AF549" s="27">
        <v>4956421194.3706722</v>
      </c>
      <c r="AG549" s="226">
        <v>3.143409829191935E-2</v>
      </c>
      <c r="AH549" s="226">
        <v>8.6401801586277013E-2</v>
      </c>
      <c r="AI549" s="27">
        <v>393520000</v>
      </c>
      <c r="AJ549" s="226">
        <v>0.395915407094938</v>
      </c>
      <c r="AK549" s="27">
        <v>987805456.84740794</v>
      </c>
      <c r="AL549" s="226">
        <v>0.15772400316276794</v>
      </c>
      <c r="AM549" s="27">
        <v>1158727772.5681946</v>
      </c>
      <c r="AN549" s="271">
        <v>0.13445835569702863</v>
      </c>
      <c r="AO549" s="27">
        <v>14341576</v>
      </c>
      <c r="AP549" s="27" t="s">
        <v>2842</v>
      </c>
      <c r="AQ549" s="27">
        <v>70.995975609756101</v>
      </c>
      <c r="AR549" s="27">
        <v>28.4</v>
      </c>
      <c r="AS549" s="29">
        <v>98.247460000000004</v>
      </c>
      <c r="AT549" s="270">
        <v>32</v>
      </c>
      <c r="AU549" s="464" t="s">
        <v>2842</v>
      </c>
      <c r="AV549" s="29">
        <v>-0.33446461090524898</v>
      </c>
      <c r="AW549" s="29">
        <v>-0.87314139642851796</v>
      </c>
      <c r="AX549" s="29">
        <v>-0.69874816414761298</v>
      </c>
      <c r="AY549" s="29">
        <v>-0.13028208712700701</v>
      </c>
      <c r="AZ549" s="60">
        <v>-0.48129935133288498</v>
      </c>
    </row>
    <row r="550" spans="1:52" ht="15" customHeight="1">
      <c r="A550" s="63" t="s">
        <v>212</v>
      </c>
      <c r="B550" s="53">
        <v>2010</v>
      </c>
      <c r="C550" s="146" t="s">
        <v>213</v>
      </c>
      <c r="D550" s="69" t="s">
        <v>214</v>
      </c>
      <c r="E550" s="27" t="s">
        <v>50</v>
      </c>
      <c r="F550" s="27" t="s">
        <v>597</v>
      </c>
      <c r="G550" s="43"/>
      <c r="H550" s="43"/>
      <c r="I550" s="43"/>
      <c r="J550" s="43"/>
      <c r="K550" s="27"/>
      <c r="L550" s="28"/>
      <c r="M550" s="27"/>
      <c r="N550" s="27"/>
      <c r="O550" s="18">
        <f>SUM(O551:O552)</f>
        <v>435401113.47537935</v>
      </c>
      <c r="P550" s="213"/>
      <c r="Q550" s="213"/>
      <c r="R550" s="27"/>
      <c r="S550" s="27"/>
      <c r="T550" s="18"/>
      <c r="U550" s="27"/>
      <c r="V550" s="27"/>
      <c r="W550" s="30"/>
      <c r="X550" s="27"/>
      <c r="Y550" s="27"/>
      <c r="Z550" s="27"/>
      <c r="AA550" s="27"/>
      <c r="AB550" s="27"/>
      <c r="AC550" s="273">
        <v>155800631</v>
      </c>
      <c r="AD550" s="27">
        <v>41337958251.631958</v>
      </c>
      <c r="AE550" s="228">
        <v>3.7689483852011299E-3</v>
      </c>
      <c r="AF550" s="27">
        <v>4956421194.3706722</v>
      </c>
      <c r="AG550" s="226">
        <v>3.143409829191935E-2</v>
      </c>
      <c r="AH550" s="226">
        <v>8.6401801586277013E-2</v>
      </c>
      <c r="AI550" s="27">
        <v>393520000</v>
      </c>
      <c r="AJ550" s="226">
        <v>0.395915407094938</v>
      </c>
      <c r="AK550" s="27">
        <v>987805456.84740794</v>
      </c>
      <c r="AL550" s="226">
        <v>0.15772400316276794</v>
      </c>
      <c r="AM550" s="27">
        <v>1158727772.5681946</v>
      </c>
      <c r="AN550" s="271">
        <v>0.13445835569702863</v>
      </c>
      <c r="AO550" s="27">
        <v>14341576</v>
      </c>
      <c r="AP550" s="27" t="s">
        <v>2842</v>
      </c>
      <c r="AQ550" s="27">
        <v>70.995975609756101</v>
      </c>
      <c r="AR550" s="27">
        <v>28.4</v>
      </c>
      <c r="AS550" s="29">
        <v>98.247460000000004</v>
      </c>
      <c r="AT550" s="270">
        <v>32</v>
      </c>
      <c r="AU550" s="464" t="s">
        <v>2842</v>
      </c>
      <c r="AV550" s="29">
        <v>-0.33446461090524898</v>
      </c>
      <c r="AW550" s="29">
        <v>-0.87314139642851796</v>
      </c>
      <c r="AX550" s="29">
        <v>-0.69874816414761298</v>
      </c>
      <c r="AY550" s="29">
        <v>-0.13028208712700701</v>
      </c>
      <c r="AZ550" s="60">
        <v>-0.48129935133288498</v>
      </c>
    </row>
    <row r="551" spans="1:52" ht="15" customHeight="1">
      <c r="A551" s="63" t="s">
        <v>212</v>
      </c>
      <c r="B551" s="53">
        <v>2010</v>
      </c>
      <c r="C551" s="146" t="s">
        <v>213</v>
      </c>
      <c r="D551" s="69" t="s">
        <v>214</v>
      </c>
      <c r="E551" s="27" t="s">
        <v>552</v>
      </c>
      <c r="F551" s="27" t="s">
        <v>552</v>
      </c>
      <c r="G551" s="43">
        <v>360000</v>
      </c>
      <c r="H551" s="43"/>
      <c r="I551" s="43"/>
      <c r="J551" s="43"/>
      <c r="K551" s="27" t="s">
        <v>599</v>
      </c>
      <c r="L551" s="28">
        <v>0.1741077336927683</v>
      </c>
      <c r="M551" s="27" t="s">
        <v>600</v>
      </c>
      <c r="N551" s="27" t="s">
        <v>1118</v>
      </c>
      <c r="O551" s="18">
        <f>G551*L551</f>
        <v>62678.78412939659</v>
      </c>
      <c r="P551" s="213"/>
      <c r="Q551" s="213"/>
      <c r="R551" s="27"/>
      <c r="S551" s="27"/>
      <c r="T551" s="18"/>
      <c r="U551" s="27"/>
      <c r="V551" s="27"/>
      <c r="W551" s="30"/>
      <c r="X551" s="27"/>
      <c r="Y551" s="27"/>
      <c r="Z551" s="27"/>
      <c r="AA551" s="27"/>
      <c r="AB551" s="27"/>
      <c r="AC551" s="273">
        <v>155800631</v>
      </c>
      <c r="AD551" s="27">
        <v>41337958251.631958</v>
      </c>
      <c r="AE551" s="228">
        <v>3.7689483852011299E-3</v>
      </c>
      <c r="AF551" s="27">
        <v>4956421194.3706722</v>
      </c>
      <c r="AG551" s="226">
        <v>3.143409829191935E-2</v>
      </c>
      <c r="AH551" s="226">
        <v>8.6401801586277013E-2</v>
      </c>
      <c r="AI551" s="27">
        <v>393520000</v>
      </c>
      <c r="AJ551" s="226">
        <v>0.395915407094938</v>
      </c>
      <c r="AK551" s="27">
        <v>987805456.84740794</v>
      </c>
      <c r="AL551" s="226">
        <v>0.15772400316276794</v>
      </c>
      <c r="AM551" s="27">
        <v>1158727772.5681946</v>
      </c>
      <c r="AN551" s="271">
        <v>0.13445835569702863</v>
      </c>
      <c r="AO551" s="27">
        <v>14341576</v>
      </c>
      <c r="AP551" s="27" t="s">
        <v>2842</v>
      </c>
      <c r="AQ551" s="27">
        <v>70.995975609756101</v>
      </c>
      <c r="AR551" s="27">
        <v>28.4</v>
      </c>
      <c r="AS551" s="29">
        <v>98.247460000000004</v>
      </c>
      <c r="AT551" s="270">
        <v>32</v>
      </c>
      <c r="AU551" s="464" t="s">
        <v>2842</v>
      </c>
      <c r="AV551" s="29">
        <v>-0.33446461090524898</v>
      </c>
      <c r="AW551" s="29">
        <v>-0.87314139642851796</v>
      </c>
      <c r="AX551" s="29">
        <v>-0.69874816414761298</v>
      </c>
      <c r="AY551" s="29">
        <v>-0.13028208712700701</v>
      </c>
      <c r="AZ551" s="60">
        <v>-0.48129935133288498</v>
      </c>
    </row>
    <row r="552" spans="1:52" ht="15" customHeight="1">
      <c r="A552" s="63" t="s">
        <v>212</v>
      </c>
      <c r="B552" s="53">
        <v>2010</v>
      </c>
      <c r="C552" s="146" t="s">
        <v>213</v>
      </c>
      <c r="D552" s="69" t="s">
        <v>214</v>
      </c>
      <c r="E552" s="27" t="s">
        <v>98</v>
      </c>
      <c r="F552" s="27" t="s">
        <v>98</v>
      </c>
      <c r="G552" s="43">
        <v>5475000</v>
      </c>
      <c r="H552" s="43"/>
      <c r="I552" s="43"/>
      <c r="J552" s="43"/>
      <c r="K552" s="27" t="s">
        <v>603</v>
      </c>
      <c r="L552" s="28">
        <v>79.513869349999993</v>
      </c>
      <c r="M552" s="27" t="s">
        <v>626</v>
      </c>
      <c r="N552" s="27" t="s">
        <v>947</v>
      </c>
      <c r="O552" s="18">
        <f>G552*L552</f>
        <v>435338434.69124997</v>
      </c>
      <c r="P552" s="213"/>
      <c r="Q552" s="213"/>
      <c r="R552" s="27"/>
      <c r="S552" s="27"/>
      <c r="T552" s="18"/>
      <c r="U552" s="27"/>
      <c r="V552" s="27"/>
      <c r="W552" s="30"/>
      <c r="X552" s="27"/>
      <c r="Y552" s="27"/>
      <c r="Z552" s="27"/>
      <c r="AA552" s="27"/>
      <c r="AB552" s="27"/>
      <c r="AC552" s="273">
        <v>155800631</v>
      </c>
      <c r="AD552" s="27">
        <v>41337958251.631958</v>
      </c>
      <c r="AE552" s="228">
        <v>3.7689483852011299E-3</v>
      </c>
      <c r="AF552" s="27">
        <v>4956421194.3706722</v>
      </c>
      <c r="AG552" s="226">
        <v>3.143409829191935E-2</v>
      </c>
      <c r="AH552" s="226">
        <v>8.6401801586277013E-2</v>
      </c>
      <c r="AI552" s="27">
        <v>393520000</v>
      </c>
      <c r="AJ552" s="226">
        <v>0.395915407094938</v>
      </c>
      <c r="AK552" s="27">
        <v>987805456.84740794</v>
      </c>
      <c r="AL552" s="226">
        <v>0.15772400316276794</v>
      </c>
      <c r="AM552" s="27">
        <v>1158727772.5681946</v>
      </c>
      <c r="AN552" s="271">
        <v>0.13445835569702863</v>
      </c>
      <c r="AO552" s="27">
        <v>14341576</v>
      </c>
      <c r="AP552" s="27" t="s">
        <v>2842</v>
      </c>
      <c r="AQ552" s="27">
        <v>70.995975609756101</v>
      </c>
      <c r="AR552" s="27">
        <v>28.4</v>
      </c>
      <c r="AS552" s="29">
        <v>98.247460000000004</v>
      </c>
      <c r="AT552" s="270">
        <v>32</v>
      </c>
      <c r="AU552" s="464" t="s">
        <v>2842</v>
      </c>
      <c r="AV552" s="29">
        <v>-0.33446461090524898</v>
      </c>
      <c r="AW552" s="29">
        <v>-0.87314139642851796</v>
      </c>
      <c r="AX552" s="29">
        <v>-0.69874816414761298</v>
      </c>
      <c r="AY552" s="29">
        <v>-0.13028208712700701</v>
      </c>
      <c r="AZ552" s="60">
        <v>-0.48129935133288498</v>
      </c>
    </row>
    <row r="553" spans="1:52" ht="15" customHeight="1">
      <c r="A553" s="63" t="s">
        <v>212</v>
      </c>
      <c r="B553" s="53">
        <v>2010</v>
      </c>
      <c r="C553" s="146" t="s">
        <v>213</v>
      </c>
      <c r="D553" s="69" t="s">
        <v>214</v>
      </c>
      <c r="E553" s="27" t="s">
        <v>19</v>
      </c>
      <c r="F553" s="27" t="s">
        <v>559</v>
      </c>
      <c r="G553" s="43"/>
      <c r="H553" s="43"/>
      <c r="I553" s="43"/>
      <c r="J553" s="43"/>
      <c r="K553" s="27"/>
      <c r="L553" s="28"/>
      <c r="M553" s="27"/>
      <c r="N553" s="27"/>
      <c r="O553" s="18">
        <f>SUM(O554:O579)</f>
        <v>935712577.5492996</v>
      </c>
      <c r="P553" s="213"/>
      <c r="Q553" s="213"/>
      <c r="R553" s="27"/>
      <c r="S553" s="27"/>
      <c r="T553" s="18"/>
      <c r="U553" s="27"/>
      <c r="V553" s="27"/>
      <c r="W553" s="30"/>
      <c r="X553" s="27"/>
      <c r="Y553" s="27"/>
      <c r="Z553" s="27"/>
      <c r="AA553" s="27"/>
      <c r="AB553" s="27"/>
      <c r="AC553" s="273">
        <v>155800631</v>
      </c>
      <c r="AD553" s="27">
        <v>41337958251.631958</v>
      </c>
      <c r="AE553" s="228">
        <v>3.7689483852011299E-3</v>
      </c>
      <c r="AF553" s="27">
        <v>4956421194.3706722</v>
      </c>
      <c r="AG553" s="226">
        <v>3.143409829191935E-2</v>
      </c>
      <c r="AH553" s="226">
        <v>8.6401801586277013E-2</v>
      </c>
      <c r="AI553" s="27">
        <v>393520000</v>
      </c>
      <c r="AJ553" s="226">
        <v>0.395915407094938</v>
      </c>
      <c r="AK553" s="27">
        <v>987805456.84740794</v>
      </c>
      <c r="AL553" s="226">
        <v>0.15772400316276794</v>
      </c>
      <c r="AM553" s="27">
        <v>1158727772.5681946</v>
      </c>
      <c r="AN553" s="271">
        <v>0.13445835569702863</v>
      </c>
      <c r="AO553" s="27">
        <v>14341576</v>
      </c>
      <c r="AP553" s="27" t="s">
        <v>2842</v>
      </c>
      <c r="AQ553" s="27">
        <v>70.995975609756101</v>
      </c>
      <c r="AR553" s="27">
        <v>28.4</v>
      </c>
      <c r="AS553" s="29">
        <v>98.247460000000004</v>
      </c>
      <c r="AT553" s="270">
        <v>32</v>
      </c>
      <c r="AU553" s="464" t="s">
        <v>2842</v>
      </c>
      <c r="AV553" s="29">
        <v>-0.33446461090524898</v>
      </c>
      <c r="AW553" s="29">
        <v>-0.87314139642851796</v>
      </c>
      <c r="AX553" s="29">
        <v>-0.69874816414761298</v>
      </c>
      <c r="AY553" s="29">
        <v>-0.13028208712700701</v>
      </c>
      <c r="AZ553" s="60">
        <v>-0.48129935133288498</v>
      </c>
    </row>
    <row r="554" spans="1:52" ht="15" customHeight="1">
      <c r="A554" s="63" t="s">
        <v>212</v>
      </c>
      <c r="B554" s="53">
        <v>2010</v>
      </c>
      <c r="C554" s="146" t="s">
        <v>213</v>
      </c>
      <c r="D554" s="69" t="s">
        <v>214</v>
      </c>
      <c r="E554" s="27" t="s">
        <v>19</v>
      </c>
      <c r="F554" s="27" t="s">
        <v>1119</v>
      </c>
      <c r="G554" s="43">
        <v>1156000</v>
      </c>
      <c r="H554" s="43"/>
      <c r="I554" s="43"/>
      <c r="J554" s="43"/>
      <c r="K554" s="27" t="s">
        <v>599</v>
      </c>
      <c r="L554" s="28"/>
      <c r="M554" s="27"/>
      <c r="N554" s="27" t="s">
        <v>636</v>
      </c>
      <c r="O554" s="18"/>
      <c r="P554" s="213"/>
      <c r="Q554" s="213"/>
      <c r="R554" s="27"/>
      <c r="S554" s="27"/>
      <c r="T554" s="18"/>
      <c r="U554" s="27"/>
      <c r="V554" s="27"/>
      <c r="W554" s="30"/>
      <c r="X554" s="27"/>
      <c r="Y554" s="27"/>
      <c r="Z554" s="27"/>
      <c r="AA554" s="27"/>
      <c r="AB554" s="27"/>
      <c r="AC554" s="273">
        <v>155800631</v>
      </c>
      <c r="AD554" s="27">
        <v>41337958251.631958</v>
      </c>
      <c r="AE554" s="228">
        <v>3.7689483852011299E-3</v>
      </c>
      <c r="AF554" s="27">
        <v>4956421194.3706722</v>
      </c>
      <c r="AG554" s="226">
        <v>3.143409829191935E-2</v>
      </c>
      <c r="AH554" s="226">
        <v>8.6401801586277013E-2</v>
      </c>
      <c r="AI554" s="27">
        <v>393520000</v>
      </c>
      <c r="AJ554" s="226">
        <v>0.395915407094938</v>
      </c>
      <c r="AK554" s="27">
        <v>987805456.84740794</v>
      </c>
      <c r="AL554" s="226">
        <v>0.15772400316276794</v>
      </c>
      <c r="AM554" s="27">
        <v>1158727772.5681946</v>
      </c>
      <c r="AN554" s="271">
        <v>0.13445835569702863</v>
      </c>
      <c r="AO554" s="27">
        <v>14341576</v>
      </c>
      <c r="AP554" s="27" t="s">
        <v>2842</v>
      </c>
      <c r="AQ554" s="27">
        <v>70.995975609756101</v>
      </c>
      <c r="AR554" s="27">
        <v>28.4</v>
      </c>
      <c r="AS554" s="29">
        <v>98.247460000000004</v>
      </c>
      <c r="AT554" s="270">
        <v>32</v>
      </c>
      <c r="AU554" s="464" t="s">
        <v>2842</v>
      </c>
      <c r="AV554" s="29">
        <v>-0.33446461090524898</v>
      </c>
      <c r="AW554" s="29">
        <v>-0.87314139642851796</v>
      </c>
      <c r="AX554" s="29">
        <v>-0.69874816414761298</v>
      </c>
      <c r="AY554" s="29">
        <v>-0.13028208712700701</v>
      </c>
      <c r="AZ554" s="60">
        <v>-0.48129935133288498</v>
      </c>
    </row>
    <row r="555" spans="1:52" ht="15" customHeight="1">
      <c r="A555" s="63" t="s">
        <v>212</v>
      </c>
      <c r="B555" s="53">
        <v>2010</v>
      </c>
      <c r="C555" s="146" t="s">
        <v>213</v>
      </c>
      <c r="D555" s="69" t="s">
        <v>214</v>
      </c>
      <c r="E555" s="27" t="s">
        <v>19</v>
      </c>
      <c r="F555" s="27" t="s">
        <v>1120</v>
      </c>
      <c r="G555" s="43">
        <v>22423</v>
      </c>
      <c r="H555" s="43"/>
      <c r="I555" s="43"/>
      <c r="J555" s="43"/>
      <c r="K555" s="27" t="s">
        <v>567</v>
      </c>
      <c r="L555" s="28">
        <v>58</v>
      </c>
      <c r="M555" s="27" t="s">
        <v>568</v>
      </c>
      <c r="N555" s="27" t="s">
        <v>1121</v>
      </c>
      <c r="O555" s="18">
        <f t="shared" ref="O555:O560" si="4">G555*L555</f>
        <v>1300534</v>
      </c>
      <c r="P555" s="213"/>
      <c r="Q555" s="213"/>
      <c r="R555" s="27"/>
      <c r="S555" s="27"/>
      <c r="T555" s="18"/>
      <c r="U555" s="27"/>
      <c r="V555" s="27"/>
      <c r="W555" s="30"/>
      <c r="X555" s="27"/>
      <c r="Y555" s="27"/>
      <c r="Z555" s="27"/>
      <c r="AA555" s="27"/>
      <c r="AB555" s="27"/>
      <c r="AC555" s="273">
        <v>155800631</v>
      </c>
      <c r="AD555" s="27">
        <v>41337958251.631958</v>
      </c>
      <c r="AE555" s="228">
        <v>3.7689483852011299E-3</v>
      </c>
      <c r="AF555" s="27">
        <v>4956421194.3706722</v>
      </c>
      <c r="AG555" s="226">
        <v>3.143409829191935E-2</v>
      </c>
      <c r="AH555" s="226">
        <v>8.6401801586277013E-2</v>
      </c>
      <c r="AI555" s="27">
        <v>393520000</v>
      </c>
      <c r="AJ555" s="226">
        <v>0.395915407094938</v>
      </c>
      <c r="AK555" s="27">
        <v>987805456.84740794</v>
      </c>
      <c r="AL555" s="226">
        <v>0.15772400316276794</v>
      </c>
      <c r="AM555" s="27">
        <v>1158727772.5681946</v>
      </c>
      <c r="AN555" s="271">
        <v>0.13445835569702863</v>
      </c>
      <c r="AO555" s="27">
        <v>14341576</v>
      </c>
      <c r="AP555" s="27" t="s">
        <v>2842</v>
      </c>
      <c r="AQ555" s="27">
        <v>70.995975609756101</v>
      </c>
      <c r="AR555" s="27">
        <v>28.4</v>
      </c>
      <c r="AS555" s="29">
        <v>98.247460000000004</v>
      </c>
      <c r="AT555" s="270">
        <v>32</v>
      </c>
      <c r="AU555" s="464" t="s">
        <v>2842</v>
      </c>
      <c r="AV555" s="29">
        <v>-0.33446461090524898</v>
      </c>
      <c r="AW555" s="29">
        <v>-0.87314139642851796</v>
      </c>
      <c r="AX555" s="29">
        <v>-0.69874816414761298</v>
      </c>
      <c r="AY555" s="29">
        <v>-0.13028208712700701</v>
      </c>
      <c r="AZ555" s="60">
        <v>-0.48129935133288498</v>
      </c>
    </row>
    <row r="556" spans="1:52" ht="15" customHeight="1">
      <c r="A556" s="63" t="s">
        <v>212</v>
      </c>
      <c r="B556" s="53">
        <v>2010</v>
      </c>
      <c r="C556" s="146" t="s">
        <v>213</v>
      </c>
      <c r="D556" s="69" t="s">
        <v>214</v>
      </c>
      <c r="E556" s="27" t="s">
        <v>19</v>
      </c>
      <c r="F556" s="27" t="s">
        <v>566</v>
      </c>
      <c r="G556" s="43">
        <v>1600000</v>
      </c>
      <c r="H556" s="43"/>
      <c r="I556" s="43"/>
      <c r="J556" s="43"/>
      <c r="K556" s="27" t="s">
        <v>567</v>
      </c>
      <c r="L556" s="28">
        <v>92</v>
      </c>
      <c r="M556" s="27" t="s">
        <v>568</v>
      </c>
      <c r="N556" s="27" t="s">
        <v>1122</v>
      </c>
      <c r="O556" s="18">
        <f t="shared" si="4"/>
        <v>147200000</v>
      </c>
      <c r="P556" s="213"/>
      <c r="Q556" s="213"/>
      <c r="R556" s="27"/>
      <c r="S556" s="27"/>
      <c r="T556" s="18"/>
      <c r="U556" s="27"/>
      <c r="V556" s="27"/>
      <c r="W556" s="30"/>
      <c r="X556" s="27"/>
      <c r="Y556" s="27"/>
      <c r="Z556" s="27"/>
      <c r="AA556" s="27"/>
      <c r="AB556" s="27"/>
      <c r="AC556" s="273">
        <v>155800631</v>
      </c>
      <c r="AD556" s="27">
        <v>41337958251.631958</v>
      </c>
      <c r="AE556" s="228">
        <v>3.7689483852011299E-3</v>
      </c>
      <c r="AF556" s="27">
        <v>4956421194.3706722</v>
      </c>
      <c r="AG556" s="226">
        <v>3.143409829191935E-2</v>
      </c>
      <c r="AH556" s="226">
        <v>8.6401801586277013E-2</v>
      </c>
      <c r="AI556" s="27">
        <v>393520000</v>
      </c>
      <c r="AJ556" s="226">
        <v>0.395915407094938</v>
      </c>
      <c r="AK556" s="27">
        <v>987805456.84740794</v>
      </c>
      <c r="AL556" s="226">
        <v>0.15772400316276794</v>
      </c>
      <c r="AM556" s="27">
        <v>1158727772.5681946</v>
      </c>
      <c r="AN556" s="271">
        <v>0.13445835569702863</v>
      </c>
      <c r="AO556" s="27">
        <v>14341576</v>
      </c>
      <c r="AP556" s="27" t="s">
        <v>2842</v>
      </c>
      <c r="AQ556" s="27">
        <v>70.995975609756101</v>
      </c>
      <c r="AR556" s="27">
        <v>28.4</v>
      </c>
      <c r="AS556" s="29">
        <v>98.247460000000004</v>
      </c>
      <c r="AT556" s="270">
        <v>32</v>
      </c>
      <c r="AU556" s="464" t="s">
        <v>2842</v>
      </c>
      <c r="AV556" s="29">
        <v>-0.33446461090524898</v>
      </c>
      <c r="AW556" s="29">
        <v>-0.87314139642851796</v>
      </c>
      <c r="AX556" s="29">
        <v>-0.69874816414761298</v>
      </c>
      <c r="AY556" s="29">
        <v>-0.13028208712700701</v>
      </c>
      <c r="AZ556" s="60">
        <v>-0.48129935133288498</v>
      </c>
    </row>
    <row r="557" spans="1:52" ht="15" customHeight="1">
      <c r="A557" s="63" t="s">
        <v>212</v>
      </c>
      <c r="B557" s="53">
        <v>2010</v>
      </c>
      <c r="C557" s="146" t="s">
        <v>213</v>
      </c>
      <c r="D557" s="69" t="s">
        <v>214</v>
      </c>
      <c r="E557" s="27" t="s">
        <v>19</v>
      </c>
      <c r="F557" s="27" t="s">
        <v>573</v>
      </c>
      <c r="G557" s="43">
        <v>2</v>
      </c>
      <c r="H557" s="43"/>
      <c r="I557" s="43"/>
      <c r="J557" s="43"/>
      <c r="K557" s="27" t="s">
        <v>567</v>
      </c>
      <c r="L557" s="28">
        <v>89.852021850427363</v>
      </c>
      <c r="M557" s="27" t="s">
        <v>568</v>
      </c>
      <c r="N557" s="55" t="s">
        <v>1022</v>
      </c>
      <c r="O557" s="18">
        <f t="shared" si="4"/>
        <v>179.70404370085473</v>
      </c>
      <c r="P557" s="213"/>
      <c r="Q557" s="213"/>
      <c r="R557" s="27"/>
      <c r="S557" s="27"/>
      <c r="T557" s="18"/>
      <c r="U557" s="27"/>
      <c r="V557" s="27"/>
      <c r="W557" s="30"/>
      <c r="X557" s="27"/>
      <c r="Y557" s="27"/>
      <c r="Z557" s="27"/>
      <c r="AA557" s="27"/>
      <c r="AB557" s="55"/>
      <c r="AC557" s="273">
        <v>155800631</v>
      </c>
      <c r="AD557" s="27">
        <v>41337958251.631958</v>
      </c>
      <c r="AE557" s="228">
        <v>3.7689483852011299E-3</v>
      </c>
      <c r="AF557" s="27">
        <v>4956421194.3706722</v>
      </c>
      <c r="AG557" s="226">
        <v>3.143409829191935E-2</v>
      </c>
      <c r="AH557" s="226">
        <v>8.6401801586277013E-2</v>
      </c>
      <c r="AI557" s="27">
        <v>393520000</v>
      </c>
      <c r="AJ557" s="226">
        <v>0.395915407094938</v>
      </c>
      <c r="AK557" s="27">
        <v>987805456.84740794</v>
      </c>
      <c r="AL557" s="226">
        <v>0.15772400316276794</v>
      </c>
      <c r="AM557" s="27">
        <v>1158727772.5681946</v>
      </c>
      <c r="AN557" s="271">
        <v>0.13445835569702863</v>
      </c>
      <c r="AO557" s="27">
        <v>14341576</v>
      </c>
      <c r="AP557" s="27" t="s">
        <v>2842</v>
      </c>
      <c r="AQ557" s="27">
        <v>70.995975609756101</v>
      </c>
      <c r="AR557" s="27">
        <v>28.4</v>
      </c>
      <c r="AS557" s="29">
        <v>98.247460000000004</v>
      </c>
      <c r="AT557" s="270">
        <v>32</v>
      </c>
      <c r="AU557" s="464" t="s">
        <v>2842</v>
      </c>
      <c r="AV557" s="29">
        <v>-0.33446461090524898</v>
      </c>
      <c r="AW557" s="29">
        <v>-0.87314139642851796</v>
      </c>
      <c r="AX557" s="29">
        <v>-0.69874816414761298</v>
      </c>
      <c r="AY557" s="29">
        <v>-0.13028208712700701</v>
      </c>
      <c r="AZ557" s="60">
        <v>-0.48129935133288498</v>
      </c>
    </row>
    <row r="558" spans="1:52" ht="15" customHeight="1">
      <c r="A558" s="63" t="s">
        <v>212</v>
      </c>
      <c r="B558" s="53">
        <v>2010</v>
      </c>
      <c r="C558" s="146" t="s">
        <v>213</v>
      </c>
      <c r="D558" s="69" t="s">
        <v>214</v>
      </c>
      <c r="E558" s="27" t="s">
        <v>19</v>
      </c>
      <c r="F558" s="27" t="s">
        <v>1123</v>
      </c>
      <c r="G558" s="43">
        <f>3817000*0.74</f>
        <v>2824580</v>
      </c>
      <c r="H558" s="43"/>
      <c r="I558" s="43"/>
      <c r="J558" s="43"/>
      <c r="K558" s="27" t="s">
        <v>567</v>
      </c>
      <c r="L558" s="28">
        <v>9.6199999999999992</v>
      </c>
      <c r="M558" s="27" t="s">
        <v>568</v>
      </c>
      <c r="N558" s="27" t="s">
        <v>1124</v>
      </c>
      <c r="O558" s="18">
        <f t="shared" si="4"/>
        <v>27172459.599999998</v>
      </c>
      <c r="P558" s="213"/>
      <c r="Q558" s="213"/>
      <c r="R558" s="27"/>
      <c r="S558" s="27"/>
      <c r="T558" s="18"/>
      <c r="U558" s="27"/>
      <c r="V558" s="27"/>
      <c r="W558" s="30"/>
      <c r="X558" s="27"/>
      <c r="Y558" s="27"/>
      <c r="Z558" s="27"/>
      <c r="AA558" s="27"/>
      <c r="AB558" s="27"/>
      <c r="AC558" s="273">
        <v>155800631</v>
      </c>
      <c r="AD558" s="27">
        <v>41337958251.631958</v>
      </c>
      <c r="AE558" s="228">
        <v>3.7689483852011299E-3</v>
      </c>
      <c r="AF558" s="27">
        <v>4956421194.3706722</v>
      </c>
      <c r="AG558" s="226">
        <v>3.143409829191935E-2</v>
      </c>
      <c r="AH558" s="226">
        <v>8.6401801586277013E-2</v>
      </c>
      <c r="AI558" s="27">
        <v>393520000</v>
      </c>
      <c r="AJ558" s="226">
        <v>0.395915407094938</v>
      </c>
      <c r="AK558" s="27">
        <v>987805456.84740794</v>
      </c>
      <c r="AL558" s="226">
        <v>0.15772400316276794</v>
      </c>
      <c r="AM558" s="27">
        <v>1158727772.5681946</v>
      </c>
      <c r="AN558" s="271">
        <v>0.13445835569702863</v>
      </c>
      <c r="AO558" s="27">
        <v>14341576</v>
      </c>
      <c r="AP558" s="27" t="s">
        <v>2842</v>
      </c>
      <c r="AQ558" s="27">
        <v>70.995975609756101</v>
      </c>
      <c r="AR558" s="27">
        <v>28.4</v>
      </c>
      <c r="AS558" s="29">
        <v>98.247460000000004</v>
      </c>
      <c r="AT558" s="270">
        <v>32</v>
      </c>
      <c r="AU558" s="464" t="s">
        <v>2842</v>
      </c>
      <c r="AV558" s="29">
        <v>-0.33446461090524898</v>
      </c>
      <c r="AW558" s="29">
        <v>-0.87314139642851796</v>
      </c>
      <c r="AX558" s="29">
        <v>-0.69874816414761298</v>
      </c>
      <c r="AY558" s="29">
        <v>-0.13028208712700701</v>
      </c>
      <c r="AZ558" s="60">
        <v>-0.48129935133288498</v>
      </c>
    </row>
    <row r="559" spans="1:52" ht="15" customHeight="1">
      <c r="A559" s="63" t="s">
        <v>212</v>
      </c>
      <c r="B559" s="53">
        <v>2010</v>
      </c>
      <c r="C559" s="146" t="s">
        <v>213</v>
      </c>
      <c r="D559" s="69" t="s">
        <v>214</v>
      </c>
      <c r="E559" s="27" t="s">
        <v>19</v>
      </c>
      <c r="F559" s="27" t="s">
        <v>1125</v>
      </c>
      <c r="G559" s="43">
        <v>402</v>
      </c>
      <c r="H559" s="43"/>
      <c r="I559" s="43"/>
      <c r="J559" s="43"/>
      <c r="K559" s="27" t="s">
        <v>567</v>
      </c>
      <c r="L559" s="28">
        <v>61</v>
      </c>
      <c r="M559" s="27" t="s">
        <v>568</v>
      </c>
      <c r="N559" s="27" t="s">
        <v>1126</v>
      </c>
      <c r="O559" s="18">
        <f t="shared" si="4"/>
        <v>24522</v>
      </c>
      <c r="P559" s="213"/>
      <c r="Q559" s="213"/>
      <c r="R559" s="27"/>
      <c r="S559" s="27"/>
      <c r="T559" s="18"/>
      <c r="U559" s="27"/>
      <c r="V559" s="27"/>
      <c r="W559" s="30"/>
      <c r="X559" s="27"/>
      <c r="Y559" s="27"/>
      <c r="Z559" s="27"/>
      <c r="AA559" s="27"/>
      <c r="AB559" s="27"/>
      <c r="AC559" s="273">
        <v>155800631</v>
      </c>
      <c r="AD559" s="27">
        <v>41337958251.631958</v>
      </c>
      <c r="AE559" s="228">
        <v>3.7689483852011299E-3</v>
      </c>
      <c r="AF559" s="27">
        <v>4956421194.3706722</v>
      </c>
      <c r="AG559" s="226">
        <v>3.143409829191935E-2</v>
      </c>
      <c r="AH559" s="226">
        <v>8.6401801586277013E-2</v>
      </c>
      <c r="AI559" s="27">
        <v>393520000</v>
      </c>
      <c r="AJ559" s="226">
        <v>0.395915407094938</v>
      </c>
      <c r="AK559" s="27">
        <v>987805456.84740794</v>
      </c>
      <c r="AL559" s="226">
        <v>0.15772400316276794</v>
      </c>
      <c r="AM559" s="27">
        <v>1158727772.5681946</v>
      </c>
      <c r="AN559" s="271">
        <v>0.13445835569702863</v>
      </c>
      <c r="AO559" s="27">
        <v>14341576</v>
      </c>
      <c r="AP559" s="27" t="s">
        <v>2842</v>
      </c>
      <c r="AQ559" s="27">
        <v>70.995975609756101</v>
      </c>
      <c r="AR559" s="27">
        <v>28.4</v>
      </c>
      <c r="AS559" s="29">
        <v>98.247460000000004</v>
      </c>
      <c r="AT559" s="270">
        <v>32</v>
      </c>
      <c r="AU559" s="464" t="s">
        <v>2842</v>
      </c>
      <c r="AV559" s="29">
        <v>-0.33446461090524898</v>
      </c>
      <c r="AW559" s="29">
        <v>-0.87314139642851796</v>
      </c>
      <c r="AX559" s="29">
        <v>-0.69874816414761298</v>
      </c>
      <c r="AY559" s="29">
        <v>-0.13028208712700701</v>
      </c>
      <c r="AZ559" s="60">
        <v>-0.48129935133288498</v>
      </c>
    </row>
    <row r="560" spans="1:52" ht="15" customHeight="1">
      <c r="A560" s="63" t="s">
        <v>212</v>
      </c>
      <c r="B560" s="53">
        <v>2010</v>
      </c>
      <c r="C560" s="146" t="s">
        <v>213</v>
      </c>
      <c r="D560" s="69" t="s">
        <v>214</v>
      </c>
      <c r="E560" s="27" t="s">
        <v>19</v>
      </c>
      <c r="F560" s="27" t="s">
        <v>1127</v>
      </c>
      <c r="G560" s="43">
        <v>201000</v>
      </c>
      <c r="H560" s="43"/>
      <c r="I560" s="43"/>
      <c r="J560" s="43"/>
      <c r="K560" s="27" t="s">
        <v>567</v>
      </c>
      <c r="L560" s="28">
        <v>12</v>
      </c>
      <c r="M560" s="27" t="s">
        <v>568</v>
      </c>
      <c r="N560" s="27" t="s">
        <v>1128</v>
      </c>
      <c r="O560" s="18">
        <f t="shared" si="4"/>
        <v>2412000</v>
      </c>
      <c r="P560" s="213"/>
      <c r="Q560" s="213"/>
      <c r="R560" s="27"/>
      <c r="S560" s="27"/>
      <c r="T560" s="18"/>
      <c r="U560" s="27"/>
      <c r="V560" s="27"/>
      <c r="W560" s="30"/>
      <c r="X560" s="27"/>
      <c r="Y560" s="27"/>
      <c r="Z560" s="27"/>
      <c r="AA560" s="27"/>
      <c r="AB560" s="27"/>
      <c r="AC560" s="273">
        <v>155800631</v>
      </c>
      <c r="AD560" s="27">
        <v>41337958251.631958</v>
      </c>
      <c r="AE560" s="228">
        <v>3.7689483852011299E-3</v>
      </c>
      <c r="AF560" s="27">
        <v>4956421194.3706722</v>
      </c>
      <c r="AG560" s="226">
        <v>3.143409829191935E-2</v>
      </c>
      <c r="AH560" s="226">
        <v>8.6401801586277013E-2</v>
      </c>
      <c r="AI560" s="27">
        <v>393520000</v>
      </c>
      <c r="AJ560" s="226">
        <v>0.395915407094938</v>
      </c>
      <c r="AK560" s="27">
        <v>987805456.84740794</v>
      </c>
      <c r="AL560" s="226">
        <v>0.15772400316276794</v>
      </c>
      <c r="AM560" s="27">
        <v>1158727772.5681946</v>
      </c>
      <c r="AN560" s="271">
        <v>0.13445835569702863</v>
      </c>
      <c r="AO560" s="27">
        <v>14341576</v>
      </c>
      <c r="AP560" s="27" t="s">
        <v>2842</v>
      </c>
      <c r="AQ560" s="27">
        <v>70.995975609756101</v>
      </c>
      <c r="AR560" s="27">
        <v>28.4</v>
      </c>
      <c r="AS560" s="29">
        <v>98.247460000000004</v>
      </c>
      <c r="AT560" s="270">
        <v>32</v>
      </c>
      <c r="AU560" s="464" t="s">
        <v>2842</v>
      </c>
      <c r="AV560" s="29">
        <v>-0.33446461090524898</v>
      </c>
      <c r="AW560" s="29">
        <v>-0.87314139642851796</v>
      </c>
      <c r="AX560" s="29">
        <v>-0.69874816414761298</v>
      </c>
      <c r="AY560" s="29">
        <v>-0.13028208712700701</v>
      </c>
      <c r="AZ560" s="60">
        <v>-0.48129935133288498</v>
      </c>
    </row>
    <row r="561" spans="1:52" ht="15" customHeight="1">
      <c r="A561" s="63" t="s">
        <v>212</v>
      </c>
      <c r="B561" s="53">
        <v>2010</v>
      </c>
      <c r="C561" s="146" t="s">
        <v>213</v>
      </c>
      <c r="D561" s="69" t="s">
        <v>214</v>
      </c>
      <c r="E561" s="27" t="s">
        <v>19</v>
      </c>
      <c r="F561" s="27" t="s">
        <v>1129</v>
      </c>
      <c r="G561" s="43">
        <v>67000</v>
      </c>
      <c r="H561" s="43"/>
      <c r="I561" s="43"/>
      <c r="J561" s="43"/>
      <c r="K561" s="27" t="s">
        <v>599</v>
      </c>
      <c r="L561" s="28"/>
      <c r="M561" s="27"/>
      <c r="N561" s="27" t="s">
        <v>636</v>
      </c>
      <c r="O561" s="18"/>
      <c r="P561" s="213"/>
      <c r="Q561" s="213"/>
      <c r="R561" s="27"/>
      <c r="S561" s="27"/>
      <c r="T561" s="18"/>
      <c r="U561" s="27"/>
      <c r="V561" s="27"/>
      <c r="W561" s="30"/>
      <c r="X561" s="27"/>
      <c r="Y561" s="27"/>
      <c r="Z561" s="27"/>
      <c r="AA561" s="27"/>
      <c r="AB561" s="27"/>
      <c r="AC561" s="273">
        <v>155800631</v>
      </c>
      <c r="AD561" s="27">
        <v>41337958251.631958</v>
      </c>
      <c r="AE561" s="228">
        <v>3.7689483852011299E-3</v>
      </c>
      <c r="AF561" s="27">
        <v>4956421194.3706722</v>
      </c>
      <c r="AG561" s="226">
        <v>3.143409829191935E-2</v>
      </c>
      <c r="AH561" s="226">
        <v>8.6401801586277013E-2</v>
      </c>
      <c r="AI561" s="27">
        <v>393520000</v>
      </c>
      <c r="AJ561" s="226">
        <v>0.395915407094938</v>
      </c>
      <c r="AK561" s="27">
        <v>987805456.84740794</v>
      </c>
      <c r="AL561" s="226">
        <v>0.15772400316276794</v>
      </c>
      <c r="AM561" s="27">
        <v>1158727772.5681946</v>
      </c>
      <c r="AN561" s="271">
        <v>0.13445835569702863</v>
      </c>
      <c r="AO561" s="27">
        <v>14341576</v>
      </c>
      <c r="AP561" s="27" t="s">
        <v>2842</v>
      </c>
      <c r="AQ561" s="27">
        <v>70.995975609756101</v>
      </c>
      <c r="AR561" s="27">
        <v>28.4</v>
      </c>
      <c r="AS561" s="29">
        <v>98.247460000000004</v>
      </c>
      <c r="AT561" s="270">
        <v>32</v>
      </c>
      <c r="AU561" s="464" t="s">
        <v>2842</v>
      </c>
      <c r="AV561" s="29">
        <v>-0.33446461090524898</v>
      </c>
      <c r="AW561" s="29">
        <v>-0.87314139642851796</v>
      </c>
      <c r="AX561" s="29">
        <v>-0.69874816414761298</v>
      </c>
      <c r="AY561" s="29">
        <v>-0.13028208712700701</v>
      </c>
      <c r="AZ561" s="60">
        <v>-0.48129935133288498</v>
      </c>
    </row>
    <row r="562" spans="1:52" ht="15" customHeight="1">
      <c r="A562" s="63" t="s">
        <v>212</v>
      </c>
      <c r="B562" s="53">
        <v>2010</v>
      </c>
      <c r="C562" s="146" t="s">
        <v>213</v>
      </c>
      <c r="D562" s="69" t="s">
        <v>214</v>
      </c>
      <c r="E562" s="27" t="s">
        <v>19</v>
      </c>
      <c r="F562" s="27" t="s">
        <v>730</v>
      </c>
      <c r="G562" s="43">
        <f>9213*32.150743126506</f>
        <v>296204.79642449977</v>
      </c>
      <c r="H562" s="43"/>
      <c r="I562" s="43"/>
      <c r="J562" s="43"/>
      <c r="K562" s="27" t="s">
        <v>731</v>
      </c>
      <c r="L562" s="28">
        <v>1224.66425</v>
      </c>
      <c r="M562" s="27" t="s">
        <v>732</v>
      </c>
      <c r="N562" s="27" t="s">
        <v>733</v>
      </c>
      <c r="O562" s="18">
        <f>G562*L562</f>
        <v>362751424.8596127</v>
      </c>
      <c r="P562" s="213"/>
      <c r="Q562" s="213"/>
      <c r="R562" s="27"/>
      <c r="S562" s="27"/>
      <c r="T562" s="18"/>
      <c r="U562" s="27"/>
      <c r="V562" s="27"/>
      <c r="W562" s="30"/>
      <c r="X562" s="27"/>
      <c r="Y562" s="27"/>
      <c r="Z562" s="27"/>
      <c r="AA562" s="27"/>
      <c r="AB562" s="27"/>
      <c r="AC562" s="273">
        <v>155800631</v>
      </c>
      <c r="AD562" s="27">
        <v>41337958251.631958</v>
      </c>
      <c r="AE562" s="228">
        <v>3.7689483852011299E-3</v>
      </c>
      <c r="AF562" s="27">
        <v>4956421194.3706722</v>
      </c>
      <c r="AG562" s="226">
        <v>3.143409829191935E-2</v>
      </c>
      <c r="AH562" s="226">
        <v>8.6401801586277013E-2</v>
      </c>
      <c r="AI562" s="27">
        <v>393520000</v>
      </c>
      <c r="AJ562" s="226">
        <v>0.395915407094938</v>
      </c>
      <c r="AK562" s="27">
        <v>987805456.84740794</v>
      </c>
      <c r="AL562" s="226">
        <v>0.15772400316276794</v>
      </c>
      <c r="AM562" s="27">
        <v>1158727772.5681946</v>
      </c>
      <c r="AN562" s="271">
        <v>0.13445835569702863</v>
      </c>
      <c r="AO562" s="27">
        <v>14341576</v>
      </c>
      <c r="AP562" s="27" t="s">
        <v>2842</v>
      </c>
      <c r="AQ562" s="27">
        <v>70.995975609756101</v>
      </c>
      <c r="AR562" s="27">
        <v>28.4</v>
      </c>
      <c r="AS562" s="29">
        <v>98.247460000000004</v>
      </c>
      <c r="AT562" s="270">
        <v>32</v>
      </c>
      <c r="AU562" s="464" t="s">
        <v>2842</v>
      </c>
      <c r="AV562" s="29">
        <v>-0.33446461090524898</v>
      </c>
      <c r="AW562" s="29">
        <v>-0.87314139642851796</v>
      </c>
      <c r="AX562" s="29">
        <v>-0.69874816414761298</v>
      </c>
      <c r="AY562" s="29">
        <v>-0.13028208712700701</v>
      </c>
      <c r="AZ562" s="60">
        <v>-0.48129935133288498</v>
      </c>
    </row>
    <row r="563" spans="1:52" ht="15" customHeight="1">
      <c r="A563" s="63" t="s">
        <v>212</v>
      </c>
      <c r="B563" s="53">
        <v>2010</v>
      </c>
      <c r="C563" s="146" t="s">
        <v>213</v>
      </c>
      <c r="D563" s="69" t="s">
        <v>214</v>
      </c>
      <c r="E563" s="27" t="s">
        <v>19</v>
      </c>
      <c r="F563" s="27" t="s">
        <v>882</v>
      </c>
      <c r="G563" s="43">
        <v>336</v>
      </c>
      <c r="H563" s="43"/>
      <c r="I563" s="43"/>
      <c r="J563" s="43"/>
      <c r="K563" s="27" t="s">
        <v>567</v>
      </c>
      <c r="L563" s="28">
        <v>11.75</v>
      </c>
      <c r="M563" s="27" t="s">
        <v>568</v>
      </c>
      <c r="N563" s="27" t="s">
        <v>1130</v>
      </c>
      <c r="O563" s="18">
        <f>G563*L563</f>
        <v>3948</v>
      </c>
      <c r="P563" s="213"/>
      <c r="Q563" s="213"/>
      <c r="R563" s="27"/>
      <c r="S563" s="27"/>
      <c r="T563" s="18"/>
      <c r="U563" s="27"/>
      <c r="V563" s="27"/>
      <c r="W563" s="30"/>
      <c r="X563" s="27"/>
      <c r="Y563" s="27"/>
      <c r="Z563" s="27"/>
      <c r="AA563" s="27"/>
      <c r="AB563" s="27"/>
      <c r="AC563" s="273">
        <v>155800631</v>
      </c>
      <c r="AD563" s="27">
        <v>41337958251.631958</v>
      </c>
      <c r="AE563" s="228">
        <v>3.7689483852011299E-3</v>
      </c>
      <c r="AF563" s="27">
        <v>4956421194.3706722</v>
      </c>
      <c r="AG563" s="226">
        <v>3.143409829191935E-2</v>
      </c>
      <c r="AH563" s="226">
        <v>8.6401801586277013E-2</v>
      </c>
      <c r="AI563" s="27">
        <v>393520000</v>
      </c>
      <c r="AJ563" s="226">
        <v>0.395915407094938</v>
      </c>
      <c r="AK563" s="27">
        <v>987805456.84740794</v>
      </c>
      <c r="AL563" s="226">
        <v>0.15772400316276794</v>
      </c>
      <c r="AM563" s="27">
        <v>1158727772.5681946</v>
      </c>
      <c r="AN563" s="271">
        <v>0.13445835569702863</v>
      </c>
      <c r="AO563" s="27">
        <v>14341576</v>
      </c>
      <c r="AP563" s="27" t="s">
        <v>2842</v>
      </c>
      <c r="AQ563" s="27">
        <v>70.995975609756101</v>
      </c>
      <c r="AR563" s="27">
        <v>28.4</v>
      </c>
      <c r="AS563" s="29">
        <v>98.247460000000004</v>
      </c>
      <c r="AT563" s="270">
        <v>32</v>
      </c>
      <c r="AU563" s="464" t="s">
        <v>2842</v>
      </c>
      <c r="AV563" s="29">
        <v>-0.33446461090524898</v>
      </c>
      <c r="AW563" s="29">
        <v>-0.87314139642851796</v>
      </c>
      <c r="AX563" s="29">
        <v>-0.69874816414761298</v>
      </c>
      <c r="AY563" s="29">
        <v>-0.13028208712700701</v>
      </c>
      <c r="AZ563" s="60">
        <v>-0.48129935133288498</v>
      </c>
    </row>
    <row r="564" spans="1:52" ht="15" customHeight="1">
      <c r="A564" s="63" t="s">
        <v>212</v>
      </c>
      <c r="B564" s="53">
        <v>2010</v>
      </c>
      <c r="C564" s="190" t="s">
        <v>213</v>
      </c>
      <c r="D564" s="69" t="s">
        <v>214</v>
      </c>
      <c r="E564" s="27" t="s">
        <v>19</v>
      </c>
      <c r="F564" s="27" t="s">
        <v>1131</v>
      </c>
      <c r="G564" s="43">
        <v>59000</v>
      </c>
      <c r="H564" s="43"/>
      <c r="I564" s="43"/>
      <c r="J564" s="43"/>
      <c r="K564" s="27" t="s">
        <v>567</v>
      </c>
      <c r="L564" s="28">
        <v>18.3</v>
      </c>
      <c r="M564" s="27" t="s">
        <v>568</v>
      </c>
      <c r="N564" s="27" t="s">
        <v>1132</v>
      </c>
      <c r="O564" s="18">
        <f>G564*L564</f>
        <v>1079700</v>
      </c>
      <c r="P564" s="213"/>
      <c r="Q564" s="213"/>
      <c r="R564" s="27"/>
      <c r="S564" s="27"/>
      <c r="T564" s="18"/>
      <c r="U564" s="27"/>
      <c r="V564" s="27"/>
      <c r="W564" s="30"/>
      <c r="X564" s="27"/>
      <c r="Y564" s="27"/>
      <c r="Z564" s="27"/>
      <c r="AA564" s="27"/>
      <c r="AB564" s="27"/>
      <c r="AC564" s="273">
        <v>155800631</v>
      </c>
      <c r="AD564" s="27">
        <v>41337958251.631958</v>
      </c>
      <c r="AE564" s="228">
        <v>3.7689483852011299E-3</v>
      </c>
      <c r="AF564" s="27">
        <v>4956421194.3706722</v>
      </c>
      <c r="AG564" s="226">
        <v>3.143409829191935E-2</v>
      </c>
      <c r="AH564" s="226">
        <v>8.6401801586277013E-2</v>
      </c>
      <c r="AI564" s="27">
        <v>393520000</v>
      </c>
      <c r="AJ564" s="226">
        <v>0.395915407094938</v>
      </c>
      <c r="AK564" s="27">
        <v>987805456.84740794</v>
      </c>
      <c r="AL564" s="226">
        <v>0.15772400316276794</v>
      </c>
      <c r="AM564" s="27">
        <v>1158727772.5681946</v>
      </c>
      <c r="AN564" s="271">
        <v>0.13445835569702863</v>
      </c>
      <c r="AO564" s="27">
        <v>14341576</v>
      </c>
      <c r="AP564" s="27" t="s">
        <v>2842</v>
      </c>
      <c r="AQ564" s="27">
        <v>70.995975609756101</v>
      </c>
      <c r="AR564" s="27">
        <v>28.4</v>
      </c>
      <c r="AS564" s="29">
        <v>98.247460000000004</v>
      </c>
      <c r="AT564" s="270">
        <v>32</v>
      </c>
      <c r="AU564" s="464" t="s">
        <v>2842</v>
      </c>
      <c r="AV564" s="29">
        <v>-0.33446461090524898</v>
      </c>
      <c r="AW564" s="29">
        <v>-0.87314139642851796</v>
      </c>
      <c r="AX564" s="29">
        <v>-0.69874816414761298</v>
      </c>
      <c r="AY564" s="29">
        <v>-0.13028208712700701</v>
      </c>
      <c r="AZ564" s="60">
        <v>-0.48129935133288498</v>
      </c>
    </row>
    <row r="565" spans="1:52" ht="15" customHeight="1">
      <c r="A565" s="63" t="s">
        <v>212</v>
      </c>
      <c r="B565" s="53">
        <v>2010</v>
      </c>
      <c r="C565" s="146" t="s">
        <v>213</v>
      </c>
      <c r="D565" s="69" t="s">
        <v>214</v>
      </c>
      <c r="E565" s="27" t="s">
        <v>19</v>
      </c>
      <c r="F565" s="27" t="s">
        <v>1133</v>
      </c>
      <c r="G565" s="43">
        <v>1604</v>
      </c>
      <c r="H565" s="43"/>
      <c r="I565" s="43"/>
      <c r="J565" s="43"/>
      <c r="K565" s="27" t="s">
        <v>567</v>
      </c>
      <c r="L565" s="28">
        <v>145.86318542569001</v>
      </c>
      <c r="M565" s="27" t="s">
        <v>568</v>
      </c>
      <c r="N565" s="27" t="s">
        <v>733</v>
      </c>
      <c r="O565" s="18">
        <f>G565*L565</f>
        <v>233964.54942280677</v>
      </c>
      <c r="P565" s="213"/>
      <c r="Q565" s="213"/>
      <c r="R565" s="27"/>
      <c r="S565" s="27"/>
      <c r="T565" s="18"/>
      <c r="U565" s="27"/>
      <c r="V565" s="27"/>
      <c r="W565" s="30"/>
      <c r="X565" s="27"/>
      <c r="Y565" s="27"/>
      <c r="Z565" s="27"/>
      <c r="AA565" s="27"/>
      <c r="AB565" s="27"/>
      <c r="AC565" s="273">
        <v>155800631</v>
      </c>
      <c r="AD565" s="27">
        <v>41337958251.631958</v>
      </c>
      <c r="AE565" s="228">
        <v>3.7689483852011299E-3</v>
      </c>
      <c r="AF565" s="27">
        <v>4956421194.3706722</v>
      </c>
      <c r="AG565" s="226">
        <v>3.143409829191935E-2</v>
      </c>
      <c r="AH565" s="226">
        <v>8.6401801586277013E-2</v>
      </c>
      <c r="AI565" s="27">
        <v>393520000</v>
      </c>
      <c r="AJ565" s="226">
        <v>0.395915407094938</v>
      </c>
      <c r="AK565" s="27">
        <v>987805456.84740794</v>
      </c>
      <c r="AL565" s="226">
        <v>0.15772400316276794</v>
      </c>
      <c r="AM565" s="27">
        <v>1158727772.5681946</v>
      </c>
      <c r="AN565" s="271">
        <v>0.13445835569702863</v>
      </c>
      <c r="AO565" s="27">
        <v>14341576</v>
      </c>
      <c r="AP565" s="27" t="s">
        <v>2842</v>
      </c>
      <c r="AQ565" s="27">
        <v>70.995975609756101</v>
      </c>
      <c r="AR565" s="27">
        <v>28.4</v>
      </c>
      <c r="AS565" s="29">
        <v>98.247460000000004</v>
      </c>
      <c r="AT565" s="270">
        <v>32</v>
      </c>
      <c r="AU565" s="464" t="s">
        <v>2842</v>
      </c>
      <c r="AV565" s="29">
        <v>-0.33446461090524898</v>
      </c>
      <c r="AW565" s="29">
        <v>-0.87314139642851796</v>
      </c>
      <c r="AX565" s="29">
        <v>-0.69874816414761298</v>
      </c>
      <c r="AY565" s="29">
        <v>-0.13028208712700701</v>
      </c>
      <c r="AZ565" s="60">
        <v>-0.48129935133288498</v>
      </c>
    </row>
    <row r="566" spans="1:52" ht="15" customHeight="1">
      <c r="A566" s="63" t="s">
        <v>212</v>
      </c>
      <c r="B566" s="53">
        <v>2010</v>
      </c>
      <c r="C566" s="146" t="s">
        <v>213</v>
      </c>
      <c r="D566" s="69" t="s">
        <v>214</v>
      </c>
      <c r="E566" s="27" t="s">
        <v>19</v>
      </c>
      <c r="F566" s="27" t="s">
        <v>1134</v>
      </c>
      <c r="G566" s="43">
        <v>8</v>
      </c>
      <c r="H566" s="43"/>
      <c r="I566" s="43"/>
      <c r="J566" s="43"/>
      <c r="K566" s="27" t="s">
        <v>567</v>
      </c>
      <c r="L566" s="28"/>
      <c r="M566" s="27"/>
      <c r="N566" s="27" t="s">
        <v>636</v>
      </c>
      <c r="O566" s="18"/>
      <c r="P566" s="213"/>
      <c r="Q566" s="213"/>
      <c r="R566" s="27"/>
      <c r="S566" s="27"/>
      <c r="T566" s="18"/>
      <c r="U566" s="27"/>
      <c r="V566" s="27"/>
      <c r="W566" s="30"/>
      <c r="X566" s="27"/>
      <c r="Y566" s="27"/>
      <c r="Z566" s="27"/>
      <c r="AA566" s="27"/>
      <c r="AB566" s="27"/>
      <c r="AC566" s="273">
        <v>155800631</v>
      </c>
      <c r="AD566" s="27">
        <v>41337958251.631958</v>
      </c>
      <c r="AE566" s="228">
        <v>3.7689483852011299E-3</v>
      </c>
      <c r="AF566" s="27">
        <v>4956421194.3706722</v>
      </c>
      <c r="AG566" s="226">
        <v>3.143409829191935E-2</v>
      </c>
      <c r="AH566" s="226">
        <v>8.6401801586277013E-2</v>
      </c>
      <c r="AI566" s="27">
        <v>393520000</v>
      </c>
      <c r="AJ566" s="226">
        <v>0.395915407094938</v>
      </c>
      <c r="AK566" s="27">
        <v>987805456.84740794</v>
      </c>
      <c r="AL566" s="226">
        <v>0.15772400316276794</v>
      </c>
      <c r="AM566" s="27">
        <v>1158727772.5681946</v>
      </c>
      <c r="AN566" s="271">
        <v>0.13445835569702863</v>
      </c>
      <c r="AO566" s="27">
        <v>14341576</v>
      </c>
      <c r="AP566" s="27" t="s">
        <v>2842</v>
      </c>
      <c r="AQ566" s="27">
        <v>70.995975609756101</v>
      </c>
      <c r="AR566" s="27">
        <v>28.4</v>
      </c>
      <c r="AS566" s="29">
        <v>98.247460000000004</v>
      </c>
      <c r="AT566" s="270">
        <v>32</v>
      </c>
      <c r="AU566" s="464" t="s">
        <v>2842</v>
      </c>
      <c r="AV566" s="29">
        <v>-0.33446461090524898</v>
      </c>
      <c r="AW566" s="29">
        <v>-0.87314139642851796</v>
      </c>
      <c r="AX566" s="29">
        <v>-0.69874816414761298</v>
      </c>
      <c r="AY566" s="29">
        <v>-0.13028208712700701</v>
      </c>
      <c r="AZ566" s="60">
        <v>-0.48129935133288498</v>
      </c>
    </row>
    <row r="567" spans="1:52" ht="15" customHeight="1">
      <c r="A567" s="63" t="s">
        <v>212</v>
      </c>
      <c r="B567" s="53">
        <v>2010</v>
      </c>
      <c r="C567" s="146" t="s">
        <v>213</v>
      </c>
      <c r="D567" s="69" t="s">
        <v>214</v>
      </c>
      <c r="E567" s="27" t="s">
        <v>19</v>
      </c>
      <c r="F567" s="27" t="s">
        <v>1135</v>
      </c>
      <c r="G567" s="43">
        <v>2143</v>
      </c>
      <c r="H567" s="43"/>
      <c r="I567" s="43"/>
      <c r="J567" s="43"/>
      <c r="K567" s="27" t="s">
        <v>567</v>
      </c>
      <c r="L567" s="28">
        <v>137</v>
      </c>
      <c r="M567" s="27" t="s">
        <v>568</v>
      </c>
      <c r="N567" s="27" t="s">
        <v>1136</v>
      </c>
      <c r="O567" s="18">
        <f>G567*L567</f>
        <v>293591</v>
      </c>
      <c r="P567" s="213"/>
      <c r="Q567" s="213"/>
      <c r="R567" s="27"/>
      <c r="S567" s="27"/>
      <c r="T567" s="18"/>
      <c r="U567" s="27"/>
      <c r="V567" s="27"/>
      <c r="W567" s="30"/>
      <c r="X567" s="27"/>
      <c r="Y567" s="27"/>
      <c r="Z567" s="27"/>
      <c r="AA567" s="27"/>
      <c r="AB567" s="27"/>
      <c r="AC567" s="273">
        <v>155800631</v>
      </c>
      <c r="AD567" s="27">
        <v>41337958251.631958</v>
      </c>
      <c r="AE567" s="228">
        <v>3.7689483852011299E-3</v>
      </c>
      <c r="AF567" s="27">
        <v>4956421194.3706722</v>
      </c>
      <c r="AG567" s="226">
        <v>3.143409829191935E-2</v>
      </c>
      <c r="AH567" s="226">
        <v>8.6401801586277013E-2</v>
      </c>
      <c r="AI567" s="27">
        <v>393520000</v>
      </c>
      <c r="AJ567" s="226">
        <v>0.395915407094938</v>
      </c>
      <c r="AK567" s="27">
        <v>987805456.84740794</v>
      </c>
      <c r="AL567" s="226">
        <v>0.15772400316276794</v>
      </c>
      <c r="AM567" s="27">
        <v>1158727772.5681946</v>
      </c>
      <c r="AN567" s="271">
        <v>0.13445835569702863</v>
      </c>
      <c r="AO567" s="27">
        <v>14341576</v>
      </c>
      <c r="AP567" s="27" t="s">
        <v>2842</v>
      </c>
      <c r="AQ567" s="27">
        <v>70.995975609756101</v>
      </c>
      <c r="AR567" s="27">
        <v>28.4</v>
      </c>
      <c r="AS567" s="29">
        <v>98.247460000000004</v>
      </c>
      <c r="AT567" s="270">
        <v>32</v>
      </c>
      <c r="AU567" s="464" t="s">
        <v>2842</v>
      </c>
      <c r="AV567" s="29">
        <v>-0.33446461090524898</v>
      </c>
      <c r="AW567" s="29">
        <v>-0.87314139642851796</v>
      </c>
      <c r="AX567" s="29">
        <v>-0.69874816414761298</v>
      </c>
      <c r="AY567" s="29">
        <v>-0.13028208712700701</v>
      </c>
      <c r="AZ567" s="60">
        <v>-0.48129935133288498</v>
      </c>
    </row>
    <row r="568" spans="1:52" ht="15" customHeight="1">
      <c r="A568" s="63" t="s">
        <v>212</v>
      </c>
      <c r="B568" s="53">
        <v>2010</v>
      </c>
      <c r="C568" s="146" t="s">
        <v>213</v>
      </c>
      <c r="D568" s="69" t="s">
        <v>214</v>
      </c>
      <c r="E568" s="27" t="s">
        <v>19</v>
      </c>
      <c r="F568" s="27" t="s">
        <v>1137</v>
      </c>
      <c r="G568" s="43">
        <v>4910000</v>
      </c>
      <c r="H568" s="43"/>
      <c r="I568" s="43"/>
      <c r="J568" s="43"/>
      <c r="K568" s="27" t="s">
        <v>567</v>
      </c>
      <c r="L568" s="28">
        <v>9.0299999999999994</v>
      </c>
      <c r="M568" s="27" t="s">
        <v>568</v>
      </c>
      <c r="N568" s="27" t="s">
        <v>654</v>
      </c>
      <c r="O568" s="18">
        <f>G568*L568</f>
        <v>44337300</v>
      </c>
      <c r="P568" s="213"/>
      <c r="Q568" s="213"/>
      <c r="R568" s="27"/>
      <c r="S568" s="27"/>
      <c r="T568" s="18"/>
      <c r="U568" s="27"/>
      <c r="V568" s="27"/>
      <c r="W568" s="30"/>
      <c r="X568" s="27"/>
      <c r="Y568" s="27"/>
      <c r="Z568" s="27"/>
      <c r="AA568" s="27"/>
      <c r="AB568" s="27"/>
      <c r="AC568" s="273">
        <v>155800631</v>
      </c>
      <c r="AD568" s="27">
        <v>41337958251.631958</v>
      </c>
      <c r="AE568" s="228">
        <v>3.7689483852011299E-3</v>
      </c>
      <c r="AF568" s="27">
        <v>4956421194.3706722</v>
      </c>
      <c r="AG568" s="226">
        <v>3.143409829191935E-2</v>
      </c>
      <c r="AH568" s="226">
        <v>8.6401801586277013E-2</v>
      </c>
      <c r="AI568" s="27">
        <v>393520000</v>
      </c>
      <c r="AJ568" s="226">
        <v>0.395915407094938</v>
      </c>
      <c r="AK568" s="27">
        <v>987805456.84740794</v>
      </c>
      <c r="AL568" s="226">
        <v>0.15772400316276794</v>
      </c>
      <c r="AM568" s="27">
        <v>1158727772.5681946</v>
      </c>
      <c r="AN568" s="271">
        <v>0.13445835569702863</v>
      </c>
      <c r="AO568" s="27">
        <v>14341576</v>
      </c>
      <c r="AP568" s="27" t="s">
        <v>2842</v>
      </c>
      <c r="AQ568" s="27">
        <v>70.995975609756101</v>
      </c>
      <c r="AR568" s="27">
        <v>28.4</v>
      </c>
      <c r="AS568" s="29">
        <v>98.247460000000004</v>
      </c>
      <c r="AT568" s="270">
        <v>32</v>
      </c>
      <c r="AU568" s="464" t="s">
        <v>2842</v>
      </c>
      <c r="AV568" s="29">
        <v>-0.33446461090524898</v>
      </c>
      <c r="AW568" s="29">
        <v>-0.87314139642851796</v>
      </c>
      <c r="AX568" s="29">
        <v>-0.69874816414761298</v>
      </c>
      <c r="AY568" s="29">
        <v>-0.13028208712700701</v>
      </c>
      <c r="AZ568" s="60">
        <v>-0.48129935133288498</v>
      </c>
    </row>
    <row r="569" spans="1:52" ht="15" customHeight="1">
      <c r="A569" s="63" t="s">
        <v>212</v>
      </c>
      <c r="B569" s="53">
        <v>2010</v>
      </c>
      <c r="C569" s="146" t="s">
        <v>213</v>
      </c>
      <c r="D569" s="69" t="s">
        <v>214</v>
      </c>
      <c r="E569" s="27" t="s">
        <v>19</v>
      </c>
      <c r="F569" s="27" t="s">
        <v>1138</v>
      </c>
      <c r="G569" s="43">
        <f>72063*2.71</f>
        <v>195290.73</v>
      </c>
      <c r="H569" s="43"/>
      <c r="I569" s="43"/>
      <c r="J569" s="43"/>
      <c r="K569" s="27" t="s">
        <v>567</v>
      </c>
      <c r="L569" s="28">
        <v>13.27</v>
      </c>
      <c r="M569" s="27" t="s">
        <v>568</v>
      </c>
      <c r="N569" s="27" t="s">
        <v>1139</v>
      </c>
      <c r="O569" s="18">
        <f>G569*L569</f>
        <v>2591507.9871</v>
      </c>
      <c r="P569" s="213"/>
      <c r="Q569" s="213"/>
      <c r="R569" s="27"/>
      <c r="S569" s="27"/>
      <c r="T569" s="18"/>
      <c r="U569" s="27"/>
      <c r="V569" s="27"/>
      <c r="W569" s="30"/>
      <c r="X569" s="27"/>
      <c r="Y569" s="27"/>
      <c r="Z569" s="27"/>
      <c r="AA569" s="27"/>
      <c r="AB569" s="27"/>
      <c r="AC569" s="273">
        <v>155800631</v>
      </c>
      <c r="AD569" s="27">
        <v>41337958251.631958</v>
      </c>
      <c r="AE569" s="228">
        <v>3.7689483852011299E-3</v>
      </c>
      <c r="AF569" s="27">
        <v>4956421194.3706722</v>
      </c>
      <c r="AG569" s="226">
        <v>3.143409829191935E-2</v>
      </c>
      <c r="AH569" s="226">
        <v>8.6401801586277013E-2</v>
      </c>
      <c r="AI569" s="27">
        <v>393520000</v>
      </c>
      <c r="AJ569" s="226">
        <v>0.395915407094938</v>
      </c>
      <c r="AK569" s="27">
        <v>987805456.84740794</v>
      </c>
      <c r="AL569" s="226">
        <v>0.15772400316276794</v>
      </c>
      <c r="AM569" s="27">
        <v>1158727772.5681946</v>
      </c>
      <c r="AN569" s="271">
        <v>0.13445835569702863</v>
      </c>
      <c r="AO569" s="27">
        <v>14341576</v>
      </c>
      <c r="AP569" s="27" t="s">
        <v>2842</v>
      </c>
      <c r="AQ569" s="27">
        <v>70.995975609756101</v>
      </c>
      <c r="AR569" s="27">
        <v>28.4</v>
      </c>
      <c r="AS569" s="29">
        <v>98.247460000000004</v>
      </c>
      <c r="AT569" s="270">
        <v>32</v>
      </c>
      <c r="AU569" s="464" t="s">
        <v>2842</v>
      </c>
      <c r="AV569" s="29">
        <v>-0.33446461090524898</v>
      </c>
      <c r="AW569" s="29">
        <v>-0.87314139642851796</v>
      </c>
      <c r="AX569" s="29">
        <v>-0.69874816414761298</v>
      </c>
      <c r="AY569" s="29">
        <v>-0.13028208712700701</v>
      </c>
      <c r="AZ569" s="60">
        <v>-0.48129935133288498</v>
      </c>
    </row>
    <row r="570" spans="1:52" ht="15" customHeight="1">
      <c r="A570" s="63" t="s">
        <v>212</v>
      </c>
      <c r="B570" s="53">
        <v>2010</v>
      </c>
      <c r="C570" s="146" t="s">
        <v>213</v>
      </c>
      <c r="D570" s="69" t="s">
        <v>214</v>
      </c>
      <c r="E570" s="27" t="s">
        <v>19</v>
      </c>
      <c r="F570" s="27" t="s">
        <v>1140</v>
      </c>
      <c r="G570" s="43">
        <f>500*2.24</f>
        <v>1120</v>
      </c>
      <c r="H570" s="43"/>
      <c r="I570" s="43"/>
      <c r="J570" s="43"/>
      <c r="K570" s="27" t="s">
        <v>599</v>
      </c>
      <c r="L570" s="28">
        <v>7.88</v>
      </c>
      <c r="M570" s="27" t="s">
        <v>568</v>
      </c>
      <c r="N570" s="27" t="s">
        <v>1141</v>
      </c>
      <c r="O570" s="18">
        <f>G570*L570</f>
        <v>8825.6</v>
      </c>
      <c r="P570" s="213"/>
      <c r="Q570" s="213"/>
      <c r="R570" s="27"/>
      <c r="S570" s="27"/>
      <c r="T570" s="18"/>
      <c r="U570" s="27"/>
      <c r="V570" s="27"/>
      <c r="W570" s="30"/>
      <c r="X570" s="27"/>
      <c r="Y570" s="27"/>
      <c r="Z570" s="27"/>
      <c r="AA570" s="27"/>
      <c r="AB570" s="27"/>
      <c r="AC570" s="273">
        <v>155800631</v>
      </c>
      <c r="AD570" s="27">
        <v>41337958251.631958</v>
      </c>
      <c r="AE570" s="228">
        <v>3.7689483852011299E-3</v>
      </c>
      <c r="AF570" s="27">
        <v>4956421194.3706722</v>
      </c>
      <c r="AG570" s="226">
        <v>3.143409829191935E-2</v>
      </c>
      <c r="AH570" s="226">
        <v>8.6401801586277013E-2</v>
      </c>
      <c r="AI570" s="27">
        <v>393520000</v>
      </c>
      <c r="AJ570" s="226">
        <v>0.395915407094938</v>
      </c>
      <c r="AK570" s="27">
        <v>987805456.84740794</v>
      </c>
      <c r="AL570" s="226">
        <v>0.15772400316276794</v>
      </c>
      <c r="AM570" s="27">
        <v>1158727772.5681946</v>
      </c>
      <c r="AN570" s="271">
        <v>0.13445835569702863</v>
      </c>
      <c r="AO570" s="27">
        <v>14341576</v>
      </c>
      <c r="AP570" s="27" t="s">
        <v>2842</v>
      </c>
      <c r="AQ570" s="27">
        <v>70.995975609756101</v>
      </c>
      <c r="AR570" s="27">
        <v>28.4</v>
      </c>
      <c r="AS570" s="29">
        <v>98.247460000000004</v>
      </c>
      <c r="AT570" s="270">
        <v>32</v>
      </c>
      <c r="AU570" s="464" t="s">
        <v>2842</v>
      </c>
      <c r="AV570" s="29">
        <v>-0.33446461090524898</v>
      </c>
      <c r="AW570" s="29">
        <v>-0.87314139642851796</v>
      </c>
      <c r="AX570" s="29">
        <v>-0.69874816414761298</v>
      </c>
      <c r="AY570" s="29">
        <v>-0.13028208712700701</v>
      </c>
      <c r="AZ570" s="60">
        <v>-0.48129935133288498</v>
      </c>
    </row>
    <row r="571" spans="1:52" ht="15" customHeight="1">
      <c r="A571" s="63" t="s">
        <v>212</v>
      </c>
      <c r="B571" s="53">
        <v>2010</v>
      </c>
      <c r="C571" s="146" t="s">
        <v>213</v>
      </c>
      <c r="D571" s="69" t="s">
        <v>214</v>
      </c>
      <c r="E571" s="27" t="s">
        <v>19</v>
      </c>
      <c r="F571" s="27" t="s">
        <v>1142</v>
      </c>
      <c r="G571" s="43">
        <f>34000*0.64</f>
        <v>21760</v>
      </c>
      <c r="H571" s="43"/>
      <c r="I571" s="43"/>
      <c r="J571" s="43"/>
      <c r="K571" s="27" t="s">
        <v>567</v>
      </c>
      <c r="L571" s="28">
        <v>20</v>
      </c>
      <c r="M571" s="27" t="s">
        <v>568</v>
      </c>
      <c r="N571" s="27" t="s">
        <v>1143</v>
      </c>
      <c r="O571" s="18">
        <f>G571*L571</f>
        <v>435200</v>
      </c>
      <c r="P571" s="213"/>
      <c r="Q571" s="213"/>
      <c r="R571" s="27"/>
      <c r="S571" s="27"/>
      <c r="T571" s="18"/>
      <c r="U571" s="27"/>
      <c r="V571" s="27"/>
      <c r="W571" s="30"/>
      <c r="X571" s="27"/>
      <c r="Y571" s="27"/>
      <c r="Z571" s="27"/>
      <c r="AA571" s="27"/>
      <c r="AB571" s="27"/>
      <c r="AC571" s="273">
        <v>155800631</v>
      </c>
      <c r="AD571" s="27">
        <v>41337958251.631958</v>
      </c>
      <c r="AE571" s="228">
        <v>3.7689483852011299E-3</v>
      </c>
      <c r="AF571" s="27">
        <v>4956421194.3706722</v>
      </c>
      <c r="AG571" s="226">
        <v>3.143409829191935E-2</v>
      </c>
      <c r="AH571" s="226">
        <v>8.6401801586277013E-2</v>
      </c>
      <c r="AI571" s="27">
        <v>393520000</v>
      </c>
      <c r="AJ571" s="226">
        <v>0.395915407094938</v>
      </c>
      <c r="AK571" s="27">
        <v>987805456.84740794</v>
      </c>
      <c r="AL571" s="226">
        <v>0.15772400316276794</v>
      </c>
      <c r="AM571" s="27">
        <v>1158727772.5681946</v>
      </c>
      <c r="AN571" s="271">
        <v>0.13445835569702863</v>
      </c>
      <c r="AO571" s="27">
        <v>14341576</v>
      </c>
      <c r="AP571" s="27" t="s">
        <v>2842</v>
      </c>
      <c r="AQ571" s="27">
        <v>70.995975609756101</v>
      </c>
      <c r="AR571" s="27">
        <v>28.4</v>
      </c>
      <c r="AS571" s="29">
        <v>98.247460000000004</v>
      </c>
      <c r="AT571" s="270">
        <v>32</v>
      </c>
      <c r="AU571" s="464" t="s">
        <v>2842</v>
      </c>
      <c r="AV571" s="29">
        <v>-0.33446461090524898</v>
      </c>
      <c r="AW571" s="29">
        <v>-0.87314139642851796</v>
      </c>
      <c r="AX571" s="29">
        <v>-0.69874816414761298</v>
      </c>
      <c r="AY571" s="29">
        <v>-0.13028208712700701</v>
      </c>
      <c r="AZ571" s="60">
        <v>-0.48129935133288498</v>
      </c>
    </row>
    <row r="572" spans="1:52" ht="15" customHeight="1">
      <c r="A572" s="63" t="s">
        <v>212</v>
      </c>
      <c r="B572" s="53">
        <v>2010</v>
      </c>
      <c r="C572" s="146" t="s">
        <v>213</v>
      </c>
      <c r="D572" s="69" t="s">
        <v>214</v>
      </c>
      <c r="E572" s="27" t="s">
        <v>19</v>
      </c>
      <c r="F572" s="27" t="s">
        <v>896</v>
      </c>
      <c r="G572" s="43">
        <v>777</v>
      </c>
      <c r="H572" s="43"/>
      <c r="I572" s="43"/>
      <c r="J572" s="43"/>
      <c r="K572" s="27" t="s">
        <v>567</v>
      </c>
      <c r="L572" s="28"/>
      <c r="M572" s="27"/>
      <c r="N572" s="27" t="s">
        <v>636</v>
      </c>
      <c r="O572" s="18"/>
      <c r="P572" s="213"/>
      <c r="Q572" s="213"/>
      <c r="R572" s="27"/>
      <c r="S572" s="27"/>
      <c r="T572" s="18"/>
      <c r="U572" s="27"/>
      <c r="V572" s="27"/>
      <c r="W572" s="30"/>
      <c r="X572" s="27"/>
      <c r="Y572" s="27"/>
      <c r="Z572" s="27"/>
      <c r="AA572" s="27"/>
      <c r="AB572" s="27"/>
      <c r="AC572" s="273">
        <v>155800631</v>
      </c>
      <c r="AD572" s="27">
        <v>41337958251.631958</v>
      </c>
      <c r="AE572" s="228">
        <v>3.7689483852011299E-3</v>
      </c>
      <c r="AF572" s="27">
        <v>4956421194.3706722</v>
      </c>
      <c r="AG572" s="226">
        <v>3.143409829191935E-2</v>
      </c>
      <c r="AH572" s="226">
        <v>8.6401801586277013E-2</v>
      </c>
      <c r="AI572" s="27">
        <v>393520000</v>
      </c>
      <c r="AJ572" s="226">
        <v>0.395915407094938</v>
      </c>
      <c r="AK572" s="27">
        <v>987805456.84740794</v>
      </c>
      <c r="AL572" s="226">
        <v>0.15772400316276794</v>
      </c>
      <c r="AM572" s="27">
        <v>1158727772.5681946</v>
      </c>
      <c r="AN572" s="271">
        <v>0.13445835569702863</v>
      </c>
      <c r="AO572" s="27">
        <v>14341576</v>
      </c>
      <c r="AP572" s="27" t="s">
        <v>2842</v>
      </c>
      <c r="AQ572" s="27">
        <v>70.995975609756101</v>
      </c>
      <c r="AR572" s="27">
        <v>28.4</v>
      </c>
      <c r="AS572" s="29">
        <v>98.247460000000004</v>
      </c>
      <c r="AT572" s="270">
        <v>32</v>
      </c>
      <c r="AU572" s="464" t="s">
        <v>2842</v>
      </c>
      <c r="AV572" s="29">
        <v>-0.33446461090524898</v>
      </c>
      <c r="AW572" s="29">
        <v>-0.87314139642851796</v>
      </c>
      <c r="AX572" s="29">
        <v>-0.69874816414761298</v>
      </c>
      <c r="AY572" s="29">
        <v>-0.13028208712700701</v>
      </c>
      <c r="AZ572" s="60">
        <v>-0.48129935133288498</v>
      </c>
    </row>
    <row r="573" spans="1:52" ht="15" customHeight="1">
      <c r="A573" s="63" t="s">
        <v>212</v>
      </c>
      <c r="B573" s="53">
        <v>2010</v>
      </c>
      <c r="C573" s="146" t="s">
        <v>213</v>
      </c>
      <c r="D573" s="69" t="s">
        <v>214</v>
      </c>
      <c r="E573" s="27" t="s">
        <v>19</v>
      </c>
      <c r="F573" s="27" t="s">
        <v>1058</v>
      </c>
      <c r="G573" s="43">
        <v>50000</v>
      </c>
      <c r="H573" s="43"/>
      <c r="I573" s="43"/>
      <c r="J573" s="43"/>
      <c r="K573" s="27" t="s">
        <v>567</v>
      </c>
      <c r="L573" s="28">
        <v>70.162499999999994</v>
      </c>
      <c r="M573" s="27" t="s">
        <v>568</v>
      </c>
      <c r="N573" s="27" t="s">
        <v>1144</v>
      </c>
      <c r="O573" s="18">
        <f t="shared" ref="O573:O578" si="5">G573*L573</f>
        <v>3508124.9999999995</v>
      </c>
      <c r="P573" s="213"/>
      <c r="Q573" s="213"/>
      <c r="R573" s="27"/>
      <c r="S573" s="27"/>
      <c r="T573" s="18"/>
      <c r="U573" s="27"/>
      <c r="V573" s="27"/>
      <c r="W573" s="30"/>
      <c r="X573" s="27"/>
      <c r="Y573" s="27"/>
      <c r="Z573" s="27"/>
      <c r="AA573" s="27"/>
      <c r="AB573" s="27"/>
      <c r="AC573" s="273">
        <v>155800631</v>
      </c>
      <c r="AD573" s="27">
        <v>41337958251.631958</v>
      </c>
      <c r="AE573" s="228">
        <v>3.7689483852011299E-3</v>
      </c>
      <c r="AF573" s="27">
        <v>4956421194.3706722</v>
      </c>
      <c r="AG573" s="226">
        <v>3.143409829191935E-2</v>
      </c>
      <c r="AH573" s="226">
        <v>8.6401801586277013E-2</v>
      </c>
      <c r="AI573" s="27">
        <v>393520000</v>
      </c>
      <c r="AJ573" s="226">
        <v>0.395915407094938</v>
      </c>
      <c r="AK573" s="27">
        <v>987805456.84740794</v>
      </c>
      <c r="AL573" s="226">
        <v>0.15772400316276794</v>
      </c>
      <c r="AM573" s="27">
        <v>1158727772.5681946</v>
      </c>
      <c r="AN573" s="271">
        <v>0.13445835569702863</v>
      </c>
      <c r="AO573" s="27">
        <v>14341576</v>
      </c>
      <c r="AP573" s="27" t="s">
        <v>2842</v>
      </c>
      <c r="AQ573" s="27">
        <v>70.995975609756101</v>
      </c>
      <c r="AR573" s="27">
        <v>28.4</v>
      </c>
      <c r="AS573" s="29">
        <v>98.247460000000004</v>
      </c>
      <c r="AT573" s="270">
        <v>32</v>
      </c>
      <c r="AU573" s="464" t="s">
        <v>2842</v>
      </c>
      <c r="AV573" s="29">
        <v>-0.33446461090524898</v>
      </c>
      <c r="AW573" s="29">
        <v>-0.87314139642851796</v>
      </c>
      <c r="AX573" s="29">
        <v>-0.69874816414761298</v>
      </c>
      <c r="AY573" s="29">
        <v>-0.13028208712700701</v>
      </c>
      <c r="AZ573" s="60">
        <v>-0.48129935133288498</v>
      </c>
    </row>
    <row r="574" spans="1:52" ht="15" customHeight="1">
      <c r="A574" s="63" t="s">
        <v>212</v>
      </c>
      <c r="B574" s="53">
        <v>2010</v>
      </c>
      <c r="C574" s="146" t="s">
        <v>213</v>
      </c>
      <c r="D574" s="69" t="s">
        <v>214</v>
      </c>
      <c r="E574" s="27" t="s">
        <v>19</v>
      </c>
      <c r="F574" s="27" t="s">
        <v>841</v>
      </c>
      <c r="G574" s="43">
        <f>1601344*1.65</f>
        <v>2642217.5999999996</v>
      </c>
      <c r="H574" s="43"/>
      <c r="I574" s="43"/>
      <c r="J574" s="43"/>
      <c r="K574" s="27" t="s">
        <v>567</v>
      </c>
      <c r="L574" s="28">
        <v>7.31</v>
      </c>
      <c r="M574" s="27" t="s">
        <v>568</v>
      </c>
      <c r="N574" s="27" t="s">
        <v>1145</v>
      </c>
      <c r="O574" s="18">
        <f t="shared" si="5"/>
        <v>19314610.655999996</v>
      </c>
      <c r="P574" s="213"/>
      <c r="Q574" s="213"/>
      <c r="R574" s="27"/>
      <c r="S574" s="27"/>
      <c r="T574" s="18"/>
      <c r="U574" s="27"/>
      <c r="V574" s="27"/>
      <c r="W574" s="30"/>
      <c r="X574" s="27"/>
      <c r="Y574" s="27"/>
      <c r="Z574" s="27"/>
      <c r="AA574" s="27"/>
      <c r="AB574" s="27"/>
      <c r="AC574" s="273">
        <v>155800631</v>
      </c>
      <c r="AD574" s="27">
        <v>41337958251.631958</v>
      </c>
      <c r="AE574" s="228">
        <v>3.7689483852011299E-3</v>
      </c>
      <c r="AF574" s="27">
        <v>4956421194.3706722</v>
      </c>
      <c r="AG574" s="226">
        <v>3.143409829191935E-2</v>
      </c>
      <c r="AH574" s="226">
        <v>8.6401801586277013E-2</v>
      </c>
      <c r="AI574" s="27">
        <v>393520000</v>
      </c>
      <c r="AJ574" s="226">
        <v>0.395915407094938</v>
      </c>
      <c r="AK574" s="27">
        <v>987805456.84740794</v>
      </c>
      <c r="AL574" s="226">
        <v>0.15772400316276794</v>
      </c>
      <c r="AM574" s="27">
        <v>1158727772.5681946</v>
      </c>
      <c r="AN574" s="271">
        <v>0.13445835569702863</v>
      </c>
      <c r="AO574" s="27">
        <v>14341576</v>
      </c>
      <c r="AP574" s="27" t="s">
        <v>2842</v>
      </c>
      <c r="AQ574" s="27">
        <v>70.995975609756101</v>
      </c>
      <c r="AR574" s="27">
        <v>28.4</v>
      </c>
      <c r="AS574" s="29">
        <v>98.247460000000004</v>
      </c>
      <c r="AT574" s="270">
        <v>32</v>
      </c>
      <c r="AU574" s="464" t="s">
        <v>2842</v>
      </c>
      <c r="AV574" s="29">
        <v>-0.33446461090524898</v>
      </c>
      <c r="AW574" s="29">
        <v>-0.87314139642851796</v>
      </c>
      <c r="AX574" s="29">
        <v>-0.69874816414761298</v>
      </c>
      <c r="AY574" s="29">
        <v>-0.13028208712700701</v>
      </c>
      <c r="AZ574" s="60">
        <v>-0.48129935133288498</v>
      </c>
    </row>
    <row r="575" spans="1:52" ht="15" customHeight="1">
      <c r="A575" s="63" t="s">
        <v>212</v>
      </c>
      <c r="B575" s="53">
        <v>2010</v>
      </c>
      <c r="C575" s="146" t="s">
        <v>213</v>
      </c>
      <c r="D575" s="69" t="s">
        <v>214</v>
      </c>
      <c r="E575" s="27" t="s">
        <v>19</v>
      </c>
      <c r="F575" s="27" t="s">
        <v>735</v>
      </c>
      <c r="G575" s="43">
        <f>194683*32.150743126506</f>
        <v>6259203.124097568</v>
      </c>
      <c r="H575" s="43"/>
      <c r="I575" s="43"/>
      <c r="J575" s="43"/>
      <c r="K575" s="27" t="s">
        <v>731</v>
      </c>
      <c r="L575" s="28">
        <f>20.15295833333/1</f>
        <v>20.152958333330002</v>
      </c>
      <c r="M575" s="27" t="s">
        <v>732</v>
      </c>
      <c r="N575" s="27" t="s">
        <v>744</v>
      </c>
      <c r="O575" s="18">
        <f t="shared" si="5"/>
        <v>126141459.75978726</v>
      </c>
      <c r="P575" s="213"/>
      <c r="Q575" s="213"/>
      <c r="R575" s="27"/>
      <c r="S575" s="27"/>
      <c r="T575" s="18"/>
      <c r="U575" s="27"/>
      <c r="V575" s="27"/>
      <c r="W575" s="30"/>
      <c r="X575" s="27"/>
      <c r="Y575" s="27"/>
      <c r="Z575" s="27"/>
      <c r="AA575" s="27"/>
      <c r="AB575" s="27"/>
      <c r="AC575" s="273">
        <v>155800631</v>
      </c>
      <c r="AD575" s="27">
        <v>41337958251.631958</v>
      </c>
      <c r="AE575" s="228">
        <v>3.7689483852011299E-3</v>
      </c>
      <c r="AF575" s="27">
        <v>4956421194.3706722</v>
      </c>
      <c r="AG575" s="226">
        <v>3.143409829191935E-2</v>
      </c>
      <c r="AH575" s="226">
        <v>8.6401801586277013E-2</v>
      </c>
      <c r="AI575" s="27">
        <v>393520000</v>
      </c>
      <c r="AJ575" s="226">
        <v>0.395915407094938</v>
      </c>
      <c r="AK575" s="27">
        <v>987805456.84740794</v>
      </c>
      <c r="AL575" s="226">
        <v>0.15772400316276794</v>
      </c>
      <c r="AM575" s="27">
        <v>1158727772.5681946</v>
      </c>
      <c r="AN575" s="271">
        <v>0.13445835569702863</v>
      </c>
      <c r="AO575" s="27">
        <v>14341576</v>
      </c>
      <c r="AP575" s="27" t="s">
        <v>2842</v>
      </c>
      <c r="AQ575" s="27">
        <v>70.995975609756101</v>
      </c>
      <c r="AR575" s="27">
        <v>28.4</v>
      </c>
      <c r="AS575" s="29">
        <v>98.247460000000004</v>
      </c>
      <c r="AT575" s="270">
        <v>32</v>
      </c>
      <c r="AU575" s="464" t="s">
        <v>2842</v>
      </c>
      <c r="AV575" s="29">
        <v>-0.33446461090524898</v>
      </c>
      <c r="AW575" s="29">
        <v>-0.87314139642851796</v>
      </c>
      <c r="AX575" s="29">
        <v>-0.69874816414761298</v>
      </c>
      <c r="AY575" s="29">
        <v>-0.13028208712700701</v>
      </c>
      <c r="AZ575" s="60">
        <v>-0.48129935133288498</v>
      </c>
    </row>
    <row r="576" spans="1:52" ht="15" customHeight="1">
      <c r="A576" s="63" t="s">
        <v>212</v>
      </c>
      <c r="B576" s="53">
        <v>2010</v>
      </c>
      <c r="C576" s="146" t="s">
        <v>213</v>
      </c>
      <c r="D576" s="69" t="s">
        <v>214</v>
      </c>
      <c r="E576" s="27" t="s">
        <v>19</v>
      </c>
      <c r="F576" s="27" t="s">
        <v>1146</v>
      </c>
      <c r="G576" s="43">
        <f>149000*2.69</f>
        <v>400810</v>
      </c>
      <c r="H576" s="43"/>
      <c r="I576" s="43"/>
      <c r="J576" s="43"/>
      <c r="K576" s="27" t="s">
        <v>567</v>
      </c>
      <c r="L576" s="28">
        <v>10.9</v>
      </c>
      <c r="M576" s="27" t="s">
        <v>568</v>
      </c>
      <c r="N576" s="27" t="s">
        <v>1147</v>
      </c>
      <c r="O576" s="18">
        <f t="shared" si="5"/>
        <v>4368829</v>
      </c>
      <c r="P576" s="213"/>
      <c r="Q576" s="213"/>
      <c r="R576" s="27"/>
      <c r="S576" s="27"/>
      <c r="T576" s="18"/>
      <c r="U576" s="27"/>
      <c r="V576" s="27"/>
      <c r="W576" s="30"/>
      <c r="X576" s="27"/>
      <c r="Y576" s="27"/>
      <c r="Z576" s="27"/>
      <c r="AA576" s="27"/>
      <c r="AB576" s="27"/>
      <c r="AC576" s="273">
        <v>155800631</v>
      </c>
      <c r="AD576" s="27">
        <v>41337958251.631958</v>
      </c>
      <c r="AE576" s="228">
        <v>3.7689483852011299E-3</v>
      </c>
      <c r="AF576" s="27">
        <v>4956421194.3706722</v>
      </c>
      <c r="AG576" s="226">
        <v>3.143409829191935E-2</v>
      </c>
      <c r="AH576" s="226">
        <v>8.6401801586277013E-2</v>
      </c>
      <c r="AI576" s="27">
        <v>393520000</v>
      </c>
      <c r="AJ576" s="226">
        <v>0.395915407094938</v>
      </c>
      <c r="AK576" s="27">
        <v>987805456.84740794</v>
      </c>
      <c r="AL576" s="226">
        <v>0.15772400316276794</v>
      </c>
      <c r="AM576" s="27">
        <v>1158727772.5681946</v>
      </c>
      <c r="AN576" s="271">
        <v>0.13445835569702863</v>
      </c>
      <c r="AO576" s="27">
        <v>14341576</v>
      </c>
      <c r="AP576" s="27" t="s">
        <v>2842</v>
      </c>
      <c r="AQ576" s="27">
        <v>70.995975609756101</v>
      </c>
      <c r="AR576" s="27">
        <v>28.4</v>
      </c>
      <c r="AS576" s="29">
        <v>98.247460000000004</v>
      </c>
      <c r="AT576" s="270">
        <v>32</v>
      </c>
      <c r="AU576" s="464" t="s">
        <v>2842</v>
      </c>
      <c r="AV576" s="29">
        <v>-0.33446461090524898</v>
      </c>
      <c r="AW576" s="29">
        <v>-0.87314139642851796</v>
      </c>
      <c r="AX576" s="29">
        <v>-0.69874816414761298</v>
      </c>
      <c r="AY576" s="29">
        <v>-0.13028208712700701</v>
      </c>
      <c r="AZ576" s="60">
        <v>-0.48129935133288498</v>
      </c>
    </row>
    <row r="577" spans="1:52" ht="15" customHeight="1">
      <c r="A577" s="63" t="s">
        <v>212</v>
      </c>
      <c r="B577" s="53">
        <v>2010</v>
      </c>
      <c r="C577" s="146" t="s">
        <v>213</v>
      </c>
      <c r="D577" s="69" t="s">
        <v>214</v>
      </c>
      <c r="E577" s="27" t="s">
        <v>19</v>
      </c>
      <c r="F577" s="27" t="s">
        <v>1148</v>
      </c>
      <c r="G577" s="43">
        <v>274000</v>
      </c>
      <c r="H577" s="43"/>
      <c r="I577" s="43"/>
      <c r="J577" s="43"/>
      <c r="K577" s="27" t="s">
        <v>567</v>
      </c>
      <c r="L577" s="28">
        <v>701.48958333333246</v>
      </c>
      <c r="M577" s="27" t="s">
        <v>568</v>
      </c>
      <c r="N577" s="27" t="s">
        <v>1149</v>
      </c>
      <c r="O577" s="18">
        <f t="shared" si="5"/>
        <v>192208145.8333331</v>
      </c>
      <c r="P577" s="213"/>
      <c r="Q577" s="213"/>
      <c r="R577" s="27"/>
      <c r="S577" s="27"/>
      <c r="T577" s="18"/>
      <c r="U577" s="27"/>
      <c r="V577" s="27"/>
      <c r="W577" s="30"/>
      <c r="X577" s="27"/>
      <c r="Y577" s="27"/>
      <c r="Z577" s="27"/>
      <c r="AA577" s="27"/>
      <c r="AB577" s="27"/>
      <c r="AC577" s="273">
        <v>155800631</v>
      </c>
      <c r="AD577" s="27">
        <v>41337958251.631958</v>
      </c>
      <c r="AE577" s="228">
        <v>3.7689483852011299E-3</v>
      </c>
      <c r="AF577" s="27">
        <v>4956421194.3706722</v>
      </c>
      <c r="AG577" s="226">
        <v>3.143409829191935E-2</v>
      </c>
      <c r="AH577" s="226">
        <v>8.6401801586277013E-2</v>
      </c>
      <c r="AI577" s="27">
        <v>393520000</v>
      </c>
      <c r="AJ577" s="226">
        <v>0.395915407094938</v>
      </c>
      <c r="AK577" s="27">
        <v>987805456.84740794</v>
      </c>
      <c r="AL577" s="226">
        <v>0.15772400316276794</v>
      </c>
      <c r="AM577" s="27">
        <v>1158727772.5681946</v>
      </c>
      <c r="AN577" s="271">
        <v>0.13445835569702863</v>
      </c>
      <c r="AO577" s="27">
        <v>14341576</v>
      </c>
      <c r="AP577" s="27" t="s">
        <v>2842</v>
      </c>
      <c r="AQ577" s="27">
        <v>70.995975609756101</v>
      </c>
      <c r="AR577" s="27">
        <v>28.4</v>
      </c>
      <c r="AS577" s="29">
        <v>98.247460000000004</v>
      </c>
      <c r="AT577" s="270">
        <v>32</v>
      </c>
      <c r="AU577" s="464" t="s">
        <v>2842</v>
      </c>
      <c r="AV577" s="29">
        <v>-0.33446461090524898</v>
      </c>
      <c r="AW577" s="29">
        <v>-0.87314139642851796</v>
      </c>
      <c r="AX577" s="29">
        <v>-0.69874816414761298</v>
      </c>
      <c r="AY577" s="29">
        <v>-0.13028208712700701</v>
      </c>
      <c r="AZ577" s="60">
        <v>-0.48129935133288498</v>
      </c>
    </row>
    <row r="578" spans="1:52" ht="15" customHeight="1">
      <c r="A578" s="63" t="s">
        <v>212</v>
      </c>
      <c r="B578" s="53">
        <v>2010</v>
      </c>
      <c r="C578" s="146" t="s">
        <v>213</v>
      </c>
      <c r="D578" s="69" t="s">
        <v>214</v>
      </c>
      <c r="E578" s="27" t="s">
        <v>19</v>
      </c>
      <c r="F578" s="27" t="s">
        <v>1150</v>
      </c>
      <c r="G578" s="43">
        <v>2175</v>
      </c>
      <c r="H578" s="43"/>
      <c r="I578" s="43"/>
      <c r="J578" s="43"/>
      <c r="K578" s="27" t="s">
        <v>567</v>
      </c>
      <c r="L578" s="28">
        <v>150</v>
      </c>
      <c r="M578" s="27" t="s">
        <v>568</v>
      </c>
      <c r="N578" s="27" t="s">
        <v>1151</v>
      </c>
      <c r="O578" s="18">
        <f t="shared" si="5"/>
        <v>326250</v>
      </c>
      <c r="P578" s="213"/>
      <c r="Q578" s="213"/>
      <c r="R578" s="27"/>
      <c r="S578" s="27"/>
      <c r="T578" s="18"/>
      <c r="U578" s="27"/>
      <c r="V578" s="27"/>
      <c r="W578" s="30"/>
      <c r="X578" s="27"/>
      <c r="Y578" s="27"/>
      <c r="Z578" s="27"/>
      <c r="AA578" s="27"/>
      <c r="AB578" s="27"/>
      <c r="AC578" s="273">
        <v>155800631</v>
      </c>
      <c r="AD578" s="27">
        <v>41337958251.631958</v>
      </c>
      <c r="AE578" s="228">
        <v>3.7689483852011299E-3</v>
      </c>
      <c r="AF578" s="27">
        <v>4956421194.3706722</v>
      </c>
      <c r="AG578" s="226">
        <v>3.143409829191935E-2</v>
      </c>
      <c r="AH578" s="226">
        <v>8.6401801586277013E-2</v>
      </c>
      <c r="AI578" s="27">
        <v>393520000</v>
      </c>
      <c r="AJ578" s="226">
        <v>0.395915407094938</v>
      </c>
      <c r="AK578" s="27">
        <v>987805456.84740794</v>
      </c>
      <c r="AL578" s="226">
        <v>0.15772400316276794</v>
      </c>
      <c r="AM578" s="27">
        <v>1158727772.5681946</v>
      </c>
      <c r="AN578" s="271">
        <v>0.13445835569702863</v>
      </c>
      <c r="AO578" s="27">
        <v>14341576</v>
      </c>
      <c r="AP578" s="27" t="s">
        <v>2842</v>
      </c>
      <c r="AQ578" s="27">
        <v>70.995975609756101</v>
      </c>
      <c r="AR578" s="27">
        <v>28.4</v>
      </c>
      <c r="AS578" s="29">
        <v>98.247460000000004</v>
      </c>
      <c r="AT578" s="270">
        <v>32</v>
      </c>
      <c r="AU578" s="464" t="s">
        <v>2842</v>
      </c>
      <c r="AV578" s="29">
        <v>-0.33446461090524898</v>
      </c>
      <c r="AW578" s="29">
        <v>-0.87314139642851796</v>
      </c>
      <c r="AX578" s="29">
        <v>-0.69874816414761298</v>
      </c>
      <c r="AY578" s="29">
        <v>-0.13028208712700701</v>
      </c>
      <c r="AZ578" s="60">
        <v>-0.48129935133288498</v>
      </c>
    </row>
    <row r="579" spans="1:52" s="287" customFormat="1" ht="15" customHeight="1">
      <c r="A579" s="359" t="s">
        <v>212</v>
      </c>
      <c r="B579" s="302">
        <v>2010</v>
      </c>
      <c r="C579" s="383" t="s">
        <v>213</v>
      </c>
      <c r="D579" s="369" t="s">
        <v>214</v>
      </c>
      <c r="E579" s="284" t="s">
        <v>19</v>
      </c>
      <c r="F579" s="284" t="s">
        <v>1152</v>
      </c>
      <c r="G579" s="303">
        <v>184541</v>
      </c>
      <c r="H579" s="303"/>
      <c r="I579" s="303"/>
      <c r="J579" s="303"/>
      <c r="K579" s="284" t="s">
        <v>599</v>
      </c>
      <c r="L579" s="304"/>
      <c r="M579" s="284"/>
      <c r="N579" s="284" t="s">
        <v>636</v>
      </c>
      <c r="O579" s="305"/>
      <c r="P579" s="306"/>
      <c r="Q579" s="306"/>
      <c r="R579" s="284"/>
      <c r="S579" s="284"/>
      <c r="T579" s="305"/>
      <c r="U579" s="284"/>
      <c r="V579" s="284"/>
      <c r="W579" s="307"/>
      <c r="X579" s="284"/>
      <c r="Y579" s="284"/>
      <c r="Z579" s="284"/>
      <c r="AA579" s="284"/>
      <c r="AB579" s="284"/>
      <c r="AC579" s="308">
        <v>155800631</v>
      </c>
      <c r="AD579" s="284">
        <v>41337958251.631958</v>
      </c>
      <c r="AE579" s="309">
        <v>3.7689483852011299E-3</v>
      </c>
      <c r="AF579" s="284">
        <v>4956421194.3706722</v>
      </c>
      <c r="AG579" s="310">
        <v>3.143409829191935E-2</v>
      </c>
      <c r="AH579" s="310">
        <v>8.6401801586277013E-2</v>
      </c>
      <c r="AI579" s="284">
        <v>393520000</v>
      </c>
      <c r="AJ579" s="310">
        <v>0.395915407094938</v>
      </c>
      <c r="AK579" s="284">
        <v>987805456.84740794</v>
      </c>
      <c r="AL579" s="310">
        <v>0.15772400316276794</v>
      </c>
      <c r="AM579" s="284">
        <v>1158727772.5681946</v>
      </c>
      <c r="AN579" s="311">
        <v>0.13445835569702863</v>
      </c>
      <c r="AO579" s="284">
        <v>14341576</v>
      </c>
      <c r="AP579" s="284" t="s">
        <v>2842</v>
      </c>
      <c r="AQ579" s="284">
        <v>70.995975609756101</v>
      </c>
      <c r="AR579" s="284">
        <v>28.4</v>
      </c>
      <c r="AS579" s="287">
        <v>98.247460000000004</v>
      </c>
      <c r="AT579" s="312">
        <v>32</v>
      </c>
      <c r="AU579" s="465" t="s">
        <v>2842</v>
      </c>
      <c r="AV579" s="287">
        <v>-0.33446461090524898</v>
      </c>
      <c r="AW579" s="287">
        <v>-0.87314139642851796</v>
      </c>
      <c r="AX579" s="287">
        <v>-0.69874816414761298</v>
      </c>
      <c r="AY579" s="287">
        <v>-0.13028208712700701</v>
      </c>
      <c r="AZ579" s="313">
        <v>-0.48129935133288498</v>
      </c>
    </row>
    <row r="580" spans="1:52" s="29" customFormat="1" ht="15" customHeight="1">
      <c r="A580" s="347" t="s">
        <v>216</v>
      </c>
      <c r="B580" s="53">
        <v>2011</v>
      </c>
      <c r="C580" s="146" t="s">
        <v>213</v>
      </c>
      <c r="D580" s="69" t="s">
        <v>214</v>
      </c>
      <c r="E580" s="27" t="s">
        <v>30</v>
      </c>
      <c r="F580" s="27" t="s">
        <v>659</v>
      </c>
      <c r="G580" s="43"/>
      <c r="H580" s="43"/>
      <c r="I580" s="43"/>
      <c r="J580" s="43"/>
      <c r="K580" s="27"/>
      <c r="L580" s="28"/>
      <c r="M580" s="27"/>
      <c r="N580" s="27"/>
      <c r="O580" s="18">
        <f>O581+O584</f>
        <v>1949529116.1198859</v>
      </c>
      <c r="P580" s="213">
        <v>224641623</v>
      </c>
      <c r="Q580" s="213">
        <v>224641623</v>
      </c>
      <c r="R580" s="27" t="s">
        <v>619</v>
      </c>
      <c r="S580" s="27"/>
      <c r="T580" s="18"/>
      <c r="U580" s="27" t="s">
        <v>1116</v>
      </c>
      <c r="V580" s="27"/>
      <c r="W580" s="30">
        <v>7.78</v>
      </c>
      <c r="X580" s="27"/>
      <c r="Y580" s="27"/>
      <c r="Z580" s="27">
        <v>8</v>
      </c>
      <c r="AA580" s="27"/>
      <c r="AB580" s="27"/>
      <c r="AC580" s="273">
        <v>224641623</v>
      </c>
      <c r="AD580" s="27">
        <v>47654841112.852264</v>
      </c>
      <c r="AE580" s="228">
        <v>4.7139307938939981E-3</v>
      </c>
      <c r="AF580" s="27">
        <v>6065031628.4327078</v>
      </c>
      <c r="AG580" s="226">
        <v>3.7038821355339022E-2</v>
      </c>
      <c r="AH580" s="226">
        <v>0.12020555158299444</v>
      </c>
      <c r="AI580" s="27">
        <v>387910000</v>
      </c>
      <c r="AJ580" s="226">
        <v>0.57910758423345621</v>
      </c>
      <c r="AK580" s="27">
        <v>1135606321.1350493</v>
      </c>
      <c r="AL580" s="226">
        <v>0.19781646052786017</v>
      </c>
      <c r="AM580" s="27">
        <v>1390587325.6094742</v>
      </c>
      <c r="AN580" s="271">
        <v>0.16154442001802571</v>
      </c>
      <c r="AO580" s="27">
        <v>14706578</v>
      </c>
      <c r="AP580" s="27">
        <v>53.7</v>
      </c>
      <c r="AQ580" s="27">
        <v>71.327902439024385</v>
      </c>
      <c r="AR580" s="27">
        <v>27.5</v>
      </c>
      <c r="AS580" s="29">
        <v>95.268600000000006</v>
      </c>
      <c r="AT580" s="270">
        <v>32</v>
      </c>
      <c r="AU580" s="464" t="s">
        <v>2842</v>
      </c>
      <c r="AV580" s="29">
        <v>-0.34866950292311899</v>
      </c>
      <c r="AW580" s="29">
        <v>-0.76425001276209303</v>
      </c>
      <c r="AX580" s="29">
        <v>-0.69949021593927097</v>
      </c>
      <c r="AY580" s="29">
        <v>-0.11199757468508301</v>
      </c>
      <c r="AZ580" s="60">
        <v>-0.46966100737468802</v>
      </c>
    </row>
    <row r="581" spans="1:52" s="29" customFormat="1" ht="15" customHeight="1">
      <c r="A581" s="63" t="s">
        <v>216</v>
      </c>
      <c r="B581" s="53">
        <v>2011</v>
      </c>
      <c r="C581" s="146" t="s">
        <v>213</v>
      </c>
      <c r="D581" s="69" t="s">
        <v>214</v>
      </c>
      <c r="E581" s="27" t="s">
        <v>50</v>
      </c>
      <c r="F581" s="27" t="s">
        <v>597</v>
      </c>
      <c r="G581" s="43"/>
      <c r="H581" s="43"/>
      <c r="I581" s="43"/>
      <c r="J581" s="43"/>
      <c r="K581" s="27"/>
      <c r="L581" s="28"/>
      <c r="M581" s="27"/>
      <c r="N581" s="27"/>
      <c r="O581" s="18">
        <f>SUM(O582:O583)</f>
        <v>583333992.49830341</v>
      </c>
      <c r="P581" s="213"/>
      <c r="Q581" s="213"/>
      <c r="R581" s="27"/>
      <c r="S581" s="27"/>
      <c r="T581" s="18"/>
      <c r="U581" s="27"/>
      <c r="V581" s="27"/>
      <c r="W581" s="30"/>
      <c r="X581" s="27"/>
      <c r="Y581" s="27"/>
      <c r="Z581" s="27"/>
      <c r="AA581" s="27"/>
      <c r="AB581" s="27"/>
      <c r="AC581" s="273">
        <v>224641623</v>
      </c>
      <c r="AD581" s="27">
        <v>47654841112.852264</v>
      </c>
      <c r="AE581" s="228">
        <v>4.7139307938939981E-3</v>
      </c>
      <c r="AF581" s="27">
        <v>6065031628.4327078</v>
      </c>
      <c r="AG581" s="226">
        <v>3.7038821355339022E-2</v>
      </c>
      <c r="AH581" s="226">
        <v>0.12020555158299444</v>
      </c>
      <c r="AI581" s="27">
        <v>387910000</v>
      </c>
      <c r="AJ581" s="226">
        <v>0.57910758423345621</v>
      </c>
      <c r="AK581" s="27">
        <v>1135606321.1350493</v>
      </c>
      <c r="AL581" s="226">
        <v>0.19781646052786017</v>
      </c>
      <c r="AM581" s="27">
        <v>1390587325.6094742</v>
      </c>
      <c r="AN581" s="271">
        <v>0.16154442001802571</v>
      </c>
      <c r="AO581" s="27">
        <v>14706578</v>
      </c>
      <c r="AP581" s="27">
        <v>53.7</v>
      </c>
      <c r="AQ581" s="27">
        <v>71.327902439024385</v>
      </c>
      <c r="AR581" s="27">
        <v>27.5</v>
      </c>
      <c r="AS581" s="29">
        <v>95.268600000000006</v>
      </c>
      <c r="AT581" s="270">
        <v>32</v>
      </c>
      <c r="AU581" s="464" t="s">
        <v>2842</v>
      </c>
      <c r="AV581" s="29">
        <v>-0.34866950292311899</v>
      </c>
      <c r="AW581" s="29">
        <v>-0.76425001276209303</v>
      </c>
      <c r="AX581" s="29">
        <v>-0.69949021593927097</v>
      </c>
      <c r="AY581" s="29">
        <v>-0.11199757468508301</v>
      </c>
      <c r="AZ581" s="60">
        <v>-0.46966100737468802</v>
      </c>
    </row>
    <row r="582" spans="1:52" s="29" customFormat="1" ht="15" customHeight="1">
      <c r="A582" s="63" t="s">
        <v>216</v>
      </c>
      <c r="B582" s="53">
        <v>2011</v>
      </c>
      <c r="C582" s="146" t="s">
        <v>213</v>
      </c>
      <c r="D582" s="69" t="s">
        <v>214</v>
      </c>
      <c r="E582" s="27" t="s">
        <v>552</v>
      </c>
      <c r="F582" s="27" t="s">
        <v>552</v>
      </c>
      <c r="G582" s="43">
        <v>400000</v>
      </c>
      <c r="H582" s="43"/>
      <c r="I582" s="43"/>
      <c r="J582" s="43"/>
      <c r="K582" s="27" t="s">
        <v>599</v>
      </c>
      <c r="L582" s="28">
        <v>0.19666043794616025</v>
      </c>
      <c r="M582" s="27" t="s">
        <v>600</v>
      </c>
      <c r="N582" s="27" t="s">
        <v>1118</v>
      </c>
      <c r="O582" s="18">
        <f>G582*L582</f>
        <v>78664.175178464095</v>
      </c>
      <c r="P582" s="213"/>
      <c r="Q582" s="213"/>
      <c r="R582" s="27"/>
      <c r="S582" s="27"/>
      <c r="T582" s="18"/>
      <c r="U582" s="27"/>
      <c r="V582" s="27"/>
      <c r="W582" s="30"/>
      <c r="X582" s="27"/>
      <c r="Y582" s="27"/>
      <c r="Z582" s="27"/>
      <c r="AA582" s="27"/>
      <c r="AB582" s="27"/>
      <c r="AC582" s="273">
        <v>224641623</v>
      </c>
      <c r="AD582" s="27">
        <v>47654841112.852264</v>
      </c>
      <c r="AE582" s="228">
        <v>4.7139307938939981E-3</v>
      </c>
      <c r="AF582" s="27">
        <v>6065031628.4327078</v>
      </c>
      <c r="AG582" s="226">
        <v>3.7038821355339022E-2</v>
      </c>
      <c r="AH582" s="226">
        <v>0.12020555158299444</v>
      </c>
      <c r="AI582" s="27">
        <v>387910000</v>
      </c>
      <c r="AJ582" s="226">
        <v>0.57910758423345621</v>
      </c>
      <c r="AK582" s="27">
        <v>1135606321.1350493</v>
      </c>
      <c r="AL582" s="226">
        <v>0.19781646052786017</v>
      </c>
      <c r="AM582" s="27">
        <v>1390587325.6094742</v>
      </c>
      <c r="AN582" s="271">
        <v>0.16154442001802571</v>
      </c>
      <c r="AO582" s="27">
        <v>14706578</v>
      </c>
      <c r="AP582" s="27">
        <v>53.7</v>
      </c>
      <c r="AQ582" s="27">
        <v>71.327902439024385</v>
      </c>
      <c r="AR582" s="27">
        <v>27.5</v>
      </c>
      <c r="AS582" s="29">
        <v>95.268600000000006</v>
      </c>
      <c r="AT582" s="270">
        <v>32</v>
      </c>
      <c r="AU582" s="464" t="s">
        <v>2842</v>
      </c>
      <c r="AV582" s="29">
        <v>-0.34866950292311899</v>
      </c>
      <c r="AW582" s="29">
        <v>-0.76425001276209303</v>
      </c>
      <c r="AX582" s="29">
        <v>-0.69949021593927097</v>
      </c>
      <c r="AY582" s="29">
        <v>-0.11199757468508301</v>
      </c>
      <c r="AZ582" s="60">
        <v>-0.46966100737468802</v>
      </c>
    </row>
    <row r="583" spans="1:52" s="29" customFormat="1" ht="15" customHeight="1">
      <c r="A583" s="63" t="s">
        <v>216</v>
      </c>
      <c r="B583" s="53">
        <v>2011</v>
      </c>
      <c r="C583" s="146" t="s">
        <v>213</v>
      </c>
      <c r="D583" s="69" t="s">
        <v>214</v>
      </c>
      <c r="E583" s="27" t="s">
        <v>98</v>
      </c>
      <c r="F583" s="27" t="s">
        <v>98</v>
      </c>
      <c r="G583" s="43">
        <v>5475000</v>
      </c>
      <c r="H583" s="43"/>
      <c r="I583" s="43"/>
      <c r="J583" s="43"/>
      <c r="K583" s="27" t="s">
        <v>603</v>
      </c>
      <c r="L583" s="28">
        <v>106.530653575</v>
      </c>
      <c r="M583" s="27" t="s">
        <v>626</v>
      </c>
      <c r="N583" s="27" t="s">
        <v>947</v>
      </c>
      <c r="O583" s="18">
        <f>G583*L583</f>
        <v>583255328.323125</v>
      </c>
      <c r="P583" s="213"/>
      <c r="Q583" s="213"/>
      <c r="R583" s="27"/>
      <c r="S583" s="27"/>
      <c r="T583" s="18"/>
      <c r="U583" s="27"/>
      <c r="V583" s="27"/>
      <c r="W583" s="30"/>
      <c r="X583" s="27"/>
      <c r="Y583" s="27"/>
      <c r="Z583" s="27"/>
      <c r="AA583" s="27"/>
      <c r="AB583" s="27"/>
      <c r="AC583" s="273">
        <v>224641623</v>
      </c>
      <c r="AD583" s="27">
        <v>47654841112.852264</v>
      </c>
      <c r="AE583" s="228">
        <v>4.7139307938939981E-3</v>
      </c>
      <c r="AF583" s="27">
        <v>6065031628.4327078</v>
      </c>
      <c r="AG583" s="226">
        <v>3.7038821355339022E-2</v>
      </c>
      <c r="AH583" s="226">
        <v>0.12020555158299444</v>
      </c>
      <c r="AI583" s="27">
        <v>387910000</v>
      </c>
      <c r="AJ583" s="226">
        <v>0.57910758423345621</v>
      </c>
      <c r="AK583" s="27">
        <v>1135606321.1350493</v>
      </c>
      <c r="AL583" s="226">
        <v>0.19781646052786017</v>
      </c>
      <c r="AM583" s="27">
        <v>1390587325.6094742</v>
      </c>
      <c r="AN583" s="271">
        <v>0.16154442001802571</v>
      </c>
      <c r="AO583" s="27">
        <v>14706578</v>
      </c>
      <c r="AP583" s="27">
        <v>53.7</v>
      </c>
      <c r="AQ583" s="27">
        <v>71.327902439024385</v>
      </c>
      <c r="AR583" s="27">
        <v>27.5</v>
      </c>
      <c r="AS583" s="29">
        <v>95.268600000000006</v>
      </c>
      <c r="AT583" s="270">
        <v>32</v>
      </c>
      <c r="AU583" s="464" t="s">
        <v>2842</v>
      </c>
      <c r="AV583" s="29">
        <v>-0.34866950292311899</v>
      </c>
      <c r="AW583" s="29">
        <v>-0.76425001276209303</v>
      </c>
      <c r="AX583" s="29">
        <v>-0.69949021593927097</v>
      </c>
      <c r="AY583" s="29">
        <v>-0.11199757468508301</v>
      </c>
      <c r="AZ583" s="60">
        <v>-0.46966100737468802</v>
      </c>
    </row>
    <row r="584" spans="1:52" s="29" customFormat="1" ht="15" customHeight="1">
      <c r="A584" s="63" t="s">
        <v>216</v>
      </c>
      <c r="B584" s="53">
        <v>2011</v>
      </c>
      <c r="C584" s="146" t="s">
        <v>213</v>
      </c>
      <c r="D584" s="69" t="s">
        <v>214</v>
      </c>
      <c r="E584" s="27" t="s">
        <v>19</v>
      </c>
      <c r="F584" s="27" t="s">
        <v>559</v>
      </c>
      <c r="G584" s="43"/>
      <c r="H584" s="43"/>
      <c r="I584" s="43"/>
      <c r="J584" s="43"/>
      <c r="K584" s="27"/>
      <c r="L584" s="28"/>
      <c r="M584" s="27"/>
      <c r="N584" s="27"/>
      <c r="O584" s="18">
        <f>SUM(O585:O608)</f>
        <v>1366195123.6215825</v>
      </c>
      <c r="P584" s="213"/>
      <c r="Q584" s="213"/>
      <c r="R584" s="27"/>
      <c r="S584" s="27"/>
      <c r="T584" s="18"/>
      <c r="U584" s="27"/>
      <c r="V584" s="27"/>
      <c r="W584" s="30"/>
      <c r="X584" s="27"/>
      <c r="Y584" s="27"/>
      <c r="Z584" s="27"/>
      <c r="AA584" s="27"/>
      <c r="AB584" s="27"/>
      <c r="AC584" s="273">
        <v>224641623</v>
      </c>
      <c r="AD584" s="27">
        <v>47654841112.852264</v>
      </c>
      <c r="AE584" s="228">
        <v>4.7139307938939981E-3</v>
      </c>
      <c r="AF584" s="27">
        <v>6065031628.4327078</v>
      </c>
      <c r="AG584" s="226">
        <v>3.7038821355339022E-2</v>
      </c>
      <c r="AH584" s="226">
        <v>0.12020555158299444</v>
      </c>
      <c r="AI584" s="27">
        <v>387910000</v>
      </c>
      <c r="AJ584" s="226">
        <v>0.57910758423345621</v>
      </c>
      <c r="AK584" s="27">
        <v>1135606321.1350493</v>
      </c>
      <c r="AL584" s="226">
        <v>0.19781646052786017</v>
      </c>
      <c r="AM584" s="27">
        <v>1390587325.6094742</v>
      </c>
      <c r="AN584" s="271">
        <v>0.16154442001802571</v>
      </c>
      <c r="AO584" s="27">
        <v>14706578</v>
      </c>
      <c r="AP584" s="27">
        <v>53.7</v>
      </c>
      <c r="AQ584" s="27">
        <v>71.327902439024385</v>
      </c>
      <c r="AR584" s="27">
        <v>27.5</v>
      </c>
      <c r="AS584" s="29">
        <v>95.268600000000006</v>
      </c>
      <c r="AT584" s="270">
        <v>32</v>
      </c>
      <c r="AU584" s="464" t="s">
        <v>2842</v>
      </c>
      <c r="AV584" s="29">
        <v>-0.34866950292311899</v>
      </c>
      <c r="AW584" s="29">
        <v>-0.76425001276209303</v>
      </c>
      <c r="AX584" s="29">
        <v>-0.69949021593927097</v>
      </c>
      <c r="AY584" s="29">
        <v>-0.11199757468508301</v>
      </c>
      <c r="AZ584" s="60">
        <v>-0.46966100737468802</v>
      </c>
    </row>
    <row r="585" spans="1:52" s="29" customFormat="1" ht="15" customHeight="1">
      <c r="A585" s="63" t="s">
        <v>216</v>
      </c>
      <c r="B585" s="53">
        <v>2011</v>
      </c>
      <c r="C585" s="146" t="s">
        <v>213</v>
      </c>
      <c r="D585" s="69" t="s">
        <v>214</v>
      </c>
      <c r="E585" s="27" t="s">
        <v>19</v>
      </c>
      <c r="F585" s="27" t="s">
        <v>1119</v>
      </c>
      <c r="G585" s="43">
        <v>1051000</v>
      </c>
      <c r="H585" s="43"/>
      <c r="I585" s="43"/>
      <c r="J585" s="43"/>
      <c r="K585" s="27" t="s">
        <v>599</v>
      </c>
      <c r="L585" s="28"/>
      <c r="M585" s="27"/>
      <c r="N585" s="27" t="s">
        <v>636</v>
      </c>
      <c r="O585" s="18">
        <f t="shared" ref="O585:O590" si="6">G585*L585</f>
        <v>0</v>
      </c>
      <c r="P585" s="213"/>
      <c r="Q585" s="213"/>
      <c r="R585" s="27"/>
      <c r="S585" s="27"/>
      <c r="T585" s="18"/>
      <c r="U585" s="27"/>
      <c r="V585" s="27"/>
      <c r="W585" s="30"/>
      <c r="X585" s="27"/>
      <c r="Y585" s="27"/>
      <c r="Z585" s="27"/>
      <c r="AA585" s="27"/>
      <c r="AB585" s="27"/>
      <c r="AC585" s="273">
        <v>224641623</v>
      </c>
      <c r="AD585" s="27">
        <v>47654841112.852264</v>
      </c>
      <c r="AE585" s="228">
        <v>4.7139307938939981E-3</v>
      </c>
      <c r="AF585" s="27">
        <v>6065031628.4327078</v>
      </c>
      <c r="AG585" s="226">
        <v>3.7038821355339022E-2</v>
      </c>
      <c r="AH585" s="226">
        <v>0.12020555158299444</v>
      </c>
      <c r="AI585" s="27">
        <v>387910000</v>
      </c>
      <c r="AJ585" s="226">
        <v>0.57910758423345621</v>
      </c>
      <c r="AK585" s="27">
        <v>1135606321.1350493</v>
      </c>
      <c r="AL585" s="226">
        <v>0.19781646052786017</v>
      </c>
      <c r="AM585" s="27">
        <v>1390587325.6094742</v>
      </c>
      <c r="AN585" s="271">
        <v>0.16154442001802571</v>
      </c>
      <c r="AO585" s="27">
        <v>14706578</v>
      </c>
      <c r="AP585" s="27">
        <v>53.7</v>
      </c>
      <c r="AQ585" s="27">
        <v>71.327902439024385</v>
      </c>
      <c r="AR585" s="27">
        <v>27.5</v>
      </c>
      <c r="AS585" s="29">
        <v>95.268600000000006</v>
      </c>
      <c r="AT585" s="270">
        <v>32</v>
      </c>
      <c r="AU585" s="464" t="s">
        <v>2842</v>
      </c>
      <c r="AV585" s="29">
        <v>-0.34866950292311899</v>
      </c>
      <c r="AW585" s="29">
        <v>-0.76425001276209303</v>
      </c>
      <c r="AX585" s="29">
        <v>-0.69949021593927097</v>
      </c>
      <c r="AY585" s="29">
        <v>-0.11199757468508301</v>
      </c>
      <c r="AZ585" s="60">
        <v>-0.46966100737468802</v>
      </c>
    </row>
    <row r="586" spans="1:52" s="29" customFormat="1" ht="15" customHeight="1">
      <c r="A586" s="63" t="s">
        <v>216</v>
      </c>
      <c r="B586" s="53">
        <v>2011</v>
      </c>
      <c r="C586" s="146" t="s">
        <v>213</v>
      </c>
      <c r="D586" s="69" t="s">
        <v>214</v>
      </c>
      <c r="E586" s="27" t="s">
        <v>19</v>
      </c>
      <c r="F586" s="27" t="s">
        <v>1120</v>
      </c>
      <c r="G586" s="43">
        <v>44463</v>
      </c>
      <c r="H586" s="43"/>
      <c r="I586" s="43"/>
      <c r="J586" s="43"/>
      <c r="K586" s="27" t="s">
        <v>567</v>
      </c>
      <c r="L586" s="28">
        <v>61</v>
      </c>
      <c r="M586" s="27" t="s">
        <v>568</v>
      </c>
      <c r="N586" s="27" t="s">
        <v>1121</v>
      </c>
      <c r="O586" s="18">
        <f t="shared" si="6"/>
        <v>2712243</v>
      </c>
      <c r="P586" s="213"/>
      <c r="Q586" s="213"/>
      <c r="R586" s="27"/>
      <c r="S586" s="27"/>
      <c r="T586" s="18"/>
      <c r="U586" s="27"/>
      <c r="V586" s="27"/>
      <c r="W586" s="30"/>
      <c r="X586" s="27"/>
      <c r="Y586" s="27"/>
      <c r="Z586" s="27"/>
      <c r="AA586" s="27"/>
      <c r="AB586" s="27"/>
      <c r="AC586" s="273">
        <v>224641623</v>
      </c>
      <c r="AD586" s="27">
        <v>47654841112.852264</v>
      </c>
      <c r="AE586" s="228">
        <v>4.7139307938939981E-3</v>
      </c>
      <c r="AF586" s="27">
        <v>6065031628.4327078</v>
      </c>
      <c r="AG586" s="226">
        <v>3.7038821355339022E-2</v>
      </c>
      <c r="AH586" s="226">
        <v>0.12020555158299444</v>
      </c>
      <c r="AI586" s="27">
        <v>387910000</v>
      </c>
      <c r="AJ586" s="226">
        <v>0.57910758423345621</v>
      </c>
      <c r="AK586" s="27">
        <v>1135606321.1350493</v>
      </c>
      <c r="AL586" s="226">
        <v>0.19781646052786017</v>
      </c>
      <c r="AM586" s="27">
        <v>1390587325.6094742</v>
      </c>
      <c r="AN586" s="271">
        <v>0.16154442001802571</v>
      </c>
      <c r="AO586" s="27">
        <v>14706578</v>
      </c>
      <c r="AP586" s="27">
        <v>53.7</v>
      </c>
      <c r="AQ586" s="27">
        <v>71.327902439024385</v>
      </c>
      <c r="AR586" s="27">
        <v>27.5</v>
      </c>
      <c r="AS586" s="29">
        <v>95.268600000000006</v>
      </c>
      <c r="AT586" s="270">
        <v>32</v>
      </c>
      <c r="AU586" s="464" t="s">
        <v>2842</v>
      </c>
      <c r="AV586" s="29">
        <v>-0.34866950292311899</v>
      </c>
      <c r="AW586" s="29">
        <v>-0.76425001276209303</v>
      </c>
      <c r="AX586" s="29">
        <v>-0.69949021593927097</v>
      </c>
      <c r="AY586" s="29">
        <v>-0.11199757468508301</v>
      </c>
      <c r="AZ586" s="60">
        <v>-0.46966100737468802</v>
      </c>
    </row>
    <row r="587" spans="1:52" s="29" customFormat="1" ht="15" customHeight="1">
      <c r="A587" s="63" t="s">
        <v>216</v>
      </c>
      <c r="B587" s="53">
        <v>2011</v>
      </c>
      <c r="C587" s="146" t="s">
        <v>213</v>
      </c>
      <c r="D587" s="69" t="s">
        <v>214</v>
      </c>
      <c r="E587" s="27" t="s">
        <v>19</v>
      </c>
      <c r="F587" s="27" t="s">
        <v>566</v>
      </c>
      <c r="G587" s="43">
        <v>1600000</v>
      </c>
      <c r="H587" s="43"/>
      <c r="I587" s="43"/>
      <c r="J587" s="43"/>
      <c r="K587" s="27" t="s">
        <v>567</v>
      </c>
      <c r="L587" s="28">
        <v>89.5</v>
      </c>
      <c r="M587" s="27" t="s">
        <v>568</v>
      </c>
      <c r="N587" s="27" t="s">
        <v>1122</v>
      </c>
      <c r="O587" s="18">
        <f t="shared" si="6"/>
        <v>143200000</v>
      </c>
      <c r="P587" s="213"/>
      <c r="Q587" s="213"/>
      <c r="R587" s="27"/>
      <c r="S587" s="27"/>
      <c r="T587" s="18"/>
      <c r="U587" s="27"/>
      <c r="V587" s="27"/>
      <c r="W587" s="30"/>
      <c r="X587" s="27"/>
      <c r="Y587" s="27"/>
      <c r="Z587" s="27"/>
      <c r="AA587" s="27"/>
      <c r="AB587" s="27"/>
      <c r="AC587" s="273">
        <v>224641623</v>
      </c>
      <c r="AD587" s="27">
        <v>47654841112.852264</v>
      </c>
      <c r="AE587" s="228">
        <v>4.7139307938939981E-3</v>
      </c>
      <c r="AF587" s="27">
        <v>6065031628.4327078</v>
      </c>
      <c r="AG587" s="226">
        <v>3.7038821355339022E-2</v>
      </c>
      <c r="AH587" s="226">
        <v>0.12020555158299444</v>
      </c>
      <c r="AI587" s="27">
        <v>387910000</v>
      </c>
      <c r="AJ587" s="226">
        <v>0.57910758423345621</v>
      </c>
      <c r="AK587" s="27">
        <v>1135606321.1350493</v>
      </c>
      <c r="AL587" s="226">
        <v>0.19781646052786017</v>
      </c>
      <c r="AM587" s="27">
        <v>1390587325.6094742</v>
      </c>
      <c r="AN587" s="271">
        <v>0.16154442001802571</v>
      </c>
      <c r="AO587" s="27">
        <v>14706578</v>
      </c>
      <c r="AP587" s="27">
        <v>53.7</v>
      </c>
      <c r="AQ587" s="27">
        <v>71.327902439024385</v>
      </c>
      <c r="AR587" s="27">
        <v>27.5</v>
      </c>
      <c r="AS587" s="29">
        <v>95.268600000000006</v>
      </c>
      <c r="AT587" s="270">
        <v>32</v>
      </c>
      <c r="AU587" s="464" t="s">
        <v>2842</v>
      </c>
      <c r="AV587" s="29">
        <v>-0.34866950292311899</v>
      </c>
      <c r="AW587" s="29">
        <v>-0.76425001276209303</v>
      </c>
      <c r="AX587" s="29">
        <v>-0.69949021593927097</v>
      </c>
      <c r="AY587" s="29">
        <v>-0.11199757468508301</v>
      </c>
      <c r="AZ587" s="60">
        <v>-0.46966100737468802</v>
      </c>
    </row>
    <row r="588" spans="1:52" s="29" customFormat="1" ht="15" customHeight="1">
      <c r="A588" s="63" t="s">
        <v>216</v>
      </c>
      <c r="B588" s="53">
        <v>2011</v>
      </c>
      <c r="C588" s="146" t="s">
        <v>213</v>
      </c>
      <c r="D588" s="69" t="s">
        <v>214</v>
      </c>
      <c r="E588" s="27" t="s">
        <v>19</v>
      </c>
      <c r="F588" s="27" t="s">
        <v>1123</v>
      </c>
      <c r="G588" s="43">
        <f>4908000*0.74</f>
        <v>3631920</v>
      </c>
      <c r="H588" s="43"/>
      <c r="I588" s="43"/>
      <c r="J588" s="43"/>
      <c r="K588" s="27" t="s">
        <v>567</v>
      </c>
      <c r="L588" s="28">
        <v>9.9700000000000006</v>
      </c>
      <c r="M588" s="27" t="s">
        <v>568</v>
      </c>
      <c r="N588" s="27" t="s">
        <v>1154</v>
      </c>
      <c r="O588" s="18">
        <f t="shared" si="6"/>
        <v>36210242.400000006</v>
      </c>
      <c r="P588" s="213"/>
      <c r="Q588" s="213"/>
      <c r="R588" s="27"/>
      <c r="S588" s="27"/>
      <c r="T588" s="18"/>
      <c r="U588" s="27"/>
      <c r="V588" s="27"/>
      <c r="W588" s="30"/>
      <c r="X588" s="27"/>
      <c r="Y588" s="27"/>
      <c r="Z588" s="27"/>
      <c r="AA588" s="27"/>
      <c r="AB588" s="27"/>
      <c r="AC588" s="273">
        <v>224641623</v>
      </c>
      <c r="AD588" s="27">
        <v>47654841112.852264</v>
      </c>
      <c r="AE588" s="228">
        <v>4.7139307938939981E-3</v>
      </c>
      <c r="AF588" s="27">
        <v>6065031628.4327078</v>
      </c>
      <c r="AG588" s="226">
        <v>3.7038821355339022E-2</v>
      </c>
      <c r="AH588" s="226">
        <v>0.12020555158299444</v>
      </c>
      <c r="AI588" s="27">
        <v>387910000</v>
      </c>
      <c r="AJ588" s="226">
        <v>0.57910758423345621</v>
      </c>
      <c r="AK588" s="27">
        <v>1135606321.1350493</v>
      </c>
      <c r="AL588" s="226">
        <v>0.19781646052786017</v>
      </c>
      <c r="AM588" s="27">
        <v>1390587325.6094742</v>
      </c>
      <c r="AN588" s="271">
        <v>0.16154442001802571</v>
      </c>
      <c r="AO588" s="27">
        <v>14706578</v>
      </c>
      <c r="AP588" s="27">
        <v>53.7</v>
      </c>
      <c r="AQ588" s="27">
        <v>71.327902439024385</v>
      </c>
      <c r="AR588" s="27">
        <v>27.5</v>
      </c>
      <c r="AS588" s="29">
        <v>95.268600000000006</v>
      </c>
      <c r="AT588" s="270">
        <v>32</v>
      </c>
      <c r="AU588" s="464" t="s">
        <v>2842</v>
      </c>
      <c r="AV588" s="29">
        <v>-0.34866950292311899</v>
      </c>
      <c r="AW588" s="29">
        <v>-0.76425001276209303</v>
      </c>
      <c r="AX588" s="29">
        <v>-0.69949021593927097</v>
      </c>
      <c r="AY588" s="29">
        <v>-0.11199757468508301</v>
      </c>
      <c r="AZ588" s="60">
        <v>-0.46966100737468802</v>
      </c>
    </row>
    <row r="589" spans="1:52" s="29" customFormat="1" ht="15" customHeight="1">
      <c r="A589" s="63" t="s">
        <v>216</v>
      </c>
      <c r="B589" s="53">
        <v>2011</v>
      </c>
      <c r="C589" s="146" t="s">
        <v>213</v>
      </c>
      <c r="D589" s="69" t="s">
        <v>214</v>
      </c>
      <c r="E589" s="27" t="s">
        <v>19</v>
      </c>
      <c r="F589" s="27" t="s">
        <v>1125</v>
      </c>
      <c r="G589" s="43">
        <v>2890</v>
      </c>
      <c r="H589" s="43"/>
      <c r="I589" s="43"/>
      <c r="J589" s="43"/>
      <c r="K589" s="27" t="s">
        <v>567</v>
      </c>
      <c r="L589" s="28">
        <v>62</v>
      </c>
      <c r="M589" s="27" t="s">
        <v>568</v>
      </c>
      <c r="N589" s="27" t="s">
        <v>1126</v>
      </c>
      <c r="O589" s="18">
        <f t="shared" si="6"/>
        <v>179180</v>
      </c>
      <c r="P589" s="213"/>
      <c r="Q589" s="213"/>
      <c r="R589" s="27"/>
      <c r="S589" s="27"/>
      <c r="T589" s="18"/>
      <c r="U589" s="27"/>
      <c r="V589" s="27"/>
      <c r="W589" s="30"/>
      <c r="X589" s="27"/>
      <c r="Y589" s="27"/>
      <c r="Z589" s="27"/>
      <c r="AA589" s="27"/>
      <c r="AB589" s="27"/>
      <c r="AC589" s="273">
        <v>224641623</v>
      </c>
      <c r="AD589" s="27">
        <v>47654841112.852264</v>
      </c>
      <c r="AE589" s="228">
        <v>4.7139307938939981E-3</v>
      </c>
      <c r="AF589" s="27">
        <v>6065031628.4327078</v>
      </c>
      <c r="AG589" s="226">
        <v>3.7038821355339022E-2</v>
      </c>
      <c r="AH589" s="226">
        <v>0.12020555158299444</v>
      </c>
      <c r="AI589" s="27">
        <v>387910000</v>
      </c>
      <c r="AJ589" s="226">
        <v>0.57910758423345621</v>
      </c>
      <c r="AK589" s="27">
        <v>1135606321.1350493</v>
      </c>
      <c r="AL589" s="226">
        <v>0.19781646052786017</v>
      </c>
      <c r="AM589" s="27">
        <v>1390587325.6094742</v>
      </c>
      <c r="AN589" s="271">
        <v>0.16154442001802571</v>
      </c>
      <c r="AO589" s="27">
        <v>14706578</v>
      </c>
      <c r="AP589" s="27">
        <v>53.7</v>
      </c>
      <c r="AQ589" s="27">
        <v>71.327902439024385</v>
      </c>
      <c r="AR589" s="27">
        <v>27.5</v>
      </c>
      <c r="AS589" s="29">
        <v>95.268600000000006</v>
      </c>
      <c r="AT589" s="270">
        <v>32</v>
      </c>
      <c r="AU589" s="464" t="s">
        <v>2842</v>
      </c>
      <c r="AV589" s="29">
        <v>-0.34866950292311899</v>
      </c>
      <c r="AW589" s="29">
        <v>-0.76425001276209303</v>
      </c>
      <c r="AX589" s="29">
        <v>-0.69949021593927097</v>
      </c>
      <c r="AY589" s="29">
        <v>-0.11199757468508301</v>
      </c>
      <c r="AZ589" s="60">
        <v>-0.46966100737468802</v>
      </c>
    </row>
    <row r="590" spans="1:52" s="29" customFormat="1" ht="15" customHeight="1">
      <c r="A590" s="63" t="s">
        <v>216</v>
      </c>
      <c r="B590" s="53">
        <v>2011</v>
      </c>
      <c r="C590" s="146" t="s">
        <v>213</v>
      </c>
      <c r="D590" s="69" t="s">
        <v>214</v>
      </c>
      <c r="E590" s="27" t="s">
        <v>19</v>
      </c>
      <c r="F590" s="27" t="s">
        <v>1127</v>
      </c>
      <c r="G590" s="43">
        <v>152000</v>
      </c>
      <c r="H590" s="43"/>
      <c r="I590" s="43"/>
      <c r="J590" s="43"/>
      <c r="K590" s="27" t="s">
        <v>567</v>
      </c>
      <c r="L590" s="28">
        <v>12</v>
      </c>
      <c r="M590" s="27" t="s">
        <v>568</v>
      </c>
      <c r="N590" s="27" t="s">
        <v>1128</v>
      </c>
      <c r="O590" s="18">
        <f t="shared" si="6"/>
        <v>1824000</v>
      </c>
      <c r="P590" s="213"/>
      <c r="Q590" s="213"/>
      <c r="R590" s="27"/>
      <c r="S590" s="27"/>
      <c r="T590" s="18"/>
      <c r="U590" s="27"/>
      <c r="V590" s="27"/>
      <c r="W590" s="30"/>
      <c r="X590" s="27"/>
      <c r="Y590" s="27"/>
      <c r="Z590" s="27"/>
      <c r="AA590" s="27"/>
      <c r="AB590" s="27"/>
      <c r="AC590" s="273">
        <v>224641623</v>
      </c>
      <c r="AD590" s="27">
        <v>47654841112.852264</v>
      </c>
      <c r="AE590" s="228">
        <v>4.7139307938939981E-3</v>
      </c>
      <c r="AF590" s="27">
        <v>6065031628.4327078</v>
      </c>
      <c r="AG590" s="226">
        <v>3.7038821355339022E-2</v>
      </c>
      <c r="AH590" s="226">
        <v>0.12020555158299444</v>
      </c>
      <c r="AI590" s="27">
        <v>387910000</v>
      </c>
      <c r="AJ590" s="226">
        <v>0.57910758423345621</v>
      </c>
      <c r="AK590" s="27">
        <v>1135606321.1350493</v>
      </c>
      <c r="AL590" s="226">
        <v>0.19781646052786017</v>
      </c>
      <c r="AM590" s="27">
        <v>1390587325.6094742</v>
      </c>
      <c r="AN590" s="271">
        <v>0.16154442001802571</v>
      </c>
      <c r="AO590" s="27">
        <v>14706578</v>
      </c>
      <c r="AP590" s="27">
        <v>53.7</v>
      </c>
      <c r="AQ590" s="27">
        <v>71.327902439024385</v>
      </c>
      <c r="AR590" s="27">
        <v>27.5</v>
      </c>
      <c r="AS590" s="29">
        <v>95.268600000000006</v>
      </c>
      <c r="AT590" s="270">
        <v>32</v>
      </c>
      <c r="AU590" s="464" t="s">
        <v>2842</v>
      </c>
      <c r="AV590" s="29">
        <v>-0.34866950292311899</v>
      </c>
      <c r="AW590" s="29">
        <v>-0.76425001276209303</v>
      </c>
      <c r="AX590" s="29">
        <v>-0.69949021593927097</v>
      </c>
      <c r="AY590" s="29">
        <v>-0.11199757468508301</v>
      </c>
      <c r="AZ590" s="60">
        <v>-0.46966100737468802</v>
      </c>
    </row>
    <row r="591" spans="1:52" s="29" customFormat="1" ht="15" customHeight="1">
      <c r="A591" s="63" t="s">
        <v>216</v>
      </c>
      <c r="B591" s="53">
        <v>2011</v>
      </c>
      <c r="C591" s="146" t="s">
        <v>213</v>
      </c>
      <c r="D591" s="69" t="s">
        <v>214</v>
      </c>
      <c r="E591" s="27" t="s">
        <v>19</v>
      </c>
      <c r="F591" s="27" t="s">
        <v>1129</v>
      </c>
      <c r="G591" s="43">
        <v>70000</v>
      </c>
      <c r="H591" s="43"/>
      <c r="I591" s="43"/>
      <c r="J591" s="43"/>
      <c r="K591" s="27" t="s">
        <v>599</v>
      </c>
      <c r="L591" s="28"/>
      <c r="M591" s="27"/>
      <c r="N591" s="27" t="s">
        <v>636</v>
      </c>
      <c r="O591" s="18"/>
      <c r="P591" s="213"/>
      <c r="Q591" s="213"/>
      <c r="R591" s="27"/>
      <c r="S591" s="27"/>
      <c r="T591" s="18"/>
      <c r="U591" s="27"/>
      <c r="V591" s="27"/>
      <c r="W591" s="30"/>
      <c r="X591" s="27"/>
      <c r="Y591" s="27"/>
      <c r="Z591" s="27"/>
      <c r="AA591" s="27"/>
      <c r="AB591" s="27"/>
      <c r="AC591" s="273">
        <v>224641623</v>
      </c>
      <c r="AD591" s="27">
        <v>47654841112.852264</v>
      </c>
      <c r="AE591" s="228">
        <v>4.7139307938939981E-3</v>
      </c>
      <c r="AF591" s="27">
        <v>6065031628.4327078</v>
      </c>
      <c r="AG591" s="226">
        <v>3.7038821355339022E-2</v>
      </c>
      <c r="AH591" s="226">
        <v>0.12020555158299444</v>
      </c>
      <c r="AI591" s="27">
        <v>387910000</v>
      </c>
      <c r="AJ591" s="226">
        <v>0.57910758423345621</v>
      </c>
      <c r="AK591" s="27">
        <v>1135606321.1350493</v>
      </c>
      <c r="AL591" s="226">
        <v>0.19781646052786017</v>
      </c>
      <c r="AM591" s="27">
        <v>1390587325.6094742</v>
      </c>
      <c r="AN591" s="271">
        <v>0.16154442001802571</v>
      </c>
      <c r="AO591" s="27">
        <v>14706578</v>
      </c>
      <c r="AP591" s="27">
        <v>53.7</v>
      </c>
      <c r="AQ591" s="27">
        <v>71.327902439024385</v>
      </c>
      <c r="AR591" s="27">
        <v>27.5</v>
      </c>
      <c r="AS591" s="29">
        <v>95.268600000000006</v>
      </c>
      <c r="AT591" s="270">
        <v>32</v>
      </c>
      <c r="AU591" s="464" t="s">
        <v>2842</v>
      </c>
      <c r="AV591" s="29">
        <v>-0.34866950292311899</v>
      </c>
      <c r="AW591" s="29">
        <v>-0.76425001276209303</v>
      </c>
      <c r="AX591" s="29">
        <v>-0.69949021593927097</v>
      </c>
      <c r="AY591" s="29">
        <v>-0.11199757468508301</v>
      </c>
      <c r="AZ591" s="60">
        <v>-0.46966100737468802</v>
      </c>
    </row>
    <row r="592" spans="1:52" s="29" customFormat="1" ht="15" customHeight="1">
      <c r="A592" s="63" t="s">
        <v>216</v>
      </c>
      <c r="B592" s="53">
        <v>2011</v>
      </c>
      <c r="C592" s="146" t="s">
        <v>213</v>
      </c>
      <c r="D592" s="69" t="s">
        <v>214</v>
      </c>
      <c r="E592" s="27" t="s">
        <v>19</v>
      </c>
      <c r="F592" s="27" t="s">
        <v>730</v>
      </c>
      <c r="G592" s="43">
        <f>11898*32.150743126506</f>
        <v>382529.54171916842</v>
      </c>
      <c r="H592" s="43"/>
      <c r="I592" s="43"/>
      <c r="J592" s="43"/>
      <c r="K592" s="27" t="s">
        <v>731</v>
      </c>
      <c r="L592" s="28">
        <v>1569.2108333333299</v>
      </c>
      <c r="M592" s="27" t="s">
        <v>732</v>
      </c>
      <c r="N592" s="27" t="s">
        <v>733</v>
      </c>
      <c r="O592" s="18">
        <f>G592*L592</f>
        <v>600269500.93575311</v>
      </c>
      <c r="P592" s="213"/>
      <c r="Q592" s="213"/>
      <c r="R592" s="27"/>
      <c r="S592" s="27"/>
      <c r="T592" s="18"/>
      <c r="U592" s="27"/>
      <c r="V592" s="27"/>
      <c r="W592" s="30"/>
      <c r="X592" s="27"/>
      <c r="Y592" s="27"/>
      <c r="Z592" s="27"/>
      <c r="AA592" s="27"/>
      <c r="AB592" s="27"/>
      <c r="AC592" s="273">
        <v>224641623</v>
      </c>
      <c r="AD592" s="27">
        <v>47654841112.852264</v>
      </c>
      <c r="AE592" s="228">
        <v>4.7139307938939981E-3</v>
      </c>
      <c r="AF592" s="27">
        <v>6065031628.4327078</v>
      </c>
      <c r="AG592" s="226">
        <v>3.7038821355339022E-2</v>
      </c>
      <c r="AH592" s="226">
        <v>0.12020555158299444</v>
      </c>
      <c r="AI592" s="27">
        <v>387910000</v>
      </c>
      <c r="AJ592" s="226">
        <v>0.57910758423345621</v>
      </c>
      <c r="AK592" s="27">
        <v>1135606321.1350493</v>
      </c>
      <c r="AL592" s="226">
        <v>0.19781646052786017</v>
      </c>
      <c r="AM592" s="27">
        <v>1390587325.6094742</v>
      </c>
      <c r="AN592" s="271">
        <v>0.16154442001802571</v>
      </c>
      <c r="AO592" s="27">
        <v>14706578</v>
      </c>
      <c r="AP592" s="27">
        <v>53.7</v>
      </c>
      <c r="AQ592" s="27">
        <v>71.327902439024385</v>
      </c>
      <c r="AR592" s="27">
        <v>27.5</v>
      </c>
      <c r="AS592" s="29">
        <v>95.268600000000006</v>
      </c>
      <c r="AT592" s="270">
        <v>32</v>
      </c>
      <c r="AU592" s="464" t="s">
        <v>2842</v>
      </c>
      <c r="AV592" s="29">
        <v>-0.34866950292311899</v>
      </c>
      <c r="AW592" s="29">
        <v>-0.76425001276209303</v>
      </c>
      <c r="AX592" s="29">
        <v>-0.69949021593927097</v>
      </c>
      <c r="AY592" s="29">
        <v>-0.11199757468508301</v>
      </c>
      <c r="AZ592" s="60">
        <v>-0.46966100737468802</v>
      </c>
    </row>
    <row r="593" spans="1:52" s="29" customFormat="1" ht="15" customHeight="1">
      <c r="A593" s="63" t="s">
        <v>216</v>
      </c>
      <c r="B593" s="53">
        <v>2011</v>
      </c>
      <c r="C593" s="146" t="s">
        <v>213</v>
      </c>
      <c r="D593" s="69" t="s">
        <v>214</v>
      </c>
      <c r="E593" s="27" t="s">
        <v>19</v>
      </c>
      <c r="F593" s="27" t="s">
        <v>882</v>
      </c>
      <c r="G593" s="43">
        <v>161</v>
      </c>
      <c r="H593" s="43"/>
      <c r="I593" s="43"/>
      <c r="J593" s="43"/>
      <c r="K593" s="27" t="s">
        <v>567</v>
      </c>
      <c r="L593" s="28">
        <v>12.07</v>
      </c>
      <c r="M593" s="27" t="s">
        <v>568</v>
      </c>
      <c r="N593" s="27" t="s">
        <v>1130</v>
      </c>
      <c r="O593" s="18">
        <f>G593*L593</f>
        <v>1943.27</v>
      </c>
      <c r="P593" s="213"/>
      <c r="Q593" s="213"/>
      <c r="R593" s="27"/>
      <c r="S593" s="27"/>
      <c r="T593" s="18"/>
      <c r="U593" s="27"/>
      <c r="V593" s="27"/>
      <c r="W593" s="30"/>
      <c r="X593" s="27"/>
      <c r="Y593" s="27"/>
      <c r="Z593" s="27"/>
      <c r="AA593" s="27"/>
      <c r="AB593" s="27"/>
      <c r="AC593" s="273">
        <v>224641623</v>
      </c>
      <c r="AD593" s="27">
        <v>47654841112.852264</v>
      </c>
      <c r="AE593" s="228">
        <v>4.7139307938939981E-3</v>
      </c>
      <c r="AF593" s="27">
        <v>6065031628.4327078</v>
      </c>
      <c r="AG593" s="226">
        <v>3.7038821355339022E-2</v>
      </c>
      <c r="AH593" s="226">
        <v>0.12020555158299444</v>
      </c>
      <c r="AI593" s="27">
        <v>387910000</v>
      </c>
      <c r="AJ593" s="226">
        <v>0.57910758423345621</v>
      </c>
      <c r="AK593" s="27">
        <v>1135606321.1350493</v>
      </c>
      <c r="AL593" s="226">
        <v>0.19781646052786017</v>
      </c>
      <c r="AM593" s="27">
        <v>1390587325.6094742</v>
      </c>
      <c r="AN593" s="271">
        <v>0.16154442001802571</v>
      </c>
      <c r="AO593" s="27">
        <v>14706578</v>
      </c>
      <c r="AP593" s="27">
        <v>53.7</v>
      </c>
      <c r="AQ593" s="27">
        <v>71.327902439024385</v>
      </c>
      <c r="AR593" s="27">
        <v>27.5</v>
      </c>
      <c r="AS593" s="29">
        <v>95.268600000000006</v>
      </c>
      <c r="AT593" s="270">
        <v>32</v>
      </c>
      <c r="AU593" s="464" t="s">
        <v>2842</v>
      </c>
      <c r="AV593" s="29">
        <v>-0.34866950292311899</v>
      </c>
      <c r="AW593" s="29">
        <v>-0.76425001276209303</v>
      </c>
      <c r="AX593" s="29">
        <v>-0.69949021593927097</v>
      </c>
      <c r="AY593" s="29">
        <v>-0.11199757468508301</v>
      </c>
      <c r="AZ593" s="60">
        <v>-0.46966100737468802</v>
      </c>
    </row>
    <row r="594" spans="1:52" s="29" customFormat="1" ht="15" customHeight="1">
      <c r="A594" s="63" t="s">
        <v>216</v>
      </c>
      <c r="B594" s="53">
        <v>2011</v>
      </c>
      <c r="C594" s="146" t="s">
        <v>213</v>
      </c>
      <c r="D594" s="69" t="s">
        <v>214</v>
      </c>
      <c r="E594" s="27" t="s">
        <v>19</v>
      </c>
      <c r="F594" s="27" t="s">
        <v>1131</v>
      </c>
      <c r="G594" s="43">
        <v>46000</v>
      </c>
      <c r="H594" s="43"/>
      <c r="I594" s="43"/>
      <c r="J594" s="43"/>
      <c r="K594" s="27" t="s">
        <v>567</v>
      </c>
      <c r="L594" s="28">
        <v>18.5</v>
      </c>
      <c r="M594" s="27" t="s">
        <v>568</v>
      </c>
      <c r="N594" s="27" t="s">
        <v>1132</v>
      </c>
      <c r="O594" s="18">
        <f>G594*L594</f>
        <v>851000</v>
      </c>
      <c r="P594" s="213"/>
      <c r="Q594" s="213"/>
      <c r="R594" s="27"/>
      <c r="S594" s="27"/>
      <c r="T594" s="18"/>
      <c r="U594" s="27"/>
      <c r="V594" s="27"/>
      <c r="W594" s="30"/>
      <c r="X594" s="27"/>
      <c r="Y594" s="27"/>
      <c r="Z594" s="27"/>
      <c r="AA594" s="27"/>
      <c r="AB594" s="27"/>
      <c r="AC594" s="273">
        <v>224641623</v>
      </c>
      <c r="AD594" s="27">
        <v>47654841112.852264</v>
      </c>
      <c r="AE594" s="228">
        <v>4.7139307938939981E-3</v>
      </c>
      <c r="AF594" s="27">
        <v>6065031628.4327078</v>
      </c>
      <c r="AG594" s="226">
        <v>3.7038821355339022E-2</v>
      </c>
      <c r="AH594" s="226">
        <v>0.12020555158299444</v>
      </c>
      <c r="AI594" s="27">
        <v>387910000</v>
      </c>
      <c r="AJ594" s="226">
        <v>0.57910758423345621</v>
      </c>
      <c r="AK594" s="27">
        <v>1135606321.1350493</v>
      </c>
      <c r="AL594" s="226">
        <v>0.19781646052786017</v>
      </c>
      <c r="AM594" s="27">
        <v>1390587325.6094742</v>
      </c>
      <c r="AN594" s="271">
        <v>0.16154442001802571</v>
      </c>
      <c r="AO594" s="27">
        <v>14706578</v>
      </c>
      <c r="AP594" s="27">
        <v>53.7</v>
      </c>
      <c r="AQ594" s="27">
        <v>71.327902439024385</v>
      </c>
      <c r="AR594" s="27">
        <v>27.5</v>
      </c>
      <c r="AS594" s="29">
        <v>95.268600000000006</v>
      </c>
      <c r="AT594" s="270">
        <v>32</v>
      </c>
      <c r="AU594" s="464" t="s">
        <v>2842</v>
      </c>
      <c r="AV594" s="29">
        <v>-0.34866950292311899</v>
      </c>
      <c r="AW594" s="29">
        <v>-0.76425001276209303</v>
      </c>
      <c r="AX594" s="29">
        <v>-0.69949021593927097</v>
      </c>
      <c r="AY594" s="29">
        <v>-0.11199757468508301</v>
      </c>
      <c r="AZ594" s="60">
        <v>-0.46966100737468802</v>
      </c>
    </row>
    <row r="595" spans="1:52" s="29" customFormat="1" ht="15" customHeight="1">
      <c r="A595" s="63" t="s">
        <v>216</v>
      </c>
      <c r="B595" s="53">
        <v>2011</v>
      </c>
      <c r="C595" s="146" t="s">
        <v>213</v>
      </c>
      <c r="D595" s="69" t="s">
        <v>214</v>
      </c>
      <c r="E595" s="27" t="s">
        <v>19</v>
      </c>
      <c r="F595" s="27" t="s">
        <v>1133</v>
      </c>
      <c r="G595" s="43">
        <v>1160</v>
      </c>
      <c r="H595" s="43"/>
      <c r="I595" s="43"/>
      <c r="J595" s="43"/>
      <c r="K595" s="27" t="s">
        <v>567</v>
      </c>
      <c r="L595" s="28">
        <v>167.75416666666999</v>
      </c>
      <c r="M595" s="27" t="s">
        <v>568</v>
      </c>
      <c r="N595" s="27" t="s">
        <v>733</v>
      </c>
      <c r="O595" s="18">
        <f>G595*L595</f>
        <v>194594.83333333718</v>
      </c>
      <c r="P595" s="213"/>
      <c r="Q595" s="213"/>
      <c r="R595" s="27"/>
      <c r="S595" s="27"/>
      <c r="T595" s="18"/>
      <c r="U595" s="27"/>
      <c r="V595" s="27"/>
      <c r="W595" s="30"/>
      <c r="X595" s="27"/>
      <c r="Y595" s="27"/>
      <c r="Z595" s="27"/>
      <c r="AA595" s="27"/>
      <c r="AB595" s="27"/>
      <c r="AC595" s="273">
        <v>224641623</v>
      </c>
      <c r="AD595" s="27">
        <v>47654841112.852264</v>
      </c>
      <c r="AE595" s="228">
        <v>4.7139307938939981E-3</v>
      </c>
      <c r="AF595" s="27">
        <v>6065031628.4327078</v>
      </c>
      <c r="AG595" s="226">
        <v>3.7038821355339022E-2</v>
      </c>
      <c r="AH595" s="226">
        <v>0.12020555158299444</v>
      </c>
      <c r="AI595" s="27">
        <v>387910000</v>
      </c>
      <c r="AJ595" s="226">
        <v>0.57910758423345621</v>
      </c>
      <c r="AK595" s="27">
        <v>1135606321.1350493</v>
      </c>
      <c r="AL595" s="226">
        <v>0.19781646052786017</v>
      </c>
      <c r="AM595" s="27">
        <v>1390587325.6094742</v>
      </c>
      <c r="AN595" s="271">
        <v>0.16154442001802571</v>
      </c>
      <c r="AO595" s="27">
        <v>14706578</v>
      </c>
      <c r="AP595" s="27">
        <v>53.7</v>
      </c>
      <c r="AQ595" s="27">
        <v>71.327902439024385</v>
      </c>
      <c r="AR595" s="27">
        <v>27.5</v>
      </c>
      <c r="AS595" s="29">
        <v>95.268600000000006</v>
      </c>
      <c r="AT595" s="270">
        <v>32</v>
      </c>
      <c r="AU595" s="464" t="s">
        <v>2842</v>
      </c>
      <c r="AV595" s="29">
        <v>-0.34866950292311899</v>
      </c>
      <c r="AW595" s="29">
        <v>-0.76425001276209303</v>
      </c>
      <c r="AX595" s="29">
        <v>-0.69949021593927097</v>
      </c>
      <c r="AY595" s="29">
        <v>-0.11199757468508301</v>
      </c>
      <c r="AZ595" s="60">
        <v>-0.46966100737468802</v>
      </c>
    </row>
    <row r="596" spans="1:52" s="29" customFormat="1" ht="15" customHeight="1">
      <c r="A596" s="63" t="s">
        <v>216</v>
      </c>
      <c r="B596" s="53">
        <v>2011</v>
      </c>
      <c r="C596" s="146" t="s">
        <v>213</v>
      </c>
      <c r="D596" s="69" t="s">
        <v>214</v>
      </c>
      <c r="E596" s="27" t="s">
        <v>19</v>
      </c>
      <c r="F596" s="27" t="s">
        <v>1134</v>
      </c>
      <c r="G596" s="43">
        <v>27</v>
      </c>
      <c r="H596" s="43"/>
      <c r="I596" s="43"/>
      <c r="J596" s="43"/>
      <c r="K596" s="27" t="s">
        <v>567</v>
      </c>
      <c r="L596" s="28"/>
      <c r="M596" s="27"/>
      <c r="N596" s="27" t="s">
        <v>636</v>
      </c>
      <c r="O596" s="18"/>
      <c r="P596" s="213"/>
      <c r="Q596" s="213"/>
      <c r="R596" s="27"/>
      <c r="S596" s="27"/>
      <c r="T596" s="18"/>
      <c r="U596" s="27"/>
      <c r="V596" s="27"/>
      <c r="W596" s="30"/>
      <c r="X596" s="27"/>
      <c r="Y596" s="27"/>
      <c r="Z596" s="27"/>
      <c r="AA596" s="27"/>
      <c r="AB596" s="27"/>
      <c r="AC596" s="273">
        <v>224641623</v>
      </c>
      <c r="AD596" s="27">
        <v>47654841112.852264</v>
      </c>
      <c r="AE596" s="228">
        <v>4.7139307938939981E-3</v>
      </c>
      <c r="AF596" s="27">
        <v>6065031628.4327078</v>
      </c>
      <c r="AG596" s="226">
        <v>3.7038821355339022E-2</v>
      </c>
      <c r="AH596" s="226">
        <v>0.12020555158299444</v>
      </c>
      <c r="AI596" s="27">
        <v>387910000</v>
      </c>
      <c r="AJ596" s="226">
        <v>0.57910758423345621</v>
      </c>
      <c r="AK596" s="27">
        <v>1135606321.1350493</v>
      </c>
      <c r="AL596" s="226">
        <v>0.19781646052786017</v>
      </c>
      <c r="AM596" s="27">
        <v>1390587325.6094742</v>
      </c>
      <c r="AN596" s="271">
        <v>0.16154442001802571</v>
      </c>
      <c r="AO596" s="27">
        <v>14706578</v>
      </c>
      <c r="AP596" s="27">
        <v>53.7</v>
      </c>
      <c r="AQ596" s="27">
        <v>71.327902439024385</v>
      </c>
      <c r="AR596" s="27">
        <v>27.5</v>
      </c>
      <c r="AS596" s="29">
        <v>95.268600000000006</v>
      </c>
      <c r="AT596" s="270">
        <v>32</v>
      </c>
      <c r="AU596" s="464" t="s">
        <v>2842</v>
      </c>
      <c r="AV596" s="29">
        <v>-0.34866950292311899</v>
      </c>
      <c r="AW596" s="29">
        <v>-0.76425001276209303</v>
      </c>
      <c r="AX596" s="29">
        <v>-0.69949021593927097</v>
      </c>
      <c r="AY596" s="29">
        <v>-0.11199757468508301</v>
      </c>
      <c r="AZ596" s="60">
        <v>-0.46966100737468802</v>
      </c>
    </row>
    <row r="597" spans="1:52" s="29" customFormat="1" ht="15" customHeight="1">
      <c r="A597" s="63" t="s">
        <v>216</v>
      </c>
      <c r="B597" s="53">
        <v>2011</v>
      </c>
      <c r="C597" s="146" t="s">
        <v>213</v>
      </c>
      <c r="D597" s="69" t="s">
        <v>214</v>
      </c>
      <c r="E597" s="27" t="s">
        <v>19</v>
      </c>
      <c r="F597" s="27" t="s">
        <v>1135</v>
      </c>
      <c r="G597" s="43">
        <v>4057</v>
      </c>
      <c r="H597" s="43"/>
      <c r="I597" s="43"/>
      <c r="J597" s="43"/>
      <c r="K597" s="27" t="s">
        <v>567</v>
      </c>
      <c r="L597" s="28">
        <v>143</v>
      </c>
      <c r="M597" s="27" t="s">
        <v>568</v>
      </c>
      <c r="N597" s="27" t="s">
        <v>1136</v>
      </c>
      <c r="O597" s="18">
        <f>G597*L597</f>
        <v>580151</v>
      </c>
      <c r="P597" s="213"/>
      <c r="Q597" s="213"/>
      <c r="R597" s="27"/>
      <c r="S597" s="27"/>
      <c r="T597" s="18"/>
      <c r="U597" s="27"/>
      <c r="V597" s="27"/>
      <c r="W597" s="30"/>
      <c r="X597" s="27"/>
      <c r="Y597" s="27"/>
      <c r="Z597" s="27"/>
      <c r="AA597" s="27"/>
      <c r="AB597" s="27"/>
      <c r="AC597" s="273">
        <v>224641623</v>
      </c>
      <c r="AD597" s="27">
        <v>47654841112.852264</v>
      </c>
      <c r="AE597" s="228">
        <v>4.7139307938939981E-3</v>
      </c>
      <c r="AF597" s="27">
        <v>6065031628.4327078</v>
      </c>
      <c r="AG597" s="226">
        <v>3.7038821355339022E-2</v>
      </c>
      <c r="AH597" s="226">
        <v>0.12020555158299444</v>
      </c>
      <c r="AI597" s="27">
        <v>387910000</v>
      </c>
      <c r="AJ597" s="226">
        <v>0.57910758423345621</v>
      </c>
      <c r="AK597" s="27">
        <v>1135606321.1350493</v>
      </c>
      <c r="AL597" s="226">
        <v>0.19781646052786017</v>
      </c>
      <c r="AM597" s="27">
        <v>1390587325.6094742</v>
      </c>
      <c r="AN597" s="271">
        <v>0.16154442001802571</v>
      </c>
      <c r="AO597" s="27">
        <v>14706578</v>
      </c>
      <c r="AP597" s="27">
        <v>53.7</v>
      </c>
      <c r="AQ597" s="27">
        <v>71.327902439024385</v>
      </c>
      <c r="AR597" s="27">
        <v>27.5</v>
      </c>
      <c r="AS597" s="29">
        <v>95.268600000000006</v>
      </c>
      <c r="AT597" s="270">
        <v>32</v>
      </c>
      <c r="AU597" s="464" t="s">
        <v>2842</v>
      </c>
      <c r="AV597" s="29">
        <v>-0.34866950292311899</v>
      </c>
      <c r="AW597" s="29">
        <v>-0.76425001276209303</v>
      </c>
      <c r="AX597" s="29">
        <v>-0.69949021593927097</v>
      </c>
      <c r="AY597" s="29">
        <v>-0.11199757468508301</v>
      </c>
      <c r="AZ597" s="60">
        <v>-0.46966100737468802</v>
      </c>
    </row>
    <row r="598" spans="1:52" s="29" customFormat="1" ht="15" customHeight="1">
      <c r="A598" s="63" t="s">
        <v>216</v>
      </c>
      <c r="B598" s="53">
        <v>2011</v>
      </c>
      <c r="C598" s="146" t="s">
        <v>213</v>
      </c>
      <c r="D598" s="69" t="s">
        <v>214</v>
      </c>
      <c r="E598" s="27" t="s">
        <v>19</v>
      </c>
      <c r="F598" s="27" t="s">
        <v>1155</v>
      </c>
      <c r="G598" s="43">
        <v>311</v>
      </c>
      <c r="H598" s="43"/>
      <c r="I598" s="43"/>
      <c r="J598" s="43"/>
      <c r="K598" s="27" t="s">
        <v>567</v>
      </c>
      <c r="L598" s="28">
        <v>3860.43</v>
      </c>
      <c r="M598" s="27" t="s">
        <v>568</v>
      </c>
      <c r="N598" s="27" t="s">
        <v>1156</v>
      </c>
      <c r="O598" s="18">
        <f>G598*L598</f>
        <v>1200593.73</v>
      </c>
      <c r="P598" s="213"/>
      <c r="Q598" s="213"/>
      <c r="R598" s="27"/>
      <c r="S598" s="27"/>
      <c r="T598" s="18"/>
      <c r="U598" s="27"/>
      <c r="V598" s="27"/>
      <c r="W598" s="30"/>
      <c r="X598" s="27"/>
      <c r="Y598" s="27"/>
      <c r="Z598" s="27"/>
      <c r="AA598" s="27"/>
      <c r="AB598" s="27"/>
      <c r="AC598" s="273">
        <v>224641623</v>
      </c>
      <c r="AD598" s="27">
        <v>47654841112.852264</v>
      </c>
      <c r="AE598" s="228">
        <v>4.7139307938939981E-3</v>
      </c>
      <c r="AF598" s="27">
        <v>6065031628.4327078</v>
      </c>
      <c r="AG598" s="226">
        <v>3.7038821355339022E-2</v>
      </c>
      <c r="AH598" s="226">
        <v>0.12020555158299444</v>
      </c>
      <c r="AI598" s="27">
        <v>387910000</v>
      </c>
      <c r="AJ598" s="226">
        <v>0.57910758423345621</v>
      </c>
      <c r="AK598" s="27">
        <v>1135606321.1350493</v>
      </c>
      <c r="AL598" s="226">
        <v>0.19781646052786017</v>
      </c>
      <c r="AM598" s="27">
        <v>1390587325.6094742</v>
      </c>
      <c r="AN598" s="271">
        <v>0.16154442001802571</v>
      </c>
      <c r="AO598" s="27">
        <v>14706578</v>
      </c>
      <c r="AP598" s="27">
        <v>53.7</v>
      </c>
      <c r="AQ598" s="27">
        <v>71.327902439024385</v>
      </c>
      <c r="AR598" s="27">
        <v>27.5</v>
      </c>
      <c r="AS598" s="29">
        <v>95.268600000000006</v>
      </c>
      <c r="AT598" s="270">
        <v>32</v>
      </c>
      <c r="AU598" s="464" t="s">
        <v>2842</v>
      </c>
      <c r="AV598" s="29">
        <v>-0.34866950292311899</v>
      </c>
      <c r="AW598" s="29">
        <v>-0.76425001276209303</v>
      </c>
      <c r="AX598" s="29">
        <v>-0.69949021593927097</v>
      </c>
      <c r="AY598" s="29">
        <v>-0.11199757468508301</v>
      </c>
      <c r="AZ598" s="60">
        <v>-0.46966100737468802</v>
      </c>
    </row>
    <row r="599" spans="1:52" s="29" customFormat="1" ht="15" customHeight="1">
      <c r="A599" s="63" t="s">
        <v>216</v>
      </c>
      <c r="B599" s="53">
        <v>2011</v>
      </c>
      <c r="C599" s="146" t="s">
        <v>213</v>
      </c>
      <c r="D599" s="69" t="s">
        <v>214</v>
      </c>
      <c r="E599" s="27" t="s">
        <v>19</v>
      </c>
      <c r="F599" s="27" t="s">
        <v>1138</v>
      </c>
      <c r="G599" s="43">
        <f>738*2.71</f>
        <v>1999.98</v>
      </c>
      <c r="H599" s="43"/>
      <c r="I599" s="43"/>
      <c r="J599" s="43"/>
      <c r="K599" s="27" t="s">
        <v>567</v>
      </c>
      <c r="L599" s="28">
        <v>15.3</v>
      </c>
      <c r="M599" s="27" t="s">
        <v>568</v>
      </c>
      <c r="N599" s="27" t="s">
        <v>1157</v>
      </c>
      <c r="O599" s="18">
        <f>G599*L599</f>
        <v>30599.694000000003</v>
      </c>
      <c r="P599" s="213"/>
      <c r="Q599" s="213"/>
      <c r="R599" s="27"/>
      <c r="S599" s="27"/>
      <c r="T599" s="18"/>
      <c r="U599" s="27"/>
      <c r="V599" s="27"/>
      <c r="W599" s="30"/>
      <c r="X599" s="27"/>
      <c r="Y599" s="27"/>
      <c r="Z599" s="27"/>
      <c r="AA599" s="27"/>
      <c r="AB599" s="27"/>
      <c r="AC599" s="273">
        <v>224641623</v>
      </c>
      <c r="AD599" s="27">
        <v>47654841112.852264</v>
      </c>
      <c r="AE599" s="228">
        <v>4.7139307938939981E-3</v>
      </c>
      <c r="AF599" s="27">
        <v>6065031628.4327078</v>
      </c>
      <c r="AG599" s="226">
        <v>3.7038821355339022E-2</v>
      </c>
      <c r="AH599" s="226">
        <v>0.12020555158299444</v>
      </c>
      <c r="AI599" s="27">
        <v>387910000</v>
      </c>
      <c r="AJ599" s="226">
        <v>0.57910758423345621</v>
      </c>
      <c r="AK599" s="27">
        <v>1135606321.1350493</v>
      </c>
      <c r="AL599" s="226">
        <v>0.19781646052786017</v>
      </c>
      <c r="AM599" s="27">
        <v>1390587325.6094742</v>
      </c>
      <c r="AN599" s="271">
        <v>0.16154442001802571</v>
      </c>
      <c r="AO599" s="27">
        <v>14706578</v>
      </c>
      <c r="AP599" s="27">
        <v>53.7</v>
      </c>
      <c r="AQ599" s="27">
        <v>71.327902439024385</v>
      </c>
      <c r="AR599" s="27">
        <v>27.5</v>
      </c>
      <c r="AS599" s="29">
        <v>95.268600000000006</v>
      </c>
      <c r="AT599" s="270">
        <v>32</v>
      </c>
      <c r="AU599" s="464" t="s">
        <v>2842</v>
      </c>
      <c r="AV599" s="29">
        <v>-0.34866950292311899</v>
      </c>
      <c r="AW599" s="29">
        <v>-0.76425001276209303</v>
      </c>
      <c r="AX599" s="29">
        <v>-0.69949021593927097</v>
      </c>
      <c r="AY599" s="29">
        <v>-0.11199757468508301</v>
      </c>
      <c r="AZ599" s="60">
        <v>-0.46966100737468802</v>
      </c>
    </row>
    <row r="600" spans="1:52" s="29" customFormat="1" ht="15" customHeight="1">
      <c r="A600" s="63" t="s">
        <v>216</v>
      </c>
      <c r="B600" s="53">
        <v>2011</v>
      </c>
      <c r="C600" s="146" t="s">
        <v>213</v>
      </c>
      <c r="D600" s="69" t="s">
        <v>214</v>
      </c>
      <c r="E600" s="27" t="s">
        <v>19</v>
      </c>
      <c r="F600" s="27" t="s">
        <v>1140</v>
      </c>
      <c r="G600" s="43">
        <f>500*2.24</f>
        <v>1120</v>
      </c>
      <c r="H600" s="43"/>
      <c r="I600" s="43"/>
      <c r="J600" s="43"/>
      <c r="K600" s="27" t="s">
        <v>599</v>
      </c>
      <c r="L600" s="28">
        <v>6.14</v>
      </c>
      <c r="M600" s="27" t="s">
        <v>568</v>
      </c>
      <c r="N600" s="27" t="s">
        <v>1141</v>
      </c>
      <c r="O600" s="18">
        <f>G600*L600</f>
        <v>6876.7999999999993</v>
      </c>
      <c r="P600" s="213"/>
      <c r="Q600" s="213"/>
      <c r="R600" s="27"/>
      <c r="S600" s="27"/>
      <c r="T600" s="18"/>
      <c r="U600" s="27"/>
      <c r="V600" s="27"/>
      <c r="W600" s="30"/>
      <c r="X600" s="27"/>
      <c r="Y600" s="27"/>
      <c r="Z600" s="27"/>
      <c r="AA600" s="27"/>
      <c r="AB600" s="27"/>
      <c r="AC600" s="273">
        <v>224641623</v>
      </c>
      <c r="AD600" s="27">
        <v>47654841112.852264</v>
      </c>
      <c r="AE600" s="228">
        <v>4.7139307938939981E-3</v>
      </c>
      <c r="AF600" s="27">
        <v>6065031628.4327078</v>
      </c>
      <c r="AG600" s="226">
        <v>3.7038821355339022E-2</v>
      </c>
      <c r="AH600" s="226">
        <v>0.12020555158299444</v>
      </c>
      <c r="AI600" s="27">
        <v>387910000</v>
      </c>
      <c r="AJ600" s="226">
        <v>0.57910758423345621</v>
      </c>
      <c r="AK600" s="27">
        <v>1135606321.1350493</v>
      </c>
      <c r="AL600" s="226">
        <v>0.19781646052786017</v>
      </c>
      <c r="AM600" s="27">
        <v>1390587325.6094742</v>
      </c>
      <c r="AN600" s="271">
        <v>0.16154442001802571</v>
      </c>
      <c r="AO600" s="27">
        <v>14706578</v>
      </c>
      <c r="AP600" s="27">
        <v>53.7</v>
      </c>
      <c r="AQ600" s="27">
        <v>71.327902439024385</v>
      </c>
      <c r="AR600" s="27">
        <v>27.5</v>
      </c>
      <c r="AS600" s="29">
        <v>95.268600000000006</v>
      </c>
      <c r="AT600" s="270">
        <v>32</v>
      </c>
      <c r="AU600" s="464" t="s">
        <v>2842</v>
      </c>
      <c r="AV600" s="29">
        <v>-0.34866950292311899</v>
      </c>
      <c r="AW600" s="29">
        <v>-0.76425001276209303</v>
      </c>
      <c r="AX600" s="29">
        <v>-0.69949021593927097</v>
      </c>
      <c r="AY600" s="29">
        <v>-0.11199757468508301</v>
      </c>
      <c r="AZ600" s="60">
        <v>-0.46966100737468802</v>
      </c>
    </row>
    <row r="601" spans="1:52" s="29" customFormat="1" ht="15" customHeight="1">
      <c r="A601" s="63" t="s">
        <v>216</v>
      </c>
      <c r="B601" s="53">
        <v>2011</v>
      </c>
      <c r="C601" s="146" t="s">
        <v>213</v>
      </c>
      <c r="D601" s="69" t="s">
        <v>214</v>
      </c>
      <c r="E601" s="27" t="s">
        <v>19</v>
      </c>
      <c r="F601" s="27" t="s">
        <v>896</v>
      </c>
      <c r="G601" s="43">
        <v>800</v>
      </c>
      <c r="H601" s="43"/>
      <c r="I601" s="43"/>
      <c r="J601" s="43"/>
      <c r="K601" s="27" t="s">
        <v>567</v>
      </c>
      <c r="L601" s="28"/>
      <c r="M601" s="27"/>
      <c r="N601" s="27" t="s">
        <v>636</v>
      </c>
      <c r="O601" s="18"/>
      <c r="P601" s="213"/>
      <c r="Q601" s="213"/>
      <c r="R601" s="27"/>
      <c r="S601" s="27"/>
      <c r="T601" s="18"/>
      <c r="U601" s="27"/>
      <c r="V601" s="27"/>
      <c r="W601" s="30"/>
      <c r="X601" s="27"/>
      <c r="Y601" s="27"/>
      <c r="Z601" s="27"/>
      <c r="AA601" s="27"/>
      <c r="AB601" s="27"/>
      <c r="AC601" s="273">
        <v>224641623</v>
      </c>
      <c r="AD601" s="27">
        <v>47654841112.852264</v>
      </c>
      <c r="AE601" s="228">
        <v>4.7139307938939981E-3</v>
      </c>
      <c r="AF601" s="27">
        <v>6065031628.4327078</v>
      </c>
      <c r="AG601" s="226">
        <v>3.7038821355339022E-2</v>
      </c>
      <c r="AH601" s="226">
        <v>0.12020555158299444</v>
      </c>
      <c r="AI601" s="27">
        <v>387910000</v>
      </c>
      <c r="AJ601" s="226">
        <v>0.57910758423345621</v>
      </c>
      <c r="AK601" s="27">
        <v>1135606321.1350493</v>
      </c>
      <c r="AL601" s="226">
        <v>0.19781646052786017</v>
      </c>
      <c r="AM601" s="27">
        <v>1390587325.6094742</v>
      </c>
      <c r="AN601" s="271">
        <v>0.16154442001802571</v>
      </c>
      <c r="AO601" s="27">
        <v>14706578</v>
      </c>
      <c r="AP601" s="27">
        <v>53.7</v>
      </c>
      <c r="AQ601" s="27">
        <v>71.327902439024385</v>
      </c>
      <c r="AR601" s="27">
        <v>27.5</v>
      </c>
      <c r="AS601" s="29">
        <v>95.268600000000006</v>
      </c>
      <c r="AT601" s="270">
        <v>32</v>
      </c>
      <c r="AU601" s="464" t="s">
        <v>2842</v>
      </c>
      <c r="AV601" s="29">
        <v>-0.34866950292311899</v>
      </c>
      <c r="AW601" s="29">
        <v>-0.76425001276209303</v>
      </c>
      <c r="AX601" s="29">
        <v>-0.69949021593927097</v>
      </c>
      <c r="AY601" s="29">
        <v>-0.11199757468508301</v>
      </c>
      <c r="AZ601" s="60">
        <v>-0.46966100737468802</v>
      </c>
    </row>
    <row r="602" spans="1:52" s="29" customFormat="1" ht="15" customHeight="1">
      <c r="A602" s="63" t="s">
        <v>216</v>
      </c>
      <c r="B602" s="53">
        <v>2011</v>
      </c>
      <c r="C602" s="146" t="s">
        <v>213</v>
      </c>
      <c r="D602" s="69" t="s">
        <v>214</v>
      </c>
      <c r="E602" s="27" t="s">
        <v>19</v>
      </c>
      <c r="F602" s="27" t="s">
        <v>1058</v>
      </c>
      <c r="G602" s="43">
        <v>50000</v>
      </c>
      <c r="H602" s="43"/>
      <c r="I602" s="43"/>
      <c r="J602" s="43"/>
      <c r="K602" s="27" t="s">
        <v>567</v>
      </c>
      <c r="L602" s="28">
        <v>67.89</v>
      </c>
      <c r="M602" s="27" t="s">
        <v>568</v>
      </c>
      <c r="N602" s="27" t="s">
        <v>1144</v>
      </c>
      <c r="O602" s="18">
        <f t="shared" ref="O602:O607" si="7">G602*L602</f>
        <v>3394500</v>
      </c>
      <c r="P602" s="213"/>
      <c r="Q602" s="213"/>
      <c r="R602" s="27"/>
      <c r="S602" s="27"/>
      <c r="T602" s="18"/>
      <c r="U602" s="27"/>
      <c r="V602" s="27"/>
      <c r="W602" s="30"/>
      <c r="X602" s="27"/>
      <c r="Y602" s="27"/>
      <c r="Z602" s="27"/>
      <c r="AA602" s="27"/>
      <c r="AB602" s="27"/>
      <c r="AC602" s="273">
        <v>224641623</v>
      </c>
      <c r="AD602" s="27">
        <v>47654841112.852264</v>
      </c>
      <c r="AE602" s="228">
        <v>4.7139307938939981E-3</v>
      </c>
      <c r="AF602" s="27">
        <v>6065031628.4327078</v>
      </c>
      <c r="AG602" s="226">
        <v>3.7038821355339022E-2</v>
      </c>
      <c r="AH602" s="226">
        <v>0.12020555158299444</v>
      </c>
      <c r="AI602" s="27">
        <v>387910000</v>
      </c>
      <c r="AJ602" s="226">
        <v>0.57910758423345621</v>
      </c>
      <c r="AK602" s="27">
        <v>1135606321.1350493</v>
      </c>
      <c r="AL602" s="226">
        <v>0.19781646052786017</v>
      </c>
      <c r="AM602" s="27">
        <v>1390587325.6094742</v>
      </c>
      <c r="AN602" s="271">
        <v>0.16154442001802571</v>
      </c>
      <c r="AO602" s="27">
        <v>14706578</v>
      </c>
      <c r="AP602" s="27">
        <v>53.7</v>
      </c>
      <c r="AQ602" s="27">
        <v>71.327902439024385</v>
      </c>
      <c r="AR602" s="27">
        <v>27.5</v>
      </c>
      <c r="AS602" s="29">
        <v>95.268600000000006</v>
      </c>
      <c r="AT602" s="270">
        <v>32</v>
      </c>
      <c r="AU602" s="464" t="s">
        <v>2842</v>
      </c>
      <c r="AV602" s="29">
        <v>-0.34866950292311899</v>
      </c>
      <c r="AW602" s="29">
        <v>-0.76425001276209303</v>
      </c>
      <c r="AX602" s="29">
        <v>-0.69949021593927097</v>
      </c>
      <c r="AY602" s="29">
        <v>-0.11199757468508301</v>
      </c>
      <c r="AZ602" s="60">
        <v>-0.46966100737468802</v>
      </c>
    </row>
    <row r="603" spans="1:52" s="29" customFormat="1" ht="15" customHeight="1">
      <c r="A603" s="63" t="s">
        <v>216</v>
      </c>
      <c r="B603" s="53">
        <v>2011</v>
      </c>
      <c r="C603" s="146" t="s">
        <v>213</v>
      </c>
      <c r="D603" s="69" t="s">
        <v>214</v>
      </c>
      <c r="E603" s="27" t="s">
        <v>19</v>
      </c>
      <c r="F603" s="27" t="s">
        <v>841</v>
      </c>
      <c r="G603" s="43">
        <f>2304607*1.65</f>
        <v>3802601.55</v>
      </c>
      <c r="H603" s="43"/>
      <c r="I603" s="43"/>
      <c r="J603" s="43"/>
      <c r="K603" s="27" t="s">
        <v>567</v>
      </c>
      <c r="L603" s="28">
        <v>7.49</v>
      </c>
      <c r="M603" s="27" t="s">
        <v>568</v>
      </c>
      <c r="N603" s="27" t="s">
        <v>1158</v>
      </c>
      <c r="O603" s="18">
        <f t="shared" si="7"/>
        <v>28481485.609499998</v>
      </c>
      <c r="P603" s="213"/>
      <c r="Q603" s="213"/>
      <c r="R603" s="27"/>
      <c r="S603" s="27"/>
      <c r="T603" s="18"/>
      <c r="U603" s="27"/>
      <c r="V603" s="27"/>
      <c r="W603" s="30"/>
      <c r="X603" s="27"/>
      <c r="Y603" s="27"/>
      <c r="Z603" s="27"/>
      <c r="AA603" s="27"/>
      <c r="AB603" s="27"/>
      <c r="AC603" s="273">
        <v>224641623</v>
      </c>
      <c r="AD603" s="27">
        <v>47654841112.852264</v>
      </c>
      <c r="AE603" s="228">
        <v>4.7139307938939981E-3</v>
      </c>
      <c r="AF603" s="27">
        <v>6065031628.4327078</v>
      </c>
      <c r="AG603" s="226">
        <v>3.7038821355339022E-2</v>
      </c>
      <c r="AH603" s="226">
        <v>0.12020555158299444</v>
      </c>
      <c r="AI603" s="27">
        <v>387910000</v>
      </c>
      <c r="AJ603" s="226">
        <v>0.57910758423345621</v>
      </c>
      <c r="AK603" s="27">
        <v>1135606321.1350493</v>
      </c>
      <c r="AL603" s="226">
        <v>0.19781646052786017</v>
      </c>
      <c r="AM603" s="27">
        <v>1390587325.6094742</v>
      </c>
      <c r="AN603" s="271">
        <v>0.16154442001802571</v>
      </c>
      <c r="AO603" s="27">
        <v>14706578</v>
      </c>
      <c r="AP603" s="27">
        <v>53.7</v>
      </c>
      <c r="AQ603" s="27">
        <v>71.327902439024385</v>
      </c>
      <c r="AR603" s="27">
        <v>27.5</v>
      </c>
      <c r="AS603" s="29">
        <v>95.268600000000006</v>
      </c>
      <c r="AT603" s="270">
        <v>32</v>
      </c>
      <c r="AU603" s="464" t="s">
        <v>2842</v>
      </c>
      <c r="AV603" s="29">
        <v>-0.34866950292311899</v>
      </c>
      <c r="AW603" s="29">
        <v>-0.76425001276209303</v>
      </c>
      <c r="AX603" s="29">
        <v>-0.69949021593927097</v>
      </c>
      <c r="AY603" s="29">
        <v>-0.11199757468508301</v>
      </c>
      <c r="AZ603" s="60">
        <v>-0.46966100737468802</v>
      </c>
    </row>
    <row r="604" spans="1:52" s="29" customFormat="1" ht="15" customHeight="1">
      <c r="A604" s="63" t="s">
        <v>216</v>
      </c>
      <c r="B604" s="53">
        <v>2011</v>
      </c>
      <c r="C604" s="146" t="s">
        <v>213</v>
      </c>
      <c r="D604" s="69" t="s">
        <v>214</v>
      </c>
      <c r="E604" s="27" t="s">
        <v>19</v>
      </c>
      <c r="F604" s="27" t="s">
        <v>735</v>
      </c>
      <c r="G604" s="43">
        <f>272771*32.150743126506</f>
        <v>8769790.3533601686</v>
      </c>
      <c r="H604" s="43"/>
      <c r="I604" s="43"/>
      <c r="J604" s="43"/>
      <c r="K604" s="27" t="s">
        <v>731</v>
      </c>
      <c r="L604" s="28">
        <f>35.22411666667/1</f>
        <v>35.22411666667</v>
      </c>
      <c r="M604" s="27" t="s">
        <v>732</v>
      </c>
      <c r="N604" s="27" t="s">
        <v>744</v>
      </c>
      <c r="O604" s="18">
        <f t="shared" si="7"/>
        <v>308908118.54899567</v>
      </c>
      <c r="P604" s="213"/>
      <c r="Q604" s="213"/>
      <c r="R604" s="27"/>
      <c r="S604" s="27"/>
      <c r="T604" s="18"/>
      <c r="U604" s="27"/>
      <c r="V604" s="27"/>
      <c r="W604" s="30"/>
      <c r="X604" s="27"/>
      <c r="Y604" s="27"/>
      <c r="Z604" s="27"/>
      <c r="AA604" s="27"/>
      <c r="AB604" s="27"/>
      <c r="AC604" s="273">
        <v>224641623</v>
      </c>
      <c r="AD604" s="27">
        <v>47654841112.852264</v>
      </c>
      <c r="AE604" s="228">
        <v>4.7139307938939981E-3</v>
      </c>
      <c r="AF604" s="27">
        <v>6065031628.4327078</v>
      </c>
      <c r="AG604" s="226">
        <v>3.7038821355339022E-2</v>
      </c>
      <c r="AH604" s="226">
        <v>0.12020555158299444</v>
      </c>
      <c r="AI604" s="27">
        <v>387910000</v>
      </c>
      <c r="AJ604" s="226">
        <v>0.57910758423345621</v>
      </c>
      <c r="AK604" s="27">
        <v>1135606321.1350493</v>
      </c>
      <c r="AL604" s="226">
        <v>0.19781646052786017</v>
      </c>
      <c r="AM604" s="27">
        <v>1390587325.6094742</v>
      </c>
      <c r="AN604" s="271">
        <v>0.16154442001802571</v>
      </c>
      <c r="AO604" s="27">
        <v>14706578</v>
      </c>
      <c r="AP604" s="27">
        <v>53.7</v>
      </c>
      <c r="AQ604" s="27">
        <v>71.327902439024385</v>
      </c>
      <c r="AR604" s="27">
        <v>27.5</v>
      </c>
      <c r="AS604" s="29">
        <v>95.268600000000006</v>
      </c>
      <c r="AT604" s="270">
        <v>32</v>
      </c>
      <c r="AU604" s="464" t="s">
        <v>2842</v>
      </c>
      <c r="AV604" s="29">
        <v>-0.34866950292311899</v>
      </c>
      <c r="AW604" s="29">
        <v>-0.76425001276209303</v>
      </c>
      <c r="AX604" s="29">
        <v>-0.69949021593927097</v>
      </c>
      <c r="AY604" s="29">
        <v>-0.11199757468508301</v>
      </c>
      <c r="AZ604" s="60">
        <v>-0.46966100737468802</v>
      </c>
    </row>
    <row r="605" spans="1:52" s="29" customFormat="1" ht="15" customHeight="1">
      <c r="A605" s="63" t="s">
        <v>216</v>
      </c>
      <c r="B605" s="53">
        <v>2011</v>
      </c>
      <c r="C605" s="146" t="s">
        <v>213</v>
      </c>
      <c r="D605" s="69" t="s">
        <v>214</v>
      </c>
      <c r="E605" s="27" t="s">
        <v>19</v>
      </c>
      <c r="F605" s="27" t="s">
        <v>1146</v>
      </c>
      <c r="G605" s="43">
        <f>181000*2.69</f>
        <v>486890</v>
      </c>
      <c r="H605" s="43"/>
      <c r="I605" s="43"/>
      <c r="J605" s="43"/>
      <c r="K605" s="27" t="s">
        <v>567</v>
      </c>
      <c r="L605" s="28">
        <v>12.67</v>
      </c>
      <c r="M605" s="27" t="s">
        <v>568</v>
      </c>
      <c r="N605" s="27" t="s">
        <v>1147</v>
      </c>
      <c r="O605" s="18">
        <f t="shared" si="7"/>
        <v>6168896.2999999998</v>
      </c>
      <c r="P605" s="213"/>
      <c r="Q605" s="213"/>
      <c r="R605" s="27"/>
      <c r="S605" s="27"/>
      <c r="T605" s="18"/>
      <c r="U605" s="27"/>
      <c r="V605" s="27"/>
      <c r="W605" s="30"/>
      <c r="X605" s="27"/>
      <c r="Y605" s="27"/>
      <c r="Z605" s="27"/>
      <c r="AA605" s="27"/>
      <c r="AB605" s="27"/>
      <c r="AC605" s="273">
        <v>224641623</v>
      </c>
      <c r="AD605" s="27">
        <v>47654841112.852264</v>
      </c>
      <c r="AE605" s="228">
        <v>4.7139307938939981E-3</v>
      </c>
      <c r="AF605" s="27">
        <v>6065031628.4327078</v>
      </c>
      <c r="AG605" s="226">
        <v>3.7038821355339022E-2</v>
      </c>
      <c r="AH605" s="226">
        <v>0.12020555158299444</v>
      </c>
      <c r="AI605" s="27">
        <v>387910000</v>
      </c>
      <c r="AJ605" s="226">
        <v>0.57910758423345621</v>
      </c>
      <c r="AK605" s="27">
        <v>1135606321.1350493</v>
      </c>
      <c r="AL605" s="226">
        <v>0.19781646052786017</v>
      </c>
      <c r="AM605" s="27">
        <v>1390587325.6094742</v>
      </c>
      <c r="AN605" s="271">
        <v>0.16154442001802571</v>
      </c>
      <c r="AO605" s="27">
        <v>14706578</v>
      </c>
      <c r="AP605" s="27">
        <v>53.7</v>
      </c>
      <c r="AQ605" s="27">
        <v>71.327902439024385</v>
      </c>
      <c r="AR605" s="27">
        <v>27.5</v>
      </c>
      <c r="AS605" s="29">
        <v>95.268600000000006</v>
      </c>
      <c r="AT605" s="270">
        <v>32</v>
      </c>
      <c r="AU605" s="464" t="s">
        <v>2842</v>
      </c>
      <c r="AV605" s="29">
        <v>-0.34866950292311899</v>
      </c>
      <c r="AW605" s="29">
        <v>-0.76425001276209303</v>
      </c>
      <c r="AX605" s="29">
        <v>-0.69949021593927097</v>
      </c>
      <c r="AY605" s="29">
        <v>-0.11199757468508301</v>
      </c>
      <c r="AZ605" s="60">
        <v>-0.46966100737468802</v>
      </c>
    </row>
    <row r="606" spans="1:52" s="29" customFormat="1" ht="15" customHeight="1">
      <c r="A606" s="63" t="s">
        <v>216</v>
      </c>
      <c r="B606" s="53">
        <v>2011</v>
      </c>
      <c r="C606" s="146" t="s">
        <v>213</v>
      </c>
      <c r="D606" s="69" t="s">
        <v>214</v>
      </c>
      <c r="E606" s="27" t="s">
        <v>19</v>
      </c>
      <c r="F606" s="27" t="s">
        <v>1148</v>
      </c>
      <c r="G606" s="43">
        <v>300000</v>
      </c>
      <c r="H606" s="43"/>
      <c r="I606" s="43"/>
      <c r="J606" s="43"/>
      <c r="K606" s="27" t="s">
        <v>567</v>
      </c>
      <c r="L606" s="28">
        <v>768.715208333335</v>
      </c>
      <c r="M606" s="27" t="s">
        <v>568</v>
      </c>
      <c r="N606" s="27" t="s">
        <v>1149</v>
      </c>
      <c r="O606" s="18">
        <f t="shared" si="7"/>
        <v>230614562.50000051</v>
      </c>
      <c r="P606" s="213"/>
      <c r="Q606" s="213"/>
      <c r="R606" s="27"/>
      <c r="S606" s="27"/>
      <c r="T606" s="18"/>
      <c r="U606" s="27"/>
      <c r="V606" s="27"/>
      <c r="W606" s="30"/>
      <c r="X606" s="27"/>
      <c r="Y606" s="27"/>
      <c r="Z606" s="27"/>
      <c r="AA606" s="27"/>
      <c r="AB606" s="27"/>
      <c r="AC606" s="273">
        <v>224641623</v>
      </c>
      <c r="AD606" s="27">
        <v>47654841112.852264</v>
      </c>
      <c r="AE606" s="228">
        <v>4.7139307938939981E-3</v>
      </c>
      <c r="AF606" s="27">
        <v>6065031628.4327078</v>
      </c>
      <c r="AG606" s="226">
        <v>3.7038821355339022E-2</v>
      </c>
      <c r="AH606" s="226">
        <v>0.12020555158299444</v>
      </c>
      <c r="AI606" s="27">
        <v>387910000</v>
      </c>
      <c r="AJ606" s="226">
        <v>0.57910758423345621</v>
      </c>
      <c r="AK606" s="27">
        <v>1135606321.1350493</v>
      </c>
      <c r="AL606" s="226">
        <v>0.19781646052786017</v>
      </c>
      <c r="AM606" s="27">
        <v>1390587325.6094742</v>
      </c>
      <c r="AN606" s="271">
        <v>0.16154442001802571</v>
      </c>
      <c r="AO606" s="27">
        <v>14706578</v>
      </c>
      <c r="AP606" s="27">
        <v>53.7</v>
      </c>
      <c r="AQ606" s="27">
        <v>71.327902439024385</v>
      </c>
      <c r="AR606" s="27">
        <v>27.5</v>
      </c>
      <c r="AS606" s="29">
        <v>95.268600000000006</v>
      </c>
      <c r="AT606" s="270">
        <v>32</v>
      </c>
      <c r="AU606" s="464" t="s">
        <v>2842</v>
      </c>
      <c r="AV606" s="29">
        <v>-0.34866950292311899</v>
      </c>
      <c r="AW606" s="29">
        <v>-0.76425001276209303</v>
      </c>
      <c r="AX606" s="29">
        <v>-0.69949021593927097</v>
      </c>
      <c r="AY606" s="29">
        <v>-0.11199757468508301</v>
      </c>
      <c r="AZ606" s="60">
        <v>-0.46966100737468802</v>
      </c>
    </row>
    <row r="607" spans="1:52" s="29" customFormat="1" ht="15" customHeight="1">
      <c r="A607" s="63" t="s">
        <v>216</v>
      </c>
      <c r="B607" s="53">
        <v>2011</v>
      </c>
      <c r="C607" s="146" t="s">
        <v>213</v>
      </c>
      <c r="D607" s="69" t="s">
        <v>214</v>
      </c>
      <c r="E607" s="27" t="s">
        <v>19</v>
      </c>
      <c r="F607" s="27" t="s">
        <v>1150</v>
      </c>
      <c r="G607" s="43">
        <v>8817</v>
      </c>
      <c r="H607" s="43"/>
      <c r="I607" s="43"/>
      <c r="J607" s="43"/>
      <c r="K607" s="27" t="s">
        <v>567</v>
      </c>
      <c r="L607" s="28">
        <v>155</v>
      </c>
      <c r="M607" s="27" t="s">
        <v>568</v>
      </c>
      <c r="N607" s="27" t="s">
        <v>1151</v>
      </c>
      <c r="O607" s="18">
        <f t="shared" si="7"/>
        <v>1366635</v>
      </c>
      <c r="P607" s="213"/>
      <c r="Q607" s="213"/>
      <c r="R607" s="27"/>
      <c r="S607" s="27"/>
      <c r="T607" s="18"/>
      <c r="U607" s="27"/>
      <c r="V607" s="27"/>
      <c r="W607" s="30"/>
      <c r="X607" s="27"/>
      <c r="Y607" s="27"/>
      <c r="Z607" s="27"/>
      <c r="AA607" s="27"/>
      <c r="AB607" s="27"/>
      <c r="AC607" s="273">
        <v>224641623</v>
      </c>
      <c r="AD607" s="27">
        <v>47654841112.852264</v>
      </c>
      <c r="AE607" s="228">
        <v>4.7139307938939981E-3</v>
      </c>
      <c r="AF607" s="27">
        <v>6065031628.4327078</v>
      </c>
      <c r="AG607" s="226">
        <v>3.7038821355339022E-2</v>
      </c>
      <c r="AH607" s="226">
        <v>0.12020555158299444</v>
      </c>
      <c r="AI607" s="27">
        <v>387910000</v>
      </c>
      <c r="AJ607" s="226">
        <v>0.57910758423345621</v>
      </c>
      <c r="AK607" s="27">
        <v>1135606321.1350493</v>
      </c>
      <c r="AL607" s="226">
        <v>0.19781646052786017</v>
      </c>
      <c r="AM607" s="27">
        <v>1390587325.6094742</v>
      </c>
      <c r="AN607" s="271">
        <v>0.16154442001802571</v>
      </c>
      <c r="AO607" s="27">
        <v>14706578</v>
      </c>
      <c r="AP607" s="27">
        <v>53.7</v>
      </c>
      <c r="AQ607" s="27">
        <v>71.327902439024385</v>
      </c>
      <c r="AR607" s="27">
        <v>27.5</v>
      </c>
      <c r="AS607" s="29">
        <v>95.268600000000006</v>
      </c>
      <c r="AT607" s="270">
        <v>32</v>
      </c>
      <c r="AU607" s="464" t="s">
        <v>2842</v>
      </c>
      <c r="AV607" s="29">
        <v>-0.34866950292311899</v>
      </c>
      <c r="AW607" s="29">
        <v>-0.76425001276209303</v>
      </c>
      <c r="AX607" s="29">
        <v>-0.69949021593927097</v>
      </c>
      <c r="AY607" s="29">
        <v>-0.11199757468508301</v>
      </c>
      <c r="AZ607" s="60">
        <v>-0.46966100737468802</v>
      </c>
    </row>
    <row r="608" spans="1:52" s="232" customFormat="1" ht="15" customHeight="1" thickBot="1">
      <c r="A608" s="363" t="s">
        <v>216</v>
      </c>
      <c r="B608" s="296">
        <v>2011</v>
      </c>
      <c r="C608" s="384" t="s">
        <v>213</v>
      </c>
      <c r="D608" s="385" t="s">
        <v>214</v>
      </c>
      <c r="E608" s="230" t="s">
        <v>19</v>
      </c>
      <c r="F608" s="230" t="s">
        <v>1152</v>
      </c>
      <c r="G608" s="297">
        <v>126138</v>
      </c>
      <c r="H608" s="297"/>
      <c r="I608" s="297"/>
      <c r="J608" s="297"/>
      <c r="K608" s="230" t="s">
        <v>599</v>
      </c>
      <c r="L608" s="298"/>
      <c r="M608" s="230"/>
      <c r="N608" s="230" t="s">
        <v>636</v>
      </c>
      <c r="O608" s="285"/>
      <c r="P608" s="299"/>
      <c r="Q608" s="299"/>
      <c r="R608" s="230"/>
      <c r="S608" s="230"/>
      <c r="T608" s="285"/>
      <c r="U608" s="230"/>
      <c r="V608" s="230"/>
      <c r="W608" s="300"/>
      <c r="X608" s="230"/>
      <c r="Y608" s="230"/>
      <c r="Z608" s="230"/>
      <c r="AA608" s="230"/>
      <c r="AB608" s="230"/>
      <c r="AC608" s="274">
        <v>224641623</v>
      </c>
      <c r="AD608" s="230">
        <v>47654841112.852264</v>
      </c>
      <c r="AE608" s="229">
        <v>4.7139307938939981E-3</v>
      </c>
      <c r="AF608" s="230">
        <v>6065031628.4327078</v>
      </c>
      <c r="AG608" s="231">
        <v>3.7038821355339022E-2</v>
      </c>
      <c r="AH608" s="231">
        <v>0.12020555158299444</v>
      </c>
      <c r="AI608" s="230">
        <v>387910000</v>
      </c>
      <c r="AJ608" s="231">
        <v>0.57910758423345621</v>
      </c>
      <c r="AK608" s="230">
        <v>1135606321.1350493</v>
      </c>
      <c r="AL608" s="231">
        <v>0.19781646052786017</v>
      </c>
      <c r="AM608" s="230">
        <v>1390587325.6094742</v>
      </c>
      <c r="AN608" s="275">
        <v>0.16154442001802571</v>
      </c>
      <c r="AO608" s="230">
        <v>14706578</v>
      </c>
      <c r="AP608" s="230">
        <v>53.7</v>
      </c>
      <c r="AQ608" s="230">
        <v>71.327902439024385</v>
      </c>
      <c r="AR608" s="230">
        <v>27.5</v>
      </c>
      <c r="AS608" s="232">
        <v>95.268600000000006</v>
      </c>
      <c r="AT608" s="276">
        <v>32</v>
      </c>
      <c r="AU608" s="466" t="s">
        <v>2842</v>
      </c>
      <c r="AV608" s="232">
        <v>-0.34866950292311899</v>
      </c>
      <c r="AW608" s="232">
        <v>-0.76425001276209303</v>
      </c>
      <c r="AX608" s="232">
        <v>-0.69949021593927097</v>
      </c>
      <c r="AY608" s="232">
        <v>-0.11199757468508301</v>
      </c>
      <c r="AZ608" s="293">
        <v>-0.46966100737468802</v>
      </c>
    </row>
    <row r="609" spans="1:52" ht="15" customHeight="1">
      <c r="A609" s="332" t="s">
        <v>218</v>
      </c>
      <c r="B609" s="27">
        <v>2005</v>
      </c>
      <c r="C609" s="27" t="s">
        <v>2843</v>
      </c>
      <c r="D609" s="27" t="s">
        <v>81</v>
      </c>
      <c r="E609" s="27" t="s">
        <v>19</v>
      </c>
      <c r="F609" s="27" t="s">
        <v>659</v>
      </c>
      <c r="G609" s="43"/>
      <c r="H609" s="43"/>
      <c r="I609" s="43"/>
      <c r="J609" s="43"/>
      <c r="K609" s="27"/>
      <c r="L609" s="28"/>
      <c r="M609" s="27"/>
      <c r="N609" s="27"/>
      <c r="O609" s="18">
        <f>SUM(O610:O612)</f>
        <v>752957716.71964526</v>
      </c>
      <c r="P609" s="213">
        <v>138153403</v>
      </c>
      <c r="Q609" s="213">
        <v>139444841</v>
      </c>
      <c r="R609" s="27" t="s">
        <v>619</v>
      </c>
      <c r="S609" s="27"/>
      <c r="T609" s="18"/>
      <c r="U609" s="27" t="s">
        <v>777</v>
      </c>
      <c r="V609" s="27" t="s">
        <v>1160</v>
      </c>
      <c r="W609" s="30">
        <v>3.6440000000000001</v>
      </c>
      <c r="X609" s="27">
        <v>6</v>
      </c>
      <c r="Y609" s="27" t="s">
        <v>1161</v>
      </c>
      <c r="Z609" s="27">
        <v>6</v>
      </c>
      <c r="AA609" s="54" t="s">
        <v>1162</v>
      </c>
      <c r="AB609" s="27" t="s">
        <v>1163</v>
      </c>
      <c r="AC609" s="273">
        <v>138153403</v>
      </c>
      <c r="AD609" s="27">
        <v>2937072009.0343008</v>
      </c>
      <c r="AE609" s="228">
        <v>4.703779906486677E-2</v>
      </c>
      <c r="AF609" s="27">
        <v>388838963.2760511</v>
      </c>
      <c r="AG609" s="226">
        <v>0.35529722082382936</v>
      </c>
      <c r="AH609" s="226" t="s">
        <v>2842</v>
      </c>
      <c r="AI609" s="27">
        <v>198180000</v>
      </c>
      <c r="AJ609" s="226">
        <v>0.69711072257543649</v>
      </c>
      <c r="AK609" s="27">
        <v>27882061.650189683</v>
      </c>
      <c r="AL609" s="226">
        <v>4.9549206487411999</v>
      </c>
      <c r="AM609" s="27">
        <v>54308223.690249644</v>
      </c>
      <c r="AN609" s="271">
        <v>2.543876297408779</v>
      </c>
      <c r="AO609" s="27">
        <v>9576331</v>
      </c>
      <c r="AP609" s="27" t="s">
        <v>2842</v>
      </c>
      <c r="AQ609" s="27">
        <v>52.745121951219517</v>
      </c>
      <c r="AR609" s="27">
        <v>85.1</v>
      </c>
      <c r="AS609" s="29">
        <v>65.247399999999999</v>
      </c>
      <c r="AT609" s="270">
        <v>25</v>
      </c>
      <c r="AU609" s="464">
        <v>45.874791273640589</v>
      </c>
      <c r="AV609" s="29">
        <v>-1.14030260595291</v>
      </c>
      <c r="AW609" s="29">
        <v>-1.1777075163630299</v>
      </c>
      <c r="AX609" s="29">
        <v>-1.0584098250529099</v>
      </c>
      <c r="AY609" s="29">
        <v>-1.0567133413027501</v>
      </c>
      <c r="AZ609" s="60">
        <v>-1.0084424548962001</v>
      </c>
    </row>
    <row r="610" spans="1:52" ht="15" customHeight="1">
      <c r="A610" s="59" t="s">
        <v>218</v>
      </c>
      <c r="B610" s="27">
        <v>2005</v>
      </c>
      <c r="C610" s="27" t="s">
        <v>2843</v>
      </c>
      <c r="D610" s="27" t="s">
        <v>81</v>
      </c>
      <c r="E610" s="27" t="s">
        <v>19</v>
      </c>
      <c r="F610" s="27" t="s">
        <v>1049</v>
      </c>
      <c r="G610" s="43">
        <v>14600000</v>
      </c>
      <c r="H610" s="43"/>
      <c r="I610" s="43"/>
      <c r="J610" s="43"/>
      <c r="K610" s="27" t="s">
        <v>567</v>
      </c>
      <c r="L610" s="28">
        <f>25.87*0.8609</f>
        <v>22.271483</v>
      </c>
      <c r="M610" s="27" t="s">
        <v>568</v>
      </c>
      <c r="N610" s="27" t="s">
        <v>1164</v>
      </c>
      <c r="O610" s="18">
        <f>G610*L610</f>
        <v>325163651.80000001</v>
      </c>
      <c r="P610" s="244"/>
      <c r="Q610" s="244"/>
      <c r="R610" s="27"/>
      <c r="S610" s="27"/>
      <c r="T610" s="18"/>
      <c r="U610" s="27"/>
      <c r="V610" s="27"/>
      <c r="W610" s="30"/>
      <c r="X610" s="27"/>
      <c r="Y610" s="27"/>
      <c r="Z610" s="27"/>
      <c r="AA610" s="27"/>
      <c r="AB610" s="27"/>
      <c r="AC610" s="273">
        <v>138153403</v>
      </c>
      <c r="AD610" s="27">
        <v>2937072009.0343008</v>
      </c>
      <c r="AE610" s="228">
        <v>4.703779906486677E-2</v>
      </c>
      <c r="AF610" s="27">
        <v>388838963.2760511</v>
      </c>
      <c r="AG610" s="226">
        <v>0.35529722082382936</v>
      </c>
      <c r="AH610" s="226" t="s">
        <v>2842</v>
      </c>
      <c r="AI610" s="27">
        <v>198180000</v>
      </c>
      <c r="AJ610" s="226">
        <v>0.69711072257543649</v>
      </c>
      <c r="AK610" s="27">
        <v>27882061.650189683</v>
      </c>
      <c r="AL610" s="226">
        <v>4.9549206487411999</v>
      </c>
      <c r="AM610" s="27">
        <v>54308223.690249644</v>
      </c>
      <c r="AN610" s="271">
        <v>2.543876297408779</v>
      </c>
      <c r="AO610" s="27">
        <v>9576331</v>
      </c>
      <c r="AP610" s="27" t="s">
        <v>2842</v>
      </c>
      <c r="AQ610" s="27">
        <v>52.745121951219517</v>
      </c>
      <c r="AR610" s="27">
        <v>85.1</v>
      </c>
      <c r="AS610" s="29">
        <v>65.247399999999999</v>
      </c>
      <c r="AT610" s="270">
        <v>25</v>
      </c>
      <c r="AU610" s="464">
        <v>45.874791273640589</v>
      </c>
      <c r="AV610" s="29">
        <v>-1.14030260595291</v>
      </c>
      <c r="AW610" s="29">
        <v>-1.1777075163630299</v>
      </c>
      <c r="AX610" s="29">
        <v>-1.0584098250529099</v>
      </c>
      <c r="AY610" s="29">
        <v>-1.0567133413027501</v>
      </c>
      <c r="AZ610" s="60">
        <v>-1.0084424548962001</v>
      </c>
    </row>
    <row r="611" spans="1:52" ht="15" customHeight="1">
      <c r="A611" s="59" t="s">
        <v>218</v>
      </c>
      <c r="B611" s="27">
        <v>2005</v>
      </c>
      <c r="C611" s="27" t="s">
        <v>2843</v>
      </c>
      <c r="D611" s="27" t="s">
        <v>81</v>
      </c>
      <c r="E611" s="27" t="s">
        <v>19</v>
      </c>
      <c r="F611" s="27" t="s">
        <v>904</v>
      </c>
      <c r="G611" s="43">
        <v>549000</v>
      </c>
      <c r="H611" s="43"/>
      <c r="I611" s="43"/>
      <c r="J611" s="43"/>
      <c r="K611" s="27" t="s">
        <v>905</v>
      </c>
      <c r="L611" s="28">
        <v>86.52</v>
      </c>
      <c r="M611" s="27" t="s">
        <v>906</v>
      </c>
      <c r="N611" s="27" t="s">
        <v>1165</v>
      </c>
      <c r="O611" s="18">
        <f>G611*L611</f>
        <v>47499480</v>
      </c>
      <c r="P611" s="244"/>
      <c r="Q611" s="244"/>
      <c r="R611" s="27"/>
      <c r="S611" s="27"/>
      <c r="T611" s="18"/>
      <c r="U611" s="27"/>
      <c r="V611" s="27"/>
      <c r="W611" s="30"/>
      <c r="X611" s="27"/>
      <c r="Y611" s="27"/>
      <c r="Z611" s="27"/>
      <c r="AA611" s="27"/>
      <c r="AB611" s="27"/>
      <c r="AC611" s="273">
        <v>138153403</v>
      </c>
      <c r="AD611" s="27">
        <v>2937072009.0343008</v>
      </c>
      <c r="AE611" s="228">
        <v>4.703779906486677E-2</v>
      </c>
      <c r="AF611" s="27">
        <v>388838963.2760511</v>
      </c>
      <c r="AG611" s="226">
        <v>0.35529722082382936</v>
      </c>
      <c r="AH611" s="226" t="s">
        <v>2842</v>
      </c>
      <c r="AI611" s="27">
        <v>198180000</v>
      </c>
      <c r="AJ611" s="226">
        <v>0.69711072257543649</v>
      </c>
      <c r="AK611" s="27">
        <v>27882061.650189683</v>
      </c>
      <c r="AL611" s="226">
        <v>4.9549206487411999</v>
      </c>
      <c r="AM611" s="27">
        <v>54308223.690249644</v>
      </c>
      <c r="AN611" s="271">
        <v>2.543876297408779</v>
      </c>
      <c r="AO611" s="27">
        <v>9576331</v>
      </c>
      <c r="AP611" s="27" t="s">
        <v>2842</v>
      </c>
      <c r="AQ611" s="27">
        <v>52.745121951219517</v>
      </c>
      <c r="AR611" s="27">
        <v>85.1</v>
      </c>
      <c r="AS611" s="29">
        <v>65.247399999999999</v>
      </c>
      <c r="AT611" s="270">
        <v>25</v>
      </c>
      <c r="AU611" s="464">
        <v>45.874791273640589</v>
      </c>
      <c r="AV611" s="29">
        <v>-1.14030260595291</v>
      </c>
      <c r="AW611" s="29">
        <v>-1.1777075163630299</v>
      </c>
      <c r="AX611" s="29">
        <v>-1.0584098250529099</v>
      </c>
      <c r="AY611" s="29">
        <v>-1.0567133413027501</v>
      </c>
      <c r="AZ611" s="60">
        <v>-1.0084424548962001</v>
      </c>
    </row>
    <row r="612" spans="1:52" s="287" customFormat="1" ht="15" customHeight="1">
      <c r="A612" s="344" t="s">
        <v>218</v>
      </c>
      <c r="B612" s="284">
        <v>2005</v>
      </c>
      <c r="C612" s="284" t="s">
        <v>2843</v>
      </c>
      <c r="D612" s="284" t="s">
        <v>81</v>
      </c>
      <c r="E612" s="284" t="s">
        <v>19</v>
      </c>
      <c r="F612" s="284" t="s">
        <v>730</v>
      </c>
      <c r="G612" s="303">
        <f>25097*32.150743126506</f>
        <v>806887.20024592115</v>
      </c>
      <c r="H612" s="303"/>
      <c r="I612" s="303"/>
      <c r="J612" s="303"/>
      <c r="K612" s="284" t="s">
        <v>731</v>
      </c>
      <c r="L612" s="304">
        <f>444.84258333333*1.0595</f>
        <v>471.31071704166322</v>
      </c>
      <c r="M612" s="284" t="s">
        <v>732</v>
      </c>
      <c r="N612" s="284" t="s">
        <v>1166</v>
      </c>
      <c r="O612" s="305">
        <f>G612*L612</f>
        <v>380294584.91964519</v>
      </c>
      <c r="P612" s="374"/>
      <c r="Q612" s="374"/>
      <c r="R612" s="284"/>
      <c r="S612" s="284"/>
      <c r="T612" s="305"/>
      <c r="U612" s="284"/>
      <c r="V612" s="284"/>
      <c r="W612" s="307"/>
      <c r="X612" s="284"/>
      <c r="Y612" s="284"/>
      <c r="Z612" s="284"/>
      <c r="AA612" s="284"/>
      <c r="AB612" s="284"/>
      <c r="AC612" s="308">
        <v>138153403</v>
      </c>
      <c r="AD612" s="284">
        <v>2937072009.0343008</v>
      </c>
      <c r="AE612" s="309">
        <v>4.703779906486677E-2</v>
      </c>
      <c r="AF612" s="284">
        <v>388838963.2760511</v>
      </c>
      <c r="AG612" s="310">
        <v>0.35529722082382936</v>
      </c>
      <c r="AH612" s="310" t="s">
        <v>2842</v>
      </c>
      <c r="AI612" s="284">
        <v>198180000</v>
      </c>
      <c r="AJ612" s="310">
        <v>0.69711072257543649</v>
      </c>
      <c r="AK612" s="284">
        <v>27882061.650189683</v>
      </c>
      <c r="AL612" s="310">
        <v>4.9549206487411999</v>
      </c>
      <c r="AM612" s="284">
        <v>54308223.690249644</v>
      </c>
      <c r="AN612" s="311">
        <v>2.543876297408779</v>
      </c>
      <c r="AO612" s="284">
        <v>9576331</v>
      </c>
      <c r="AP612" s="284" t="s">
        <v>2842</v>
      </c>
      <c r="AQ612" s="284">
        <v>52.745121951219517</v>
      </c>
      <c r="AR612" s="284">
        <v>85.1</v>
      </c>
      <c r="AS612" s="287">
        <v>65.247399999999999</v>
      </c>
      <c r="AT612" s="312">
        <v>25</v>
      </c>
      <c r="AU612" s="465">
        <v>45.874791273640589</v>
      </c>
      <c r="AV612" s="287">
        <v>-1.14030260595291</v>
      </c>
      <c r="AW612" s="287">
        <v>-1.1777075163630299</v>
      </c>
      <c r="AX612" s="287">
        <v>-1.0584098250529099</v>
      </c>
      <c r="AY612" s="287">
        <v>-1.0567133413027501</v>
      </c>
      <c r="AZ612" s="313">
        <v>-1.0084424548962001</v>
      </c>
    </row>
    <row r="613" spans="1:52" s="29" customFormat="1" ht="15" customHeight="1">
      <c r="A613" s="347" t="s">
        <v>221</v>
      </c>
      <c r="B613" s="53">
        <v>2006</v>
      </c>
      <c r="C613" s="27" t="s">
        <v>2843</v>
      </c>
      <c r="D613" s="69" t="s">
        <v>81</v>
      </c>
      <c r="E613" s="27" t="s">
        <v>19</v>
      </c>
      <c r="F613" s="27" t="s">
        <v>659</v>
      </c>
      <c r="G613" s="43"/>
      <c r="H613" s="43"/>
      <c r="I613" s="43"/>
      <c r="J613" s="43"/>
      <c r="K613" s="27"/>
      <c r="L613" s="28"/>
      <c r="M613" s="27"/>
      <c r="N613" s="27"/>
      <c r="O613" s="18">
        <f>SUM(O614:O616)</f>
        <v>742672998.82935083</v>
      </c>
      <c r="P613" s="213">
        <v>129435000</v>
      </c>
      <c r="Q613" s="246">
        <v>122473523.42801651</v>
      </c>
      <c r="R613" s="27" t="s">
        <v>619</v>
      </c>
      <c r="S613" s="27"/>
      <c r="T613" s="18"/>
      <c r="U613" s="27" t="s">
        <v>917</v>
      </c>
      <c r="V613" s="27" t="s">
        <v>1167</v>
      </c>
      <c r="W613" s="44">
        <v>5148.75</v>
      </c>
      <c r="X613" s="27">
        <v>6</v>
      </c>
      <c r="Y613" s="27" t="s">
        <v>1161</v>
      </c>
      <c r="Z613" s="27">
        <v>6</v>
      </c>
      <c r="AA613" s="27" t="s">
        <v>1168</v>
      </c>
      <c r="AB613" s="27" t="s">
        <v>1169</v>
      </c>
      <c r="AC613" s="273">
        <v>129435000</v>
      </c>
      <c r="AD613" s="27">
        <v>2821346683.5140185</v>
      </c>
      <c r="AE613" s="228">
        <v>4.5877027717411631E-2</v>
      </c>
      <c r="AF613" s="27">
        <v>413806918.07100111</v>
      </c>
      <c r="AG613" s="226">
        <v>0.3127908073730935</v>
      </c>
      <c r="AH613" s="226" t="s">
        <v>2842</v>
      </c>
      <c r="AI613" s="27">
        <v>169560000</v>
      </c>
      <c r="AJ613" s="226">
        <v>0.7633581033262562</v>
      </c>
      <c r="AK613" s="27">
        <v>26609495.711118437</v>
      </c>
      <c r="AL613" s="226">
        <v>4.8642409989723046</v>
      </c>
      <c r="AM613" s="27" t="s">
        <v>2842</v>
      </c>
      <c r="AN613" s="271" t="s">
        <v>2842</v>
      </c>
      <c r="AO613" s="27">
        <v>9798963</v>
      </c>
      <c r="AP613" s="27" t="s">
        <v>2842</v>
      </c>
      <c r="AQ613" s="27">
        <v>53.349536585365861</v>
      </c>
      <c r="AR613" s="27">
        <v>82</v>
      </c>
      <c r="AS613" s="29">
        <v>67.585719999999995</v>
      </c>
      <c r="AT613" s="270">
        <v>25</v>
      </c>
      <c r="AU613" s="464">
        <v>45.874791273640589</v>
      </c>
      <c r="AV613" s="29">
        <v>-1.23738874704223</v>
      </c>
      <c r="AW613" s="29">
        <v>-1.89237485515491</v>
      </c>
      <c r="AX613" s="29">
        <v>-1.3414672403067001</v>
      </c>
      <c r="AY613" s="29">
        <v>-1.20269833848503</v>
      </c>
      <c r="AZ613" s="60">
        <v>-1.0435072072129301</v>
      </c>
    </row>
    <row r="614" spans="1:52" s="29" customFormat="1" ht="15" customHeight="1">
      <c r="A614" s="63" t="s">
        <v>221</v>
      </c>
      <c r="B614" s="53">
        <v>2006</v>
      </c>
      <c r="C614" s="27" t="s">
        <v>2843</v>
      </c>
      <c r="D614" s="69" t="s">
        <v>81</v>
      </c>
      <c r="E614" s="27" t="s">
        <v>19</v>
      </c>
      <c r="F614" s="27" t="s">
        <v>1049</v>
      </c>
      <c r="G614" s="43">
        <v>16300000</v>
      </c>
      <c r="H614" s="43"/>
      <c r="I614" s="43"/>
      <c r="J614" s="43"/>
      <c r="K614" s="27" t="s">
        <v>567</v>
      </c>
      <c r="L614" s="28">
        <f>28.1*0.8609</f>
        <v>24.191290000000002</v>
      </c>
      <c r="M614" s="27" t="s">
        <v>568</v>
      </c>
      <c r="N614" s="27" t="s">
        <v>1170</v>
      </c>
      <c r="O614" s="18">
        <f>G614*L614</f>
        <v>394318027.00000006</v>
      </c>
      <c r="P614" s="244"/>
      <c r="Q614" s="244"/>
      <c r="R614" s="27"/>
      <c r="S614" s="27"/>
      <c r="T614" s="18"/>
      <c r="U614" s="27"/>
      <c r="V614" s="27"/>
      <c r="W614" s="30"/>
      <c r="X614" s="27"/>
      <c r="Y614" s="27"/>
      <c r="Z614" s="27"/>
      <c r="AA614" s="27"/>
      <c r="AB614" s="27"/>
      <c r="AC614" s="273">
        <v>129435000</v>
      </c>
      <c r="AD614" s="27">
        <v>2821346683.5140185</v>
      </c>
      <c r="AE614" s="228">
        <v>4.5877027717411631E-2</v>
      </c>
      <c r="AF614" s="27">
        <v>413806918.07100111</v>
      </c>
      <c r="AG614" s="226">
        <v>0.3127908073730935</v>
      </c>
      <c r="AH614" s="226" t="s">
        <v>2842</v>
      </c>
      <c r="AI614" s="27">
        <v>169560000</v>
      </c>
      <c r="AJ614" s="226">
        <v>0.7633581033262562</v>
      </c>
      <c r="AK614" s="27">
        <v>26609495.711118437</v>
      </c>
      <c r="AL614" s="226">
        <v>4.8642409989723046</v>
      </c>
      <c r="AM614" s="27" t="s">
        <v>2842</v>
      </c>
      <c r="AN614" s="271" t="s">
        <v>2842</v>
      </c>
      <c r="AO614" s="27">
        <v>9798963</v>
      </c>
      <c r="AP614" s="27" t="s">
        <v>2842</v>
      </c>
      <c r="AQ614" s="27">
        <v>53.349536585365861</v>
      </c>
      <c r="AR614" s="27">
        <v>82</v>
      </c>
      <c r="AS614" s="29">
        <v>67.585719999999995</v>
      </c>
      <c r="AT614" s="270">
        <v>25</v>
      </c>
      <c r="AU614" s="464">
        <v>45.874791273640589</v>
      </c>
      <c r="AV614" s="29">
        <v>-1.23738874704223</v>
      </c>
      <c r="AW614" s="29">
        <v>-1.89237485515491</v>
      </c>
      <c r="AX614" s="29">
        <v>-1.3414672403067001</v>
      </c>
      <c r="AY614" s="29">
        <v>-1.20269833848503</v>
      </c>
      <c r="AZ614" s="60">
        <v>-1.0435072072129301</v>
      </c>
    </row>
    <row r="615" spans="1:52" s="29" customFormat="1" ht="15" customHeight="1">
      <c r="A615" s="63" t="s">
        <v>221</v>
      </c>
      <c r="B615" s="53">
        <v>2006</v>
      </c>
      <c r="C615" s="27" t="s">
        <v>2843</v>
      </c>
      <c r="D615" s="69" t="s">
        <v>81</v>
      </c>
      <c r="E615" s="27" t="s">
        <v>19</v>
      </c>
      <c r="F615" s="27" t="s">
        <v>904</v>
      </c>
      <c r="G615" s="43">
        <v>474000</v>
      </c>
      <c r="H615" s="43"/>
      <c r="I615" s="43"/>
      <c r="J615" s="43"/>
      <c r="K615" s="27" t="s">
        <v>905</v>
      </c>
      <c r="L615" s="28">
        <v>84.17</v>
      </c>
      <c r="M615" s="27"/>
      <c r="N615" s="27" t="s">
        <v>1171</v>
      </c>
      <c r="O615" s="18"/>
      <c r="P615" s="244"/>
      <c r="Q615" s="244"/>
      <c r="R615" s="27"/>
      <c r="S615" s="27"/>
      <c r="T615" s="18"/>
      <c r="U615" s="27"/>
      <c r="V615" s="27"/>
      <c r="W615" s="30"/>
      <c r="X615" s="27"/>
      <c r="Y615" s="27"/>
      <c r="Z615" s="27"/>
      <c r="AA615" s="27"/>
      <c r="AB615" s="27"/>
      <c r="AC615" s="273">
        <v>129435000</v>
      </c>
      <c r="AD615" s="27">
        <v>2821346683.5140185</v>
      </c>
      <c r="AE615" s="228">
        <v>4.5877027717411631E-2</v>
      </c>
      <c r="AF615" s="27">
        <v>413806918.07100111</v>
      </c>
      <c r="AG615" s="226">
        <v>0.3127908073730935</v>
      </c>
      <c r="AH615" s="226" t="s">
        <v>2842</v>
      </c>
      <c r="AI615" s="27">
        <v>169560000</v>
      </c>
      <c r="AJ615" s="226">
        <v>0.7633581033262562</v>
      </c>
      <c r="AK615" s="27">
        <v>26609495.711118437</v>
      </c>
      <c r="AL615" s="226">
        <v>4.8642409989723046</v>
      </c>
      <c r="AM615" s="27" t="s">
        <v>2842</v>
      </c>
      <c r="AN615" s="271" t="s">
        <v>2842</v>
      </c>
      <c r="AO615" s="27">
        <v>9798963</v>
      </c>
      <c r="AP615" s="27" t="s">
        <v>2842</v>
      </c>
      <c r="AQ615" s="27">
        <v>53.349536585365861</v>
      </c>
      <c r="AR615" s="27">
        <v>82</v>
      </c>
      <c r="AS615" s="29">
        <v>67.585719999999995</v>
      </c>
      <c r="AT615" s="270">
        <v>25</v>
      </c>
      <c r="AU615" s="464">
        <v>45.874791273640589</v>
      </c>
      <c r="AV615" s="29">
        <v>-1.23738874704223</v>
      </c>
      <c r="AW615" s="29">
        <v>-1.89237485515491</v>
      </c>
      <c r="AX615" s="29">
        <v>-1.3414672403067001</v>
      </c>
      <c r="AY615" s="29">
        <v>-1.20269833848503</v>
      </c>
      <c r="AZ615" s="60">
        <v>-1.0435072072129301</v>
      </c>
    </row>
    <row r="616" spans="1:52" s="287" customFormat="1" ht="15" customHeight="1">
      <c r="A616" s="359" t="s">
        <v>221</v>
      </c>
      <c r="B616" s="302">
        <v>2006</v>
      </c>
      <c r="C616" s="284" t="s">
        <v>2843</v>
      </c>
      <c r="D616" s="369" t="s">
        <v>81</v>
      </c>
      <c r="E616" s="284" t="s">
        <v>19</v>
      </c>
      <c r="F616" s="284" t="s">
        <v>730</v>
      </c>
      <c r="G616" s="303">
        <f>16922*32.150743126506</f>
        <v>544054.8751867346</v>
      </c>
      <c r="H616" s="303"/>
      <c r="I616" s="303"/>
      <c r="J616" s="303"/>
      <c r="K616" s="284" t="s">
        <v>731</v>
      </c>
      <c r="L616" s="304">
        <f>604.33583333333*1.0595</f>
        <v>640.29381541666316</v>
      </c>
      <c r="M616" s="284" t="s">
        <v>732</v>
      </c>
      <c r="N616" s="284" t="s">
        <v>1166</v>
      </c>
      <c r="O616" s="305">
        <f>G616*L616</f>
        <v>348354971.82935077</v>
      </c>
      <c r="P616" s="374"/>
      <c r="Q616" s="374"/>
      <c r="R616" s="284"/>
      <c r="S616" s="284"/>
      <c r="T616" s="305"/>
      <c r="U616" s="284"/>
      <c r="V616" s="284"/>
      <c r="W616" s="307"/>
      <c r="X616" s="284"/>
      <c r="Y616" s="284"/>
      <c r="Z616" s="284"/>
      <c r="AA616" s="284"/>
      <c r="AB616" s="284"/>
      <c r="AC616" s="308">
        <v>129435000</v>
      </c>
      <c r="AD616" s="284">
        <v>2821346683.5140185</v>
      </c>
      <c r="AE616" s="309">
        <v>4.5877027717411631E-2</v>
      </c>
      <c r="AF616" s="284">
        <v>413806918.07100111</v>
      </c>
      <c r="AG616" s="310">
        <v>0.3127908073730935</v>
      </c>
      <c r="AH616" s="310" t="s">
        <v>2842</v>
      </c>
      <c r="AI616" s="284">
        <v>169560000</v>
      </c>
      <c r="AJ616" s="310">
        <v>0.7633581033262562</v>
      </c>
      <c r="AK616" s="284">
        <v>26609495.711118437</v>
      </c>
      <c r="AL616" s="310">
        <v>4.8642409989723046</v>
      </c>
      <c r="AM616" s="284" t="s">
        <v>2842</v>
      </c>
      <c r="AN616" s="311" t="s">
        <v>2842</v>
      </c>
      <c r="AO616" s="284">
        <v>9798963</v>
      </c>
      <c r="AP616" s="284" t="s">
        <v>2842</v>
      </c>
      <c r="AQ616" s="284">
        <v>53.349536585365861</v>
      </c>
      <c r="AR616" s="284">
        <v>82</v>
      </c>
      <c r="AS616" s="287">
        <v>67.585719999999995</v>
      </c>
      <c r="AT616" s="312">
        <v>25</v>
      </c>
      <c r="AU616" s="465">
        <v>45.874791273640589</v>
      </c>
      <c r="AV616" s="287">
        <v>-1.23738874704223</v>
      </c>
      <c r="AW616" s="287">
        <v>-1.89237485515491</v>
      </c>
      <c r="AX616" s="287">
        <v>-1.3414672403067001</v>
      </c>
      <c r="AY616" s="287">
        <v>-1.20269833848503</v>
      </c>
      <c r="AZ616" s="313">
        <v>-1.0435072072129301</v>
      </c>
    </row>
    <row r="617" spans="1:52" ht="15" customHeight="1">
      <c r="A617" s="63" t="s">
        <v>224</v>
      </c>
      <c r="B617" s="53">
        <v>2007</v>
      </c>
      <c r="C617" s="27" t="s">
        <v>2843</v>
      </c>
      <c r="D617" s="69" t="s">
        <v>81</v>
      </c>
      <c r="E617" s="27" t="s">
        <v>19</v>
      </c>
      <c r="F617" s="27" t="s">
        <v>659</v>
      </c>
      <c r="G617" s="43"/>
      <c r="H617" s="43"/>
      <c r="I617" s="43"/>
      <c r="J617" s="43"/>
      <c r="K617" s="27"/>
      <c r="L617" s="28"/>
      <c r="M617" s="27"/>
      <c r="N617" s="27"/>
      <c r="O617" s="18">
        <f>SUM(O618:O620)</f>
        <v>849729588.18481493</v>
      </c>
      <c r="P617" s="214">
        <v>171775146.47727105</v>
      </c>
      <c r="Q617" s="214">
        <v>173554249.65628326</v>
      </c>
      <c r="R617" s="27" t="s">
        <v>619</v>
      </c>
      <c r="S617" s="27"/>
      <c r="T617" s="18"/>
      <c r="U617" s="27" t="s">
        <v>1172</v>
      </c>
      <c r="V617" s="27" t="s">
        <v>1167</v>
      </c>
      <c r="W617" s="30">
        <v>4078.94</v>
      </c>
      <c r="X617" s="27">
        <v>6</v>
      </c>
      <c r="Y617" s="27" t="s">
        <v>1173</v>
      </c>
      <c r="Z617" s="27">
        <v>4</v>
      </c>
      <c r="AA617" s="27" t="s">
        <v>1174</v>
      </c>
      <c r="AB617" s="27" t="s">
        <v>1175</v>
      </c>
      <c r="AC617" s="273">
        <v>171775146.47727105</v>
      </c>
      <c r="AD617" s="27">
        <v>4134173271.0208378</v>
      </c>
      <c r="AE617" s="228">
        <v>4.1550059761973929E-2</v>
      </c>
      <c r="AF617" s="27">
        <v>571797505.11489201</v>
      </c>
      <c r="AG617" s="226">
        <v>0.3004125497937527</v>
      </c>
      <c r="AH617" s="226" t="s">
        <v>2842</v>
      </c>
      <c r="AI617" s="27">
        <v>228020000</v>
      </c>
      <c r="AJ617" s="226">
        <v>0.75333368334914064</v>
      </c>
      <c r="AK617" s="27">
        <v>46832884.380149655</v>
      </c>
      <c r="AL617" s="226">
        <v>3.667831882464168</v>
      </c>
      <c r="AM617" s="27" t="s">
        <v>2842</v>
      </c>
      <c r="AN617" s="271" t="s">
        <v>2842</v>
      </c>
      <c r="AO617" s="27">
        <v>10046967</v>
      </c>
      <c r="AP617" s="27">
        <v>53</v>
      </c>
      <c r="AQ617" s="27">
        <v>53.943707317073176</v>
      </c>
      <c r="AR617" s="27">
        <v>79.2</v>
      </c>
      <c r="AS617" s="29">
        <v>69.569850000000002</v>
      </c>
      <c r="AT617" s="270">
        <v>25</v>
      </c>
      <c r="AU617" s="464">
        <v>45.874791273640589</v>
      </c>
      <c r="AV617" s="29">
        <v>-1.3940699673871599</v>
      </c>
      <c r="AW617" s="29">
        <v>-2.3745976319275601</v>
      </c>
      <c r="AX617" s="29">
        <v>-1.2737924445228099</v>
      </c>
      <c r="AY617" s="29">
        <v>-1.22048195172369</v>
      </c>
      <c r="AZ617" s="60">
        <v>-1.24141249382111</v>
      </c>
    </row>
    <row r="618" spans="1:52" ht="15" customHeight="1">
      <c r="A618" s="63" t="s">
        <v>224</v>
      </c>
      <c r="B618" s="53">
        <v>2007</v>
      </c>
      <c r="C618" s="27" t="s">
        <v>2843</v>
      </c>
      <c r="D618" s="69" t="s">
        <v>81</v>
      </c>
      <c r="E618" s="27" t="s">
        <v>19</v>
      </c>
      <c r="F618" s="27" t="s">
        <v>1049</v>
      </c>
      <c r="G618" s="43">
        <v>16100000</v>
      </c>
      <c r="H618" s="43"/>
      <c r="I618" s="43"/>
      <c r="J618" s="43"/>
      <c r="K618" s="27" t="s">
        <v>567</v>
      </c>
      <c r="L618" s="28">
        <f>31.2*0.8609</f>
        <v>26.86008</v>
      </c>
      <c r="M618" s="27" t="s">
        <v>568</v>
      </c>
      <c r="N618" s="27" t="s">
        <v>1176</v>
      </c>
      <c r="O618" s="18">
        <f>G618*L618</f>
        <v>432447288</v>
      </c>
      <c r="P618" s="214">
        <v>141416786.19837508</v>
      </c>
      <c r="Q618" s="214">
        <v>145860881.63395393</v>
      </c>
      <c r="R618" s="27"/>
      <c r="S618" s="27"/>
      <c r="T618" s="18"/>
      <c r="U618" s="27"/>
      <c r="V618" s="27"/>
      <c r="W618" s="30"/>
      <c r="X618" s="27"/>
      <c r="Y618" s="27"/>
      <c r="Z618" s="27"/>
      <c r="AA618" s="27"/>
      <c r="AB618" s="27" t="s">
        <v>1177</v>
      </c>
      <c r="AC618" s="273">
        <v>171775146.47727105</v>
      </c>
      <c r="AD618" s="27">
        <v>4134173271.0208378</v>
      </c>
      <c r="AE618" s="228">
        <v>4.1550059761973929E-2</v>
      </c>
      <c r="AF618" s="27">
        <v>571797505.11489201</v>
      </c>
      <c r="AG618" s="226">
        <v>0.3004125497937527</v>
      </c>
      <c r="AH618" s="226" t="s">
        <v>2842</v>
      </c>
      <c r="AI618" s="27">
        <v>228020000</v>
      </c>
      <c r="AJ618" s="226">
        <v>0.75333368334914064</v>
      </c>
      <c r="AK618" s="27">
        <v>46832884.380149655</v>
      </c>
      <c r="AL618" s="226">
        <v>3.667831882464168</v>
      </c>
      <c r="AM618" s="27" t="s">
        <v>2842</v>
      </c>
      <c r="AN618" s="271" t="s">
        <v>2842</v>
      </c>
      <c r="AO618" s="27">
        <v>10046967</v>
      </c>
      <c r="AP618" s="27">
        <v>53</v>
      </c>
      <c r="AQ618" s="27">
        <v>53.943707317073176</v>
      </c>
      <c r="AR618" s="27">
        <v>79.2</v>
      </c>
      <c r="AS618" s="29">
        <v>69.569850000000002</v>
      </c>
      <c r="AT618" s="270">
        <v>25</v>
      </c>
      <c r="AU618" s="464">
        <v>45.874791273640589</v>
      </c>
      <c r="AV618" s="29">
        <v>-1.3940699673871599</v>
      </c>
      <c r="AW618" s="29">
        <v>-2.3745976319275601</v>
      </c>
      <c r="AX618" s="29">
        <v>-1.2737924445228099</v>
      </c>
      <c r="AY618" s="29">
        <v>-1.22048195172369</v>
      </c>
      <c r="AZ618" s="60">
        <v>-1.24141249382111</v>
      </c>
    </row>
    <row r="619" spans="1:52" ht="15" customHeight="1">
      <c r="A619" s="63" t="s">
        <v>224</v>
      </c>
      <c r="B619" s="53">
        <v>2007</v>
      </c>
      <c r="C619" s="27" t="s">
        <v>2843</v>
      </c>
      <c r="D619" s="69" t="s">
        <v>81</v>
      </c>
      <c r="E619" s="27" t="s">
        <v>19</v>
      </c>
      <c r="F619" s="27" t="s">
        <v>904</v>
      </c>
      <c r="G619" s="43">
        <v>1019000</v>
      </c>
      <c r="H619" s="43"/>
      <c r="I619" s="43"/>
      <c r="J619" s="43"/>
      <c r="K619" s="27" t="s">
        <v>905</v>
      </c>
      <c r="L619" s="28">
        <v>45.52</v>
      </c>
      <c r="M619" s="27" t="s">
        <v>906</v>
      </c>
      <c r="N619" s="27" t="s">
        <v>990</v>
      </c>
      <c r="O619" s="18">
        <f>G619*L619</f>
        <v>46384880</v>
      </c>
      <c r="P619" s="214">
        <v>1714618.2020328811</v>
      </c>
      <c r="Q619" s="214"/>
      <c r="R619" s="27"/>
      <c r="S619" s="27"/>
      <c r="T619" s="18"/>
      <c r="U619" s="27"/>
      <c r="V619" s="27"/>
      <c r="W619" s="30"/>
      <c r="X619" s="27"/>
      <c r="Y619" s="27"/>
      <c r="Z619" s="27"/>
      <c r="AA619" s="27"/>
      <c r="AB619" s="27" t="s">
        <v>1178</v>
      </c>
      <c r="AC619" s="273">
        <v>171775146.47727105</v>
      </c>
      <c r="AD619" s="27">
        <v>4134173271.0208378</v>
      </c>
      <c r="AE619" s="228">
        <v>4.1550059761973929E-2</v>
      </c>
      <c r="AF619" s="27">
        <v>571797505.11489201</v>
      </c>
      <c r="AG619" s="226">
        <v>0.3004125497937527</v>
      </c>
      <c r="AH619" s="226" t="s">
        <v>2842</v>
      </c>
      <c r="AI619" s="27">
        <v>228020000</v>
      </c>
      <c r="AJ619" s="226">
        <v>0.75333368334914064</v>
      </c>
      <c r="AK619" s="27">
        <v>46832884.380149655</v>
      </c>
      <c r="AL619" s="226">
        <v>3.667831882464168</v>
      </c>
      <c r="AM619" s="27" t="s">
        <v>2842</v>
      </c>
      <c r="AN619" s="271" t="s">
        <v>2842</v>
      </c>
      <c r="AO619" s="27">
        <v>10046967</v>
      </c>
      <c r="AP619" s="27">
        <v>53</v>
      </c>
      <c r="AQ619" s="27">
        <v>53.943707317073176</v>
      </c>
      <c r="AR619" s="27">
        <v>79.2</v>
      </c>
      <c r="AS619" s="29">
        <v>69.569850000000002</v>
      </c>
      <c r="AT619" s="270">
        <v>25</v>
      </c>
      <c r="AU619" s="464">
        <v>45.874791273640589</v>
      </c>
      <c r="AV619" s="29">
        <v>-1.3940699673871599</v>
      </c>
      <c r="AW619" s="29">
        <v>-2.3745976319275601</v>
      </c>
      <c r="AX619" s="29">
        <v>-1.2737924445228099</v>
      </c>
      <c r="AY619" s="29">
        <v>-1.22048195172369</v>
      </c>
      <c r="AZ619" s="60">
        <v>-1.24141249382111</v>
      </c>
    </row>
    <row r="620" spans="1:52" s="287" customFormat="1" ht="15" customHeight="1">
      <c r="A620" s="359" t="s">
        <v>224</v>
      </c>
      <c r="B620" s="302">
        <v>2007</v>
      </c>
      <c r="C620" s="284" t="s">
        <v>2843</v>
      </c>
      <c r="D620" s="369" t="s">
        <v>81</v>
      </c>
      <c r="E620" s="284" t="s">
        <v>19</v>
      </c>
      <c r="F620" s="284" t="s">
        <v>730</v>
      </c>
      <c r="G620" s="303">
        <f>15628*32.150743126506</f>
        <v>502451.81358103576</v>
      </c>
      <c r="H620" s="303"/>
      <c r="I620" s="303"/>
      <c r="J620" s="303"/>
      <c r="K620" s="284" t="s">
        <v>731</v>
      </c>
      <c r="L620" s="304">
        <f>696.72025*1.0595</f>
        <v>738.17510487499999</v>
      </c>
      <c r="M620" s="284" t="s">
        <v>732</v>
      </c>
      <c r="N620" s="284" t="s">
        <v>1179</v>
      </c>
      <c r="O620" s="305">
        <f>G620*L620</f>
        <v>370897420.18481499</v>
      </c>
      <c r="P620" s="346">
        <v>28643742.076863106</v>
      </c>
      <c r="Q620" s="346">
        <v>27693368.02232933</v>
      </c>
      <c r="R620" s="284"/>
      <c r="S620" s="284"/>
      <c r="T620" s="305"/>
      <c r="U620" s="284"/>
      <c r="V620" s="284"/>
      <c r="W620" s="307"/>
      <c r="X620" s="284"/>
      <c r="Y620" s="284"/>
      <c r="Z620" s="284"/>
      <c r="AA620" s="284"/>
      <c r="AB620" s="284" t="s">
        <v>1180</v>
      </c>
      <c r="AC620" s="308">
        <v>171775146.47727105</v>
      </c>
      <c r="AD620" s="284">
        <v>4134173271.0208378</v>
      </c>
      <c r="AE620" s="309">
        <v>4.1550059761973929E-2</v>
      </c>
      <c r="AF620" s="284">
        <v>571797505.11489201</v>
      </c>
      <c r="AG620" s="310">
        <v>0.3004125497937527</v>
      </c>
      <c r="AH620" s="310" t="s">
        <v>2842</v>
      </c>
      <c r="AI620" s="284">
        <v>228020000</v>
      </c>
      <c r="AJ620" s="310">
        <v>0.75333368334914064</v>
      </c>
      <c r="AK620" s="284">
        <v>46832884.380149655</v>
      </c>
      <c r="AL620" s="310">
        <v>3.667831882464168</v>
      </c>
      <c r="AM620" s="284" t="s">
        <v>2842</v>
      </c>
      <c r="AN620" s="311" t="s">
        <v>2842</v>
      </c>
      <c r="AO620" s="284">
        <v>10046967</v>
      </c>
      <c r="AP620" s="284">
        <v>53</v>
      </c>
      <c r="AQ620" s="284">
        <v>53.943707317073176</v>
      </c>
      <c r="AR620" s="284">
        <v>79.2</v>
      </c>
      <c r="AS620" s="287">
        <v>69.569850000000002</v>
      </c>
      <c r="AT620" s="312">
        <v>25</v>
      </c>
      <c r="AU620" s="465">
        <v>45.874791273640589</v>
      </c>
      <c r="AV620" s="287">
        <v>-1.3940699673871599</v>
      </c>
      <c r="AW620" s="287">
        <v>-2.3745976319275601</v>
      </c>
      <c r="AX620" s="287">
        <v>-1.2737924445228099</v>
      </c>
      <c r="AY620" s="287">
        <v>-1.22048195172369</v>
      </c>
      <c r="AZ620" s="313">
        <v>-1.24141249382111</v>
      </c>
    </row>
    <row r="621" spans="1:52" s="29" customFormat="1" ht="15" customHeight="1">
      <c r="A621" s="347" t="s">
        <v>226</v>
      </c>
      <c r="B621" s="53">
        <v>2008</v>
      </c>
      <c r="C621" s="27" t="s">
        <v>2843</v>
      </c>
      <c r="D621" s="69" t="s">
        <v>81</v>
      </c>
      <c r="E621" s="27" t="s">
        <v>19</v>
      </c>
      <c r="F621" s="27" t="s">
        <v>659</v>
      </c>
      <c r="G621" s="43"/>
      <c r="H621" s="43"/>
      <c r="I621" s="43"/>
      <c r="J621" s="43"/>
      <c r="K621" s="27"/>
      <c r="L621" s="28"/>
      <c r="M621" s="27"/>
      <c r="N621" s="27"/>
      <c r="O621" s="18">
        <f>SUM(O622:O624)</f>
        <v>1009984285.0424124</v>
      </c>
      <c r="P621" s="214">
        <v>211216758.63145587</v>
      </c>
      <c r="Q621" s="214">
        <v>212638919.54098818</v>
      </c>
      <c r="R621" s="27" t="s">
        <v>619</v>
      </c>
      <c r="S621" s="27"/>
      <c r="T621" s="18"/>
      <c r="U621" s="27" t="s">
        <v>917</v>
      </c>
      <c r="V621" s="27" t="s">
        <v>1167</v>
      </c>
      <c r="W621" s="30">
        <v>4592.91</v>
      </c>
      <c r="X621" s="27">
        <v>6</v>
      </c>
      <c r="Y621" s="27" t="s">
        <v>1173</v>
      </c>
      <c r="Z621" s="27">
        <v>4</v>
      </c>
      <c r="AA621" s="27" t="s">
        <v>1174</v>
      </c>
      <c r="AB621" s="27" t="s">
        <v>1181</v>
      </c>
      <c r="AC621" s="273">
        <v>211216758.63145587</v>
      </c>
      <c r="AD621" s="27">
        <v>4515824643.3504658</v>
      </c>
      <c r="AE621" s="228">
        <v>4.6772577616022298E-2</v>
      </c>
      <c r="AF621" s="27">
        <v>628873739.83298588</v>
      </c>
      <c r="AG621" s="226">
        <v>0.33586512721544087</v>
      </c>
      <c r="AH621" s="226" t="s">
        <v>2842</v>
      </c>
      <c r="AI621" s="27">
        <v>328300000</v>
      </c>
      <c r="AJ621" s="226">
        <v>0.64336508873425491</v>
      </c>
      <c r="AK621" s="27">
        <v>59843634.862007491</v>
      </c>
      <c r="AL621" s="226">
        <v>3.5294774309497963</v>
      </c>
      <c r="AM621" s="27">
        <v>110112513.35606474</v>
      </c>
      <c r="AN621" s="271">
        <v>1.9181903327231842</v>
      </c>
      <c r="AO621" s="27">
        <v>10314678</v>
      </c>
      <c r="AP621" s="27" t="s">
        <v>2842</v>
      </c>
      <c r="AQ621" s="27">
        <v>54.478439024390248</v>
      </c>
      <c r="AR621" s="27">
        <v>76.5</v>
      </c>
      <c r="AS621" s="29">
        <v>68.499020000000002</v>
      </c>
      <c r="AT621" s="270">
        <v>25</v>
      </c>
      <c r="AU621" s="464">
        <v>45.874791273640589</v>
      </c>
      <c r="AV621" s="29">
        <v>-1.45444152579007</v>
      </c>
      <c r="AW621" s="29">
        <v>-2.1012814272521498</v>
      </c>
      <c r="AX621" s="29">
        <v>-1.1727732588072399</v>
      </c>
      <c r="AY621" s="29">
        <v>-1.20012711566076</v>
      </c>
      <c r="AZ621" s="60">
        <v>-1.1548914255032601</v>
      </c>
    </row>
    <row r="622" spans="1:52" s="29" customFormat="1" ht="15" customHeight="1">
      <c r="A622" s="63" t="s">
        <v>226</v>
      </c>
      <c r="B622" s="53">
        <v>2008</v>
      </c>
      <c r="C622" s="27" t="s">
        <v>2843</v>
      </c>
      <c r="D622" s="69" t="s">
        <v>81</v>
      </c>
      <c r="E622" s="27" t="s">
        <v>19</v>
      </c>
      <c r="F622" s="27" t="s">
        <v>1049</v>
      </c>
      <c r="G622" s="43">
        <v>16000000</v>
      </c>
      <c r="H622" s="43"/>
      <c r="I622" s="43"/>
      <c r="J622" s="43"/>
      <c r="K622" s="27" t="s">
        <v>567</v>
      </c>
      <c r="L622" s="28">
        <f>26.43*0.8609</f>
        <v>22.753587</v>
      </c>
      <c r="M622" s="27" t="s">
        <v>568</v>
      </c>
      <c r="N622" s="27" t="s">
        <v>1182</v>
      </c>
      <c r="O622" s="18">
        <f>G622*L622</f>
        <v>364057392</v>
      </c>
      <c r="P622" s="214">
        <v>174069661.24004173</v>
      </c>
      <c r="Q622" s="214">
        <v>173689113.73486528</v>
      </c>
      <c r="R622" s="27"/>
      <c r="S622" s="27"/>
      <c r="T622" s="18"/>
      <c r="U622" s="27"/>
      <c r="V622" s="27"/>
      <c r="W622" s="30"/>
      <c r="X622" s="27"/>
      <c r="Y622" s="27"/>
      <c r="Z622" s="27"/>
      <c r="AA622" s="27"/>
      <c r="AB622" s="27" t="s">
        <v>1177</v>
      </c>
      <c r="AC622" s="273">
        <v>211216758.63145587</v>
      </c>
      <c r="AD622" s="27">
        <v>4515824643.3504658</v>
      </c>
      <c r="AE622" s="228">
        <v>4.6772577616022298E-2</v>
      </c>
      <c r="AF622" s="27">
        <v>628873739.83298588</v>
      </c>
      <c r="AG622" s="226">
        <v>0.33586512721544087</v>
      </c>
      <c r="AH622" s="226" t="s">
        <v>2842</v>
      </c>
      <c r="AI622" s="27">
        <v>328300000</v>
      </c>
      <c r="AJ622" s="226">
        <v>0.64336508873425491</v>
      </c>
      <c r="AK622" s="27">
        <v>59843634.862007491</v>
      </c>
      <c r="AL622" s="226">
        <v>3.5294774309497963</v>
      </c>
      <c r="AM622" s="27">
        <v>110112513.35606474</v>
      </c>
      <c r="AN622" s="271">
        <v>1.9181903327231842</v>
      </c>
      <c r="AO622" s="27">
        <v>10314678</v>
      </c>
      <c r="AP622" s="27" t="s">
        <v>2842</v>
      </c>
      <c r="AQ622" s="27">
        <v>54.478439024390248</v>
      </c>
      <c r="AR622" s="27">
        <v>76.5</v>
      </c>
      <c r="AS622" s="29">
        <v>68.499020000000002</v>
      </c>
      <c r="AT622" s="270">
        <v>25</v>
      </c>
      <c r="AU622" s="464">
        <v>45.874791273640589</v>
      </c>
      <c r="AV622" s="29">
        <v>-1.45444152579007</v>
      </c>
      <c r="AW622" s="29">
        <v>-2.1012814272521498</v>
      </c>
      <c r="AX622" s="29">
        <v>-1.1727732588072399</v>
      </c>
      <c r="AY622" s="29">
        <v>-1.20012711566076</v>
      </c>
      <c r="AZ622" s="60">
        <v>-1.1548914255032601</v>
      </c>
    </row>
    <row r="623" spans="1:52" s="29" customFormat="1" ht="15" customHeight="1">
      <c r="A623" s="63" t="s">
        <v>226</v>
      </c>
      <c r="B623" s="53">
        <v>2008</v>
      </c>
      <c r="C623" s="27" t="s">
        <v>2843</v>
      </c>
      <c r="D623" s="69" t="s">
        <v>81</v>
      </c>
      <c r="E623" s="27" t="s">
        <v>19</v>
      </c>
      <c r="F623" s="27" t="s">
        <v>904</v>
      </c>
      <c r="G623" s="43">
        <v>3098000</v>
      </c>
      <c r="H623" s="43"/>
      <c r="I623" s="43"/>
      <c r="J623" s="43"/>
      <c r="K623" s="27" t="s">
        <v>905</v>
      </c>
      <c r="L623" s="28">
        <v>17.329999999999998</v>
      </c>
      <c r="M623" s="27" t="s">
        <v>906</v>
      </c>
      <c r="N623" s="27" t="s">
        <v>1077</v>
      </c>
      <c r="O623" s="18">
        <f>G623*L623</f>
        <v>53688339.999999993</v>
      </c>
      <c r="P623" s="214">
        <v>2172705.8535873774</v>
      </c>
      <c r="Q623" s="214"/>
      <c r="R623" s="27"/>
      <c r="S623" s="27"/>
      <c r="T623" s="18"/>
      <c r="U623" s="27"/>
      <c r="V623" s="27"/>
      <c r="W623" s="30"/>
      <c r="X623" s="27"/>
      <c r="Y623" s="27"/>
      <c r="Z623" s="27"/>
      <c r="AA623" s="27"/>
      <c r="AB623" s="27" t="s">
        <v>1178</v>
      </c>
      <c r="AC623" s="273">
        <v>211216758.63145587</v>
      </c>
      <c r="AD623" s="27">
        <v>4515824643.3504658</v>
      </c>
      <c r="AE623" s="228">
        <v>4.6772577616022298E-2</v>
      </c>
      <c r="AF623" s="27">
        <v>628873739.83298588</v>
      </c>
      <c r="AG623" s="226">
        <v>0.33586512721544087</v>
      </c>
      <c r="AH623" s="226" t="s">
        <v>2842</v>
      </c>
      <c r="AI623" s="27">
        <v>328300000</v>
      </c>
      <c r="AJ623" s="226">
        <v>0.64336508873425491</v>
      </c>
      <c r="AK623" s="27">
        <v>59843634.862007491</v>
      </c>
      <c r="AL623" s="226">
        <v>3.5294774309497963</v>
      </c>
      <c r="AM623" s="27">
        <v>110112513.35606474</v>
      </c>
      <c r="AN623" s="271">
        <v>1.9181903327231842</v>
      </c>
      <c r="AO623" s="27">
        <v>10314678</v>
      </c>
      <c r="AP623" s="27" t="s">
        <v>2842</v>
      </c>
      <c r="AQ623" s="27">
        <v>54.478439024390248</v>
      </c>
      <c r="AR623" s="27">
        <v>76.5</v>
      </c>
      <c r="AS623" s="29">
        <v>68.499020000000002</v>
      </c>
      <c r="AT623" s="270">
        <v>25</v>
      </c>
      <c r="AU623" s="464">
        <v>45.874791273640589</v>
      </c>
      <c r="AV623" s="29">
        <v>-1.45444152579007</v>
      </c>
      <c r="AW623" s="29">
        <v>-2.1012814272521498</v>
      </c>
      <c r="AX623" s="29">
        <v>-1.1727732588072399</v>
      </c>
      <c r="AY623" s="29">
        <v>-1.20012711566076</v>
      </c>
      <c r="AZ623" s="60">
        <v>-1.1548914255032601</v>
      </c>
    </row>
    <row r="624" spans="1:52" s="287" customFormat="1" ht="15" customHeight="1">
      <c r="A624" s="359" t="s">
        <v>226</v>
      </c>
      <c r="B624" s="302">
        <v>2008</v>
      </c>
      <c r="C624" s="284" t="s">
        <v>2843</v>
      </c>
      <c r="D624" s="369" t="s">
        <v>81</v>
      </c>
      <c r="E624" s="284" t="s">
        <v>19</v>
      </c>
      <c r="F624" s="284" t="s">
        <v>730</v>
      </c>
      <c r="G624" s="303">
        <f>19945*32.150743126506</f>
        <v>641246.57165816217</v>
      </c>
      <c r="H624" s="303"/>
      <c r="I624" s="303"/>
      <c r="J624" s="303"/>
      <c r="K624" s="284" t="s">
        <v>731</v>
      </c>
      <c r="L624" s="304">
        <f>871.70725*1.0595</f>
        <v>923.57383137500017</v>
      </c>
      <c r="M624" s="284" t="s">
        <v>732</v>
      </c>
      <c r="N624" s="284" t="s">
        <v>1179</v>
      </c>
      <c r="O624" s="305">
        <f>G624*L624</f>
        <v>592238553.0424124</v>
      </c>
      <c r="P624" s="346">
        <v>34974391.537826784</v>
      </c>
      <c r="Q624" s="346">
        <v>38949805.806122914</v>
      </c>
      <c r="R624" s="284"/>
      <c r="S624" s="284"/>
      <c r="T624" s="305"/>
      <c r="U624" s="284"/>
      <c r="V624" s="284"/>
      <c r="W624" s="307"/>
      <c r="X624" s="284"/>
      <c r="Y624" s="284"/>
      <c r="Z624" s="284"/>
      <c r="AA624" s="284"/>
      <c r="AB624" s="284" t="s">
        <v>1180</v>
      </c>
      <c r="AC624" s="308">
        <v>211216758.63145587</v>
      </c>
      <c r="AD624" s="284">
        <v>4515824643.3504658</v>
      </c>
      <c r="AE624" s="309">
        <v>4.6772577616022298E-2</v>
      </c>
      <c r="AF624" s="284">
        <v>628873739.83298588</v>
      </c>
      <c r="AG624" s="310">
        <v>0.33586512721544087</v>
      </c>
      <c r="AH624" s="310" t="s">
        <v>2842</v>
      </c>
      <c r="AI624" s="284">
        <v>328300000</v>
      </c>
      <c r="AJ624" s="310">
        <v>0.64336508873425491</v>
      </c>
      <c r="AK624" s="284">
        <v>59843634.862007491</v>
      </c>
      <c r="AL624" s="310">
        <v>3.5294774309497963</v>
      </c>
      <c r="AM624" s="284">
        <v>110112513.35606474</v>
      </c>
      <c r="AN624" s="311">
        <v>1.9181903327231842</v>
      </c>
      <c r="AO624" s="284">
        <v>10314678</v>
      </c>
      <c r="AP624" s="284" t="s">
        <v>2842</v>
      </c>
      <c r="AQ624" s="284">
        <v>54.478439024390248</v>
      </c>
      <c r="AR624" s="284">
        <v>76.5</v>
      </c>
      <c r="AS624" s="287">
        <v>68.499020000000002</v>
      </c>
      <c r="AT624" s="312">
        <v>25</v>
      </c>
      <c r="AU624" s="465">
        <v>45.874791273640589</v>
      </c>
      <c r="AV624" s="287">
        <v>-1.45444152579007</v>
      </c>
      <c r="AW624" s="287">
        <v>-2.1012814272521498</v>
      </c>
      <c r="AX624" s="287">
        <v>-1.1727732588072399</v>
      </c>
      <c r="AY624" s="287">
        <v>-1.20012711566076</v>
      </c>
      <c r="AZ624" s="313">
        <v>-1.1548914255032601</v>
      </c>
    </row>
    <row r="625" spans="1:52" ht="15" customHeight="1">
      <c r="A625" s="63" t="s">
        <v>228</v>
      </c>
      <c r="B625" s="53">
        <v>2009</v>
      </c>
      <c r="C625" s="27" t="s">
        <v>2843</v>
      </c>
      <c r="D625" s="69" t="s">
        <v>81</v>
      </c>
      <c r="E625" s="27" t="s">
        <v>19</v>
      </c>
      <c r="F625" s="27" t="s">
        <v>659</v>
      </c>
      <c r="G625" s="43"/>
      <c r="H625" s="43"/>
      <c r="I625" s="43"/>
      <c r="J625" s="43"/>
      <c r="K625" s="27"/>
      <c r="L625" s="28"/>
      <c r="M625" s="27"/>
      <c r="N625" s="27"/>
      <c r="O625" s="18">
        <f>SUM(O626:O628)</f>
        <v>977480739.51010716</v>
      </c>
      <c r="P625" s="213">
        <v>204355820.14115614</v>
      </c>
      <c r="Q625" s="213">
        <v>216639913.76901186</v>
      </c>
      <c r="R625" s="27" t="s">
        <v>619</v>
      </c>
      <c r="S625" s="27"/>
      <c r="T625" s="18"/>
      <c r="U625" s="27" t="s">
        <v>1183</v>
      </c>
      <c r="V625" s="27" t="s">
        <v>1167</v>
      </c>
      <c r="W625" s="30">
        <v>4772.0200000000004</v>
      </c>
      <c r="X625" s="27">
        <v>6</v>
      </c>
      <c r="Y625" s="27" t="s">
        <v>1184</v>
      </c>
      <c r="Z625" s="27">
        <v>4</v>
      </c>
      <c r="AA625" s="27" t="s">
        <v>1174</v>
      </c>
      <c r="AB625" s="27" t="s">
        <v>1185</v>
      </c>
      <c r="AC625" s="273">
        <v>204355820.14115614</v>
      </c>
      <c r="AD625" s="27">
        <v>4609923720.1779509</v>
      </c>
      <c r="AE625" s="228">
        <v>4.432954481365424E-2</v>
      </c>
      <c r="AF625" s="27">
        <v>580573793.31921113</v>
      </c>
      <c r="AG625" s="226">
        <v>0.35198939823451042</v>
      </c>
      <c r="AH625" s="226" t="s">
        <v>2842</v>
      </c>
      <c r="AI625" s="27">
        <v>214340000</v>
      </c>
      <c r="AJ625" s="226">
        <v>0.95341896118856084</v>
      </c>
      <c r="AK625" s="27">
        <v>80530706.498568088</v>
      </c>
      <c r="AL625" s="226">
        <v>2.5376136510709708</v>
      </c>
      <c r="AM625" s="27">
        <v>148258834.77989903</v>
      </c>
      <c r="AN625" s="271">
        <v>1.3783719563460561</v>
      </c>
      <c r="AO625" s="27">
        <v>10593248</v>
      </c>
      <c r="AP625" s="27" t="s">
        <v>2842</v>
      </c>
      <c r="AQ625" s="27">
        <v>54.93187804878049</v>
      </c>
      <c r="AR625" s="27">
        <v>73.900000000000006</v>
      </c>
      <c r="AS625" s="29">
        <v>69.779200000000003</v>
      </c>
      <c r="AT625" s="270">
        <v>25</v>
      </c>
      <c r="AU625" s="464">
        <v>45.874791273640589</v>
      </c>
      <c r="AV625" s="29">
        <v>-1.30149674731851</v>
      </c>
      <c r="AW625" s="29">
        <v>-2.08628624648868</v>
      </c>
      <c r="AX625" s="29">
        <v>-1.03147671919396</v>
      </c>
      <c r="AY625" s="29">
        <v>-1.12656813907442</v>
      </c>
      <c r="AZ625" s="60">
        <v>-1.0470559901229</v>
      </c>
    </row>
    <row r="626" spans="1:52" ht="15" customHeight="1">
      <c r="A626" s="63" t="s">
        <v>228</v>
      </c>
      <c r="B626" s="53">
        <v>2009</v>
      </c>
      <c r="C626" s="27" t="s">
        <v>2843</v>
      </c>
      <c r="D626" s="69" t="s">
        <v>81</v>
      </c>
      <c r="E626" s="27" t="s">
        <v>19</v>
      </c>
      <c r="F626" s="27" t="s">
        <v>1049</v>
      </c>
      <c r="G626" s="43">
        <v>13600000</v>
      </c>
      <c r="H626" s="43"/>
      <c r="I626" s="43"/>
      <c r="J626" s="43"/>
      <c r="K626" s="27" t="s">
        <v>567</v>
      </c>
      <c r="L626" s="28">
        <f>29.8*0.8609</f>
        <v>25.654820000000001</v>
      </c>
      <c r="M626" s="27" t="s">
        <v>568</v>
      </c>
      <c r="N626" s="27" t="s">
        <v>1186</v>
      </c>
      <c r="O626" s="18">
        <f>G626*L626</f>
        <v>348905552</v>
      </c>
      <c r="P626" s="214">
        <v>121442384.45375332</v>
      </c>
      <c r="Q626" s="214">
        <v>134171117.16275287</v>
      </c>
      <c r="R626" s="27"/>
      <c r="S626" s="27"/>
      <c r="T626" s="18"/>
      <c r="U626" s="27"/>
      <c r="V626" s="27"/>
      <c r="W626" s="30"/>
      <c r="X626" s="27"/>
      <c r="Y626" s="27"/>
      <c r="Z626" s="27"/>
      <c r="AA626" s="27"/>
      <c r="AB626" s="27" t="s">
        <v>1187</v>
      </c>
      <c r="AC626" s="273">
        <v>204355820.14115614</v>
      </c>
      <c r="AD626" s="27">
        <v>4609923720.1779509</v>
      </c>
      <c r="AE626" s="228">
        <v>4.432954481365424E-2</v>
      </c>
      <c r="AF626" s="27">
        <v>580573793.31921113</v>
      </c>
      <c r="AG626" s="226">
        <v>0.35198939823451042</v>
      </c>
      <c r="AH626" s="226" t="s">
        <v>2842</v>
      </c>
      <c r="AI626" s="27">
        <v>214340000</v>
      </c>
      <c r="AJ626" s="226">
        <v>0.95341896118856084</v>
      </c>
      <c r="AK626" s="27">
        <v>80530706.498568088</v>
      </c>
      <c r="AL626" s="226">
        <v>2.5376136510709708</v>
      </c>
      <c r="AM626" s="27">
        <v>148258834.77989903</v>
      </c>
      <c r="AN626" s="271">
        <v>1.3783719563460561</v>
      </c>
      <c r="AO626" s="27">
        <v>10593248</v>
      </c>
      <c r="AP626" s="27" t="s">
        <v>2842</v>
      </c>
      <c r="AQ626" s="27">
        <v>54.93187804878049</v>
      </c>
      <c r="AR626" s="27">
        <v>73.900000000000006</v>
      </c>
      <c r="AS626" s="29">
        <v>69.779200000000003</v>
      </c>
      <c r="AT626" s="270">
        <v>25</v>
      </c>
      <c r="AU626" s="464">
        <v>45.874791273640589</v>
      </c>
      <c r="AV626" s="29">
        <v>-1.30149674731851</v>
      </c>
      <c r="AW626" s="29">
        <v>-2.08628624648868</v>
      </c>
      <c r="AX626" s="29">
        <v>-1.03147671919396</v>
      </c>
      <c r="AY626" s="29">
        <v>-1.12656813907442</v>
      </c>
      <c r="AZ626" s="60">
        <v>-1.0470559901229</v>
      </c>
    </row>
    <row r="627" spans="1:52" ht="15" customHeight="1">
      <c r="A627" s="63" t="s">
        <v>228</v>
      </c>
      <c r="B627" s="53">
        <v>2009</v>
      </c>
      <c r="C627" s="27" t="s">
        <v>2843</v>
      </c>
      <c r="D627" s="69" t="s">
        <v>81</v>
      </c>
      <c r="E627" s="27" t="s">
        <v>19</v>
      </c>
      <c r="F627" s="27" t="s">
        <v>904</v>
      </c>
      <c r="G627" s="43">
        <v>697000</v>
      </c>
      <c r="H627" s="43"/>
      <c r="I627" s="43"/>
      <c r="J627" s="43"/>
      <c r="K627" s="27" t="s">
        <v>905</v>
      </c>
      <c r="L627" s="28">
        <v>41.59</v>
      </c>
      <c r="M627" s="27" t="s">
        <v>906</v>
      </c>
      <c r="N627" s="27" t="s">
        <v>1083</v>
      </c>
      <c r="O627" s="18">
        <f>G627*L627</f>
        <v>28988230.000000004</v>
      </c>
      <c r="P627" s="214">
        <v>585725.28237517865</v>
      </c>
      <c r="Q627" s="214"/>
      <c r="R627" s="27"/>
      <c r="S627" s="27"/>
      <c r="T627" s="18"/>
      <c r="U627" s="27"/>
      <c r="V627" s="27"/>
      <c r="W627" s="30"/>
      <c r="X627" s="27"/>
      <c r="Y627" s="27"/>
      <c r="Z627" s="27"/>
      <c r="AA627" s="27"/>
      <c r="AB627" s="27" t="s">
        <v>1188</v>
      </c>
      <c r="AC627" s="273">
        <v>204355820.14115614</v>
      </c>
      <c r="AD627" s="27">
        <v>4609923720.1779509</v>
      </c>
      <c r="AE627" s="228">
        <v>4.432954481365424E-2</v>
      </c>
      <c r="AF627" s="27">
        <v>580573793.31921113</v>
      </c>
      <c r="AG627" s="226">
        <v>0.35198939823451042</v>
      </c>
      <c r="AH627" s="226" t="s">
        <v>2842</v>
      </c>
      <c r="AI627" s="27">
        <v>214340000</v>
      </c>
      <c r="AJ627" s="226">
        <v>0.95341896118856084</v>
      </c>
      <c r="AK627" s="27">
        <v>80530706.498568088</v>
      </c>
      <c r="AL627" s="226">
        <v>2.5376136510709708</v>
      </c>
      <c r="AM627" s="27">
        <v>148258834.77989903</v>
      </c>
      <c r="AN627" s="271">
        <v>1.3783719563460561</v>
      </c>
      <c r="AO627" s="27">
        <v>10593248</v>
      </c>
      <c r="AP627" s="27" t="s">
        <v>2842</v>
      </c>
      <c r="AQ627" s="27">
        <v>54.93187804878049</v>
      </c>
      <c r="AR627" s="27">
        <v>73.900000000000006</v>
      </c>
      <c r="AS627" s="29">
        <v>69.779200000000003</v>
      </c>
      <c r="AT627" s="270">
        <v>25</v>
      </c>
      <c r="AU627" s="464">
        <v>45.874791273640589</v>
      </c>
      <c r="AV627" s="29">
        <v>-1.30149674731851</v>
      </c>
      <c r="AW627" s="29">
        <v>-2.08628624648868</v>
      </c>
      <c r="AX627" s="29">
        <v>-1.03147671919396</v>
      </c>
      <c r="AY627" s="29">
        <v>-1.12656813907442</v>
      </c>
      <c r="AZ627" s="60">
        <v>-1.0470559901229</v>
      </c>
    </row>
    <row r="628" spans="1:52" s="287" customFormat="1" ht="15" customHeight="1">
      <c r="A628" s="359" t="s">
        <v>228</v>
      </c>
      <c r="B628" s="302">
        <v>2009</v>
      </c>
      <c r="C628" s="284" t="s">
        <v>2843</v>
      </c>
      <c r="D628" s="369" t="s">
        <v>81</v>
      </c>
      <c r="E628" s="284" t="s">
        <v>19</v>
      </c>
      <c r="F628" s="284" t="s">
        <v>730</v>
      </c>
      <c r="G628" s="303">
        <f>18091*32.150743126506</f>
        <v>581639.09390162001</v>
      </c>
      <c r="H628" s="303"/>
      <c r="I628" s="303"/>
      <c r="J628" s="303"/>
      <c r="K628" s="284" t="s">
        <v>731</v>
      </c>
      <c r="L628" s="304">
        <f>972.96591666667*1.0595</f>
        <v>1030.8573887083369</v>
      </c>
      <c r="M628" s="284" t="s">
        <v>732</v>
      </c>
      <c r="N628" s="284" t="s">
        <v>1179</v>
      </c>
      <c r="O628" s="305">
        <f>G628*L628</f>
        <v>599586957.51010716</v>
      </c>
      <c r="P628" s="346">
        <v>82327710.405027628</v>
      </c>
      <c r="Q628" s="346">
        <v>82468796.606258973</v>
      </c>
      <c r="R628" s="284"/>
      <c r="S628" s="284"/>
      <c r="T628" s="305"/>
      <c r="U628" s="284"/>
      <c r="V628" s="284"/>
      <c r="W628" s="307"/>
      <c r="X628" s="284"/>
      <c r="Y628" s="284"/>
      <c r="Z628" s="284"/>
      <c r="AA628" s="284"/>
      <c r="AB628" s="284" t="s">
        <v>1189</v>
      </c>
      <c r="AC628" s="308">
        <v>204355820.14115614</v>
      </c>
      <c r="AD628" s="284">
        <v>4609923720.1779509</v>
      </c>
      <c r="AE628" s="309">
        <v>4.432954481365424E-2</v>
      </c>
      <c r="AF628" s="284">
        <v>580573793.31921113</v>
      </c>
      <c r="AG628" s="310">
        <v>0.35198939823451042</v>
      </c>
      <c r="AH628" s="310" t="s">
        <v>2842</v>
      </c>
      <c r="AI628" s="284">
        <v>214340000</v>
      </c>
      <c r="AJ628" s="310">
        <v>0.95341896118856084</v>
      </c>
      <c r="AK628" s="284">
        <v>80530706.498568088</v>
      </c>
      <c r="AL628" s="310">
        <v>2.5376136510709708</v>
      </c>
      <c r="AM628" s="284">
        <v>148258834.77989903</v>
      </c>
      <c r="AN628" s="311">
        <v>1.3783719563460561</v>
      </c>
      <c r="AO628" s="284">
        <v>10593248</v>
      </c>
      <c r="AP628" s="284" t="s">
        <v>2842</v>
      </c>
      <c r="AQ628" s="284">
        <v>54.93187804878049</v>
      </c>
      <c r="AR628" s="284">
        <v>73.900000000000006</v>
      </c>
      <c r="AS628" s="287">
        <v>69.779200000000003</v>
      </c>
      <c r="AT628" s="312">
        <v>25</v>
      </c>
      <c r="AU628" s="465">
        <v>45.874791273640589</v>
      </c>
      <c r="AV628" s="287">
        <v>-1.30149674731851</v>
      </c>
      <c r="AW628" s="287">
        <v>-2.08628624648868</v>
      </c>
      <c r="AX628" s="287">
        <v>-1.03147671919396</v>
      </c>
      <c r="AY628" s="287">
        <v>-1.12656813907442</v>
      </c>
      <c r="AZ628" s="313">
        <v>-1.0470559901229</v>
      </c>
    </row>
    <row r="629" spans="1:52" s="29" customFormat="1" ht="15" customHeight="1">
      <c r="A629" s="347" t="s">
        <v>230</v>
      </c>
      <c r="B629" s="53">
        <v>2010</v>
      </c>
      <c r="C629" s="27" t="s">
        <v>2843</v>
      </c>
      <c r="D629" s="69" t="s">
        <v>81</v>
      </c>
      <c r="E629" s="27" t="s">
        <v>19</v>
      </c>
      <c r="F629" s="27" t="s">
        <v>659</v>
      </c>
      <c r="G629" s="43"/>
      <c r="H629" s="43"/>
      <c r="I629" s="43"/>
      <c r="J629" s="43"/>
      <c r="K629" s="27"/>
      <c r="L629" s="28"/>
      <c r="M629" s="27"/>
      <c r="N629" s="27"/>
      <c r="O629" s="18">
        <f>SUM(O630:O633)</f>
        <v>1050128701.1507769</v>
      </c>
      <c r="P629" s="213">
        <v>218560221.14787036</v>
      </c>
      <c r="Q629" s="213">
        <v>220836821.31086206</v>
      </c>
      <c r="R629" s="27" t="s">
        <v>619</v>
      </c>
      <c r="S629" s="27"/>
      <c r="T629" s="18"/>
      <c r="U629" s="27" t="s">
        <v>1172</v>
      </c>
      <c r="V629" s="27" t="s">
        <v>1167</v>
      </c>
      <c r="W629" s="30">
        <v>5773.3</v>
      </c>
      <c r="X629" s="27">
        <v>7</v>
      </c>
      <c r="Y629" s="27" t="s">
        <v>1190</v>
      </c>
      <c r="Z629" s="27">
        <v>5</v>
      </c>
      <c r="AA629" s="27" t="s">
        <v>1191</v>
      </c>
      <c r="AB629" s="27" t="s">
        <v>1192</v>
      </c>
      <c r="AC629" s="273">
        <v>218560221.14787036</v>
      </c>
      <c r="AD629" s="27">
        <v>4735956475.8338232</v>
      </c>
      <c r="AE629" s="228">
        <v>4.6149119457308811E-2</v>
      </c>
      <c r="AF629" s="27">
        <v>721854486.04659128</v>
      </c>
      <c r="AG629" s="226">
        <v>0.30277601008600458</v>
      </c>
      <c r="AH629" s="226" t="s">
        <v>2842</v>
      </c>
      <c r="AI629" s="27">
        <v>217700000</v>
      </c>
      <c r="AJ629" s="226">
        <v>1.0039514062832815</v>
      </c>
      <c r="AK629" s="27">
        <v>95276499.019850731</v>
      </c>
      <c r="AL629" s="226">
        <v>2.2939573073768553</v>
      </c>
      <c r="AM629" s="27">
        <v>174844882.74871859</v>
      </c>
      <c r="AN629" s="271">
        <v>1.2500235506576309</v>
      </c>
      <c r="AO629" s="27">
        <v>10876033</v>
      </c>
      <c r="AP629" s="27" t="s">
        <v>2842</v>
      </c>
      <c r="AQ629" s="27">
        <v>55.298000000000009</v>
      </c>
      <c r="AR629" s="27">
        <v>71.400000000000006</v>
      </c>
      <c r="AS629" s="29">
        <v>72.047970000000007</v>
      </c>
      <c r="AT629" s="270">
        <v>25</v>
      </c>
      <c r="AU629" s="464">
        <v>45.874791273640589</v>
      </c>
      <c r="AV629" s="29">
        <v>-0.94665409682159996</v>
      </c>
      <c r="AW629" s="29">
        <v>-1.68228926294157</v>
      </c>
      <c r="AX629" s="29">
        <v>-1.13092764919197</v>
      </c>
      <c r="AY629" s="29">
        <v>-1.0809142207589799</v>
      </c>
      <c r="AZ629" s="60">
        <v>-1.1922492001565099</v>
      </c>
    </row>
    <row r="630" spans="1:52" s="29" customFormat="1" ht="15" customHeight="1">
      <c r="A630" s="63" t="s">
        <v>230</v>
      </c>
      <c r="B630" s="53">
        <v>2010</v>
      </c>
      <c r="C630" s="27" t="s">
        <v>2843</v>
      </c>
      <c r="D630" s="69" t="s">
        <v>81</v>
      </c>
      <c r="E630" s="27" t="s">
        <v>19</v>
      </c>
      <c r="F630" s="27" t="s">
        <v>1049</v>
      </c>
      <c r="G630" s="43">
        <v>15300000</v>
      </c>
      <c r="H630" s="43"/>
      <c r="I630" s="43"/>
      <c r="J630" s="43"/>
      <c r="K630" s="27" t="s">
        <v>567</v>
      </c>
      <c r="L630" s="28">
        <f>29.41*0.8609</f>
        <v>25.319068999999999</v>
      </c>
      <c r="M630" s="27" t="s">
        <v>568</v>
      </c>
      <c r="N630" s="27" t="s">
        <v>1186</v>
      </c>
      <c r="O630" s="18">
        <f>G630*L630</f>
        <v>387381755.69999999</v>
      </c>
      <c r="P630" s="214">
        <v>105474359.24531896</v>
      </c>
      <c r="Q630" s="214">
        <v>106085169.87719329</v>
      </c>
      <c r="R630" s="27"/>
      <c r="S630" s="27"/>
      <c r="T630" s="18"/>
      <c r="U630" s="27"/>
      <c r="V630" s="27"/>
      <c r="W630" s="30"/>
      <c r="X630" s="27"/>
      <c r="Y630" s="27"/>
      <c r="Z630" s="27"/>
      <c r="AA630" s="27"/>
      <c r="AB630" s="27" t="s">
        <v>1193</v>
      </c>
      <c r="AC630" s="273">
        <v>218560221.14787036</v>
      </c>
      <c r="AD630" s="27">
        <v>4735956475.8338232</v>
      </c>
      <c r="AE630" s="228">
        <v>4.6149119457308811E-2</v>
      </c>
      <c r="AF630" s="27">
        <v>721854486.04659128</v>
      </c>
      <c r="AG630" s="226">
        <v>0.30277601008600458</v>
      </c>
      <c r="AH630" s="226" t="s">
        <v>2842</v>
      </c>
      <c r="AI630" s="27">
        <v>217700000</v>
      </c>
      <c r="AJ630" s="226">
        <v>1.0039514062832815</v>
      </c>
      <c r="AK630" s="27">
        <v>95276499.019850731</v>
      </c>
      <c r="AL630" s="226">
        <v>2.2939573073768553</v>
      </c>
      <c r="AM630" s="27">
        <v>174844882.74871859</v>
      </c>
      <c r="AN630" s="271">
        <v>1.2500235506576309</v>
      </c>
      <c r="AO630" s="27">
        <v>10876033</v>
      </c>
      <c r="AP630" s="27" t="s">
        <v>2842</v>
      </c>
      <c r="AQ630" s="27">
        <v>55.298000000000009</v>
      </c>
      <c r="AR630" s="27">
        <v>71.400000000000006</v>
      </c>
      <c r="AS630" s="29">
        <v>72.047970000000007</v>
      </c>
      <c r="AT630" s="270">
        <v>25</v>
      </c>
      <c r="AU630" s="464">
        <v>45.874791273640589</v>
      </c>
      <c r="AV630" s="29">
        <v>-0.94665409682159996</v>
      </c>
      <c r="AW630" s="29">
        <v>-1.68228926294157</v>
      </c>
      <c r="AX630" s="29">
        <v>-1.13092764919197</v>
      </c>
      <c r="AY630" s="29">
        <v>-1.0809142207589799</v>
      </c>
      <c r="AZ630" s="60">
        <v>-1.1922492001565099</v>
      </c>
    </row>
    <row r="631" spans="1:52" s="29" customFormat="1" ht="15" customHeight="1">
      <c r="A631" s="63" t="s">
        <v>230</v>
      </c>
      <c r="B631" s="53">
        <v>2010</v>
      </c>
      <c r="C631" s="27" t="s">
        <v>2843</v>
      </c>
      <c r="D631" s="69" t="s">
        <v>81</v>
      </c>
      <c r="E631" s="27" t="s">
        <v>19</v>
      </c>
      <c r="F631" s="27" t="s">
        <v>904</v>
      </c>
      <c r="G631" s="43">
        <v>374000</v>
      </c>
      <c r="H631" s="43"/>
      <c r="I631" s="43"/>
      <c r="J631" s="43"/>
      <c r="K631" s="27" t="s">
        <v>905</v>
      </c>
      <c r="L631" s="28">
        <v>74.72</v>
      </c>
      <c r="M631" s="27" t="s">
        <v>906</v>
      </c>
      <c r="N631" s="27" t="s">
        <v>1094</v>
      </c>
      <c r="O631" s="18">
        <f>G631*L631</f>
        <v>27945280</v>
      </c>
      <c r="P631" s="214">
        <v>599058.55836350098</v>
      </c>
      <c r="Q631" s="214"/>
      <c r="R631" s="27"/>
      <c r="S631" s="27"/>
      <c r="T631" s="18"/>
      <c r="U631" s="27"/>
      <c r="V631" s="27"/>
      <c r="W631" s="30"/>
      <c r="X631" s="27"/>
      <c r="Y631" s="27"/>
      <c r="Z631" s="27"/>
      <c r="AA631" s="27"/>
      <c r="AB631" s="27" t="s">
        <v>1194</v>
      </c>
      <c r="AC631" s="273">
        <v>218560221.14787036</v>
      </c>
      <c r="AD631" s="27">
        <v>4735956475.8338232</v>
      </c>
      <c r="AE631" s="228">
        <v>4.6149119457308811E-2</v>
      </c>
      <c r="AF631" s="27">
        <v>721854486.04659128</v>
      </c>
      <c r="AG631" s="226">
        <v>0.30277601008600458</v>
      </c>
      <c r="AH631" s="226" t="s">
        <v>2842</v>
      </c>
      <c r="AI631" s="27">
        <v>217700000</v>
      </c>
      <c r="AJ631" s="226">
        <v>1.0039514062832815</v>
      </c>
      <c r="AK631" s="27">
        <v>95276499.019850731</v>
      </c>
      <c r="AL631" s="226">
        <v>2.2939573073768553</v>
      </c>
      <c r="AM631" s="27">
        <v>174844882.74871859</v>
      </c>
      <c r="AN631" s="271">
        <v>1.2500235506576309</v>
      </c>
      <c r="AO631" s="27">
        <v>10876033</v>
      </c>
      <c r="AP631" s="27" t="s">
        <v>2842</v>
      </c>
      <c r="AQ631" s="27">
        <v>55.298000000000009</v>
      </c>
      <c r="AR631" s="27">
        <v>71.400000000000006</v>
      </c>
      <c r="AS631" s="29">
        <v>72.047970000000007</v>
      </c>
      <c r="AT631" s="270">
        <v>25</v>
      </c>
      <c r="AU631" s="464">
        <v>45.874791273640589</v>
      </c>
      <c r="AV631" s="29">
        <v>-0.94665409682159996</v>
      </c>
      <c r="AW631" s="29">
        <v>-1.68228926294157</v>
      </c>
      <c r="AX631" s="29">
        <v>-1.13092764919197</v>
      </c>
      <c r="AY631" s="29">
        <v>-1.0809142207589799</v>
      </c>
      <c r="AZ631" s="60">
        <v>-1.1922492001565099</v>
      </c>
    </row>
    <row r="632" spans="1:52" s="29" customFormat="1" ht="15" customHeight="1">
      <c r="A632" s="63" t="s">
        <v>230</v>
      </c>
      <c r="B632" s="53">
        <v>2010</v>
      </c>
      <c r="C632" s="27" t="s">
        <v>2843</v>
      </c>
      <c r="D632" s="69" t="s">
        <v>81</v>
      </c>
      <c r="E632" s="27" t="s">
        <v>19</v>
      </c>
      <c r="F632" s="27" t="s">
        <v>730</v>
      </c>
      <c r="G632" s="43">
        <f>15217*32.150743126506</f>
        <v>489237.85815604182</v>
      </c>
      <c r="H632" s="43"/>
      <c r="I632" s="43"/>
      <c r="J632" s="43"/>
      <c r="K632" s="27" t="s">
        <v>731</v>
      </c>
      <c r="L632" s="28">
        <f>1224.66425*1.0595</f>
        <v>1297.5317728750001</v>
      </c>
      <c r="M632" s="27" t="s">
        <v>732</v>
      </c>
      <c r="N632" s="27" t="s">
        <v>1179</v>
      </c>
      <c r="O632" s="18">
        <f>G632*L632</f>
        <v>634801665.45077682</v>
      </c>
      <c r="P632" s="214">
        <v>110045110.42003706</v>
      </c>
      <c r="Q632" s="214">
        <v>110857144.63824849</v>
      </c>
      <c r="R632" s="27"/>
      <c r="S632" s="27"/>
      <c r="T632" s="18"/>
      <c r="U632" s="27"/>
      <c r="V632" s="27"/>
      <c r="W632" s="30"/>
      <c r="X632" s="27"/>
      <c r="Y632" s="27"/>
      <c r="Z632" s="27"/>
      <c r="AA632" s="27"/>
      <c r="AB632" s="27" t="s">
        <v>1195</v>
      </c>
      <c r="AC632" s="273">
        <v>218560221.14787036</v>
      </c>
      <c r="AD632" s="27">
        <v>4735956475.8338232</v>
      </c>
      <c r="AE632" s="228">
        <v>4.6149119457308811E-2</v>
      </c>
      <c r="AF632" s="27">
        <v>721854486.04659128</v>
      </c>
      <c r="AG632" s="226">
        <v>0.30277601008600458</v>
      </c>
      <c r="AH632" s="226" t="s">
        <v>2842</v>
      </c>
      <c r="AI632" s="27">
        <v>217700000</v>
      </c>
      <c r="AJ632" s="226">
        <v>1.0039514062832815</v>
      </c>
      <c r="AK632" s="27">
        <v>95276499.019850731</v>
      </c>
      <c r="AL632" s="226">
        <v>2.2939573073768553</v>
      </c>
      <c r="AM632" s="27">
        <v>174844882.74871859</v>
      </c>
      <c r="AN632" s="271">
        <v>1.2500235506576309</v>
      </c>
      <c r="AO632" s="27">
        <v>10876033</v>
      </c>
      <c r="AP632" s="27" t="s">
        <v>2842</v>
      </c>
      <c r="AQ632" s="27">
        <v>55.298000000000009</v>
      </c>
      <c r="AR632" s="27">
        <v>71.400000000000006</v>
      </c>
      <c r="AS632" s="29">
        <v>72.047970000000007</v>
      </c>
      <c r="AT632" s="270">
        <v>25</v>
      </c>
      <c r="AU632" s="464">
        <v>45.874791273640589</v>
      </c>
      <c r="AV632" s="29">
        <v>-0.94665409682159996</v>
      </c>
      <c r="AW632" s="29">
        <v>-1.68228926294157</v>
      </c>
      <c r="AX632" s="29">
        <v>-1.13092764919197</v>
      </c>
      <c r="AY632" s="29">
        <v>-1.0809142207589799</v>
      </c>
      <c r="AZ632" s="60">
        <v>-1.1922492001565099</v>
      </c>
    </row>
    <row r="633" spans="1:52" s="287" customFormat="1" ht="15" customHeight="1">
      <c r="A633" s="359" t="s">
        <v>230</v>
      </c>
      <c r="B633" s="302">
        <v>2010</v>
      </c>
      <c r="C633" s="284" t="s">
        <v>2843</v>
      </c>
      <c r="D633" s="369" t="s">
        <v>81</v>
      </c>
      <c r="E633" s="284" t="s">
        <v>19</v>
      </c>
      <c r="F633" s="284" t="s">
        <v>1196</v>
      </c>
      <c r="G633" s="303">
        <v>0</v>
      </c>
      <c r="H633" s="303"/>
      <c r="I633" s="303"/>
      <c r="J633" s="303"/>
      <c r="K633" s="284" t="s">
        <v>567</v>
      </c>
      <c r="L633" s="304"/>
      <c r="M633" s="284"/>
      <c r="N633" s="284" t="s">
        <v>674</v>
      </c>
      <c r="O633" s="305"/>
      <c r="P633" s="346">
        <v>2441692.924150832</v>
      </c>
      <c r="Q633" s="346">
        <v>3894506.795420297</v>
      </c>
      <c r="R633" s="284"/>
      <c r="S633" s="284"/>
      <c r="T633" s="305"/>
      <c r="U633" s="284"/>
      <c r="V633" s="284"/>
      <c r="W633" s="307"/>
      <c r="X633" s="284"/>
      <c r="Y633" s="284"/>
      <c r="Z633" s="284"/>
      <c r="AA633" s="284"/>
      <c r="AB633" s="284" t="s">
        <v>1197</v>
      </c>
      <c r="AC633" s="308">
        <v>218560221.14787036</v>
      </c>
      <c r="AD633" s="284">
        <v>4735956475.8338232</v>
      </c>
      <c r="AE633" s="309">
        <v>4.6149119457308811E-2</v>
      </c>
      <c r="AF633" s="284">
        <v>721854486.04659128</v>
      </c>
      <c r="AG633" s="310">
        <v>0.30277601008600458</v>
      </c>
      <c r="AH633" s="310" t="s">
        <v>2842</v>
      </c>
      <c r="AI633" s="284">
        <v>217700000</v>
      </c>
      <c r="AJ633" s="310">
        <v>1.0039514062832815</v>
      </c>
      <c r="AK633" s="284">
        <v>95276499.019850731</v>
      </c>
      <c r="AL633" s="310">
        <v>2.2939573073768553</v>
      </c>
      <c r="AM633" s="284">
        <v>174844882.74871859</v>
      </c>
      <c r="AN633" s="311">
        <v>1.2500235506576309</v>
      </c>
      <c r="AO633" s="284">
        <v>10876033</v>
      </c>
      <c r="AP633" s="284" t="s">
        <v>2842</v>
      </c>
      <c r="AQ633" s="284">
        <v>55.298000000000009</v>
      </c>
      <c r="AR633" s="284">
        <v>71.400000000000006</v>
      </c>
      <c r="AS633" s="287">
        <v>72.047970000000007</v>
      </c>
      <c r="AT633" s="312">
        <v>25</v>
      </c>
      <c r="AU633" s="465">
        <v>45.874791273640589</v>
      </c>
      <c r="AV633" s="287">
        <v>-0.94665409682159996</v>
      </c>
      <c r="AW633" s="287">
        <v>-1.68228926294157</v>
      </c>
      <c r="AX633" s="287">
        <v>-1.13092764919197</v>
      </c>
      <c r="AY633" s="287">
        <v>-1.0809142207589799</v>
      </c>
      <c r="AZ633" s="313">
        <v>-1.1922492001565099</v>
      </c>
    </row>
    <row r="634" spans="1:52" ht="15" customHeight="1">
      <c r="A634" s="63" t="s">
        <v>232</v>
      </c>
      <c r="B634" s="53">
        <v>2011</v>
      </c>
      <c r="C634" s="27" t="s">
        <v>2843</v>
      </c>
      <c r="D634" s="69" t="s">
        <v>81</v>
      </c>
      <c r="E634" s="27" t="s">
        <v>19</v>
      </c>
      <c r="F634" s="27" t="s">
        <v>659</v>
      </c>
      <c r="G634" s="43"/>
      <c r="H634" s="43"/>
      <c r="I634" s="43"/>
      <c r="J634" s="43"/>
      <c r="K634" s="27"/>
      <c r="L634" s="28"/>
      <c r="M634" s="27"/>
      <c r="N634" s="27"/>
      <c r="O634" s="18">
        <f>SUM(O635:O638)</f>
        <v>1283736393.579596</v>
      </c>
      <c r="P634" s="214">
        <v>975948622.49588823</v>
      </c>
      <c r="Q634" s="214">
        <v>982235037.08119869</v>
      </c>
      <c r="R634" s="27" t="s">
        <v>619</v>
      </c>
      <c r="S634" s="27"/>
      <c r="T634" s="18"/>
      <c r="U634" s="27" t="s">
        <v>777</v>
      </c>
      <c r="V634" s="27" t="s">
        <v>1167</v>
      </c>
      <c r="W634" s="30">
        <v>6669.93</v>
      </c>
      <c r="X634" s="27">
        <v>26</v>
      </c>
      <c r="Y634" s="27" t="s">
        <v>1198</v>
      </c>
      <c r="Z634" s="27">
        <v>26</v>
      </c>
      <c r="AA634" s="27" t="s">
        <v>1199</v>
      </c>
      <c r="AB634" s="27" t="s">
        <v>1200</v>
      </c>
      <c r="AC634" s="273">
        <v>975948622.49588823</v>
      </c>
      <c r="AD634" s="27">
        <v>5067360041.1040449</v>
      </c>
      <c r="AE634" s="228">
        <v>0.1925950819715693</v>
      </c>
      <c r="AF634" s="27">
        <v>804950142.52937746</v>
      </c>
      <c r="AG634" s="226">
        <v>1.2124336290309683</v>
      </c>
      <c r="AH634" s="226" t="s">
        <v>2842</v>
      </c>
      <c r="AI634" s="27">
        <v>204490000</v>
      </c>
      <c r="AJ634" s="226">
        <v>4.7725982810694321</v>
      </c>
      <c r="AK634" s="27">
        <v>73686395.381731525</v>
      </c>
      <c r="AL634" s="226">
        <v>13.244624295163273</v>
      </c>
      <c r="AM634" s="27">
        <v>155204623.54694703</v>
      </c>
      <c r="AN634" s="271">
        <v>6.28814142383251</v>
      </c>
      <c r="AO634" s="27">
        <v>11161530</v>
      </c>
      <c r="AP634" s="27" t="s">
        <v>2842</v>
      </c>
      <c r="AQ634" s="27">
        <v>55.590195121951226</v>
      </c>
      <c r="AR634" s="27">
        <v>69</v>
      </c>
      <c r="AS634" s="29">
        <v>76.09545</v>
      </c>
      <c r="AT634" s="270">
        <v>25</v>
      </c>
      <c r="AU634" s="464">
        <v>45.874791273640589</v>
      </c>
      <c r="AV634" s="29">
        <v>-0.96892483608290403</v>
      </c>
      <c r="AW634" s="29">
        <v>-1.3906600652963399</v>
      </c>
      <c r="AX634" s="29">
        <v>-1.1381946671673699</v>
      </c>
      <c r="AY634" s="29">
        <v>-1.0020478469227601</v>
      </c>
      <c r="AZ634" s="60">
        <v>-1.1654397101820499</v>
      </c>
    </row>
    <row r="635" spans="1:52" ht="15" customHeight="1">
      <c r="A635" s="63" t="s">
        <v>232</v>
      </c>
      <c r="B635" s="53">
        <v>2011</v>
      </c>
      <c r="C635" s="27" t="s">
        <v>2843</v>
      </c>
      <c r="D635" s="69" t="s">
        <v>81</v>
      </c>
      <c r="E635" s="27" t="s">
        <v>19</v>
      </c>
      <c r="F635" s="27" t="s">
        <v>1049</v>
      </c>
      <c r="G635" s="43">
        <v>15300000</v>
      </c>
      <c r="H635" s="43"/>
      <c r="I635" s="43"/>
      <c r="J635" s="43"/>
      <c r="K635" s="27" t="s">
        <v>567</v>
      </c>
      <c r="L635" s="28">
        <v>26.25</v>
      </c>
      <c r="M635" s="27" t="s">
        <v>568</v>
      </c>
      <c r="N635" s="27" t="s">
        <v>1201</v>
      </c>
      <c r="O635" s="18">
        <f>G635*L635</f>
        <v>401625000</v>
      </c>
      <c r="P635" s="244"/>
      <c r="Q635" s="244"/>
      <c r="R635" s="27"/>
      <c r="S635" s="27"/>
      <c r="T635" s="18"/>
      <c r="U635" s="27">
        <f>L635/30.49</f>
        <v>0.86093801246310275</v>
      </c>
      <c r="V635" s="27"/>
      <c r="W635" s="30"/>
      <c r="X635" s="27"/>
      <c r="Y635" s="27"/>
      <c r="Z635" s="27"/>
      <c r="AA635" s="27"/>
      <c r="AB635" s="27"/>
      <c r="AC635" s="273">
        <v>975948622.49588823</v>
      </c>
      <c r="AD635" s="27">
        <v>5067360041.1040449</v>
      </c>
      <c r="AE635" s="228">
        <v>0.1925950819715693</v>
      </c>
      <c r="AF635" s="27">
        <v>804950142.52937746</v>
      </c>
      <c r="AG635" s="226">
        <v>1.2124336290309683</v>
      </c>
      <c r="AH635" s="226" t="s">
        <v>2842</v>
      </c>
      <c r="AI635" s="27">
        <v>204490000</v>
      </c>
      <c r="AJ635" s="226">
        <v>4.7725982810694321</v>
      </c>
      <c r="AK635" s="27">
        <v>73686395.381731525</v>
      </c>
      <c r="AL635" s="226">
        <v>13.244624295163273</v>
      </c>
      <c r="AM635" s="27">
        <v>155204623.54694703</v>
      </c>
      <c r="AN635" s="271">
        <v>6.28814142383251</v>
      </c>
      <c r="AO635" s="27">
        <v>11161530</v>
      </c>
      <c r="AP635" s="27" t="s">
        <v>2842</v>
      </c>
      <c r="AQ635" s="27">
        <v>55.590195121951226</v>
      </c>
      <c r="AR635" s="27">
        <v>69</v>
      </c>
      <c r="AS635" s="29">
        <v>76.09545</v>
      </c>
      <c r="AT635" s="270">
        <v>25</v>
      </c>
      <c r="AU635" s="464">
        <v>45.874791273640589</v>
      </c>
      <c r="AV635" s="29">
        <v>-0.96892483608290403</v>
      </c>
      <c r="AW635" s="29">
        <v>-1.3906600652963399</v>
      </c>
      <c r="AX635" s="29">
        <v>-1.1381946671673699</v>
      </c>
      <c r="AY635" s="29">
        <v>-1.0020478469227601</v>
      </c>
      <c r="AZ635" s="60">
        <v>-1.1654397101820499</v>
      </c>
    </row>
    <row r="636" spans="1:52" ht="15" customHeight="1">
      <c r="A636" s="63" t="s">
        <v>232</v>
      </c>
      <c r="B636" s="53">
        <v>2011</v>
      </c>
      <c r="C636" s="27" t="s">
        <v>2843</v>
      </c>
      <c r="D636" s="69" t="s">
        <v>81</v>
      </c>
      <c r="E636" s="27" t="s">
        <v>19</v>
      </c>
      <c r="F636" s="27" t="s">
        <v>904</v>
      </c>
      <c r="G636" s="43">
        <v>304000</v>
      </c>
      <c r="H636" s="43"/>
      <c r="I636" s="43"/>
      <c r="J636" s="43"/>
      <c r="K636" s="27" t="s">
        <v>905</v>
      </c>
      <c r="L636" s="28">
        <v>109.95</v>
      </c>
      <c r="M636" s="27" t="s">
        <v>906</v>
      </c>
      <c r="N636" s="27" t="s">
        <v>1106</v>
      </c>
      <c r="O636" s="18">
        <f>G636*L636</f>
        <v>33424800</v>
      </c>
      <c r="P636" s="244"/>
      <c r="Q636" s="244"/>
      <c r="R636" s="27"/>
      <c r="S636" s="27"/>
      <c r="T636" s="18"/>
      <c r="U636" s="27"/>
      <c r="V636" s="27"/>
      <c r="W636" s="30"/>
      <c r="X636" s="27"/>
      <c r="Y636" s="27"/>
      <c r="Z636" s="27"/>
      <c r="AA636" s="27"/>
      <c r="AB636" s="27"/>
      <c r="AC636" s="273">
        <v>975948622.49588823</v>
      </c>
      <c r="AD636" s="27">
        <v>5067360041.1040449</v>
      </c>
      <c r="AE636" s="228">
        <v>0.1925950819715693</v>
      </c>
      <c r="AF636" s="27">
        <v>804950142.52937746</v>
      </c>
      <c r="AG636" s="226">
        <v>1.2124336290309683</v>
      </c>
      <c r="AH636" s="226" t="s">
        <v>2842</v>
      </c>
      <c r="AI636" s="27">
        <v>204490000</v>
      </c>
      <c r="AJ636" s="226">
        <v>4.7725982810694321</v>
      </c>
      <c r="AK636" s="27">
        <v>73686395.381731525</v>
      </c>
      <c r="AL636" s="226">
        <v>13.244624295163273</v>
      </c>
      <c r="AM636" s="27">
        <v>155204623.54694703</v>
      </c>
      <c r="AN636" s="271">
        <v>6.28814142383251</v>
      </c>
      <c r="AO636" s="27">
        <v>11161530</v>
      </c>
      <c r="AP636" s="27" t="s">
        <v>2842</v>
      </c>
      <c r="AQ636" s="27">
        <v>55.590195121951226</v>
      </c>
      <c r="AR636" s="27">
        <v>69</v>
      </c>
      <c r="AS636" s="29">
        <v>76.09545</v>
      </c>
      <c r="AT636" s="270">
        <v>25</v>
      </c>
      <c r="AU636" s="464">
        <v>45.874791273640589</v>
      </c>
      <c r="AV636" s="29">
        <v>-0.96892483608290403</v>
      </c>
      <c r="AW636" s="29">
        <v>-1.3906600652963399</v>
      </c>
      <c r="AX636" s="29">
        <v>-1.1381946671673699</v>
      </c>
      <c r="AY636" s="29">
        <v>-1.0020478469227601</v>
      </c>
      <c r="AZ636" s="60">
        <v>-1.1654397101820499</v>
      </c>
    </row>
    <row r="637" spans="1:52" ht="15" customHeight="1">
      <c r="A637" s="63" t="s">
        <v>232</v>
      </c>
      <c r="B637" s="53">
        <v>2011</v>
      </c>
      <c r="C637" s="27" t="s">
        <v>2843</v>
      </c>
      <c r="D637" s="69" t="s">
        <v>81</v>
      </c>
      <c r="E637" s="27" t="s">
        <v>19</v>
      </c>
      <c r="F637" s="27" t="s">
        <v>730</v>
      </c>
      <c r="G637" s="43">
        <f>15695*32.150743126506</f>
        <v>504605.91337051167</v>
      </c>
      <c r="H637" s="43"/>
      <c r="I637" s="43"/>
      <c r="J637" s="43"/>
      <c r="K637" s="27" t="s">
        <v>731</v>
      </c>
      <c r="L637" s="28">
        <v>1681.88</v>
      </c>
      <c r="M637" s="27" t="s">
        <v>732</v>
      </c>
      <c r="N637" s="27" t="s">
        <v>1202</v>
      </c>
      <c r="O637" s="18">
        <f>G637*L637</f>
        <v>848686593.57959616</v>
      </c>
      <c r="P637" s="244"/>
      <c r="Q637" s="244"/>
      <c r="R637" s="27"/>
      <c r="S637" s="27"/>
      <c r="T637" s="18"/>
      <c r="U637" s="70">
        <f>SUM(L637+L642)/SUM(L962+L983)</f>
        <v>1.0594480734137288</v>
      </c>
      <c r="V637" s="27"/>
      <c r="W637" s="30"/>
      <c r="X637" s="27"/>
      <c r="Y637" s="27"/>
      <c r="Z637" s="27"/>
      <c r="AA637" s="27"/>
      <c r="AB637" s="27"/>
      <c r="AC637" s="273">
        <v>975948622.49588823</v>
      </c>
      <c r="AD637" s="27">
        <v>5067360041.1040449</v>
      </c>
      <c r="AE637" s="228">
        <v>0.1925950819715693</v>
      </c>
      <c r="AF637" s="27">
        <v>804950142.52937746</v>
      </c>
      <c r="AG637" s="226">
        <v>1.2124336290309683</v>
      </c>
      <c r="AH637" s="226" t="s">
        <v>2842</v>
      </c>
      <c r="AI637" s="27">
        <v>204490000</v>
      </c>
      <c r="AJ637" s="226">
        <v>4.7725982810694321</v>
      </c>
      <c r="AK637" s="27">
        <v>73686395.381731525</v>
      </c>
      <c r="AL637" s="226">
        <v>13.244624295163273</v>
      </c>
      <c r="AM637" s="27">
        <v>155204623.54694703</v>
      </c>
      <c r="AN637" s="271">
        <v>6.28814142383251</v>
      </c>
      <c r="AO637" s="27">
        <v>11161530</v>
      </c>
      <c r="AP637" s="27" t="s">
        <v>2842</v>
      </c>
      <c r="AQ637" s="27">
        <v>55.590195121951226</v>
      </c>
      <c r="AR637" s="27">
        <v>69</v>
      </c>
      <c r="AS637" s="29">
        <v>76.09545</v>
      </c>
      <c r="AT637" s="270">
        <v>25</v>
      </c>
      <c r="AU637" s="464">
        <v>45.874791273640589</v>
      </c>
      <c r="AV637" s="29">
        <v>-0.96892483608290403</v>
      </c>
      <c r="AW637" s="29">
        <v>-1.3906600652963399</v>
      </c>
      <c r="AX637" s="29">
        <v>-1.1381946671673699</v>
      </c>
      <c r="AY637" s="29">
        <v>-1.0020478469227601</v>
      </c>
      <c r="AZ637" s="60">
        <v>-1.1654397101820499</v>
      </c>
    </row>
    <row r="638" spans="1:52" s="287" customFormat="1" ht="15" customHeight="1">
      <c r="A638" s="359" t="s">
        <v>232</v>
      </c>
      <c r="B638" s="302">
        <v>2011</v>
      </c>
      <c r="C638" s="284" t="s">
        <v>2843</v>
      </c>
      <c r="D638" s="369" t="s">
        <v>81</v>
      </c>
      <c r="E638" s="284" t="s">
        <v>19</v>
      </c>
      <c r="F638" s="284" t="s">
        <v>1196</v>
      </c>
      <c r="G638" s="303">
        <v>0</v>
      </c>
      <c r="H638" s="303"/>
      <c r="I638" s="303"/>
      <c r="J638" s="303"/>
      <c r="K638" s="284" t="s">
        <v>567</v>
      </c>
      <c r="L638" s="304"/>
      <c r="M638" s="284"/>
      <c r="N638" s="284" t="s">
        <v>674</v>
      </c>
      <c r="O638" s="305"/>
      <c r="P638" s="374"/>
      <c r="Q638" s="374"/>
      <c r="R638" s="284"/>
      <c r="S638" s="284"/>
      <c r="T638" s="305"/>
      <c r="U638" s="284"/>
      <c r="V638" s="284"/>
      <c r="W638" s="307"/>
      <c r="X638" s="284"/>
      <c r="Y638" s="284"/>
      <c r="Z638" s="284"/>
      <c r="AA638" s="284"/>
      <c r="AB638" s="284" t="s">
        <v>1203</v>
      </c>
      <c r="AC638" s="308">
        <v>975948622.49588823</v>
      </c>
      <c r="AD638" s="284">
        <v>5067360041.1040449</v>
      </c>
      <c r="AE638" s="309">
        <v>0.1925950819715693</v>
      </c>
      <c r="AF638" s="284">
        <v>804950142.52937746</v>
      </c>
      <c r="AG638" s="310">
        <v>1.2124336290309683</v>
      </c>
      <c r="AH638" s="310" t="s">
        <v>2842</v>
      </c>
      <c r="AI638" s="284">
        <v>204490000</v>
      </c>
      <c r="AJ638" s="310">
        <v>4.7725982810694321</v>
      </c>
      <c r="AK638" s="284">
        <v>73686395.381731525</v>
      </c>
      <c r="AL638" s="310">
        <v>13.244624295163273</v>
      </c>
      <c r="AM638" s="284">
        <v>155204623.54694703</v>
      </c>
      <c r="AN638" s="311">
        <v>6.28814142383251</v>
      </c>
      <c r="AO638" s="284">
        <v>11161530</v>
      </c>
      <c r="AP638" s="284" t="s">
        <v>2842</v>
      </c>
      <c r="AQ638" s="284">
        <v>55.590195121951226</v>
      </c>
      <c r="AR638" s="284">
        <v>69</v>
      </c>
      <c r="AS638" s="287">
        <v>76.09545</v>
      </c>
      <c r="AT638" s="312">
        <v>25</v>
      </c>
      <c r="AU638" s="465">
        <v>45.874791273640589</v>
      </c>
      <c r="AV638" s="287">
        <v>-0.96892483608290403</v>
      </c>
      <c r="AW638" s="287">
        <v>-1.3906600652963399</v>
      </c>
      <c r="AX638" s="287">
        <v>-1.1381946671673699</v>
      </c>
      <c r="AY638" s="287">
        <v>-1.0020478469227601</v>
      </c>
      <c r="AZ638" s="313">
        <v>-1.1654397101820499</v>
      </c>
    </row>
    <row r="639" spans="1:52" s="29" customFormat="1" ht="15" customHeight="1">
      <c r="A639" s="347" t="s">
        <v>234</v>
      </c>
      <c r="B639" s="53">
        <v>2012</v>
      </c>
      <c r="C639" s="27" t="s">
        <v>2843</v>
      </c>
      <c r="D639" s="69" t="s">
        <v>81</v>
      </c>
      <c r="E639" s="27" t="s">
        <v>19</v>
      </c>
      <c r="F639" s="27" t="s">
        <v>659</v>
      </c>
      <c r="G639" s="43"/>
      <c r="H639" s="43"/>
      <c r="I639" s="43"/>
      <c r="J639" s="43"/>
      <c r="K639" s="27"/>
      <c r="L639" s="28"/>
      <c r="M639" s="27"/>
      <c r="N639" s="27"/>
      <c r="O639" s="18">
        <f>SUM(O640:O643)</f>
        <v>1284378425.849036</v>
      </c>
      <c r="P639" s="213">
        <v>371466405.82975137</v>
      </c>
      <c r="Q639" s="213">
        <v>379858335.16916144</v>
      </c>
      <c r="R639" s="27" t="s">
        <v>619</v>
      </c>
      <c r="S639" s="27"/>
      <c r="T639" s="18"/>
      <c r="U639" s="27" t="s">
        <v>917</v>
      </c>
      <c r="V639" s="27" t="s">
        <v>1167</v>
      </c>
      <c r="W639" s="30">
        <v>6944.55</v>
      </c>
      <c r="X639" s="27">
        <v>26</v>
      </c>
      <c r="Y639" s="27" t="s">
        <v>1204</v>
      </c>
      <c r="Z639" s="27">
        <v>26</v>
      </c>
      <c r="AA639" s="27" t="s">
        <v>1205</v>
      </c>
      <c r="AB639" s="68" t="s">
        <v>1206</v>
      </c>
      <c r="AC639" s="273">
        <v>371466405.82975137</v>
      </c>
      <c r="AD639" s="27">
        <v>5651088170.2860603</v>
      </c>
      <c r="AE639" s="228">
        <v>6.5733606455294011E-2</v>
      </c>
      <c r="AF639" s="27">
        <v>853257802.8314923</v>
      </c>
      <c r="AG639" s="226">
        <v>0.43535072822898208</v>
      </c>
      <c r="AH639" s="226" t="s">
        <v>2842</v>
      </c>
      <c r="AI639" s="27">
        <v>339650000</v>
      </c>
      <c r="AJ639" s="226">
        <v>1.0936740934189648</v>
      </c>
      <c r="AK639" s="27">
        <v>100141035.03990893</v>
      </c>
      <c r="AL639" s="226">
        <v>3.7094324587489225</v>
      </c>
      <c r="AM639" s="27">
        <v>139660427.93163267</v>
      </c>
      <c r="AN639" s="271">
        <v>2.6597828127205339</v>
      </c>
      <c r="AO639" s="27">
        <v>11451273</v>
      </c>
      <c r="AP639" s="27">
        <v>55.2</v>
      </c>
      <c r="AQ639" s="27">
        <v>55.844658536585371</v>
      </c>
      <c r="AR639" s="27">
        <v>67</v>
      </c>
      <c r="AS639" s="29">
        <v>75.526719999999997</v>
      </c>
      <c r="AT639" s="270">
        <v>25</v>
      </c>
      <c r="AU639" s="464">
        <v>45.874791273640589</v>
      </c>
      <c r="AV639" s="29">
        <v>-1.08333303531128</v>
      </c>
      <c r="AW639" s="29">
        <v>-1.2807007045265699</v>
      </c>
      <c r="AX639" s="29">
        <v>-1.2712308490911599</v>
      </c>
      <c r="AY639" s="29">
        <v>-1.0196021012027501</v>
      </c>
      <c r="AZ639" s="60">
        <v>-1.10865558543161</v>
      </c>
    </row>
    <row r="640" spans="1:52" s="29" customFormat="1" ht="15" customHeight="1">
      <c r="A640" s="63" t="s">
        <v>234</v>
      </c>
      <c r="B640" s="53">
        <v>2012</v>
      </c>
      <c r="C640" s="27" t="s">
        <v>2843</v>
      </c>
      <c r="D640" s="69" t="s">
        <v>81</v>
      </c>
      <c r="E640" s="27" t="s">
        <v>19</v>
      </c>
      <c r="F640" s="27" t="s">
        <v>1049</v>
      </c>
      <c r="G640" s="43">
        <v>19202874</v>
      </c>
      <c r="H640" s="43">
        <v>19202874</v>
      </c>
      <c r="I640" s="43"/>
      <c r="J640" s="43"/>
      <c r="K640" s="27" t="s">
        <v>567</v>
      </c>
      <c r="L640" s="28">
        <f>28.46*0.8609</f>
        <v>24.501214000000001</v>
      </c>
      <c r="M640" s="27" t="s">
        <v>568</v>
      </c>
      <c r="N640" s="27" t="s">
        <v>1207</v>
      </c>
      <c r="O640" s="18">
        <f>G640*L640</f>
        <v>470493725.28903604</v>
      </c>
      <c r="P640" s="244"/>
      <c r="Q640" s="244"/>
      <c r="R640" s="27"/>
      <c r="S640" s="27"/>
      <c r="T640" s="18"/>
      <c r="U640" s="27"/>
      <c r="V640" s="27"/>
      <c r="W640" s="30"/>
      <c r="X640" s="27"/>
      <c r="Y640" s="27"/>
      <c r="Z640" s="27"/>
      <c r="AA640" s="27"/>
      <c r="AB640" s="27"/>
      <c r="AC640" s="273">
        <v>371466405.82975137</v>
      </c>
      <c r="AD640" s="27">
        <v>5651088170.2860603</v>
      </c>
      <c r="AE640" s="228">
        <v>6.5733606455294011E-2</v>
      </c>
      <c r="AF640" s="27">
        <v>853257802.8314923</v>
      </c>
      <c r="AG640" s="226">
        <v>0.43535072822898208</v>
      </c>
      <c r="AH640" s="226" t="s">
        <v>2842</v>
      </c>
      <c r="AI640" s="27">
        <v>339650000</v>
      </c>
      <c r="AJ640" s="226">
        <v>1.0936740934189648</v>
      </c>
      <c r="AK640" s="27">
        <v>100141035.03990893</v>
      </c>
      <c r="AL640" s="226">
        <v>3.7094324587489225</v>
      </c>
      <c r="AM640" s="27">
        <v>139660427.93163267</v>
      </c>
      <c r="AN640" s="271">
        <v>2.6597828127205339</v>
      </c>
      <c r="AO640" s="27">
        <v>11451273</v>
      </c>
      <c r="AP640" s="27">
        <v>55.2</v>
      </c>
      <c r="AQ640" s="27">
        <v>55.844658536585371</v>
      </c>
      <c r="AR640" s="27">
        <v>67</v>
      </c>
      <c r="AS640" s="29">
        <v>75.526719999999997</v>
      </c>
      <c r="AT640" s="270">
        <v>25</v>
      </c>
      <c r="AU640" s="464">
        <v>45.874791273640589</v>
      </c>
      <c r="AV640" s="29">
        <v>-1.08333303531128</v>
      </c>
      <c r="AW640" s="29">
        <v>-1.2807007045265699</v>
      </c>
      <c r="AX640" s="29">
        <v>-1.2712308490911599</v>
      </c>
      <c r="AY640" s="29">
        <v>-1.0196021012027501</v>
      </c>
      <c r="AZ640" s="60">
        <v>-1.10865558543161</v>
      </c>
    </row>
    <row r="641" spans="1:52" s="29" customFormat="1" ht="15" customHeight="1">
      <c r="A641" s="63" t="s">
        <v>234</v>
      </c>
      <c r="B641" s="53">
        <v>2012</v>
      </c>
      <c r="C641" s="27" t="s">
        <v>2843</v>
      </c>
      <c r="D641" s="69" t="s">
        <v>81</v>
      </c>
      <c r="E641" s="27" t="s">
        <v>19</v>
      </c>
      <c r="F641" s="27" t="s">
        <v>904</v>
      </c>
      <c r="G641" s="43">
        <f>43019</f>
        <v>43019</v>
      </c>
      <c r="H641" s="43">
        <f>43019</f>
        <v>43019</v>
      </c>
      <c r="I641" s="43"/>
      <c r="J641" s="43"/>
      <c r="K641" s="27" t="s">
        <v>905</v>
      </c>
      <c r="L641" s="28">
        <v>163.24</v>
      </c>
      <c r="M641" s="27" t="s">
        <v>906</v>
      </c>
      <c r="N641" s="27" t="s">
        <v>1208</v>
      </c>
      <c r="O641" s="18">
        <f>G641*L641</f>
        <v>7022421.5600000005</v>
      </c>
      <c r="P641" s="244"/>
      <c r="Q641" s="244"/>
      <c r="R641" s="27"/>
      <c r="S641" s="27"/>
      <c r="T641" s="18"/>
      <c r="U641" s="27"/>
      <c r="V641" s="27"/>
      <c r="W641" s="30"/>
      <c r="X641" s="27"/>
      <c r="Y641" s="27"/>
      <c r="Z641" s="27"/>
      <c r="AA641" s="27"/>
      <c r="AB641" s="27"/>
      <c r="AC641" s="273">
        <v>371466405.82975137</v>
      </c>
      <c r="AD641" s="27">
        <v>5651088170.2860603</v>
      </c>
      <c r="AE641" s="228">
        <v>6.5733606455294011E-2</v>
      </c>
      <c r="AF641" s="27">
        <v>853257802.8314923</v>
      </c>
      <c r="AG641" s="226">
        <v>0.43535072822898208</v>
      </c>
      <c r="AH641" s="226" t="s">
        <v>2842</v>
      </c>
      <c r="AI641" s="27">
        <v>339650000</v>
      </c>
      <c r="AJ641" s="226">
        <v>1.0936740934189648</v>
      </c>
      <c r="AK641" s="27">
        <v>100141035.03990893</v>
      </c>
      <c r="AL641" s="226">
        <v>3.7094324587489225</v>
      </c>
      <c r="AM641" s="27">
        <v>139660427.93163267</v>
      </c>
      <c r="AN641" s="271">
        <v>2.6597828127205339</v>
      </c>
      <c r="AO641" s="27">
        <v>11451273</v>
      </c>
      <c r="AP641" s="27">
        <v>55.2</v>
      </c>
      <c r="AQ641" s="27">
        <v>55.844658536585371</v>
      </c>
      <c r="AR641" s="27">
        <v>67</v>
      </c>
      <c r="AS641" s="29">
        <v>75.526719999999997</v>
      </c>
      <c r="AT641" s="270">
        <v>25</v>
      </c>
      <c r="AU641" s="464">
        <v>45.874791273640589</v>
      </c>
      <c r="AV641" s="29">
        <v>-1.08333303531128</v>
      </c>
      <c r="AW641" s="29">
        <v>-1.2807007045265699</v>
      </c>
      <c r="AX641" s="29">
        <v>-1.2712308490911599</v>
      </c>
      <c r="AY641" s="29">
        <v>-1.0196021012027501</v>
      </c>
      <c r="AZ641" s="60">
        <v>-1.10865558543161</v>
      </c>
    </row>
    <row r="642" spans="1:52" s="29" customFormat="1" ht="15" customHeight="1">
      <c r="A642" s="63" t="s">
        <v>234</v>
      </c>
      <c r="B642" s="53">
        <v>2012</v>
      </c>
      <c r="C642" s="27" t="s">
        <v>2843</v>
      </c>
      <c r="D642" s="69" t="s">
        <v>81</v>
      </c>
      <c r="E642" s="27" t="s">
        <v>19</v>
      </c>
      <c r="F642" s="27" t="s">
        <v>730</v>
      </c>
      <c r="G642" s="43">
        <f>503409* 0.911458333</f>
        <v>458836.32795719698</v>
      </c>
      <c r="H642" s="43">
        <f>503409* 0.911458333</f>
        <v>458836.32795719698</v>
      </c>
      <c r="I642" s="43"/>
      <c r="J642" s="43"/>
      <c r="K642" s="27" t="s">
        <v>731</v>
      </c>
      <c r="L642" s="28">
        <v>1749.3846696351361</v>
      </c>
      <c r="M642" s="27" t="s">
        <v>732</v>
      </c>
      <c r="N642" s="27" t="s">
        <v>1209</v>
      </c>
      <c r="O642" s="18">
        <f>G642*L642</f>
        <v>802681238</v>
      </c>
      <c r="P642" s="244"/>
      <c r="Q642" s="244"/>
      <c r="R642" s="27"/>
      <c r="S642" s="27"/>
      <c r="T642" s="18"/>
      <c r="U642" s="27"/>
      <c r="V642" s="27"/>
      <c r="W642" s="30"/>
      <c r="X642" s="27"/>
      <c r="Y642" s="27"/>
      <c r="Z642" s="27"/>
      <c r="AA642" s="27"/>
      <c r="AB642" s="27"/>
      <c r="AC642" s="273">
        <v>371466405.82975137</v>
      </c>
      <c r="AD642" s="27">
        <v>5651088170.2860603</v>
      </c>
      <c r="AE642" s="228">
        <v>6.5733606455294011E-2</v>
      </c>
      <c r="AF642" s="27">
        <v>853257802.8314923</v>
      </c>
      <c r="AG642" s="226">
        <v>0.43535072822898208</v>
      </c>
      <c r="AH642" s="226" t="s">
        <v>2842</v>
      </c>
      <c r="AI642" s="27">
        <v>339650000</v>
      </c>
      <c r="AJ642" s="226">
        <v>1.0936740934189648</v>
      </c>
      <c r="AK642" s="27">
        <v>100141035.03990893</v>
      </c>
      <c r="AL642" s="226">
        <v>3.7094324587489225</v>
      </c>
      <c r="AM642" s="27">
        <v>139660427.93163267</v>
      </c>
      <c r="AN642" s="271">
        <v>2.6597828127205339</v>
      </c>
      <c r="AO642" s="27">
        <v>11451273</v>
      </c>
      <c r="AP642" s="27">
        <v>55.2</v>
      </c>
      <c r="AQ642" s="27">
        <v>55.844658536585371</v>
      </c>
      <c r="AR642" s="27">
        <v>67</v>
      </c>
      <c r="AS642" s="29">
        <v>75.526719999999997</v>
      </c>
      <c r="AT642" s="270">
        <v>25</v>
      </c>
      <c r="AU642" s="464">
        <v>45.874791273640589</v>
      </c>
      <c r="AV642" s="29">
        <v>-1.08333303531128</v>
      </c>
      <c r="AW642" s="29">
        <v>-1.2807007045265699</v>
      </c>
      <c r="AX642" s="29">
        <v>-1.2712308490911599</v>
      </c>
      <c r="AY642" s="29">
        <v>-1.0196021012027501</v>
      </c>
      <c r="AZ642" s="60">
        <v>-1.10865558543161</v>
      </c>
    </row>
    <row r="643" spans="1:52" s="232" customFormat="1" ht="15" customHeight="1" thickBot="1">
      <c r="A643" s="363" t="s">
        <v>234</v>
      </c>
      <c r="B643" s="296">
        <v>2012</v>
      </c>
      <c r="C643" s="230" t="s">
        <v>2843</v>
      </c>
      <c r="D643" s="385" t="s">
        <v>81</v>
      </c>
      <c r="E643" s="230" t="s">
        <v>19</v>
      </c>
      <c r="F643" s="230" t="s">
        <v>1196</v>
      </c>
      <c r="G643" s="297">
        <v>47319</v>
      </c>
      <c r="H643" s="297">
        <v>47319</v>
      </c>
      <c r="I643" s="297"/>
      <c r="J643" s="297"/>
      <c r="K643" s="230" t="s">
        <v>567</v>
      </c>
      <c r="L643" s="298">
        <v>88.358608592742868</v>
      </c>
      <c r="M643" s="230" t="s">
        <v>568</v>
      </c>
      <c r="N643" s="230" t="s">
        <v>1209</v>
      </c>
      <c r="O643" s="285">
        <f>G643*L643</f>
        <v>4181041</v>
      </c>
      <c r="P643" s="318"/>
      <c r="Q643" s="318"/>
      <c r="R643" s="230"/>
      <c r="S643" s="230"/>
      <c r="T643" s="285"/>
      <c r="U643" s="230"/>
      <c r="V643" s="230"/>
      <c r="W643" s="300"/>
      <c r="X643" s="230"/>
      <c r="Y643" s="230"/>
      <c r="Z643" s="230"/>
      <c r="AA643" s="230"/>
      <c r="AB643" s="230"/>
      <c r="AC643" s="274">
        <v>371466405.82975137</v>
      </c>
      <c r="AD643" s="230">
        <v>5651088170.2860603</v>
      </c>
      <c r="AE643" s="229">
        <v>6.5733606455294011E-2</v>
      </c>
      <c r="AF643" s="230">
        <v>853257802.8314923</v>
      </c>
      <c r="AG643" s="231">
        <v>0.43535072822898208</v>
      </c>
      <c r="AH643" s="231" t="s">
        <v>2842</v>
      </c>
      <c r="AI643" s="230">
        <v>339650000</v>
      </c>
      <c r="AJ643" s="231">
        <v>1.0936740934189648</v>
      </c>
      <c r="AK643" s="230">
        <v>100141035.03990893</v>
      </c>
      <c r="AL643" s="231">
        <v>3.7094324587489225</v>
      </c>
      <c r="AM643" s="230">
        <v>139660427.93163267</v>
      </c>
      <c r="AN643" s="275">
        <v>2.6597828127205339</v>
      </c>
      <c r="AO643" s="230">
        <v>11451273</v>
      </c>
      <c r="AP643" s="230">
        <v>55.2</v>
      </c>
      <c r="AQ643" s="230">
        <v>55.844658536585371</v>
      </c>
      <c r="AR643" s="230">
        <v>67</v>
      </c>
      <c r="AS643" s="232">
        <v>75.526719999999997</v>
      </c>
      <c r="AT643" s="276">
        <v>25</v>
      </c>
      <c r="AU643" s="466">
        <v>45.874791273640589</v>
      </c>
      <c r="AV643" s="232">
        <v>-1.08333303531128</v>
      </c>
      <c r="AW643" s="232">
        <v>-1.2807007045265699</v>
      </c>
      <c r="AX643" s="232">
        <v>-1.2712308490911599</v>
      </c>
      <c r="AY643" s="232">
        <v>-1.0196021012027501</v>
      </c>
      <c r="AZ643" s="293">
        <v>-1.10865558543161</v>
      </c>
    </row>
    <row r="644" spans="1:52" ht="15" customHeight="1">
      <c r="A644" s="59" t="s">
        <v>236</v>
      </c>
      <c r="B644" s="27">
        <v>2009</v>
      </c>
      <c r="C644" s="27" t="s">
        <v>237</v>
      </c>
      <c r="D644" s="27" t="s">
        <v>238</v>
      </c>
      <c r="E644" s="27" t="s">
        <v>30</v>
      </c>
      <c r="F644" s="27" t="s">
        <v>659</v>
      </c>
      <c r="G644" s="43"/>
      <c r="H644" s="43"/>
      <c r="I644" s="43"/>
      <c r="J644" s="43"/>
      <c r="K644" s="27"/>
      <c r="L644" s="28"/>
      <c r="M644" s="27"/>
      <c r="N644" s="27"/>
      <c r="O644" s="18">
        <f>O645+O648</f>
        <v>63917674476.768425</v>
      </c>
      <c r="P644" s="213">
        <v>24925055610</v>
      </c>
      <c r="Q644" s="213">
        <v>24682330430</v>
      </c>
      <c r="R644" s="27" t="s">
        <v>3693</v>
      </c>
      <c r="S644" s="27" t="s">
        <v>1212</v>
      </c>
      <c r="T644" s="18">
        <v>15316435000</v>
      </c>
      <c r="U644" s="27" t="s">
        <v>1211</v>
      </c>
      <c r="V644" s="27" t="s">
        <v>802</v>
      </c>
      <c r="W644" s="30"/>
      <c r="X644" s="27">
        <v>129</v>
      </c>
      <c r="Y644" s="27" t="s">
        <v>1213</v>
      </c>
      <c r="Z644" s="27">
        <v>126</v>
      </c>
      <c r="AA644" s="27" t="s">
        <v>1215</v>
      </c>
      <c r="AB644" s="27" t="s">
        <v>1216</v>
      </c>
      <c r="AC644" s="273">
        <v>24925055610</v>
      </c>
      <c r="AD644" s="27">
        <v>539579955780.06226</v>
      </c>
      <c r="AE644" s="228">
        <v>4.6193442404594588E-2</v>
      </c>
      <c r="AF644" s="27">
        <v>104182097862.01442</v>
      </c>
      <c r="AG644" s="226">
        <v>0.23924509221356219</v>
      </c>
      <c r="AH644" s="226">
        <v>0.33776415575104257</v>
      </c>
      <c r="AI644" s="27">
        <v>1046530000</v>
      </c>
      <c r="AJ644" s="226">
        <v>23.816857242506188</v>
      </c>
      <c r="AK644" s="27">
        <v>5501284285.6533089</v>
      </c>
      <c r="AL644" s="226">
        <v>4.5307703284852163</v>
      </c>
      <c r="AM644" s="27">
        <v>19020894895.189709</v>
      </c>
      <c r="AN644" s="271">
        <v>1.3104039398431997</v>
      </c>
      <c r="AO644" s="27">
        <v>237486894</v>
      </c>
      <c r="AP644" s="27">
        <v>14.2</v>
      </c>
      <c r="AQ644" s="27">
        <v>69.933097560975625</v>
      </c>
      <c r="AR644" s="27">
        <v>28.6</v>
      </c>
      <c r="AS644" s="29">
        <v>98.035229999999999</v>
      </c>
      <c r="AT644" s="270">
        <v>34</v>
      </c>
      <c r="AU644" s="464">
        <v>65.756016474143607</v>
      </c>
      <c r="AV644" s="29">
        <v>-3.3692223068848899E-2</v>
      </c>
      <c r="AW644" s="29">
        <v>-0.75851636602946304</v>
      </c>
      <c r="AX644" s="29">
        <v>-0.27656821064612203</v>
      </c>
      <c r="AY644" s="29">
        <v>-0.33309293933209</v>
      </c>
      <c r="AZ644" s="60">
        <v>-0.81582570120773601</v>
      </c>
    </row>
    <row r="645" spans="1:52" ht="15" customHeight="1">
      <c r="A645" s="59" t="s">
        <v>236</v>
      </c>
      <c r="B645" s="27">
        <v>2009</v>
      </c>
      <c r="C645" s="27" t="s">
        <v>237</v>
      </c>
      <c r="D645" s="27" t="s">
        <v>238</v>
      </c>
      <c r="E645" s="27" t="s">
        <v>50</v>
      </c>
      <c r="F645" s="27" t="s">
        <v>597</v>
      </c>
      <c r="G645" s="43"/>
      <c r="H645" s="43"/>
      <c r="I645" s="43"/>
      <c r="J645" s="43"/>
      <c r="K645" s="27"/>
      <c r="L645" s="28"/>
      <c r="M645" s="27"/>
      <c r="N645" s="27"/>
      <c r="O645" s="18">
        <f>SUM(O646:O647)</f>
        <v>32461193487.104675</v>
      </c>
      <c r="P645" s="213">
        <v>20711929000</v>
      </c>
      <c r="Q645" s="213">
        <v>20615506000</v>
      </c>
      <c r="R645" s="27"/>
      <c r="S645" s="27" t="s">
        <v>1212</v>
      </c>
      <c r="T645" s="18">
        <v>15316435000</v>
      </c>
      <c r="U645" s="27"/>
      <c r="V645" s="27"/>
      <c r="W645" s="30"/>
      <c r="X645" s="27">
        <v>57</v>
      </c>
      <c r="Y645" s="27" t="s">
        <v>1217</v>
      </c>
      <c r="Z645" s="27">
        <v>57</v>
      </c>
      <c r="AA645" s="27">
        <v>14</v>
      </c>
      <c r="AB645" s="27"/>
      <c r="AC645" s="273">
        <v>24925055610</v>
      </c>
      <c r="AD645" s="27">
        <v>539579955780.06226</v>
      </c>
      <c r="AE645" s="228">
        <v>4.6193442404594588E-2</v>
      </c>
      <c r="AF645" s="27">
        <v>104182097862.01442</v>
      </c>
      <c r="AG645" s="226">
        <v>0.23924509221356219</v>
      </c>
      <c r="AH645" s="226">
        <v>0.33776415575104257</v>
      </c>
      <c r="AI645" s="27">
        <v>1046530000</v>
      </c>
      <c r="AJ645" s="226">
        <v>23.816857242506188</v>
      </c>
      <c r="AK645" s="27">
        <v>5501284285.6533089</v>
      </c>
      <c r="AL645" s="226">
        <v>4.5307703284852163</v>
      </c>
      <c r="AM645" s="27">
        <v>19020894895.189709</v>
      </c>
      <c r="AN645" s="271">
        <v>1.3104039398431997</v>
      </c>
      <c r="AO645" s="27">
        <v>237486894</v>
      </c>
      <c r="AP645" s="27">
        <v>14.2</v>
      </c>
      <c r="AQ645" s="27">
        <v>69.933097560975625</v>
      </c>
      <c r="AR645" s="27">
        <v>28.6</v>
      </c>
      <c r="AS645" s="29">
        <v>98.035229999999999</v>
      </c>
      <c r="AT645" s="270">
        <v>34</v>
      </c>
      <c r="AU645" s="464">
        <v>65.756016474143607</v>
      </c>
      <c r="AV645" s="29">
        <v>-3.3692223068848899E-2</v>
      </c>
      <c r="AW645" s="29">
        <v>-0.75851636602946304</v>
      </c>
      <c r="AX645" s="29">
        <v>-0.27656821064612203</v>
      </c>
      <c r="AY645" s="29">
        <v>-0.33309293933209</v>
      </c>
      <c r="AZ645" s="60">
        <v>-0.81582570120773601</v>
      </c>
    </row>
    <row r="646" spans="1:52" ht="15" customHeight="1">
      <c r="A646" s="59" t="s">
        <v>236</v>
      </c>
      <c r="B646" s="27">
        <v>2009</v>
      </c>
      <c r="C646" s="27" t="s">
        <v>237</v>
      </c>
      <c r="D646" s="27" t="s">
        <v>238</v>
      </c>
      <c r="E646" s="27" t="s">
        <v>552</v>
      </c>
      <c r="F646" s="27" t="s">
        <v>552</v>
      </c>
      <c r="G646" s="43">
        <v>71900000000</v>
      </c>
      <c r="H646" s="43"/>
      <c r="I646" s="43"/>
      <c r="J646" s="43"/>
      <c r="K646" s="27" t="s">
        <v>599</v>
      </c>
      <c r="L646" s="28">
        <v>0.14422800000000002</v>
      </c>
      <c r="M646" s="27" t="s">
        <v>600</v>
      </c>
      <c r="N646" s="27" t="s">
        <v>685</v>
      </c>
      <c r="O646" s="18">
        <f>G646*L646</f>
        <v>10369993200.000002</v>
      </c>
      <c r="P646" s="213"/>
      <c r="Q646" s="213"/>
      <c r="R646" s="27"/>
      <c r="S646" s="27"/>
      <c r="T646" s="18"/>
      <c r="U646" s="27"/>
      <c r="V646" s="27"/>
      <c r="W646" s="30"/>
      <c r="X646" s="27"/>
      <c r="Y646" s="27"/>
      <c r="Z646" s="27"/>
      <c r="AA646" s="27">
        <v>26</v>
      </c>
      <c r="AB646" s="27"/>
      <c r="AC646" s="273">
        <v>24925055610</v>
      </c>
      <c r="AD646" s="27">
        <v>539579955780.06226</v>
      </c>
      <c r="AE646" s="228">
        <v>4.6193442404594588E-2</v>
      </c>
      <c r="AF646" s="27">
        <v>104182097862.01442</v>
      </c>
      <c r="AG646" s="226">
        <v>0.23924509221356219</v>
      </c>
      <c r="AH646" s="226">
        <v>0.33776415575104257</v>
      </c>
      <c r="AI646" s="27">
        <v>1046530000</v>
      </c>
      <c r="AJ646" s="226">
        <v>23.816857242506188</v>
      </c>
      <c r="AK646" s="27">
        <v>5501284285.6533089</v>
      </c>
      <c r="AL646" s="226">
        <v>4.5307703284852163</v>
      </c>
      <c r="AM646" s="27">
        <v>19020894895.189709</v>
      </c>
      <c r="AN646" s="271">
        <v>1.3104039398431997</v>
      </c>
      <c r="AO646" s="27">
        <v>237486894</v>
      </c>
      <c r="AP646" s="27">
        <v>14.2</v>
      </c>
      <c r="AQ646" s="27">
        <v>69.933097560975625</v>
      </c>
      <c r="AR646" s="27">
        <v>28.6</v>
      </c>
      <c r="AS646" s="29">
        <v>98.035229999999999</v>
      </c>
      <c r="AT646" s="270">
        <v>34</v>
      </c>
      <c r="AU646" s="464">
        <v>65.756016474143607</v>
      </c>
      <c r="AV646" s="29">
        <v>-3.3692223068848899E-2</v>
      </c>
      <c r="AW646" s="29">
        <v>-0.75851636602946304</v>
      </c>
      <c r="AX646" s="29">
        <v>-0.27656821064612203</v>
      </c>
      <c r="AY646" s="29">
        <v>-0.33309293933209</v>
      </c>
      <c r="AZ646" s="60">
        <v>-0.81582570120773601</v>
      </c>
    </row>
    <row r="647" spans="1:52" ht="15" customHeight="1">
      <c r="A647" s="59" t="s">
        <v>236</v>
      </c>
      <c r="B647" s="27">
        <v>2009</v>
      </c>
      <c r="C647" s="27" t="s">
        <v>237</v>
      </c>
      <c r="D647" s="27" t="s">
        <v>238</v>
      </c>
      <c r="E647" s="27" t="s">
        <v>98</v>
      </c>
      <c r="F647" s="27" t="s">
        <v>98</v>
      </c>
      <c r="G647" s="43">
        <v>346750000</v>
      </c>
      <c r="H647" s="43">
        <v>346750000</v>
      </c>
      <c r="I647" s="43"/>
      <c r="J647" s="43"/>
      <c r="K647" s="27" t="s">
        <v>603</v>
      </c>
      <c r="L647" s="28">
        <f>62.08273385*1.0262</f>
        <v>63.709301476869996</v>
      </c>
      <c r="M647" s="27" t="s">
        <v>626</v>
      </c>
      <c r="N647" s="27" t="s">
        <v>1218</v>
      </c>
      <c r="O647" s="18">
        <f>G647*L647</f>
        <v>22091200287.104671</v>
      </c>
      <c r="P647" s="213"/>
      <c r="Q647" s="213"/>
      <c r="R647" s="27"/>
      <c r="S647" s="27"/>
      <c r="T647" s="18"/>
      <c r="U647" s="27"/>
      <c r="V647" s="27"/>
      <c r="W647" s="30"/>
      <c r="X647" s="27"/>
      <c r="Y647" s="27"/>
      <c r="Z647" s="27"/>
      <c r="AA647" s="27">
        <v>26</v>
      </c>
      <c r="AB647" s="27"/>
      <c r="AC647" s="273">
        <v>24925055610</v>
      </c>
      <c r="AD647" s="27">
        <v>539579955780.06226</v>
      </c>
      <c r="AE647" s="228">
        <v>4.6193442404594588E-2</v>
      </c>
      <c r="AF647" s="27">
        <v>104182097862.01442</v>
      </c>
      <c r="AG647" s="226">
        <v>0.23924509221356219</v>
      </c>
      <c r="AH647" s="226">
        <v>0.33776415575104257</v>
      </c>
      <c r="AI647" s="27">
        <v>1046530000</v>
      </c>
      <c r="AJ647" s="226">
        <v>23.816857242506188</v>
      </c>
      <c r="AK647" s="27">
        <v>5501284285.6533089</v>
      </c>
      <c r="AL647" s="226">
        <v>4.5307703284852163</v>
      </c>
      <c r="AM647" s="27">
        <v>19020894895.189709</v>
      </c>
      <c r="AN647" s="271">
        <v>1.3104039398431997</v>
      </c>
      <c r="AO647" s="27">
        <v>237486894</v>
      </c>
      <c r="AP647" s="27">
        <v>14.2</v>
      </c>
      <c r="AQ647" s="27">
        <v>69.933097560975625</v>
      </c>
      <c r="AR647" s="27">
        <v>28.6</v>
      </c>
      <c r="AS647" s="29">
        <v>98.035229999999999</v>
      </c>
      <c r="AT647" s="270">
        <v>34</v>
      </c>
      <c r="AU647" s="464">
        <v>65.756016474143607</v>
      </c>
      <c r="AV647" s="29">
        <v>-3.3692223068848899E-2</v>
      </c>
      <c r="AW647" s="29">
        <v>-0.75851636602946304</v>
      </c>
      <c r="AX647" s="29">
        <v>-0.27656821064612203</v>
      </c>
      <c r="AY647" s="29">
        <v>-0.33309293933209</v>
      </c>
      <c r="AZ647" s="60">
        <v>-0.81582570120773601</v>
      </c>
    </row>
    <row r="648" spans="1:52" ht="15" customHeight="1">
      <c r="A648" s="59" t="s">
        <v>236</v>
      </c>
      <c r="B648" s="27">
        <v>2009</v>
      </c>
      <c r="C648" s="27" t="s">
        <v>237</v>
      </c>
      <c r="D648" s="27" t="s">
        <v>238</v>
      </c>
      <c r="E648" s="27" t="s">
        <v>19</v>
      </c>
      <c r="F648" s="27" t="s">
        <v>559</v>
      </c>
      <c r="G648" s="43"/>
      <c r="H648" s="43"/>
      <c r="I648" s="43"/>
      <c r="J648" s="43"/>
      <c r="K648" s="27"/>
      <c r="L648" s="28"/>
      <c r="M648" s="27"/>
      <c r="N648" s="27"/>
      <c r="O648" s="18">
        <f>SUM(O649:O663)</f>
        <v>31456480989.66375</v>
      </c>
      <c r="P648" s="213">
        <v>4213126610</v>
      </c>
      <c r="Q648" s="213">
        <v>4066824430</v>
      </c>
      <c r="R648" s="27"/>
      <c r="S648" s="27"/>
      <c r="T648" s="18"/>
      <c r="U648" s="27"/>
      <c r="V648" s="27"/>
      <c r="W648" s="30"/>
      <c r="X648" s="27">
        <v>72</v>
      </c>
      <c r="Y648" s="27" t="s">
        <v>1219</v>
      </c>
      <c r="Z648" s="27">
        <v>69</v>
      </c>
      <c r="AA648" s="27" t="s">
        <v>1220</v>
      </c>
      <c r="AB648" s="27"/>
      <c r="AC648" s="273">
        <v>24925055610</v>
      </c>
      <c r="AD648" s="27">
        <v>539579955780.06226</v>
      </c>
      <c r="AE648" s="228">
        <v>4.6193442404594588E-2</v>
      </c>
      <c r="AF648" s="27">
        <v>104182097862.01442</v>
      </c>
      <c r="AG648" s="226">
        <v>0.23924509221356219</v>
      </c>
      <c r="AH648" s="226">
        <v>0.33776415575104257</v>
      </c>
      <c r="AI648" s="27">
        <v>1046530000</v>
      </c>
      <c r="AJ648" s="226">
        <v>23.816857242506188</v>
      </c>
      <c r="AK648" s="27">
        <v>5501284285.6533089</v>
      </c>
      <c r="AL648" s="226">
        <v>4.5307703284852163</v>
      </c>
      <c r="AM648" s="27">
        <v>19020894895.189709</v>
      </c>
      <c r="AN648" s="271">
        <v>1.3104039398431997</v>
      </c>
      <c r="AO648" s="27">
        <v>237486894</v>
      </c>
      <c r="AP648" s="27">
        <v>14.2</v>
      </c>
      <c r="AQ648" s="27">
        <v>69.933097560975625</v>
      </c>
      <c r="AR648" s="27">
        <v>28.6</v>
      </c>
      <c r="AS648" s="29">
        <v>98.035229999999999</v>
      </c>
      <c r="AT648" s="270">
        <v>34</v>
      </c>
      <c r="AU648" s="464">
        <v>65.756016474143607</v>
      </c>
      <c r="AV648" s="29">
        <v>-3.3692223068848899E-2</v>
      </c>
      <c r="AW648" s="29">
        <v>-0.75851636602946304</v>
      </c>
      <c r="AX648" s="29">
        <v>-0.27656821064612203</v>
      </c>
      <c r="AY648" s="29">
        <v>-0.33309293933209</v>
      </c>
      <c r="AZ648" s="60">
        <v>-0.81582570120773601</v>
      </c>
    </row>
    <row r="649" spans="1:52" ht="15" customHeight="1">
      <c r="A649" s="59" t="s">
        <v>236</v>
      </c>
      <c r="B649" s="27">
        <v>2009</v>
      </c>
      <c r="C649" s="27" t="s">
        <v>237</v>
      </c>
      <c r="D649" s="27" t="s">
        <v>238</v>
      </c>
      <c r="E649" s="27" t="s">
        <v>19</v>
      </c>
      <c r="F649" s="27" t="s">
        <v>1049</v>
      </c>
      <c r="G649" s="43">
        <v>15000000</v>
      </c>
      <c r="H649" s="43"/>
      <c r="I649" s="43"/>
      <c r="J649" s="43"/>
      <c r="K649" s="43" t="s">
        <v>567</v>
      </c>
      <c r="L649" s="28">
        <v>29.8</v>
      </c>
      <c r="M649" s="27" t="s">
        <v>568</v>
      </c>
      <c r="N649" s="27" t="s">
        <v>1221</v>
      </c>
      <c r="O649" s="18">
        <f>G649*L649</f>
        <v>447000000</v>
      </c>
      <c r="P649" s="213"/>
      <c r="Q649" s="213"/>
      <c r="R649" s="27"/>
      <c r="S649" s="27"/>
      <c r="T649" s="18"/>
      <c r="U649" s="27"/>
      <c r="V649" s="27"/>
      <c r="W649" s="30"/>
      <c r="X649" s="27">
        <v>2</v>
      </c>
      <c r="Y649" s="27" t="s">
        <v>1222</v>
      </c>
      <c r="Z649" s="27">
        <v>2</v>
      </c>
      <c r="AA649" s="27"/>
      <c r="AB649" s="27"/>
      <c r="AC649" s="273">
        <v>24925055610</v>
      </c>
      <c r="AD649" s="27">
        <v>539579955780.06226</v>
      </c>
      <c r="AE649" s="228">
        <v>4.6193442404594588E-2</v>
      </c>
      <c r="AF649" s="27">
        <v>104182097862.01442</v>
      </c>
      <c r="AG649" s="226">
        <v>0.23924509221356219</v>
      </c>
      <c r="AH649" s="226">
        <v>0.33776415575104257</v>
      </c>
      <c r="AI649" s="27">
        <v>1046530000</v>
      </c>
      <c r="AJ649" s="226">
        <v>23.816857242506188</v>
      </c>
      <c r="AK649" s="27">
        <v>5501284285.6533089</v>
      </c>
      <c r="AL649" s="226">
        <v>4.5307703284852163</v>
      </c>
      <c r="AM649" s="27">
        <v>19020894895.189709</v>
      </c>
      <c r="AN649" s="271">
        <v>1.3104039398431997</v>
      </c>
      <c r="AO649" s="27">
        <v>237486894</v>
      </c>
      <c r="AP649" s="27">
        <v>14.2</v>
      </c>
      <c r="AQ649" s="27">
        <v>69.933097560975625</v>
      </c>
      <c r="AR649" s="27">
        <v>28.6</v>
      </c>
      <c r="AS649" s="29">
        <v>98.035229999999999</v>
      </c>
      <c r="AT649" s="270">
        <v>34</v>
      </c>
      <c r="AU649" s="464">
        <v>65.756016474143607</v>
      </c>
      <c r="AV649" s="29">
        <v>-3.3692223068848899E-2</v>
      </c>
      <c r="AW649" s="29">
        <v>-0.75851636602946304</v>
      </c>
      <c r="AX649" s="29">
        <v>-0.27656821064612203</v>
      </c>
      <c r="AY649" s="29">
        <v>-0.33309293933209</v>
      </c>
      <c r="AZ649" s="60">
        <v>-0.81582570120773601</v>
      </c>
    </row>
    <row r="650" spans="1:52" ht="15" customHeight="1">
      <c r="A650" s="59" t="s">
        <v>236</v>
      </c>
      <c r="B650" s="27">
        <v>2009</v>
      </c>
      <c r="C650" s="27" t="s">
        <v>237</v>
      </c>
      <c r="D650" s="27" t="s">
        <v>238</v>
      </c>
      <c r="E650" s="27" t="s">
        <v>19</v>
      </c>
      <c r="F650" s="27" t="s">
        <v>573</v>
      </c>
      <c r="G650" s="43">
        <v>256200000</v>
      </c>
      <c r="H650" s="43"/>
      <c r="I650" s="43"/>
      <c r="J650" s="43"/>
      <c r="K650" s="27" t="s">
        <v>567</v>
      </c>
      <c r="L650" s="28">
        <v>72.516709165814987</v>
      </c>
      <c r="M650" s="27" t="s">
        <v>568</v>
      </c>
      <c r="N650" s="27" t="s">
        <v>1223</v>
      </c>
      <c r="O650" s="18">
        <f>G650*L650</f>
        <v>18578780888.281799</v>
      </c>
      <c r="P650" s="213">
        <v>2569492290</v>
      </c>
      <c r="Q650" s="213">
        <v>2335419930</v>
      </c>
      <c r="R650" s="27"/>
      <c r="S650" s="27"/>
      <c r="T650" s="18"/>
      <c r="U650" s="27"/>
      <c r="V650" s="27"/>
      <c r="W650" s="30"/>
      <c r="X650" s="27">
        <v>54</v>
      </c>
      <c r="Y650" s="27" t="s">
        <v>1224</v>
      </c>
      <c r="Z650" s="27">
        <v>53</v>
      </c>
      <c r="AA650" s="27">
        <v>17</v>
      </c>
      <c r="AB650" s="27"/>
      <c r="AC650" s="273">
        <v>24925055610</v>
      </c>
      <c r="AD650" s="27">
        <v>539579955780.06226</v>
      </c>
      <c r="AE650" s="228">
        <v>4.6193442404594588E-2</v>
      </c>
      <c r="AF650" s="27">
        <v>104182097862.01442</v>
      </c>
      <c r="AG650" s="226">
        <v>0.23924509221356219</v>
      </c>
      <c r="AH650" s="226">
        <v>0.33776415575104257</v>
      </c>
      <c r="AI650" s="27">
        <v>1046530000</v>
      </c>
      <c r="AJ650" s="226">
        <v>23.816857242506188</v>
      </c>
      <c r="AK650" s="27">
        <v>5501284285.6533089</v>
      </c>
      <c r="AL650" s="226">
        <v>4.5307703284852163</v>
      </c>
      <c r="AM650" s="27">
        <v>19020894895.189709</v>
      </c>
      <c r="AN650" s="271">
        <v>1.3104039398431997</v>
      </c>
      <c r="AO650" s="27">
        <v>237486894</v>
      </c>
      <c r="AP650" s="27">
        <v>14.2</v>
      </c>
      <c r="AQ650" s="27">
        <v>69.933097560975625</v>
      </c>
      <c r="AR650" s="27">
        <v>28.6</v>
      </c>
      <c r="AS650" s="29">
        <v>98.035229999999999</v>
      </c>
      <c r="AT650" s="270">
        <v>34</v>
      </c>
      <c r="AU650" s="464">
        <v>65.756016474143607</v>
      </c>
      <c r="AV650" s="29">
        <v>-3.3692223068848899E-2</v>
      </c>
      <c r="AW650" s="29">
        <v>-0.75851636602946304</v>
      </c>
      <c r="AX650" s="29">
        <v>-0.27656821064612203</v>
      </c>
      <c r="AY650" s="29">
        <v>-0.33309293933209</v>
      </c>
      <c r="AZ650" s="60">
        <v>-0.81582570120773601</v>
      </c>
    </row>
    <row r="651" spans="1:52" ht="15" customHeight="1">
      <c r="A651" s="59" t="s">
        <v>236</v>
      </c>
      <c r="B651" s="27">
        <v>2009</v>
      </c>
      <c r="C651" s="27" t="s">
        <v>237</v>
      </c>
      <c r="D651" s="27" t="s">
        <v>238</v>
      </c>
      <c r="E651" s="27" t="s">
        <v>19</v>
      </c>
      <c r="F651" s="27" t="s">
        <v>576</v>
      </c>
      <c r="G651" s="43"/>
      <c r="H651" s="43"/>
      <c r="I651" s="43"/>
      <c r="J651" s="43"/>
      <c r="K651" s="27"/>
      <c r="L651" s="44">
        <v>5149.7385833333301</v>
      </c>
      <c r="M651" s="27" t="s">
        <v>568</v>
      </c>
      <c r="N651" s="27" t="s">
        <v>633</v>
      </c>
      <c r="O651" s="18">
        <f>(G653+G654)*L651</f>
        <v>3013112045.1083312</v>
      </c>
      <c r="P651" s="213"/>
      <c r="Q651" s="213"/>
      <c r="R651" s="27"/>
      <c r="S651" s="27"/>
      <c r="T651" s="18"/>
      <c r="U651" s="27"/>
      <c r="V651" s="27"/>
      <c r="W651" s="30"/>
      <c r="X651" s="27">
        <v>6</v>
      </c>
      <c r="Y651" s="27" t="s">
        <v>1225</v>
      </c>
      <c r="Z651" s="27">
        <v>6</v>
      </c>
      <c r="AA651" s="27"/>
      <c r="AB651" s="27"/>
      <c r="AC651" s="273">
        <v>24925055610</v>
      </c>
      <c r="AD651" s="27">
        <v>539579955780.06226</v>
      </c>
      <c r="AE651" s="228">
        <v>4.6193442404594588E-2</v>
      </c>
      <c r="AF651" s="27">
        <v>104182097862.01442</v>
      </c>
      <c r="AG651" s="226">
        <v>0.23924509221356219</v>
      </c>
      <c r="AH651" s="226">
        <v>0.33776415575104257</v>
      </c>
      <c r="AI651" s="27">
        <v>1046530000</v>
      </c>
      <c r="AJ651" s="226">
        <v>23.816857242506188</v>
      </c>
      <c r="AK651" s="27">
        <v>5501284285.6533089</v>
      </c>
      <c r="AL651" s="226">
        <v>4.5307703284852163</v>
      </c>
      <c r="AM651" s="27">
        <v>19020894895.189709</v>
      </c>
      <c r="AN651" s="271">
        <v>1.3104039398431997</v>
      </c>
      <c r="AO651" s="27">
        <v>237486894</v>
      </c>
      <c r="AP651" s="27">
        <v>14.2</v>
      </c>
      <c r="AQ651" s="27">
        <v>69.933097560975625</v>
      </c>
      <c r="AR651" s="27">
        <v>28.6</v>
      </c>
      <c r="AS651" s="29">
        <v>98.035229999999999</v>
      </c>
      <c r="AT651" s="270">
        <v>34</v>
      </c>
      <c r="AU651" s="464">
        <v>65.756016474143607</v>
      </c>
      <c r="AV651" s="29">
        <v>-3.3692223068848899E-2</v>
      </c>
      <c r="AW651" s="29">
        <v>-0.75851636602946304</v>
      </c>
      <c r="AX651" s="29">
        <v>-0.27656821064612203</v>
      </c>
      <c r="AY651" s="29">
        <v>-0.33309293933209</v>
      </c>
      <c r="AZ651" s="60">
        <v>-0.81582570120773601</v>
      </c>
    </row>
    <row r="652" spans="1:52" ht="15" customHeight="1">
      <c r="A652" s="59" t="s">
        <v>236</v>
      </c>
      <c r="B652" s="27">
        <v>2009</v>
      </c>
      <c r="C652" s="27" t="s">
        <v>237</v>
      </c>
      <c r="D652" s="27" t="s">
        <v>238</v>
      </c>
      <c r="E652" s="27" t="s">
        <v>19</v>
      </c>
      <c r="F652" s="27" t="s">
        <v>1226</v>
      </c>
      <c r="G652" s="43">
        <v>998530</v>
      </c>
      <c r="H652" s="43"/>
      <c r="I652" s="43"/>
      <c r="J652" s="43"/>
      <c r="K652" s="27" t="s">
        <v>567</v>
      </c>
      <c r="L652" s="28"/>
      <c r="M652" s="27"/>
      <c r="N652" s="27" t="s">
        <v>636</v>
      </c>
      <c r="O652" s="18"/>
      <c r="P652" s="213"/>
      <c r="Q652" s="213"/>
      <c r="R652" s="27"/>
      <c r="S652" s="27"/>
      <c r="T652" s="18"/>
      <c r="U652" s="27"/>
      <c r="V652" s="27"/>
      <c r="W652" s="30"/>
      <c r="X652" s="27"/>
      <c r="Y652" s="27"/>
      <c r="Z652" s="27"/>
      <c r="AA652" s="27"/>
      <c r="AB652" s="27"/>
      <c r="AC652" s="273">
        <v>24925055610</v>
      </c>
      <c r="AD652" s="27">
        <v>539579955780.06226</v>
      </c>
      <c r="AE652" s="228">
        <v>4.6193442404594588E-2</v>
      </c>
      <c r="AF652" s="27">
        <v>104182097862.01442</v>
      </c>
      <c r="AG652" s="226">
        <v>0.23924509221356219</v>
      </c>
      <c r="AH652" s="226">
        <v>0.33776415575104257</v>
      </c>
      <c r="AI652" s="27">
        <v>1046530000</v>
      </c>
      <c r="AJ652" s="226">
        <v>23.816857242506188</v>
      </c>
      <c r="AK652" s="27">
        <v>5501284285.6533089</v>
      </c>
      <c r="AL652" s="226">
        <v>4.5307703284852163</v>
      </c>
      <c r="AM652" s="27">
        <v>19020894895.189709</v>
      </c>
      <c r="AN652" s="271">
        <v>1.3104039398431997</v>
      </c>
      <c r="AO652" s="27">
        <v>237486894</v>
      </c>
      <c r="AP652" s="27">
        <v>14.2</v>
      </c>
      <c r="AQ652" s="27">
        <v>69.933097560975625</v>
      </c>
      <c r="AR652" s="27">
        <v>28.6</v>
      </c>
      <c r="AS652" s="29">
        <v>98.035229999999999</v>
      </c>
      <c r="AT652" s="270">
        <v>34</v>
      </c>
      <c r="AU652" s="464">
        <v>65.756016474143607</v>
      </c>
      <c r="AV652" s="29">
        <v>-3.3692223068848899E-2</v>
      </c>
      <c r="AW652" s="29">
        <v>-0.75851636602946304</v>
      </c>
      <c r="AX652" s="29">
        <v>-0.27656821064612203</v>
      </c>
      <c r="AY652" s="29">
        <v>-0.33309293933209</v>
      </c>
      <c r="AZ652" s="60">
        <v>-0.81582570120773601</v>
      </c>
    </row>
    <row r="653" spans="1:52" ht="15" customHeight="1">
      <c r="A653" s="59" t="s">
        <v>236</v>
      </c>
      <c r="B653" s="27">
        <v>2009</v>
      </c>
      <c r="C653" s="27" t="s">
        <v>237</v>
      </c>
      <c r="D653" s="27" t="s">
        <v>238</v>
      </c>
      <c r="E653" s="27" t="s">
        <v>19</v>
      </c>
      <c r="F653" s="27" t="s">
        <v>1227</v>
      </c>
      <c r="G653" s="43">
        <v>295900</v>
      </c>
      <c r="H653" s="43"/>
      <c r="I653" s="43"/>
      <c r="J653" s="43"/>
      <c r="K653" s="27" t="s">
        <v>567</v>
      </c>
      <c r="L653" s="28"/>
      <c r="M653" s="27"/>
      <c r="N653" s="27" t="s">
        <v>636</v>
      </c>
      <c r="O653" s="18"/>
      <c r="P653" s="213"/>
      <c r="Q653" s="213"/>
      <c r="R653" s="27"/>
      <c r="S653" s="27"/>
      <c r="T653" s="18"/>
      <c r="U653" s="27"/>
      <c r="V653" s="27"/>
      <c r="W653" s="30"/>
      <c r="X653" s="27"/>
      <c r="Y653" s="27"/>
      <c r="Z653" s="27"/>
      <c r="AA653" s="27"/>
      <c r="AB653" s="27"/>
      <c r="AC653" s="273">
        <v>24925055610</v>
      </c>
      <c r="AD653" s="27">
        <v>539579955780.06226</v>
      </c>
      <c r="AE653" s="228">
        <v>4.6193442404594588E-2</v>
      </c>
      <c r="AF653" s="27">
        <v>104182097862.01442</v>
      </c>
      <c r="AG653" s="226">
        <v>0.23924509221356219</v>
      </c>
      <c r="AH653" s="226">
        <v>0.33776415575104257</v>
      </c>
      <c r="AI653" s="27">
        <v>1046530000</v>
      </c>
      <c r="AJ653" s="226">
        <v>23.816857242506188</v>
      </c>
      <c r="AK653" s="27">
        <v>5501284285.6533089</v>
      </c>
      <c r="AL653" s="226">
        <v>4.5307703284852163</v>
      </c>
      <c r="AM653" s="27">
        <v>19020894895.189709</v>
      </c>
      <c r="AN653" s="271">
        <v>1.3104039398431997</v>
      </c>
      <c r="AO653" s="27">
        <v>237486894</v>
      </c>
      <c r="AP653" s="27">
        <v>14.2</v>
      </c>
      <c r="AQ653" s="27">
        <v>69.933097560975625</v>
      </c>
      <c r="AR653" s="27">
        <v>28.6</v>
      </c>
      <c r="AS653" s="29">
        <v>98.035229999999999</v>
      </c>
      <c r="AT653" s="270">
        <v>34</v>
      </c>
      <c r="AU653" s="464">
        <v>65.756016474143607</v>
      </c>
      <c r="AV653" s="29">
        <v>-3.3692223068848899E-2</v>
      </c>
      <c r="AW653" s="29">
        <v>-0.75851636602946304</v>
      </c>
      <c r="AX653" s="29">
        <v>-0.27656821064612203</v>
      </c>
      <c r="AY653" s="29">
        <v>-0.33309293933209</v>
      </c>
      <c r="AZ653" s="60">
        <v>-0.81582570120773601</v>
      </c>
    </row>
    <row r="654" spans="1:52" ht="15" customHeight="1">
      <c r="A654" s="59" t="s">
        <v>236</v>
      </c>
      <c r="B654" s="27">
        <v>2009</v>
      </c>
      <c r="C654" s="27" t="s">
        <v>237</v>
      </c>
      <c r="D654" s="27" t="s">
        <v>238</v>
      </c>
      <c r="E654" s="27" t="s">
        <v>19</v>
      </c>
      <c r="F654" s="27" t="s">
        <v>1228</v>
      </c>
      <c r="G654" s="43">
        <v>289200</v>
      </c>
      <c r="H654" s="43"/>
      <c r="I654" s="43"/>
      <c r="J654" s="43"/>
      <c r="K654" s="27" t="s">
        <v>567</v>
      </c>
      <c r="L654" s="28"/>
      <c r="M654" s="27"/>
      <c r="N654" s="27" t="s">
        <v>636</v>
      </c>
      <c r="O654" s="18"/>
      <c r="P654" s="213"/>
      <c r="Q654" s="213"/>
      <c r="R654" s="27"/>
      <c r="S654" s="27"/>
      <c r="T654" s="18"/>
      <c r="U654" s="27"/>
      <c r="V654" s="27"/>
      <c r="W654" s="30"/>
      <c r="X654" s="27"/>
      <c r="Y654" s="27"/>
      <c r="Z654" s="27"/>
      <c r="AA654" s="27"/>
      <c r="AB654" s="27"/>
      <c r="AC654" s="273">
        <v>24925055610</v>
      </c>
      <c r="AD654" s="27">
        <v>539579955780.06226</v>
      </c>
      <c r="AE654" s="228">
        <v>4.6193442404594588E-2</v>
      </c>
      <c r="AF654" s="27">
        <v>104182097862.01442</v>
      </c>
      <c r="AG654" s="226">
        <v>0.23924509221356219</v>
      </c>
      <c r="AH654" s="226">
        <v>0.33776415575104257</v>
      </c>
      <c r="AI654" s="27">
        <v>1046530000</v>
      </c>
      <c r="AJ654" s="226">
        <v>23.816857242506188</v>
      </c>
      <c r="AK654" s="27">
        <v>5501284285.6533089</v>
      </c>
      <c r="AL654" s="226">
        <v>4.5307703284852163</v>
      </c>
      <c r="AM654" s="27">
        <v>19020894895.189709</v>
      </c>
      <c r="AN654" s="271">
        <v>1.3104039398431997</v>
      </c>
      <c r="AO654" s="27">
        <v>237486894</v>
      </c>
      <c r="AP654" s="27">
        <v>14.2</v>
      </c>
      <c r="AQ654" s="27">
        <v>69.933097560975625</v>
      </c>
      <c r="AR654" s="27">
        <v>28.6</v>
      </c>
      <c r="AS654" s="29">
        <v>98.035229999999999</v>
      </c>
      <c r="AT654" s="270">
        <v>34</v>
      </c>
      <c r="AU654" s="464">
        <v>65.756016474143607</v>
      </c>
      <c r="AV654" s="29">
        <v>-3.3692223068848899E-2</v>
      </c>
      <c r="AW654" s="29">
        <v>-0.75851636602946304</v>
      </c>
      <c r="AX654" s="29">
        <v>-0.27656821064612203</v>
      </c>
      <c r="AY654" s="29">
        <v>-0.33309293933209</v>
      </c>
      <c r="AZ654" s="60">
        <v>-0.81582570120773601</v>
      </c>
    </row>
    <row r="655" spans="1:52" ht="15" customHeight="1">
      <c r="A655" s="59" t="s">
        <v>236</v>
      </c>
      <c r="B655" s="27">
        <v>2009</v>
      </c>
      <c r="C655" s="27" t="s">
        <v>237</v>
      </c>
      <c r="D655" s="27" t="s">
        <v>238</v>
      </c>
      <c r="E655" s="27" t="s">
        <v>19</v>
      </c>
      <c r="F655" s="27" t="s">
        <v>730</v>
      </c>
      <c r="G655" s="43">
        <f>140488*32.150743126506</f>
        <v>4516793.6003565751</v>
      </c>
      <c r="H655" s="43"/>
      <c r="I655" s="43"/>
      <c r="J655" s="43"/>
      <c r="K655" s="27" t="s">
        <v>731</v>
      </c>
      <c r="L655" s="28">
        <v>972.96591666666995</v>
      </c>
      <c r="M655" s="27" t="s">
        <v>732</v>
      </c>
      <c r="N655" s="27" t="s">
        <v>733</v>
      </c>
      <c r="O655" s="18">
        <f>G655*L655</f>
        <v>4394686225.7650833</v>
      </c>
      <c r="P655" s="213"/>
      <c r="Q655" s="213"/>
      <c r="R655" s="27"/>
      <c r="S655" s="27"/>
      <c r="T655" s="18"/>
      <c r="U655" s="27"/>
      <c r="V655" s="27"/>
      <c r="W655" s="30"/>
      <c r="X655" s="27">
        <v>6</v>
      </c>
      <c r="Y655" s="27" t="s">
        <v>1225</v>
      </c>
      <c r="Z655" s="27">
        <v>6</v>
      </c>
      <c r="AA655" s="27"/>
      <c r="AB655" s="27"/>
      <c r="AC655" s="273">
        <v>24925055610</v>
      </c>
      <c r="AD655" s="27">
        <v>539579955780.06226</v>
      </c>
      <c r="AE655" s="228">
        <v>4.6193442404594588E-2</v>
      </c>
      <c r="AF655" s="27">
        <v>104182097862.01442</v>
      </c>
      <c r="AG655" s="226">
        <v>0.23924509221356219</v>
      </c>
      <c r="AH655" s="226">
        <v>0.33776415575104257</v>
      </c>
      <c r="AI655" s="27">
        <v>1046530000</v>
      </c>
      <c r="AJ655" s="226">
        <v>23.816857242506188</v>
      </c>
      <c r="AK655" s="27">
        <v>5501284285.6533089</v>
      </c>
      <c r="AL655" s="226">
        <v>4.5307703284852163</v>
      </c>
      <c r="AM655" s="27">
        <v>19020894895.189709</v>
      </c>
      <c r="AN655" s="271">
        <v>1.3104039398431997</v>
      </c>
      <c r="AO655" s="27">
        <v>237486894</v>
      </c>
      <c r="AP655" s="27">
        <v>14.2</v>
      </c>
      <c r="AQ655" s="27">
        <v>69.933097560975625</v>
      </c>
      <c r="AR655" s="27">
        <v>28.6</v>
      </c>
      <c r="AS655" s="29">
        <v>98.035229999999999</v>
      </c>
      <c r="AT655" s="270">
        <v>34</v>
      </c>
      <c r="AU655" s="464">
        <v>65.756016474143607</v>
      </c>
      <c r="AV655" s="29">
        <v>-3.3692223068848899E-2</v>
      </c>
      <c r="AW655" s="29">
        <v>-0.75851636602946304</v>
      </c>
      <c r="AX655" s="29">
        <v>-0.27656821064612203</v>
      </c>
      <c r="AY655" s="29">
        <v>-0.33309293933209</v>
      </c>
      <c r="AZ655" s="60">
        <v>-0.81582570120773601</v>
      </c>
    </row>
    <row r="656" spans="1:52" ht="15" customHeight="1">
      <c r="A656" s="59" t="s">
        <v>236</v>
      </c>
      <c r="B656" s="27">
        <v>2009</v>
      </c>
      <c r="C656" s="27" t="s">
        <v>237</v>
      </c>
      <c r="D656" s="27" t="s">
        <v>238</v>
      </c>
      <c r="E656" s="27" t="s">
        <v>19</v>
      </c>
      <c r="F656" s="27" t="s">
        <v>638</v>
      </c>
      <c r="G656" s="43"/>
      <c r="H656" s="43"/>
      <c r="I656" s="43"/>
      <c r="J656" s="43"/>
      <c r="K656" s="27"/>
      <c r="L656" s="44">
        <v>14654.629499999999</v>
      </c>
      <c r="M656" s="27" t="s">
        <v>568</v>
      </c>
      <c r="N656" s="27" t="s">
        <v>1229</v>
      </c>
      <c r="O656" s="18">
        <f>SUM(G657:G659)*L656</f>
        <v>4155730524.3509998</v>
      </c>
      <c r="P656" s="213"/>
      <c r="Q656" s="213"/>
      <c r="R656" s="27"/>
      <c r="S656" s="27"/>
      <c r="T656" s="18"/>
      <c r="U656" s="27"/>
      <c r="V656" s="27"/>
      <c r="W656" s="30"/>
      <c r="X656" s="27">
        <v>3</v>
      </c>
      <c r="Y656" s="27" t="s">
        <v>1230</v>
      </c>
      <c r="Z656" s="27">
        <v>3</v>
      </c>
      <c r="AA656" s="27"/>
      <c r="AB656" s="27"/>
      <c r="AC656" s="273">
        <v>24925055610</v>
      </c>
      <c r="AD656" s="27">
        <v>539579955780.06226</v>
      </c>
      <c r="AE656" s="228">
        <v>4.6193442404594588E-2</v>
      </c>
      <c r="AF656" s="27">
        <v>104182097862.01442</v>
      </c>
      <c r="AG656" s="226">
        <v>0.23924509221356219</v>
      </c>
      <c r="AH656" s="226">
        <v>0.33776415575104257</v>
      </c>
      <c r="AI656" s="27">
        <v>1046530000</v>
      </c>
      <c r="AJ656" s="226">
        <v>23.816857242506188</v>
      </c>
      <c r="AK656" s="27">
        <v>5501284285.6533089</v>
      </c>
      <c r="AL656" s="226">
        <v>4.5307703284852163</v>
      </c>
      <c r="AM656" s="27">
        <v>19020894895.189709</v>
      </c>
      <c r="AN656" s="271">
        <v>1.3104039398431997</v>
      </c>
      <c r="AO656" s="27">
        <v>237486894</v>
      </c>
      <c r="AP656" s="27">
        <v>14.2</v>
      </c>
      <c r="AQ656" s="27">
        <v>69.933097560975625</v>
      </c>
      <c r="AR656" s="27">
        <v>28.6</v>
      </c>
      <c r="AS656" s="29">
        <v>98.035229999999999</v>
      </c>
      <c r="AT656" s="270">
        <v>34</v>
      </c>
      <c r="AU656" s="464">
        <v>65.756016474143607</v>
      </c>
      <c r="AV656" s="29">
        <v>-3.3692223068848899E-2</v>
      </c>
      <c r="AW656" s="29">
        <v>-0.75851636602946304</v>
      </c>
      <c r="AX656" s="29">
        <v>-0.27656821064612203</v>
      </c>
      <c r="AY656" s="29">
        <v>-0.33309293933209</v>
      </c>
      <c r="AZ656" s="60">
        <v>-0.81582570120773601</v>
      </c>
    </row>
    <row r="657" spans="1:52" ht="15" customHeight="1">
      <c r="A657" s="59" t="s">
        <v>236</v>
      </c>
      <c r="B657" s="27">
        <v>2009</v>
      </c>
      <c r="C657" s="27" t="s">
        <v>237</v>
      </c>
      <c r="D657" s="27" t="s">
        <v>238</v>
      </c>
      <c r="E657" s="27" t="s">
        <v>19</v>
      </c>
      <c r="F657" s="27" t="s">
        <v>1231</v>
      </c>
      <c r="G657" s="43">
        <v>202800</v>
      </c>
      <c r="H657" s="43"/>
      <c r="I657" s="43"/>
      <c r="J657" s="43"/>
      <c r="K657" s="27" t="s">
        <v>567</v>
      </c>
      <c r="L657" s="28"/>
      <c r="M657" s="27"/>
      <c r="N657" s="27" t="s">
        <v>636</v>
      </c>
      <c r="O657" s="18"/>
      <c r="P657" s="213"/>
      <c r="Q657" s="213"/>
      <c r="R657" s="27"/>
      <c r="S657" s="27"/>
      <c r="T657" s="18"/>
      <c r="U657" s="27"/>
      <c r="V657" s="27"/>
      <c r="W657" s="30"/>
      <c r="X657" s="27"/>
      <c r="Y657" s="27"/>
      <c r="Z657" s="27"/>
      <c r="AA657" s="27"/>
      <c r="AB657" s="27"/>
      <c r="AC657" s="273">
        <v>24925055610</v>
      </c>
      <c r="AD657" s="27">
        <v>539579955780.06226</v>
      </c>
      <c r="AE657" s="228">
        <v>4.6193442404594588E-2</v>
      </c>
      <c r="AF657" s="27">
        <v>104182097862.01442</v>
      </c>
      <c r="AG657" s="226">
        <v>0.23924509221356219</v>
      </c>
      <c r="AH657" s="226">
        <v>0.33776415575104257</v>
      </c>
      <c r="AI657" s="27">
        <v>1046530000</v>
      </c>
      <c r="AJ657" s="226">
        <v>23.816857242506188</v>
      </c>
      <c r="AK657" s="27">
        <v>5501284285.6533089</v>
      </c>
      <c r="AL657" s="226">
        <v>4.5307703284852163</v>
      </c>
      <c r="AM657" s="27">
        <v>19020894895.189709</v>
      </c>
      <c r="AN657" s="271">
        <v>1.3104039398431997</v>
      </c>
      <c r="AO657" s="27">
        <v>237486894</v>
      </c>
      <c r="AP657" s="27">
        <v>14.2</v>
      </c>
      <c r="AQ657" s="27">
        <v>69.933097560975625</v>
      </c>
      <c r="AR657" s="27">
        <v>28.6</v>
      </c>
      <c r="AS657" s="29">
        <v>98.035229999999999</v>
      </c>
      <c r="AT657" s="270">
        <v>34</v>
      </c>
      <c r="AU657" s="464">
        <v>65.756016474143607</v>
      </c>
      <c r="AV657" s="29">
        <v>-3.3692223068848899E-2</v>
      </c>
      <c r="AW657" s="29">
        <v>-0.75851636602946304</v>
      </c>
      <c r="AX657" s="29">
        <v>-0.27656821064612203</v>
      </c>
      <c r="AY657" s="29">
        <v>-0.33309293933209</v>
      </c>
      <c r="AZ657" s="60">
        <v>-0.81582570120773601</v>
      </c>
    </row>
    <row r="658" spans="1:52" ht="15" customHeight="1">
      <c r="A658" s="59" t="s">
        <v>236</v>
      </c>
      <c r="B658" s="27">
        <v>2009</v>
      </c>
      <c r="C658" s="27" t="s">
        <v>237</v>
      </c>
      <c r="D658" s="27" t="s">
        <v>238</v>
      </c>
      <c r="E658" s="27" t="s">
        <v>19</v>
      </c>
      <c r="F658" s="27" t="s">
        <v>1232</v>
      </c>
      <c r="G658" s="43">
        <v>68228</v>
      </c>
      <c r="H658" s="43"/>
      <c r="I658" s="43"/>
      <c r="J658" s="43"/>
      <c r="K658" s="27" t="s">
        <v>567</v>
      </c>
      <c r="L658" s="28"/>
      <c r="M658" s="27"/>
      <c r="N658" s="27" t="s">
        <v>636</v>
      </c>
      <c r="O658" s="18"/>
      <c r="P658" s="213"/>
      <c r="Q658" s="213"/>
      <c r="R658" s="27"/>
      <c r="S658" s="27"/>
      <c r="T658" s="18"/>
      <c r="U658" s="27"/>
      <c r="V658" s="27"/>
      <c r="W658" s="30"/>
      <c r="X658" s="27"/>
      <c r="Y658" s="27"/>
      <c r="Z658" s="27"/>
      <c r="AA658" s="27"/>
      <c r="AB658" s="27"/>
      <c r="AC658" s="273">
        <v>24925055610</v>
      </c>
      <c r="AD658" s="27">
        <v>539579955780.06226</v>
      </c>
      <c r="AE658" s="228">
        <v>4.6193442404594588E-2</v>
      </c>
      <c r="AF658" s="27">
        <v>104182097862.01442</v>
      </c>
      <c r="AG658" s="226">
        <v>0.23924509221356219</v>
      </c>
      <c r="AH658" s="226">
        <v>0.33776415575104257</v>
      </c>
      <c r="AI658" s="27">
        <v>1046530000</v>
      </c>
      <c r="AJ658" s="226">
        <v>23.816857242506188</v>
      </c>
      <c r="AK658" s="27">
        <v>5501284285.6533089</v>
      </c>
      <c r="AL658" s="226">
        <v>4.5307703284852163</v>
      </c>
      <c r="AM658" s="27">
        <v>19020894895.189709</v>
      </c>
      <c r="AN658" s="271">
        <v>1.3104039398431997</v>
      </c>
      <c r="AO658" s="27">
        <v>237486894</v>
      </c>
      <c r="AP658" s="27">
        <v>14.2</v>
      </c>
      <c r="AQ658" s="27">
        <v>69.933097560975625</v>
      </c>
      <c r="AR658" s="27">
        <v>28.6</v>
      </c>
      <c r="AS658" s="29">
        <v>98.035229999999999</v>
      </c>
      <c r="AT658" s="270">
        <v>34</v>
      </c>
      <c r="AU658" s="464">
        <v>65.756016474143607</v>
      </c>
      <c r="AV658" s="29">
        <v>-3.3692223068848899E-2</v>
      </c>
      <c r="AW658" s="29">
        <v>-0.75851636602946304</v>
      </c>
      <c r="AX658" s="29">
        <v>-0.27656821064612203</v>
      </c>
      <c r="AY658" s="29">
        <v>-0.33309293933209</v>
      </c>
      <c r="AZ658" s="60">
        <v>-0.81582570120773601</v>
      </c>
    </row>
    <row r="659" spans="1:52" ht="15" customHeight="1">
      <c r="A659" s="59" t="s">
        <v>236</v>
      </c>
      <c r="B659" s="27">
        <v>2009</v>
      </c>
      <c r="C659" s="27" t="s">
        <v>237</v>
      </c>
      <c r="D659" s="27" t="s">
        <v>238</v>
      </c>
      <c r="E659" s="27" t="s">
        <v>19</v>
      </c>
      <c r="F659" s="27" t="s">
        <v>1233</v>
      </c>
      <c r="G659" s="43">
        <v>12550</v>
      </c>
      <c r="H659" s="43"/>
      <c r="I659" s="43"/>
      <c r="J659" s="43"/>
      <c r="K659" s="27" t="s">
        <v>567</v>
      </c>
      <c r="L659" s="28"/>
      <c r="M659" s="27"/>
      <c r="N659" s="27" t="s">
        <v>636</v>
      </c>
      <c r="O659" s="18"/>
      <c r="P659" s="213"/>
      <c r="Q659" s="213"/>
      <c r="R659" s="27"/>
      <c r="S659" s="27"/>
      <c r="T659" s="18"/>
      <c r="U659" s="27"/>
      <c r="V659" s="27"/>
      <c r="W659" s="30"/>
      <c r="X659" s="27"/>
      <c r="Y659" s="27"/>
      <c r="Z659" s="27"/>
      <c r="AA659" s="27"/>
      <c r="AB659" s="27"/>
      <c r="AC659" s="273">
        <v>24925055610</v>
      </c>
      <c r="AD659" s="27">
        <v>539579955780.06226</v>
      </c>
      <c r="AE659" s="228">
        <v>4.6193442404594588E-2</v>
      </c>
      <c r="AF659" s="27">
        <v>104182097862.01442</v>
      </c>
      <c r="AG659" s="226">
        <v>0.23924509221356219</v>
      </c>
      <c r="AH659" s="226">
        <v>0.33776415575104257</v>
      </c>
      <c r="AI659" s="27">
        <v>1046530000</v>
      </c>
      <c r="AJ659" s="226">
        <v>23.816857242506188</v>
      </c>
      <c r="AK659" s="27">
        <v>5501284285.6533089</v>
      </c>
      <c r="AL659" s="226">
        <v>4.5307703284852163</v>
      </c>
      <c r="AM659" s="27">
        <v>19020894895.189709</v>
      </c>
      <c r="AN659" s="271">
        <v>1.3104039398431997</v>
      </c>
      <c r="AO659" s="27">
        <v>237486894</v>
      </c>
      <c r="AP659" s="27">
        <v>14.2</v>
      </c>
      <c r="AQ659" s="27">
        <v>69.933097560975625</v>
      </c>
      <c r="AR659" s="27">
        <v>28.6</v>
      </c>
      <c r="AS659" s="29">
        <v>98.035229999999999</v>
      </c>
      <c r="AT659" s="270">
        <v>34</v>
      </c>
      <c r="AU659" s="464">
        <v>65.756016474143607</v>
      </c>
      <c r="AV659" s="29">
        <v>-3.3692223068848899E-2</v>
      </c>
      <c r="AW659" s="29">
        <v>-0.75851636602946304</v>
      </c>
      <c r="AX659" s="29">
        <v>-0.27656821064612203</v>
      </c>
      <c r="AY659" s="29">
        <v>-0.33309293933209</v>
      </c>
      <c r="AZ659" s="60">
        <v>-0.81582570120773601</v>
      </c>
    </row>
    <row r="660" spans="1:52" ht="15" customHeight="1">
      <c r="A660" s="59" t="s">
        <v>236</v>
      </c>
      <c r="B660" s="27">
        <v>2009</v>
      </c>
      <c r="C660" s="27" t="s">
        <v>237</v>
      </c>
      <c r="D660" s="27" t="s">
        <v>238</v>
      </c>
      <c r="E660" s="27" t="s">
        <v>19</v>
      </c>
      <c r="F660" s="27" t="s">
        <v>735</v>
      </c>
      <c r="G660" s="43">
        <f>359451*32.150743126506</f>
        <v>11556616.767565709</v>
      </c>
      <c r="H660" s="43"/>
      <c r="I660" s="43"/>
      <c r="J660" s="43"/>
      <c r="K660" s="27" t="s">
        <v>731</v>
      </c>
      <c r="L660" s="28">
        <f>14.64353333333/1</f>
        <v>14.64353333333</v>
      </c>
      <c r="M660" s="27" t="s">
        <v>732</v>
      </c>
      <c r="N660" s="27" t="s">
        <v>744</v>
      </c>
      <c r="O660" s="18">
        <f>G660*L660</f>
        <v>169229702.85636884</v>
      </c>
      <c r="P660" s="213"/>
      <c r="Q660" s="213"/>
      <c r="R660" s="27"/>
      <c r="S660" s="27"/>
      <c r="T660" s="18"/>
      <c r="U660" s="27"/>
      <c r="V660" s="27"/>
      <c r="W660" s="30"/>
      <c r="X660" s="27"/>
      <c r="Y660" s="27"/>
      <c r="Z660" s="27"/>
      <c r="AA660" s="27"/>
      <c r="AB660" s="27"/>
      <c r="AC660" s="273">
        <v>24925055610</v>
      </c>
      <c r="AD660" s="27">
        <v>539579955780.06226</v>
      </c>
      <c r="AE660" s="228">
        <v>4.6193442404594588E-2</v>
      </c>
      <c r="AF660" s="27">
        <v>104182097862.01442</v>
      </c>
      <c r="AG660" s="226">
        <v>0.23924509221356219</v>
      </c>
      <c r="AH660" s="226">
        <v>0.33776415575104257</v>
      </c>
      <c r="AI660" s="27">
        <v>1046530000</v>
      </c>
      <c r="AJ660" s="226">
        <v>23.816857242506188</v>
      </c>
      <c r="AK660" s="27">
        <v>5501284285.6533089</v>
      </c>
      <c r="AL660" s="226">
        <v>4.5307703284852163</v>
      </c>
      <c r="AM660" s="27">
        <v>19020894895.189709</v>
      </c>
      <c r="AN660" s="271">
        <v>1.3104039398431997</v>
      </c>
      <c r="AO660" s="27">
        <v>237486894</v>
      </c>
      <c r="AP660" s="27">
        <v>14.2</v>
      </c>
      <c r="AQ660" s="27">
        <v>69.933097560975625</v>
      </c>
      <c r="AR660" s="27">
        <v>28.6</v>
      </c>
      <c r="AS660" s="29">
        <v>98.035229999999999</v>
      </c>
      <c r="AT660" s="270">
        <v>34</v>
      </c>
      <c r="AU660" s="464">
        <v>65.756016474143607</v>
      </c>
      <c r="AV660" s="29">
        <v>-3.3692223068848899E-2</v>
      </c>
      <c r="AW660" s="29">
        <v>-0.75851636602946304</v>
      </c>
      <c r="AX660" s="29">
        <v>-0.27656821064612203</v>
      </c>
      <c r="AY660" s="29">
        <v>-0.33309293933209</v>
      </c>
      <c r="AZ660" s="60">
        <v>-0.81582570120773601</v>
      </c>
    </row>
    <row r="661" spans="1:52" ht="15" customHeight="1">
      <c r="A661" s="59" t="s">
        <v>236</v>
      </c>
      <c r="B661" s="27">
        <v>2009</v>
      </c>
      <c r="C661" s="27" t="s">
        <v>237</v>
      </c>
      <c r="D661" s="27" t="s">
        <v>238</v>
      </c>
      <c r="E661" s="27" t="s">
        <v>19</v>
      </c>
      <c r="F661" s="27" t="s">
        <v>1234</v>
      </c>
      <c r="G661" s="43"/>
      <c r="H661" s="43"/>
      <c r="I661" s="43"/>
      <c r="J661" s="43"/>
      <c r="K661" s="27"/>
      <c r="L661" s="44">
        <f>13573.8769166667</f>
        <v>13573.876916666701</v>
      </c>
      <c r="M661" s="27" t="s">
        <v>568</v>
      </c>
      <c r="N661" s="27" t="s">
        <v>1235</v>
      </c>
      <c r="O661" s="18">
        <f>G663*L661</f>
        <v>697941603.30116844</v>
      </c>
      <c r="P661" s="213"/>
      <c r="Q661" s="213"/>
      <c r="R661" s="27"/>
      <c r="S661" s="27"/>
      <c r="T661" s="18"/>
      <c r="U661" s="27"/>
      <c r="V661" s="27"/>
      <c r="W661" s="30"/>
      <c r="X661" s="27">
        <v>7</v>
      </c>
      <c r="Y661" s="27" t="s">
        <v>1236</v>
      </c>
      <c r="Z661" s="27">
        <v>5</v>
      </c>
      <c r="AA661" s="27"/>
      <c r="AB661" s="27"/>
      <c r="AC661" s="273">
        <v>24925055610</v>
      </c>
      <c r="AD661" s="27">
        <v>539579955780.06226</v>
      </c>
      <c r="AE661" s="228">
        <v>4.6193442404594588E-2</v>
      </c>
      <c r="AF661" s="27">
        <v>104182097862.01442</v>
      </c>
      <c r="AG661" s="226">
        <v>0.23924509221356219</v>
      </c>
      <c r="AH661" s="226">
        <v>0.33776415575104257</v>
      </c>
      <c r="AI661" s="27">
        <v>1046530000</v>
      </c>
      <c r="AJ661" s="226">
        <v>23.816857242506188</v>
      </c>
      <c r="AK661" s="27">
        <v>5501284285.6533089</v>
      </c>
      <c r="AL661" s="226">
        <v>4.5307703284852163</v>
      </c>
      <c r="AM661" s="27">
        <v>19020894895.189709</v>
      </c>
      <c r="AN661" s="271">
        <v>1.3104039398431997</v>
      </c>
      <c r="AO661" s="27">
        <v>237486894</v>
      </c>
      <c r="AP661" s="27">
        <v>14.2</v>
      </c>
      <c r="AQ661" s="27">
        <v>69.933097560975625</v>
      </c>
      <c r="AR661" s="27">
        <v>28.6</v>
      </c>
      <c r="AS661" s="29">
        <v>98.035229999999999</v>
      </c>
      <c r="AT661" s="270">
        <v>34</v>
      </c>
      <c r="AU661" s="464">
        <v>65.756016474143607</v>
      </c>
      <c r="AV661" s="29">
        <v>-3.3692223068848899E-2</v>
      </c>
      <c r="AW661" s="29">
        <v>-0.75851636602946304</v>
      </c>
      <c r="AX661" s="29">
        <v>-0.27656821064612203</v>
      </c>
      <c r="AY661" s="29">
        <v>-0.33309293933209</v>
      </c>
      <c r="AZ661" s="60">
        <v>-0.81582570120773601</v>
      </c>
    </row>
    <row r="662" spans="1:52" ht="15" customHeight="1">
      <c r="A662" s="59" t="s">
        <v>236</v>
      </c>
      <c r="B662" s="27">
        <v>2009</v>
      </c>
      <c r="C662" s="27" t="s">
        <v>237</v>
      </c>
      <c r="D662" s="27" t="s">
        <v>238</v>
      </c>
      <c r="E662" s="27" t="s">
        <v>19</v>
      </c>
      <c r="F662" s="27" t="s">
        <v>1237</v>
      </c>
      <c r="G662" s="43">
        <v>46078</v>
      </c>
      <c r="H662" s="43"/>
      <c r="I662" s="43"/>
      <c r="J662" s="43"/>
      <c r="K662" s="27"/>
      <c r="L662" s="28"/>
      <c r="M662" s="27"/>
      <c r="N662" s="27" t="s">
        <v>636</v>
      </c>
      <c r="O662" s="18"/>
      <c r="P662" s="213"/>
      <c r="Q662" s="213"/>
      <c r="R662" s="27"/>
      <c r="S662" s="27"/>
      <c r="T662" s="18"/>
      <c r="U662" s="27"/>
      <c r="V662" s="27"/>
      <c r="W662" s="30"/>
      <c r="X662" s="27"/>
      <c r="Y662" s="27"/>
      <c r="Z662" s="27"/>
      <c r="AA662" s="27"/>
      <c r="AB662" s="27"/>
      <c r="AC662" s="273">
        <v>24925055610</v>
      </c>
      <c r="AD662" s="27">
        <v>539579955780.06226</v>
      </c>
      <c r="AE662" s="228">
        <v>4.6193442404594588E-2</v>
      </c>
      <c r="AF662" s="27">
        <v>104182097862.01442</v>
      </c>
      <c r="AG662" s="226">
        <v>0.23924509221356219</v>
      </c>
      <c r="AH662" s="226">
        <v>0.33776415575104257</v>
      </c>
      <c r="AI662" s="27">
        <v>1046530000</v>
      </c>
      <c r="AJ662" s="226">
        <v>23.816857242506188</v>
      </c>
      <c r="AK662" s="27">
        <v>5501284285.6533089</v>
      </c>
      <c r="AL662" s="226">
        <v>4.5307703284852163</v>
      </c>
      <c r="AM662" s="27">
        <v>19020894895.189709</v>
      </c>
      <c r="AN662" s="271">
        <v>1.3104039398431997</v>
      </c>
      <c r="AO662" s="27">
        <v>237486894</v>
      </c>
      <c r="AP662" s="27">
        <v>14.2</v>
      </c>
      <c r="AQ662" s="27">
        <v>69.933097560975625</v>
      </c>
      <c r="AR662" s="27">
        <v>28.6</v>
      </c>
      <c r="AS662" s="29">
        <v>98.035229999999999</v>
      </c>
      <c r="AT662" s="270">
        <v>34</v>
      </c>
      <c r="AU662" s="464">
        <v>65.756016474143607</v>
      </c>
      <c r="AV662" s="29">
        <v>-3.3692223068848899E-2</v>
      </c>
      <c r="AW662" s="29">
        <v>-0.75851636602946304</v>
      </c>
      <c r="AX662" s="29">
        <v>-0.27656821064612203</v>
      </c>
      <c r="AY662" s="29">
        <v>-0.33309293933209</v>
      </c>
      <c r="AZ662" s="60">
        <v>-0.81582570120773601</v>
      </c>
    </row>
    <row r="663" spans="1:52" s="287" customFormat="1" ht="15" customHeight="1">
      <c r="A663" s="344" t="s">
        <v>236</v>
      </c>
      <c r="B663" s="284">
        <v>2009</v>
      </c>
      <c r="C663" s="284" t="s">
        <v>237</v>
      </c>
      <c r="D663" s="284" t="s">
        <v>238</v>
      </c>
      <c r="E663" s="284" t="s">
        <v>19</v>
      </c>
      <c r="F663" s="284" t="s">
        <v>1238</v>
      </c>
      <c r="G663" s="303">
        <v>51418</v>
      </c>
      <c r="H663" s="303"/>
      <c r="I663" s="303"/>
      <c r="J663" s="303"/>
      <c r="K663" s="284"/>
      <c r="L663" s="304"/>
      <c r="M663" s="284"/>
      <c r="N663" s="284" t="s">
        <v>636</v>
      </c>
      <c r="O663" s="305"/>
      <c r="P663" s="306"/>
      <c r="Q663" s="306"/>
      <c r="R663" s="284"/>
      <c r="S663" s="284"/>
      <c r="T663" s="305"/>
      <c r="U663" s="284"/>
      <c r="V663" s="284"/>
      <c r="W663" s="307"/>
      <c r="X663" s="284"/>
      <c r="Y663" s="284"/>
      <c r="Z663" s="284"/>
      <c r="AA663" s="284"/>
      <c r="AB663" s="284"/>
      <c r="AC663" s="308">
        <v>24925055610</v>
      </c>
      <c r="AD663" s="284">
        <v>539579955780.06226</v>
      </c>
      <c r="AE663" s="309">
        <v>4.6193442404594588E-2</v>
      </c>
      <c r="AF663" s="284">
        <v>104182097862.01442</v>
      </c>
      <c r="AG663" s="310">
        <v>0.23924509221356219</v>
      </c>
      <c r="AH663" s="310">
        <v>0.33776415575104257</v>
      </c>
      <c r="AI663" s="284">
        <v>1046530000</v>
      </c>
      <c r="AJ663" s="310">
        <v>23.816857242506188</v>
      </c>
      <c r="AK663" s="284">
        <v>5501284285.6533089</v>
      </c>
      <c r="AL663" s="310">
        <v>4.5307703284852163</v>
      </c>
      <c r="AM663" s="284">
        <v>19020894895.189709</v>
      </c>
      <c r="AN663" s="311">
        <v>1.3104039398431997</v>
      </c>
      <c r="AO663" s="284">
        <v>237486894</v>
      </c>
      <c r="AP663" s="284">
        <v>14.2</v>
      </c>
      <c r="AQ663" s="284">
        <v>69.933097560975625</v>
      </c>
      <c r="AR663" s="284">
        <v>28.6</v>
      </c>
      <c r="AS663" s="287">
        <v>98.035229999999999</v>
      </c>
      <c r="AT663" s="312">
        <v>34</v>
      </c>
      <c r="AU663" s="465">
        <v>65.756016474143607</v>
      </c>
      <c r="AV663" s="287">
        <v>-3.3692223068848899E-2</v>
      </c>
      <c r="AW663" s="287">
        <v>-0.75851636602946304</v>
      </c>
      <c r="AX663" s="287">
        <v>-0.27656821064612203</v>
      </c>
      <c r="AY663" s="287">
        <v>-0.33309293933209</v>
      </c>
      <c r="AZ663" s="313">
        <v>-0.81582570120773601</v>
      </c>
    </row>
    <row r="664" spans="1:52" s="29" customFormat="1" ht="15" customHeight="1">
      <c r="A664" s="332" t="s">
        <v>240</v>
      </c>
      <c r="B664" s="27">
        <v>2010</v>
      </c>
      <c r="C664" s="27" t="s">
        <v>237</v>
      </c>
      <c r="D664" s="27" t="s">
        <v>238</v>
      </c>
      <c r="E664" s="27" t="s">
        <v>30</v>
      </c>
      <c r="F664" s="27" t="s">
        <v>659</v>
      </c>
      <c r="G664" s="43"/>
      <c r="H664" s="43"/>
      <c r="I664" s="43"/>
      <c r="J664" s="43"/>
      <c r="K664" s="27"/>
      <c r="L664" s="28"/>
      <c r="M664" s="27"/>
      <c r="N664" s="27"/>
      <c r="O664" s="18">
        <f>O665+O668</f>
        <v>84222176474.178955</v>
      </c>
      <c r="P664" s="213">
        <f>P665+P668</f>
        <v>32949795856</v>
      </c>
      <c r="Q664" s="213">
        <f>Q665+Q668</f>
        <v>32920365915</v>
      </c>
      <c r="R664" s="27" t="s">
        <v>3693</v>
      </c>
      <c r="S664" s="27" t="s">
        <v>1241</v>
      </c>
      <c r="T664" s="18">
        <v>20912152000</v>
      </c>
      <c r="U664" s="27" t="s">
        <v>1239</v>
      </c>
      <c r="V664" s="27" t="s">
        <v>1240</v>
      </c>
      <c r="W664" s="30">
        <v>9078</v>
      </c>
      <c r="X664" s="27">
        <v>223</v>
      </c>
      <c r="Y664" s="27" t="s">
        <v>1242</v>
      </c>
      <c r="Z664" s="27">
        <v>211</v>
      </c>
      <c r="AA664" s="27" t="s">
        <v>1243</v>
      </c>
      <c r="AB664" s="27" t="s">
        <v>1244</v>
      </c>
      <c r="AC664" s="273">
        <v>32949795856</v>
      </c>
      <c r="AD664" s="27">
        <v>709190823319.75391</v>
      </c>
      <c r="AE664" s="228">
        <v>4.6461114234051332E-2</v>
      </c>
      <c r="AF664" s="27">
        <v>137469549192.30112</v>
      </c>
      <c r="AG664" s="226">
        <v>0.239687960349006</v>
      </c>
      <c r="AH664" s="226">
        <v>0.35811894256958315</v>
      </c>
      <c r="AI664" s="27">
        <v>1392510000</v>
      </c>
      <c r="AJ664" s="226">
        <v>23.66216103008237</v>
      </c>
      <c r="AK664" s="27">
        <v>7800153904.9504929</v>
      </c>
      <c r="AL664" s="226">
        <v>4.2242494516791371</v>
      </c>
      <c r="AM664" s="27">
        <v>21235300822.663391</v>
      </c>
      <c r="AN664" s="271">
        <v>1.5516519465000611</v>
      </c>
      <c r="AO664" s="27">
        <v>240676485</v>
      </c>
      <c r="AP664" s="27">
        <v>13.3</v>
      </c>
      <c r="AQ664" s="27">
        <v>70.167853658536586</v>
      </c>
      <c r="AR664" s="27">
        <v>27.4</v>
      </c>
      <c r="AS664" s="29">
        <v>97.943749999999994</v>
      </c>
      <c r="AT664" s="609">
        <v>34</v>
      </c>
      <c r="AU664" s="464">
        <v>65.756016474143607</v>
      </c>
      <c r="AV664" s="29">
        <v>-7.1183291495536302E-2</v>
      </c>
      <c r="AW664" s="29">
        <v>-0.85380073158446201</v>
      </c>
      <c r="AX664" s="29">
        <v>-0.19747215191721601</v>
      </c>
      <c r="AY664" s="29">
        <v>-0.39464850642062199</v>
      </c>
      <c r="AZ664" s="60">
        <v>-0.74540314848692502</v>
      </c>
    </row>
    <row r="665" spans="1:52" s="29" customFormat="1" ht="15" customHeight="1">
      <c r="A665" s="59" t="s">
        <v>240</v>
      </c>
      <c r="B665" s="27">
        <v>2010</v>
      </c>
      <c r="C665" s="27" t="s">
        <v>237</v>
      </c>
      <c r="D665" s="27" t="s">
        <v>238</v>
      </c>
      <c r="E665" s="27" t="s">
        <v>50</v>
      </c>
      <c r="F665" s="27" t="s">
        <v>597</v>
      </c>
      <c r="G665" s="43"/>
      <c r="H665" s="43"/>
      <c r="I665" s="43"/>
      <c r="J665" s="43"/>
      <c r="K665" s="27"/>
      <c r="L665" s="28"/>
      <c r="M665" s="27"/>
      <c r="N665" s="27"/>
      <c r="O665" s="18">
        <f>SUM(O666:O667)</f>
        <v>42029171162.806999</v>
      </c>
      <c r="P665" s="213">
        <v>27159228000</v>
      </c>
      <c r="Q665" s="213">
        <v>27137433000</v>
      </c>
      <c r="R665" s="27"/>
      <c r="S665" s="27" t="s">
        <v>1241</v>
      </c>
      <c r="T665" s="18">
        <v>20912152000</v>
      </c>
      <c r="U665" s="27"/>
      <c r="V665" s="27"/>
      <c r="W665" s="30"/>
      <c r="X665" s="27">
        <v>170</v>
      </c>
      <c r="Y665" s="27" t="s">
        <v>1245</v>
      </c>
      <c r="Z665" s="27">
        <v>159</v>
      </c>
      <c r="AA665" s="27" t="s">
        <v>1246</v>
      </c>
      <c r="AB665" s="27"/>
      <c r="AC665" s="273">
        <v>32949795856</v>
      </c>
      <c r="AD665" s="27">
        <v>709190823319.75391</v>
      </c>
      <c r="AE665" s="228">
        <v>4.6461114234051332E-2</v>
      </c>
      <c r="AF665" s="27">
        <v>137469549192.30112</v>
      </c>
      <c r="AG665" s="226">
        <v>0.239687960349006</v>
      </c>
      <c r="AH665" s="226">
        <v>0.35811894256958315</v>
      </c>
      <c r="AI665" s="27">
        <v>1392510000</v>
      </c>
      <c r="AJ665" s="226">
        <v>23.66216103008237</v>
      </c>
      <c r="AK665" s="27">
        <v>7800153904.9504929</v>
      </c>
      <c r="AL665" s="226">
        <v>4.2242494516791371</v>
      </c>
      <c r="AM665" s="27">
        <v>21235300822.663391</v>
      </c>
      <c r="AN665" s="271">
        <v>1.5516519465000611</v>
      </c>
      <c r="AO665" s="27">
        <v>240676485</v>
      </c>
      <c r="AP665" s="27">
        <v>13.3</v>
      </c>
      <c r="AQ665" s="27">
        <v>70.167853658536586</v>
      </c>
      <c r="AR665" s="27">
        <v>27.4</v>
      </c>
      <c r="AS665" s="29">
        <v>97.943749999999994</v>
      </c>
      <c r="AT665" s="609">
        <v>34</v>
      </c>
      <c r="AU665" s="464">
        <v>65.756016474143607</v>
      </c>
      <c r="AV665" s="29">
        <v>-7.1183291495536302E-2</v>
      </c>
      <c r="AW665" s="29">
        <v>-0.85380073158446201</v>
      </c>
      <c r="AX665" s="29">
        <v>-0.19747215191721601</v>
      </c>
      <c r="AY665" s="29">
        <v>-0.39464850642062199</v>
      </c>
      <c r="AZ665" s="60">
        <v>-0.74540314848692502</v>
      </c>
    </row>
    <row r="666" spans="1:52" s="29" customFormat="1" ht="15" customHeight="1">
      <c r="A666" s="59" t="s">
        <v>240</v>
      </c>
      <c r="B666" s="27">
        <v>2010</v>
      </c>
      <c r="C666" s="27" t="s">
        <v>237</v>
      </c>
      <c r="D666" s="27" t="s">
        <v>238</v>
      </c>
      <c r="E666" s="27" t="s">
        <v>552</v>
      </c>
      <c r="F666" s="27" t="s">
        <v>552</v>
      </c>
      <c r="G666" s="43">
        <v>82000000000</v>
      </c>
      <c r="H666" s="43"/>
      <c r="I666" s="43"/>
      <c r="J666" s="43"/>
      <c r="K666" s="27" t="s">
        <v>599</v>
      </c>
      <c r="L666" s="28">
        <v>0.1741077336927683</v>
      </c>
      <c r="M666" s="27" t="s">
        <v>600</v>
      </c>
      <c r="N666" s="27" t="s">
        <v>685</v>
      </c>
      <c r="O666" s="18">
        <f>G666*L666</f>
        <v>14276834162.807001</v>
      </c>
      <c r="P666" s="213"/>
      <c r="Q666" s="213"/>
      <c r="R666" s="27"/>
      <c r="S666" s="27"/>
      <c r="T666" s="18"/>
      <c r="U666" s="27"/>
      <c r="V666" s="27"/>
      <c r="W666" s="30"/>
      <c r="X666" s="27"/>
      <c r="Y666" s="27"/>
      <c r="Z666" s="27"/>
      <c r="AA666" s="27"/>
      <c r="AB666" s="27"/>
      <c r="AC666" s="273">
        <v>32949795856</v>
      </c>
      <c r="AD666" s="27">
        <v>709190823319.75391</v>
      </c>
      <c r="AE666" s="228">
        <v>4.6461114234051332E-2</v>
      </c>
      <c r="AF666" s="27">
        <v>137469549192.30112</v>
      </c>
      <c r="AG666" s="226">
        <v>0.239687960349006</v>
      </c>
      <c r="AH666" s="226">
        <v>0.35811894256958315</v>
      </c>
      <c r="AI666" s="27">
        <v>1392510000</v>
      </c>
      <c r="AJ666" s="226">
        <v>23.66216103008237</v>
      </c>
      <c r="AK666" s="27">
        <v>7800153904.9504929</v>
      </c>
      <c r="AL666" s="226">
        <v>4.2242494516791371</v>
      </c>
      <c r="AM666" s="27">
        <v>21235300822.663391</v>
      </c>
      <c r="AN666" s="271">
        <v>1.5516519465000611</v>
      </c>
      <c r="AO666" s="27">
        <v>240676485</v>
      </c>
      <c r="AP666" s="27">
        <v>13.3</v>
      </c>
      <c r="AQ666" s="27">
        <v>70.167853658536586</v>
      </c>
      <c r="AR666" s="27">
        <v>27.4</v>
      </c>
      <c r="AS666" s="29">
        <v>97.943749999999994</v>
      </c>
      <c r="AT666" s="609">
        <v>34</v>
      </c>
      <c r="AU666" s="464">
        <v>65.756016474143607</v>
      </c>
      <c r="AV666" s="29">
        <v>-7.1183291495536302E-2</v>
      </c>
      <c r="AW666" s="29">
        <v>-0.85380073158446201</v>
      </c>
      <c r="AX666" s="29">
        <v>-0.19747215191721601</v>
      </c>
      <c r="AY666" s="29">
        <v>-0.39464850642062199</v>
      </c>
      <c r="AZ666" s="60">
        <v>-0.74540314848692502</v>
      </c>
    </row>
    <row r="667" spans="1:52" s="29" customFormat="1" ht="15" customHeight="1">
      <c r="A667" s="59" t="s">
        <v>240</v>
      </c>
      <c r="B667" s="27">
        <v>2010</v>
      </c>
      <c r="C667" s="27" t="s">
        <v>237</v>
      </c>
      <c r="D667" s="27" t="s">
        <v>238</v>
      </c>
      <c r="E667" s="27" t="s">
        <v>98</v>
      </c>
      <c r="F667" s="27" t="s">
        <v>98</v>
      </c>
      <c r="G667" s="43">
        <v>348210000</v>
      </c>
      <c r="H667" s="43">
        <v>348210000</v>
      </c>
      <c r="I667" s="43"/>
      <c r="J667" s="43"/>
      <c r="K667" s="27" t="s">
        <v>603</v>
      </c>
      <c r="L667" s="28">
        <v>79.7</v>
      </c>
      <c r="M667" s="27" t="s">
        <v>626</v>
      </c>
      <c r="N667" s="27" t="s">
        <v>1247</v>
      </c>
      <c r="O667" s="18">
        <f>G667*L667</f>
        <v>27752337000</v>
      </c>
      <c r="P667" s="244"/>
      <c r="Q667" s="244"/>
      <c r="R667" s="27"/>
      <c r="S667" s="27"/>
      <c r="T667" s="18"/>
      <c r="U667" s="27"/>
      <c r="V667" s="27"/>
      <c r="W667" s="30"/>
      <c r="X667" s="27"/>
      <c r="Y667" s="27"/>
      <c r="Z667" s="27"/>
      <c r="AA667" s="27" t="s">
        <v>1248</v>
      </c>
      <c r="AB667" s="27"/>
      <c r="AC667" s="273">
        <v>32949795856</v>
      </c>
      <c r="AD667" s="27">
        <v>709190823319.75391</v>
      </c>
      <c r="AE667" s="228">
        <v>4.6461114234051332E-2</v>
      </c>
      <c r="AF667" s="27">
        <v>137469549192.30112</v>
      </c>
      <c r="AG667" s="226">
        <v>0.239687960349006</v>
      </c>
      <c r="AH667" s="226">
        <v>0.35811894256958315</v>
      </c>
      <c r="AI667" s="27">
        <v>1392510000</v>
      </c>
      <c r="AJ667" s="226">
        <v>23.66216103008237</v>
      </c>
      <c r="AK667" s="27">
        <v>7800153904.9504929</v>
      </c>
      <c r="AL667" s="226">
        <v>4.2242494516791371</v>
      </c>
      <c r="AM667" s="27">
        <v>21235300822.663391</v>
      </c>
      <c r="AN667" s="271">
        <v>1.5516519465000611</v>
      </c>
      <c r="AO667" s="27">
        <v>240676485</v>
      </c>
      <c r="AP667" s="27">
        <v>13.3</v>
      </c>
      <c r="AQ667" s="27">
        <v>70.167853658536586</v>
      </c>
      <c r="AR667" s="27">
        <v>27.4</v>
      </c>
      <c r="AS667" s="29">
        <v>97.943749999999994</v>
      </c>
      <c r="AT667" s="609">
        <v>34</v>
      </c>
      <c r="AU667" s="464">
        <v>65.756016474143607</v>
      </c>
      <c r="AV667" s="29">
        <v>-7.1183291495536302E-2</v>
      </c>
      <c r="AW667" s="29">
        <v>-0.85380073158446201</v>
      </c>
      <c r="AX667" s="29">
        <v>-0.19747215191721601</v>
      </c>
      <c r="AY667" s="29">
        <v>-0.39464850642062199</v>
      </c>
      <c r="AZ667" s="60">
        <v>-0.74540314848692502</v>
      </c>
    </row>
    <row r="668" spans="1:52" s="29" customFormat="1" ht="15" customHeight="1">
      <c r="A668" s="59" t="s">
        <v>240</v>
      </c>
      <c r="B668" s="27">
        <v>2010</v>
      </c>
      <c r="C668" s="27" t="s">
        <v>237</v>
      </c>
      <c r="D668" s="27" t="s">
        <v>238</v>
      </c>
      <c r="E668" s="27" t="s">
        <v>19</v>
      </c>
      <c r="F668" s="27" t="s">
        <v>559</v>
      </c>
      <c r="G668" s="43"/>
      <c r="H668" s="43"/>
      <c r="I668" s="43"/>
      <c r="J668" s="43"/>
      <c r="K668" s="27"/>
      <c r="L668" s="28"/>
      <c r="M668" s="27"/>
      <c r="N668" s="27"/>
      <c r="O668" s="18">
        <f>SUM(O669:O683)</f>
        <v>42193005311.371964</v>
      </c>
      <c r="P668" s="213">
        <v>5790567856</v>
      </c>
      <c r="Q668" s="213">
        <v>5782932915</v>
      </c>
      <c r="R668" s="27"/>
      <c r="S668" s="27"/>
      <c r="T668" s="18"/>
      <c r="U668" s="27"/>
      <c r="V668" s="27"/>
      <c r="W668" s="30"/>
      <c r="X668" s="27">
        <v>53</v>
      </c>
      <c r="Y668" s="27" t="s">
        <v>1249</v>
      </c>
      <c r="Z668" s="27">
        <v>52</v>
      </c>
      <c r="AA668" s="27" t="s">
        <v>1250</v>
      </c>
      <c r="AB668" s="27"/>
      <c r="AC668" s="273">
        <v>32949795856</v>
      </c>
      <c r="AD668" s="27">
        <v>709190823319.75391</v>
      </c>
      <c r="AE668" s="228">
        <v>4.6461114234051332E-2</v>
      </c>
      <c r="AF668" s="27">
        <v>137469549192.30112</v>
      </c>
      <c r="AG668" s="226">
        <v>0.239687960349006</v>
      </c>
      <c r="AH668" s="226">
        <v>0.35811894256958315</v>
      </c>
      <c r="AI668" s="27">
        <v>1392510000</v>
      </c>
      <c r="AJ668" s="226">
        <v>23.66216103008237</v>
      </c>
      <c r="AK668" s="27">
        <v>7800153904.9504929</v>
      </c>
      <c r="AL668" s="226">
        <v>4.2242494516791371</v>
      </c>
      <c r="AM668" s="27">
        <v>21235300822.663391</v>
      </c>
      <c r="AN668" s="271">
        <v>1.5516519465000611</v>
      </c>
      <c r="AO668" s="27">
        <v>240676485</v>
      </c>
      <c r="AP668" s="27">
        <v>13.3</v>
      </c>
      <c r="AQ668" s="27">
        <v>70.167853658536586</v>
      </c>
      <c r="AR668" s="27">
        <v>27.4</v>
      </c>
      <c r="AS668" s="29">
        <v>97.943749999999994</v>
      </c>
      <c r="AT668" s="609">
        <v>34</v>
      </c>
      <c r="AU668" s="464">
        <v>65.756016474143607</v>
      </c>
      <c r="AV668" s="29">
        <v>-7.1183291495536302E-2</v>
      </c>
      <c r="AW668" s="29">
        <v>-0.85380073158446201</v>
      </c>
      <c r="AX668" s="29">
        <v>-0.19747215191721601</v>
      </c>
      <c r="AY668" s="29">
        <v>-0.39464850642062199</v>
      </c>
      <c r="AZ668" s="60">
        <v>-0.74540314848692502</v>
      </c>
    </row>
    <row r="669" spans="1:52" s="29" customFormat="1" ht="15" customHeight="1">
      <c r="A669" s="59" t="s">
        <v>240</v>
      </c>
      <c r="B669" s="27">
        <v>2010</v>
      </c>
      <c r="C669" s="27" t="s">
        <v>237</v>
      </c>
      <c r="D669" s="27" t="s">
        <v>238</v>
      </c>
      <c r="E669" s="27" t="s">
        <v>19</v>
      </c>
      <c r="F669" s="27" t="s">
        <v>1251</v>
      </c>
      <c r="G669" s="43">
        <v>27000000</v>
      </c>
      <c r="H669" s="43"/>
      <c r="I669" s="43"/>
      <c r="J669" s="43"/>
      <c r="K669" s="43" t="s">
        <v>567</v>
      </c>
      <c r="L669" s="28">
        <v>29.41</v>
      </c>
      <c r="M669" s="27" t="s">
        <v>568</v>
      </c>
      <c r="N669" s="27" t="s">
        <v>1221</v>
      </c>
      <c r="O669" s="18">
        <f>G669*L669</f>
        <v>794070000</v>
      </c>
      <c r="P669" s="213"/>
      <c r="Q669" s="213"/>
      <c r="R669" s="27"/>
      <c r="S669" s="27"/>
      <c r="T669" s="18"/>
      <c r="U669" s="27"/>
      <c r="V669" s="27"/>
      <c r="W669" s="30"/>
      <c r="X669" s="27">
        <v>2</v>
      </c>
      <c r="Y669" s="27" t="s">
        <v>1222</v>
      </c>
      <c r="Z669" s="27">
        <v>2</v>
      </c>
      <c r="AA669" s="27"/>
      <c r="AB669" s="27"/>
      <c r="AC669" s="273">
        <v>32949795856</v>
      </c>
      <c r="AD669" s="27">
        <v>709190823319.75391</v>
      </c>
      <c r="AE669" s="228">
        <v>4.6461114234051332E-2</v>
      </c>
      <c r="AF669" s="27">
        <v>137469549192.30112</v>
      </c>
      <c r="AG669" s="226">
        <v>0.239687960349006</v>
      </c>
      <c r="AH669" s="226">
        <v>0.35811894256958315</v>
      </c>
      <c r="AI669" s="27">
        <v>1392510000</v>
      </c>
      <c r="AJ669" s="226">
        <v>23.66216103008237</v>
      </c>
      <c r="AK669" s="27">
        <v>7800153904.9504929</v>
      </c>
      <c r="AL669" s="226">
        <v>4.2242494516791371</v>
      </c>
      <c r="AM669" s="27">
        <v>21235300822.663391</v>
      </c>
      <c r="AN669" s="271">
        <v>1.5516519465000611</v>
      </c>
      <c r="AO669" s="27">
        <v>240676485</v>
      </c>
      <c r="AP669" s="27">
        <v>13.3</v>
      </c>
      <c r="AQ669" s="27">
        <v>70.167853658536586</v>
      </c>
      <c r="AR669" s="27">
        <v>27.4</v>
      </c>
      <c r="AS669" s="29">
        <v>97.943749999999994</v>
      </c>
      <c r="AT669" s="609">
        <v>34</v>
      </c>
      <c r="AU669" s="464">
        <v>65.756016474143607</v>
      </c>
      <c r="AV669" s="29">
        <v>-7.1183291495536302E-2</v>
      </c>
      <c r="AW669" s="29">
        <v>-0.85380073158446201</v>
      </c>
      <c r="AX669" s="29">
        <v>-0.19747215191721601</v>
      </c>
      <c r="AY669" s="29">
        <v>-0.39464850642062199</v>
      </c>
      <c r="AZ669" s="60">
        <v>-0.74540314848692502</v>
      </c>
    </row>
    <row r="670" spans="1:52" s="29" customFormat="1" ht="15" customHeight="1">
      <c r="A670" s="59" t="s">
        <v>240</v>
      </c>
      <c r="B670" s="27">
        <v>2010</v>
      </c>
      <c r="C670" s="27" t="s">
        <v>237</v>
      </c>
      <c r="D670" s="27" t="s">
        <v>238</v>
      </c>
      <c r="E670" s="27" t="s">
        <v>19</v>
      </c>
      <c r="F670" s="27" t="s">
        <v>573</v>
      </c>
      <c r="G670" s="43">
        <v>275200000</v>
      </c>
      <c r="H670" s="43"/>
      <c r="I670" s="43"/>
      <c r="J670" s="43"/>
      <c r="K670" s="27" t="s">
        <v>567</v>
      </c>
      <c r="L670" s="28">
        <v>89.852021850427363</v>
      </c>
      <c r="M670" s="27" t="s">
        <v>568</v>
      </c>
      <c r="N670" s="27" t="s">
        <v>1223</v>
      </c>
      <c r="O670" s="18">
        <f>G670*L670</f>
        <v>24727276413.23761</v>
      </c>
      <c r="P670" s="213"/>
      <c r="Q670" s="213"/>
      <c r="R670" s="27"/>
      <c r="S670" s="27"/>
      <c r="T670" s="18"/>
      <c r="U670" s="27"/>
      <c r="V670" s="27"/>
      <c r="W670" s="30"/>
      <c r="X670" s="27">
        <v>43</v>
      </c>
      <c r="Y670" s="27" t="s">
        <v>1252</v>
      </c>
      <c r="Z670" s="27">
        <v>43</v>
      </c>
      <c r="AA670" s="27"/>
      <c r="AB670" s="27"/>
      <c r="AC670" s="273">
        <v>32949795856</v>
      </c>
      <c r="AD670" s="27">
        <v>709190823319.75391</v>
      </c>
      <c r="AE670" s="228">
        <v>4.6461114234051332E-2</v>
      </c>
      <c r="AF670" s="27">
        <v>137469549192.30112</v>
      </c>
      <c r="AG670" s="226">
        <v>0.239687960349006</v>
      </c>
      <c r="AH670" s="226">
        <v>0.35811894256958315</v>
      </c>
      <c r="AI670" s="27">
        <v>1392510000</v>
      </c>
      <c r="AJ670" s="226">
        <v>23.66216103008237</v>
      </c>
      <c r="AK670" s="27">
        <v>7800153904.9504929</v>
      </c>
      <c r="AL670" s="226">
        <v>4.2242494516791371</v>
      </c>
      <c r="AM670" s="27">
        <v>21235300822.663391</v>
      </c>
      <c r="AN670" s="271">
        <v>1.5516519465000611</v>
      </c>
      <c r="AO670" s="27">
        <v>240676485</v>
      </c>
      <c r="AP670" s="27">
        <v>13.3</v>
      </c>
      <c r="AQ670" s="27">
        <v>70.167853658536586</v>
      </c>
      <c r="AR670" s="27">
        <v>27.4</v>
      </c>
      <c r="AS670" s="29">
        <v>97.943749999999994</v>
      </c>
      <c r="AT670" s="609">
        <v>34</v>
      </c>
      <c r="AU670" s="464">
        <v>65.756016474143607</v>
      </c>
      <c r="AV670" s="29">
        <v>-7.1183291495536302E-2</v>
      </c>
      <c r="AW670" s="29">
        <v>-0.85380073158446201</v>
      </c>
      <c r="AX670" s="29">
        <v>-0.19747215191721601</v>
      </c>
      <c r="AY670" s="29">
        <v>-0.39464850642062199</v>
      </c>
      <c r="AZ670" s="60">
        <v>-0.74540314848692502</v>
      </c>
    </row>
    <row r="671" spans="1:52" s="29" customFormat="1" ht="15" customHeight="1">
      <c r="A671" s="59" t="s">
        <v>240</v>
      </c>
      <c r="B671" s="27">
        <v>2010</v>
      </c>
      <c r="C671" s="27" t="s">
        <v>237</v>
      </c>
      <c r="D671" s="27" t="s">
        <v>238</v>
      </c>
      <c r="E671" s="27" t="s">
        <v>19</v>
      </c>
      <c r="F671" s="27" t="s">
        <v>576</v>
      </c>
      <c r="G671" s="43"/>
      <c r="H671" s="43"/>
      <c r="I671" s="43"/>
      <c r="J671" s="43"/>
      <c r="K671" s="27"/>
      <c r="L671" s="44">
        <v>7534.7795833333303</v>
      </c>
      <c r="M671" s="27" t="s">
        <v>568</v>
      </c>
      <c r="N671" s="27" t="s">
        <v>633</v>
      </c>
      <c r="O671" s="18">
        <f>SUM(G673:G674)*L671</f>
        <v>4181802668.7499981</v>
      </c>
      <c r="P671" s="213"/>
      <c r="Q671" s="213"/>
      <c r="R671" s="27"/>
      <c r="S671" s="27"/>
      <c r="T671" s="18"/>
      <c r="U671" s="27"/>
      <c r="V671" s="27"/>
      <c r="W671" s="30"/>
      <c r="X671" s="27">
        <v>4</v>
      </c>
      <c r="Y671" s="27" t="s">
        <v>1253</v>
      </c>
      <c r="Z671" s="27">
        <v>4</v>
      </c>
      <c r="AA671" s="27"/>
      <c r="AB671" s="27"/>
      <c r="AC671" s="273">
        <v>32949795856</v>
      </c>
      <c r="AD671" s="27">
        <v>709190823319.75391</v>
      </c>
      <c r="AE671" s="228">
        <v>4.6461114234051332E-2</v>
      </c>
      <c r="AF671" s="27">
        <v>137469549192.30112</v>
      </c>
      <c r="AG671" s="226">
        <v>0.239687960349006</v>
      </c>
      <c r="AH671" s="226">
        <v>0.35811894256958315</v>
      </c>
      <c r="AI671" s="27">
        <v>1392510000</v>
      </c>
      <c r="AJ671" s="226">
        <v>23.66216103008237</v>
      </c>
      <c r="AK671" s="27">
        <v>7800153904.9504929</v>
      </c>
      <c r="AL671" s="226">
        <v>4.2242494516791371</v>
      </c>
      <c r="AM671" s="27">
        <v>21235300822.663391</v>
      </c>
      <c r="AN671" s="271">
        <v>1.5516519465000611</v>
      </c>
      <c r="AO671" s="27">
        <v>240676485</v>
      </c>
      <c r="AP671" s="27">
        <v>13.3</v>
      </c>
      <c r="AQ671" s="27">
        <v>70.167853658536586</v>
      </c>
      <c r="AR671" s="27">
        <v>27.4</v>
      </c>
      <c r="AS671" s="29">
        <v>97.943749999999994</v>
      </c>
      <c r="AT671" s="609">
        <v>34</v>
      </c>
      <c r="AU671" s="464">
        <v>65.756016474143607</v>
      </c>
      <c r="AV671" s="29">
        <v>-7.1183291495536302E-2</v>
      </c>
      <c r="AW671" s="29">
        <v>-0.85380073158446201</v>
      </c>
      <c r="AX671" s="29">
        <v>-0.19747215191721601</v>
      </c>
      <c r="AY671" s="29">
        <v>-0.39464850642062199</v>
      </c>
      <c r="AZ671" s="60">
        <v>-0.74540314848692502</v>
      </c>
    </row>
    <row r="672" spans="1:52" s="29" customFormat="1" ht="15" customHeight="1">
      <c r="A672" s="59" t="s">
        <v>240</v>
      </c>
      <c r="B672" s="27">
        <v>2010</v>
      </c>
      <c r="C672" s="27" t="s">
        <v>237</v>
      </c>
      <c r="D672" s="27" t="s">
        <v>238</v>
      </c>
      <c r="E672" s="27" t="s">
        <v>19</v>
      </c>
      <c r="F672" s="27" t="s">
        <v>1226</v>
      </c>
      <c r="G672" s="43">
        <v>878376</v>
      </c>
      <c r="H672" s="43"/>
      <c r="I672" s="43"/>
      <c r="J672" s="43"/>
      <c r="K672" s="27" t="s">
        <v>567</v>
      </c>
      <c r="L672" s="28"/>
      <c r="M672" s="27"/>
      <c r="N672" s="27" t="s">
        <v>636</v>
      </c>
      <c r="O672" s="18"/>
      <c r="P672" s="213"/>
      <c r="Q672" s="213"/>
      <c r="R672" s="27"/>
      <c r="S672" s="27"/>
      <c r="T672" s="18"/>
      <c r="U672" s="27"/>
      <c r="V672" s="27"/>
      <c r="W672" s="30"/>
      <c r="X672" s="27"/>
      <c r="Y672" s="27"/>
      <c r="Z672" s="27"/>
      <c r="AA672" s="27"/>
      <c r="AB672" s="27"/>
      <c r="AC672" s="273">
        <v>32949795856</v>
      </c>
      <c r="AD672" s="27">
        <v>709190823319.75391</v>
      </c>
      <c r="AE672" s="228">
        <v>4.6461114234051332E-2</v>
      </c>
      <c r="AF672" s="27">
        <v>137469549192.30112</v>
      </c>
      <c r="AG672" s="226">
        <v>0.239687960349006</v>
      </c>
      <c r="AH672" s="226">
        <v>0.35811894256958315</v>
      </c>
      <c r="AI672" s="27">
        <v>1392510000</v>
      </c>
      <c r="AJ672" s="226">
        <v>23.66216103008237</v>
      </c>
      <c r="AK672" s="27">
        <v>7800153904.9504929</v>
      </c>
      <c r="AL672" s="226">
        <v>4.2242494516791371</v>
      </c>
      <c r="AM672" s="27">
        <v>21235300822.663391</v>
      </c>
      <c r="AN672" s="271">
        <v>1.5516519465000611</v>
      </c>
      <c r="AO672" s="27">
        <v>240676485</v>
      </c>
      <c r="AP672" s="27">
        <v>13.3</v>
      </c>
      <c r="AQ672" s="27">
        <v>70.167853658536586</v>
      </c>
      <c r="AR672" s="27">
        <v>27.4</v>
      </c>
      <c r="AS672" s="29">
        <v>97.943749999999994</v>
      </c>
      <c r="AT672" s="609">
        <v>34</v>
      </c>
      <c r="AU672" s="464">
        <v>65.756016474143607</v>
      </c>
      <c r="AV672" s="29">
        <v>-7.1183291495536302E-2</v>
      </c>
      <c r="AW672" s="29">
        <v>-0.85380073158446201</v>
      </c>
      <c r="AX672" s="29">
        <v>-0.19747215191721601</v>
      </c>
      <c r="AY672" s="29">
        <v>-0.39464850642062199</v>
      </c>
      <c r="AZ672" s="60">
        <v>-0.74540314848692502</v>
      </c>
    </row>
    <row r="673" spans="1:52" s="29" customFormat="1" ht="15" customHeight="1">
      <c r="A673" s="59" t="s">
        <v>240</v>
      </c>
      <c r="B673" s="27">
        <v>2010</v>
      </c>
      <c r="C673" s="27" t="s">
        <v>237</v>
      </c>
      <c r="D673" s="27" t="s">
        <v>238</v>
      </c>
      <c r="E673" s="27" t="s">
        <v>19</v>
      </c>
      <c r="F673" s="27" t="s">
        <v>1227</v>
      </c>
      <c r="G673" s="43">
        <v>276800</v>
      </c>
      <c r="H673" s="43"/>
      <c r="I673" s="43"/>
      <c r="J673" s="43"/>
      <c r="K673" s="27" t="s">
        <v>567</v>
      </c>
      <c r="L673" s="28"/>
      <c r="M673" s="27"/>
      <c r="N673" s="27" t="s">
        <v>636</v>
      </c>
      <c r="O673" s="18"/>
      <c r="P673" s="213"/>
      <c r="Q673" s="213"/>
      <c r="R673" s="27"/>
      <c r="S673" s="27"/>
      <c r="T673" s="18"/>
      <c r="U673" s="27"/>
      <c r="V673" s="27"/>
      <c r="W673" s="30"/>
      <c r="X673" s="27"/>
      <c r="Y673" s="27"/>
      <c r="Z673" s="27"/>
      <c r="AA673" s="27"/>
      <c r="AB673" s="27"/>
      <c r="AC673" s="273">
        <v>32949795856</v>
      </c>
      <c r="AD673" s="27">
        <v>709190823319.75391</v>
      </c>
      <c r="AE673" s="228">
        <v>4.6461114234051332E-2</v>
      </c>
      <c r="AF673" s="27">
        <v>137469549192.30112</v>
      </c>
      <c r="AG673" s="226">
        <v>0.239687960349006</v>
      </c>
      <c r="AH673" s="226">
        <v>0.35811894256958315</v>
      </c>
      <c r="AI673" s="27">
        <v>1392510000</v>
      </c>
      <c r="AJ673" s="226">
        <v>23.66216103008237</v>
      </c>
      <c r="AK673" s="27">
        <v>7800153904.9504929</v>
      </c>
      <c r="AL673" s="226">
        <v>4.2242494516791371</v>
      </c>
      <c r="AM673" s="27">
        <v>21235300822.663391</v>
      </c>
      <c r="AN673" s="271">
        <v>1.5516519465000611</v>
      </c>
      <c r="AO673" s="27">
        <v>240676485</v>
      </c>
      <c r="AP673" s="27">
        <v>13.3</v>
      </c>
      <c r="AQ673" s="27">
        <v>70.167853658536586</v>
      </c>
      <c r="AR673" s="27">
        <v>27.4</v>
      </c>
      <c r="AS673" s="29">
        <v>97.943749999999994</v>
      </c>
      <c r="AT673" s="609">
        <v>34</v>
      </c>
      <c r="AU673" s="464">
        <v>65.756016474143607</v>
      </c>
      <c r="AV673" s="29">
        <v>-7.1183291495536302E-2</v>
      </c>
      <c r="AW673" s="29">
        <v>-0.85380073158446201</v>
      </c>
      <c r="AX673" s="29">
        <v>-0.19747215191721601</v>
      </c>
      <c r="AY673" s="29">
        <v>-0.39464850642062199</v>
      </c>
      <c r="AZ673" s="60">
        <v>-0.74540314848692502</v>
      </c>
    </row>
    <row r="674" spans="1:52" s="29" customFormat="1" ht="15" customHeight="1">
      <c r="A674" s="59" t="s">
        <v>240</v>
      </c>
      <c r="B674" s="27">
        <v>2010</v>
      </c>
      <c r="C674" s="27" t="s">
        <v>237</v>
      </c>
      <c r="D674" s="27" t="s">
        <v>238</v>
      </c>
      <c r="E674" s="27" t="s">
        <v>19</v>
      </c>
      <c r="F674" s="27" t="s">
        <v>1228</v>
      </c>
      <c r="G674" s="43">
        <v>278200</v>
      </c>
      <c r="H674" s="43"/>
      <c r="I674" s="43"/>
      <c r="J674" s="43"/>
      <c r="K674" s="27" t="s">
        <v>567</v>
      </c>
      <c r="L674" s="28"/>
      <c r="M674" s="27"/>
      <c r="N674" s="27" t="s">
        <v>636</v>
      </c>
      <c r="O674" s="18"/>
      <c r="P674" s="213"/>
      <c r="Q674" s="213"/>
      <c r="R674" s="27"/>
      <c r="S674" s="27"/>
      <c r="T674" s="18"/>
      <c r="U674" s="27"/>
      <c r="V674" s="27"/>
      <c r="W674" s="30"/>
      <c r="X674" s="27"/>
      <c r="Y674" s="27"/>
      <c r="Z674" s="27"/>
      <c r="AA674" s="27"/>
      <c r="AB674" s="27"/>
      <c r="AC674" s="273">
        <v>32949795856</v>
      </c>
      <c r="AD674" s="27">
        <v>709190823319.75391</v>
      </c>
      <c r="AE674" s="228">
        <v>4.6461114234051332E-2</v>
      </c>
      <c r="AF674" s="27">
        <v>137469549192.30112</v>
      </c>
      <c r="AG674" s="226">
        <v>0.239687960349006</v>
      </c>
      <c r="AH674" s="226">
        <v>0.35811894256958315</v>
      </c>
      <c r="AI674" s="27">
        <v>1392510000</v>
      </c>
      <c r="AJ674" s="226">
        <v>23.66216103008237</v>
      </c>
      <c r="AK674" s="27">
        <v>7800153904.9504929</v>
      </c>
      <c r="AL674" s="226">
        <v>4.2242494516791371</v>
      </c>
      <c r="AM674" s="27">
        <v>21235300822.663391</v>
      </c>
      <c r="AN674" s="271">
        <v>1.5516519465000611</v>
      </c>
      <c r="AO674" s="27">
        <v>240676485</v>
      </c>
      <c r="AP674" s="27">
        <v>13.3</v>
      </c>
      <c r="AQ674" s="27">
        <v>70.167853658536586</v>
      </c>
      <c r="AR674" s="27">
        <v>27.4</v>
      </c>
      <c r="AS674" s="29">
        <v>97.943749999999994</v>
      </c>
      <c r="AT674" s="609">
        <v>34</v>
      </c>
      <c r="AU674" s="464">
        <v>65.756016474143607</v>
      </c>
      <c r="AV674" s="29">
        <v>-7.1183291495536302E-2</v>
      </c>
      <c r="AW674" s="29">
        <v>-0.85380073158446201</v>
      </c>
      <c r="AX674" s="29">
        <v>-0.19747215191721601</v>
      </c>
      <c r="AY674" s="29">
        <v>-0.39464850642062199</v>
      </c>
      <c r="AZ674" s="60">
        <v>-0.74540314848692502</v>
      </c>
    </row>
    <row r="675" spans="1:52" s="29" customFormat="1" ht="15" customHeight="1">
      <c r="A675" s="59" t="s">
        <v>240</v>
      </c>
      <c r="B675" s="27">
        <v>2010</v>
      </c>
      <c r="C675" s="27" t="s">
        <v>237</v>
      </c>
      <c r="D675" s="27" t="s">
        <v>238</v>
      </c>
      <c r="E675" s="27" t="s">
        <v>19</v>
      </c>
      <c r="F675" s="27" t="s">
        <v>730</v>
      </c>
      <c r="G675" s="43">
        <f>106316*32.150743126506</f>
        <v>3418138.406237612</v>
      </c>
      <c r="H675" s="43"/>
      <c r="I675" s="43"/>
      <c r="J675" s="43"/>
      <c r="K675" s="27" t="s">
        <v>731</v>
      </c>
      <c r="L675" s="28">
        <v>1224.66425</v>
      </c>
      <c r="M675" s="27" t="s">
        <v>732</v>
      </c>
      <c r="N675" s="27" t="s">
        <v>733</v>
      </c>
      <c r="O675" s="18">
        <f>G675*L675</f>
        <v>4186071907.6711807</v>
      </c>
      <c r="P675" s="213"/>
      <c r="Q675" s="213"/>
      <c r="R675" s="27"/>
      <c r="S675" s="27"/>
      <c r="T675" s="18"/>
      <c r="U675" s="27"/>
      <c r="V675" s="27"/>
      <c r="W675" s="30"/>
      <c r="X675" s="27">
        <v>4</v>
      </c>
      <c r="Y675" s="27" t="s">
        <v>1253</v>
      </c>
      <c r="Z675" s="27">
        <v>4</v>
      </c>
      <c r="AA675" s="27"/>
      <c r="AB675" s="27"/>
      <c r="AC675" s="273">
        <v>32949795856</v>
      </c>
      <c r="AD675" s="27">
        <v>709190823319.75391</v>
      </c>
      <c r="AE675" s="228">
        <v>4.6461114234051332E-2</v>
      </c>
      <c r="AF675" s="27">
        <v>137469549192.30112</v>
      </c>
      <c r="AG675" s="226">
        <v>0.239687960349006</v>
      </c>
      <c r="AH675" s="226">
        <v>0.35811894256958315</v>
      </c>
      <c r="AI675" s="27">
        <v>1392510000</v>
      </c>
      <c r="AJ675" s="226">
        <v>23.66216103008237</v>
      </c>
      <c r="AK675" s="27">
        <v>7800153904.9504929</v>
      </c>
      <c r="AL675" s="226">
        <v>4.2242494516791371</v>
      </c>
      <c r="AM675" s="27">
        <v>21235300822.663391</v>
      </c>
      <c r="AN675" s="271">
        <v>1.5516519465000611</v>
      </c>
      <c r="AO675" s="27">
        <v>240676485</v>
      </c>
      <c r="AP675" s="27">
        <v>13.3</v>
      </c>
      <c r="AQ675" s="27">
        <v>70.167853658536586</v>
      </c>
      <c r="AR675" s="27">
        <v>27.4</v>
      </c>
      <c r="AS675" s="29">
        <v>97.943749999999994</v>
      </c>
      <c r="AT675" s="609">
        <v>34</v>
      </c>
      <c r="AU675" s="464">
        <v>65.756016474143607</v>
      </c>
      <c r="AV675" s="29">
        <v>-7.1183291495536302E-2</v>
      </c>
      <c r="AW675" s="29">
        <v>-0.85380073158446201</v>
      </c>
      <c r="AX675" s="29">
        <v>-0.19747215191721601</v>
      </c>
      <c r="AY675" s="29">
        <v>-0.39464850642062199</v>
      </c>
      <c r="AZ675" s="60">
        <v>-0.74540314848692502</v>
      </c>
    </row>
    <row r="676" spans="1:52" s="29" customFormat="1" ht="15" customHeight="1">
      <c r="A676" s="59" t="s">
        <v>240</v>
      </c>
      <c r="B676" s="27">
        <v>2010</v>
      </c>
      <c r="C676" s="27" t="s">
        <v>237</v>
      </c>
      <c r="D676" s="27" t="s">
        <v>238</v>
      </c>
      <c r="E676" s="27" t="s">
        <v>19</v>
      </c>
      <c r="F676" s="27" t="s">
        <v>638</v>
      </c>
      <c r="G676" s="43"/>
      <c r="H676" s="43"/>
      <c r="I676" s="43"/>
      <c r="J676" s="43"/>
      <c r="K676" s="27"/>
      <c r="L676" s="44">
        <v>21808.852416666701</v>
      </c>
      <c r="M676" s="27" t="s">
        <v>568</v>
      </c>
      <c r="N676" s="27" t="s">
        <v>639</v>
      </c>
      <c r="O676" s="18">
        <f>SUM(G677:G679)*L676</f>
        <v>7233429316.4455118</v>
      </c>
      <c r="P676" s="213"/>
      <c r="Q676" s="213"/>
      <c r="R676" s="27"/>
      <c r="S676" s="27"/>
      <c r="T676" s="18"/>
      <c r="U676" s="27"/>
      <c r="V676" s="27"/>
      <c r="W676" s="30"/>
      <c r="X676" s="27">
        <v>2</v>
      </c>
      <c r="Y676" s="27" t="s">
        <v>1254</v>
      </c>
      <c r="Z676" s="27">
        <v>2</v>
      </c>
      <c r="AA676" s="27"/>
      <c r="AB676" s="27"/>
      <c r="AC676" s="273">
        <v>32949795856</v>
      </c>
      <c r="AD676" s="27">
        <v>709190823319.75391</v>
      </c>
      <c r="AE676" s="228">
        <v>4.6461114234051332E-2</v>
      </c>
      <c r="AF676" s="27">
        <v>137469549192.30112</v>
      </c>
      <c r="AG676" s="226">
        <v>0.239687960349006</v>
      </c>
      <c r="AH676" s="226">
        <v>0.35811894256958315</v>
      </c>
      <c r="AI676" s="27">
        <v>1392510000</v>
      </c>
      <c r="AJ676" s="226">
        <v>23.66216103008237</v>
      </c>
      <c r="AK676" s="27">
        <v>7800153904.9504929</v>
      </c>
      <c r="AL676" s="226">
        <v>4.2242494516791371</v>
      </c>
      <c r="AM676" s="27">
        <v>21235300822.663391</v>
      </c>
      <c r="AN676" s="271">
        <v>1.5516519465000611</v>
      </c>
      <c r="AO676" s="27">
        <v>240676485</v>
      </c>
      <c r="AP676" s="27">
        <v>13.3</v>
      </c>
      <c r="AQ676" s="27">
        <v>70.167853658536586</v>
      </c>
      <c r="AR676" s="27">
        <v>27.4</v>
      </c>
      <c r="AS676" s="29">
        <v>97.943749999999994</v>
      </c>
      <c r="AT676" s="609">
        <v>34</v>
      </c>
      <c r="AU676" s="464">
        <v>65.756016474143607</v>
      </c>
      <c r="AV676" s="29">
        <v>-7.1183291495536302E-2</v>
      </c>
      <c r="AW676" s="29">
        <v>-0.85380073158446201</v>
      </c>
      <c r="AX676" s="29">
        <v>-0.19747215191721601</v>
      </c>
      <c r="AY676" s="29">
        <v>-0.39464850642062199</v>
      </c>
      <c r="AZ676" s="60">
        <v>-0.74540314848692502</v>
      </c>
    </row>
    <row r="677" spans="1:52" s="29" customFormat="1" ht="15" customHeight="1">
      <c r="A677" s="59" t="s">
        <v>240</v>
      </c>
      <c r="B677" s="27">
        <v>2010</v>
      </c>
      <c r="C677" s="27" t="s">
        <v>237</v>
      </c>
      <c r="D677" s="27" t="s">
        <v>238</v>
      </c>
      <c r="E677" s="27" t="s">
        <v>19</v>
      </c>
      <c r="F677" s="27" t="s">
        <v>1231</v>
      </c>
      <c r="G677" s="43">
        <v>235800</v>
      </c>
      <c r="H677" s="43"/>
      <c r="I677" s="43"/>
      <c r="J677" s="43"/>
      <c r="K677" s="27" t="s">
        <v>567</v>
      </c>
      <c r="L677" s="28"/>
      <c r="M677" s="27"/>
      <c r="N677" s="27" t="s">
        <v>636</v>
      </c>
      <c r="O677" s="18"/>
      <c r="P677" s="213"/>
      <c r="Q677" s="213"/>
      <c r="R677" s="27"/>
      <c r="S677" s="27"/>
      <c r="T677" s="18"/>
      <c r="U677" s="27"/>
      <c r="V677" s="27"/>
      <c r="W677" s="30"/>
      <c r="X677" s="27"/>
      <c r="Y677" s="27"/>
      <c r="Z677" s="27"/>
      <c r="AA677" s="27"/>
      <c r="AB677" s="27"/>
      <c r="AC677" s="273">
        <v>32949795856</v>
      </c>
      <c r="AD677" s="27">
        <v>709190823319.75391</v>
      </c>
      <c r="AE677" s="228">
        <v>4.6461114234051332E-2</v>
      </c>
      <c r="AF677" s="27">
        <v>137469549192.30112</v>
      </c>
      <c r="AG677" s="226">
        <v>0.239687960349006</v>
      </c>
      <c r="AH677" s="226">
        <v>0.35811894256958315</v>
      </c>
      <c r="AI677" s="27">
        <v>1392510000</v>
      </c>
      <c r="AJ677" s="226">
        <v>23.66216103008237</v>
      </c>
      <c r="AK677" s="27">
        <v>7800153904.9504929</v>
      </c>
      <c r="AL677" s="226">
        <v>4.2242494516791371</v>
      </c>
      <c r="AM677" s="27">
        <v>21235300822.663391</v>
      </c>
      <c r="AN677" s="271">
        <v>1.5516519465000611</v>
      </c>
      <c r="AO677" s="27">
        <v>240676485</v>
      </c>
      <c r="AP677" s="27">
        <v>13.3</v>
      </c>
      <c r="AQ677" s="27">
        <v>70.167853658536586</v>
      </c>
      <c r="AR677" s="27">
        <v>27.4</v>
      </c>
      <c r="AS677" s="29">
        <v>97.943749999999994</v>
      </c>
      <c r="AT677" s="609">
        <v>34</v>
      </c>
      <c r="AU677" s="464">
        <v>65.756016474143607</v>
      </c>
      <c r="AV677" s="29">
        <v>-7.1183291495536302E-2</v>
      </c>
      <c r="AW677" s="29">
        <v>-0.85380073158446201</v>
      </c>
      <c r="AX677" s="29">
        <v>-0.19747215191721601</v>
      </c>
      <c r="AY677" s="29">
        <v>-0.39464850642062199</v>
      </c>
      <c r="AZ677" s="60">
        <v>-0.74540314848692502</v>
      </c>
    </row>
    <row r="678" spans="1:52" s="29" customFormat="1" ht="15" customHeight="1">
      <c r="A678" s="59" t="s">
        <v>240</v>
      </c>
      <c r="B678" s="27">
        <v>2010</v>
      </c>
      <c r="C678" s="27" t="s">
        <v>237</v>
      </c>
      <c r="D678" s="27" t="s">
        <v>238</v>
      </c>
      <c r="E678" s="27" t="s">
        <v>19</v>
      </c>
      <c r="F678" s="27" t="s">
        <v>1232</v>
      </c>
      <c r="G678" s="43">
        <v>77186</v>
      </c>
      <c r="H678" s="43"/>
      <c r="I678" s="43"/>
      <c r="J678" s="43"/>
      <c r="K678" s="27" t="s">
        <v>567</v>
      </c>
      <c r="L678" s="28"/>
      <c r="M678" s="27"/>
      <c r="N678" s="27" t="s">
        <v>636</v>
      </c>
      <c r="O678" s="18"/>
      <c r="P678" s="213"/>
      <c r="Q678" s="213"/>
      <c r="R678" s="27"/>
      <c r="S678" s="27"/>
      <c r="T678" s="18"/>
      <c r="U678" s="27"/>
      <c r="V678" s="27"/>
      <c r="W678" s="30"/>
      <c r="X678" s="27"/>
      <c r="Y678" s="27"/>
      <c r="Z678" s="27"/>
      <c r="AA678" s="27"/>
      <c r="AB678" s="27"/>
      <c r="AC678" s="273">
        <v>32949795856</v>
      </c>
      <c r="AD678" s="27">
        <v>709190823319.75391</v>
      </c>
      <c r="AE678" s="228">
        <v>4.6461114234051332E-2</v>
      </c>
      <c r="AF678" s="27">
        <v>137469549192.30112</v>
      </c>
      <c r="AG678" s="226">
        <v>0.239687960349006</v>
      </c>
      <c r="AH678" s="226">
        <v>0.35811894256958315</v>
      </c>
      <c r="AI678" s="27">
        <v>1392510000</v>
      </c>
      <c r="AJ678" s="226">
        <v>23.66216103008237</v>
      </c>
      <c r="AK678" s="27">
        <v>7800153904.9504929</v>
      </c>
      <c r="AL678" s="226">
        <v>4.2242494516791371</v>
      </c>
      <c r="AM678" s="27">
        <v>21235300822.663391</v>
      </c>
      <c r="AN678" s="271">
        <v>1.5516519465000611</v>
      </c>
      <c r="AO678" s="27">
        <v>240676485</v>
      </c>
      <c r="AP678" s="27">
        <v>13.3</v>
      </c>
      <c r="AQ678" s="27">
        <v>70.167853658536586</v>
      </c>
      <c r="AR678" s="27">
        <v>27.4</v>
      </c>
      <c r="AS678" s="29">
        <v>97.943749999999994</v>
      </c>
      <c r="AT678" s="609">
        <v>34</v>
      </c>
      <c r="AU678" s="464">
        <v>65.756016474143607</v>
      </c>
      <c r="AV678" s="29">
        <v>-7.1183291495536302E-2</v>
      </c>
      <c r="AW678" s="29">
        <v>-0.85380073158446201</v>
      </c>
      <c r="AX678" s="29">
        <v>-0.19747215191721601</v>
      </c>
      <c r="AY678" s="29">
        <v>-0.39464850642062199</v>
      </c>
      <c r="AZ678" s="60">
        <v>-0.74540314848692502</v>
      </c>
    </row>
    <row r="679" spans="1:52" s="29" customFormat="1" ht="15" customHeight="1">
      <c r="A679" s="59" t="s">
        <v>240</v>
      </c>
      <c r="B679" s="27">
        <v>2010</v>
      </c>
      <c r="C679" s="27" t="s">
        <v>237</v>
      </c>
      <c r="D679" s="27" t="s">
        <v>238</v>
      </c>
      <c r="E679" s="27" t="s">
        <v>19</v>
      </c>
      <c r="F679" s="27" t="s">
        <v>1233</v>
      </c>
      <c r="G679" s="43">
        <v>18688</v>
      </c>
      <c r="H679" s="43"/>
      <c r="I679" s="43"/>
      <c r="J679" s="43"/>
      <c r="K679" s="27" t="s">
        <v>567</v>
      </c>
      <c r="L679" s="28"/>
      <c r="M679" s="27"/>
      <c r="N679" s="27" t="s">
        <v>636</v>
      </c>
      <c r="O679" s="18"/>
      <c r="P679" s="213"/>
      <c r="Q679" s="213"/>
      <c r="R679" s="27"/>
      <c r="S679" s="27"/>
      <c r="T679" s="18"/>
      <c r="U679" s="27"/>
      <c r="V679" s="27"/>
      <c r="W679" s="30"/>
      <c r="X679" s="27"/>
      <c r="Y679" s="27"/>
      <c r="Z679" s="27"/>
      <c r="AA679" s="27"/>
      <c r="AB679" s="27"/>
      <c r="AC679" s="273">
        <v>32949795856</v>
      </c>
      <c r="AD679" s="27">
        <v>709190823319.75391</v>
      </c>
      <c r="AE679" s="228">
        <v>4.6461114234051332E-2</v>
      </c>
      <c r="AF679" s="27">
        <v>137469549192.30112</v>
      </c>
      <c r="AG679" s="226">
        <v>0.239687960349006</v>
      </c>
      <c r="AH679" s="226">
        <v>0.35811894256958315</v>
      </c>
      <c r="AI679" s="27">
        <v>1392510000</v>
      </c>
      <c r="AJ679" s="226">
        <v>23.66216103008237</v>
      </c>
      <c r="AK679" s="27">
        <v>7800153904.9504929</v>
      </c>
      <c r="AL679" s="226">
        <v>4.2242494516791371</v>
      </c>
      <c r="AM679" s="27">
        <v>21235300822.663391</v>
      </c>
      <c r="AN679" s="271">
        <v>1.5516519465000611</v>
      </c>
      <c r="AO679" s="27">
        <v>240676485</v>
      </c>
      <c r="AP679" s="27">
        <v>13.3</v>
      </c>
      <c r="AQ679" s="27">
        <v>70.167853658536586</v>
      </c>
      <c r="AR679" s="27">
        <v>27.4</v>
      </c>
      <c r="AS679" s="29">
        <v>97.943749999999994</v>
      </c>
      <c r="AT679" s="609">
        <v>34</v>
      </c>
      <c r="AU679" s="464">
        <v>65.756016474143607</v>
      </c>
      <c r="AV679" s="29">
        <v>-7.1183291495536302E-2</v>
      </c>
      <c r="AW679" s="29">
        <v>-0.85380073158446201</v>
      </c>
      <c r="AX679" s="29">
        <v>-0.19747215191721601</v>
      </c>
      <c r="AY679" s="29">
        <v>-0.39464850642062199</v>
      </c>
      <c r="AZ679" s="60">
        <v>-0.74540314848692502</v>
      </c>
    </row>
    <row r="680" spans="1:52" s="29" customFormat="1" ht="15" customHeight="1">
      <c r="A680" s="59" t="s">
        <v>240</v>
      </c>
      <c r="B680" s="27">
        <v>2010</v>
      </c>
      <c r="C680" s="27" t="s">
        <v>237</v>
      </c>
      <c r="D680" s="27" t="s">
        <v>238</v>
      </c>
      <c r="E680" s="27" t="s">
        <v>19</v>
      </c>
      <c r="F680" s="27" t="s">
        <v>735</v>
      </c>
      <c r="G680" s="43">
        <f>271534*32.150743126506</f>
        <v>8730019.8841126803</v>
      </c>
      <c r="H680" s="43"/>
      <c r="I680" s="43"/>
      <c r="J680" s="43"/>
      <c r="K680" s="27" t="s">
        <v>731</v>
      </c>
      <c r="L680" s="28">
        <f>20.15295833333/1</f>
        <v>20.152958333330002</v>
      </c>
      <c r="M680" s="27" t="s">
        <v>732</v>
      </c>
      <c r="N680" s="27" t="s">
        <v>744</v>
      </c>
      <c r="O680" s="18">
        <f>G680*L680</f>
        <v>175935726.97366527</v>
      </c>
      <c r="P680" s="213"/>
      <c r="Q680" s="213"/>
      <c r="R680" s="27"/>
      <c r="S680" s="27"/>
      <c r="T680" s="18"/>
      <c r="U680" s="27"/>
      <c r="V680" s="27"/>
      <c r="W680" s="30"/>
      <c r="X680" s="27"/>
      <c r="Y680" s="27"/>
      <c r="Z680" s="27"/>
      <c r="AA680" s="27"/>
      <c r="AB680" s="27"/>
      <c r="AC680" s="273">
        <v>32949795856</v>
      </c>
      <c r="AD680" s="27">
        <v>709190823319.75391</v>
      </c>
      <c r="AE680" s="228">
        <v>4.6461114234051332E-2</v>
      </c>
      <c r="AF680" s="27">
        <v>137469549192.30112</v>
      </c>
      <c r="AG680" s="226">
        <v>0.239687960349006</v>
      </c>
      <c r="AH680" s="226">
        <v>0.35811894256958315</v>
      </c>
      <c r="AI680" s="27">
        <v>1392510000</v>
      </c>
      <c r="AJ680" s="226">
        <v>23.66216103008237</v>
      </c>
      <c r="AK680" s="27">
        <v>7800153904.9504929</v>
      </c>
      <c r="AL680" s="226">
        <v>4.2242494516791371</v>
      </c>
      <c r="AM680" s="27">
        <v>21235300822.663391</v>
      </c>
      <c r="AN680" s="271">
        <v>1.5516519465000611</v>
      </c>
      <c r="AO680" s="27">
        <v>240676485</v>
      </c>
      <c r="AP680" s="27">
        <v>13.3</v>
      </c>
      <c r="AQ680" s="27">
        <v>70.167853658536586</v>
      </c>
      <c r="AR680" s="27">
        <v>27.4</v>
      </c>
      <c r="AS680" s="29">
        <v>97.943749999999994</v>
      </c>
      <c r="AT680" s="609">
        <v>34</v>
      </c>
      <c r="AU680" s="464">
        <v>65.756016474143607</v>
      </c>
      <c r="AV680" s="29">
        <v>-7.1183291495536302E-2</v>
      </c>
      <c r="AW680" s="29">
        <v>-0.85380073158446201</v>
      </c>
      <c r="AX680" s="29">
        <v>-0.19747215191721601</v>
      </c>
      <c r="AY680" s="29">
        <v>-0.39464850642062199</v>
      </c>
      <c r="AZ680" s="60">
        <v>-0.74540314848692502</v>
      </c>
    </row>
    <row r="681" spans="1:52" s="29" customFormat="1" ht="15" customHeight="1">
      <c r="A681" s="59" t="s">
        <v>240</v>
      </c>
      <c r="B681" s="27">
        <v>2010</v>
      </c>
      <c r="C681" s="27" t="s">
        <v>237</v>
      </c>
      <c r="D681" s="27" t="s">
        <v>238</v>
      </c>
      <c r="E681" s="27" t="s">
        <v>19</v>
      </c>
      <c r="F681" s="27" t="s">
        <v>1234</v>
      </c>
      <c r="G681" s="43"/>
      <c r="H681" s="43"/>
      <c r="I681" s="43"/>
      <c r="J681" s="43"/>
      <c r="K681" s="27"/>
      <c r="L681" s="44">
        <f>20405.62325</f>
        <v>20405.623250000001</v>
      </c>
      <c r="M681" s="27" t="s">
        <v>568</v>
      </c>
      <c r="N681" s="27" t="s">
        <v>1235</v>
      </c>
      <c r="O681" s="18">
        <f>G683*L681</f>
        <v>894419278.29400003</v>
      </c>
      <c r="P681" s="213"/>
      <c r="Q681" s="213"/>
      <c r="R681" s="27"/>
      <c r="S681" s="27"/>
      <c r="T681" s="18"/>
      <c r="U681" s="27"/>
      <c r="V681" s="27"/>
      <c r="W681" s="30"/>
      <c r="X681" s="27">
        <v>3</v>
      </c>
      <c r="Y681" s="27" t="s">
        <v>1255</v>
      </c>
      <c r="Z681" s="27">
        <v>2</v>
      </c>
      <c r="AA681" s="27"/>
      <c r="AB681" s="27"/>
      <c r="AC681" s="273">
        <v>32949795856</v>
      </c>
      <c r="AD681" s="27">
        <v>709190823319.75391</v>
      </c>
      <c r="AE681" s="228">
        <v>4.6461114234051332E-2</v>
      </c>
      <c r="AF681" s="27">
        <v>137469549192.30112</v>
      </c>
      <c r="AG681" s="226">
        <v>0.239687960349006</v>
      </c>
      <c r="AH681" s="226">
        <v>0.35811894256958315</v>
      </c>
      <c r="AI681" s="27">
        <v>1392510000</v>
      </c>
      <c r="AJ681" s="226">
        <v>23.66216103008237</v>
      </c>
      <c r="AK681" s="27">
        <v>7800153904.9504929</v>
      </c>
      <c r="AL681" s="226">
        <v>4.2242494516791371</v>
      </c>
      <c r="AM681" s="27">
        <v>21235300822.663391</v>
      </c>
      <c r="AN681" s="271">
        <v>1.5516519465000611</v>
      </c>
      <c r="AO681" s="27">
        <v>240676485</v>
      </c>
      <c r="AP681" s="27">
        <v>13.3</v>
      </c>
      <c r="AQ681" s="27">
        <v>70.167853658536586</v>
      </c>
      <c r="AR681" s="27">
        <v>27.4</v>
      </c>
      <c r="AS681" s="29">
        <v>97.943749999999994</v>
      </c>
      <c r="AT681" s="609">
        <v>34</v>
      </c>
      <c r="AU681" s="464">
        <v>65.756016474143607</v>
      </c>
      <c r="AV681" s="29">
        <v>-7.1183291495536302E-2</v>
      </c>
      <c r="AW681" s="29">
        <v>-0.85380073158446201</v>
      </c>
      <c r="AX681" s="29">
        <v>-0.19747215191721601</v>
      </c>
      <c r="AY681" s="29">
        <v>-0.39464850642062199</v>
      </c>
      <c r="AZ681" s="60">
        <v>-0.74540314848692502</v>
      </c>
    </row>
    <row r="682" spans="1:52" s="29" customFormat="1" ht="15" customHeight="1">
      <c r="A682" s="59" t="s">
        <v>240</v>
      </c>
      <c r="B682" s="27">
        <v>2010</v>
      </c>
      <c r="C682" s="27" t="s">
        <v>237</v>
      </c>
      <c r="D682" s="27" t="s">
        <v>238</v>
      </c>
      <c r="E682" s="27" t="s">
        <v>19</v>
      </c>
      <c r="F682" s="27" t="s">
        <v>1237</v>
      </c>
      <c r="G682" s="43">
        <v>43258</v>
      </c>
      <c r="H682" s="43"/>
      <c r="I682" s="43"/>
      <c r="J682" s="43"/>
      <c r="K682" s="27"/>
      <c r="L682" s="28"/>
      <c r="M682" s="27"/>
      <c r="N682" s="27" t="s">
        <v>636</v>
      </c>
      <c r="O682" s="18"/>
      <c r="P682" s="213"/>
      <c r="Q682" s="213"/>
      <c r="R682" s="27"/>
      <c r="S682" s="27"/>
      <c r="T682" s="18"/>
      <c r="U682" s="27"/>
      <c r="V682" s="27"/>
      <c r="W682" s="30"/>
      <c r="X682" s="27"/>
      <c r="Y682" s="27"/>
      <c r="Z682" s="27"/>
      <c r="AA682" s="27"/>
      <c r="AB682" s="27"/>
      <c r="AC682" s="273">
        <v>32949795856</v>
      </c>
      <c r="AD682" s="27">
        <v>709190823319.75391</v>
      </c>
      <c r="AE682" s="228">
        <v>4.6461114234051332E-2</v>
      </c>
      <c r="AF682" s="27">
        <v>137469549192.30112</v>
      </c>
      <c r="AG682" s="226">
        <v>0.239687960349006</v>
      </c>
      <c r="AH682" s="226">
        <v>0.35811894256958315</v>
      </c>
      <c r="AI682" s="27">
        <v>1392510000</v>
      </c>
      <c r="AJ682" s="226">
        <v>23.66216103008237</v>
      </c>
      <c r="AK682" s="27">
        <v>7800153904.9504929</v>
      </c>
      <c r="AL682" s="226">
        <v>4.2242494516791371</v>
      </c>
      <c r="AM682" s="27">
        <v>21235300822.663391</v>
      </c>
      <c r="AN682" s="271">
        <v>1.5516519465000611</v>
      </c>
      <c r="AO682" s="27">
        <v>240676485</v>
      </c>
      <c r="AP682" s="27">
        <v>13.3</v>
      </c>
      <c r="AQ682" s="27">
        <v>70.167853658536586</v>
      </c>
      <c r="AR682" s="27">
        <v>27.4</v>
      </c>
      <c r="AS682" s="29">
        <v>97.943749999999994</v>
      </c>
      <c r="AT682" s="609">
        <v>34</v>
      </c>
      <c r="AU682" s="464">
        <v>65.756016474143607</v>
      </c>
      <c r="AV682" s="29">
        <v>-7.1183291495536302E-2</v>
      </c>
      <c r="AW682" s="29">
        <v>-0.85380073158446201</v>
      </c>
      <c r="AX682" s="29">
        <v>-0.19747215191721601</v>
      </c>
      <c r="AY682" s="29">
        <v>-0.39464850642062199</v>
      </c>
      <c r="AZ682" s="60">
        <v>-0.74540314848692502</v>
      </c>
    </row>
    <row r="683" spans="1:52" s="287" customFormat="1" ht="15" customHeight="1">
      <c r="A683" s="344" t="s">
        <v>240</v>
      </c>
      <c r="B683" s="284">
        <v>2010</v>
      </c>
      <c r="C683" s="284" t="s">
        <v>237</v>
      </c>
      <c r="D683" s="284" t="s">
        <v>238</v>
      </c>
      <c r="E683" s="284" t="s">
        <v>19</v>
      </c>
      <c r="F683" s="284" t="s">
        <v>1238</v>
      </c>
      <c r="G683" s="303">
        <v>43832</v>
      </c>
      <c r="H683" s="303"/>
      <c r="I683" s="303"/>
      <c r="J683" s="303"/>
      <c r="K683" s="284"/>
      <c r="L683" s="304"/>
      <c r="M683" s="284"/>
      <c r="N683" s="284" t="s">
        <v>636</v>
      </c>
      <c r="O683" s="305"/>
      <c r="P683" s="306"/>
      <c r="Q683" s="306"/>
      <c r="R683" s="284"/>
      <c r="S683" s="284"/>
      <c r="T683" s="305"/>
      <c r="U683" s="284"/>
      <c r="V683" s="284"/>
      <c r="W683" s="307"/>
      <c r="X683" s="284"/>
      <c r="Y683" s="284"/>
      <c r="Z683" s="284"/>
      <c r="AA683" s="284"/>
      <c r="AB683" s="284"/>
      <c r="AC683" s="604">
        <v>32949795856</v>
      </c>
      <c r="AD683" s="27">
        <v>709190823319.75391</v>
      </c>
      <c r="AE683" s="309">
        <v>4.6461114234051332E-2</v>
      </c>
      <c r="AF683" s="284">
        <v>137469549192.30112</v>
      </c>
      <c r="AG683" s="310">
        <v>0.239687960349006</v>
      </c>
      <c r="AH683" s="310">
        <v>0.35811894256958315</v>
      </c>
      <c r="AI683" s="284">
        <v>1392510000</v>
      </c>
      <c r="AJ683" s="310">
        <v>23.66216103008237</v>
      </c>
      <c r="AK683" s="284">
        <v>7800153904.9504929</v>
      </c>
      <c r="AL683" s="310">
        <v>4.2242494516791371</v>
      </c>
      <c r="AM683" s="284">
        <v>21235300822.663391</v>
      </c>
      <c r="AN683" s="311">
        <v>1.5516519465000611</v>
      </c>
      <c r="AO683" s="284">
        <v>240676485</v>
      </c>
      <c r="AP683" s="284">
        <v>13.3</v>
      </c>
      <c r="AQ683" s="284">
        <v>70.167853658536586</v>
      </c>
      <c r="AR683" s="284">
        <v>27.4</v>
      </c>
      <c r="AS683" s="287">
        <v>97.943749999999994</v>
      </c>
      <c r="AT683" s="610">
        <v>34</v>
      </c>
      <c r="AU683" s="465">
        <v>65.756016474143607</v>
      </c>
      <c r="AV683" s="287">
        <v>-7.1183291495536302E-2</v>
      </c>
      <c r="AW683" s="287">
        <v>-0.85380073158446201</v>
      </c>
      <c r="AX683" s="287">
        <v>-0.19747215191721601</v>
      </c>
      <c r="AY683" s="287">
        <v>-0.39464850642062199</v>
      </c>
      <c r="AZ683" s="313">
        <v>-0.74540314848692502</v>
      </c>
    </row>
    <row r="684" spans="1:52" ht="15" customHeight="1">
      <c r="A684" s="59" t="s">
        <v>243</v>
      </c>
      <c r="B684" s="27">
        <v>2011</v>
      </c>
      <c r="C684" s="27" t="s">
        <v>237</v>
      </c>
      <c r="D684" s="27" t="s">
        <v>238</v>
      </c>
      <c r="E684" s="27" t="s">
        <v>30</v>
      </c>
      <c r="F684" s="27" t="s">
        <v>659</v>
      </c>
      <c r="G684" s="43"/>
      <c r="H684" s="43"/>
      <c r="I684" s="43"/>
      <c r="J684" s="43"/>
      <c r="K684" s="27"/>
      <c r="L684" s="28"/>
      <c r="M684" s="27"/>
      <c r="N684" s="27"/>
      <c r="O684" s="18">
        <f>O685+O688</f>
        <v>110037935730.82755</v>
      </c>
      <c r="P684" s="213">
        <f>P685+P688</f>
        <v>44779611925</v>
      </c>
      <c r="Q684" s="213">
        <f>Q685+Q688</f>
        <v>44689847698</v>
      </c>
      <c r="R684" s="27" t="s">
        <v>3693</v>
      </c>
      <c r="S684" s="27" t="s">
        <v>1256</v>
      </c>
      <c r="T684" s="18">
        <v>28245912000</v>
      </c>
      <c r="U684" s="27" t="s">
        <v>1239</v>
      </c>
      <c r="V684" s="27" t="s">
        <v>1240</v>
      </c>
      <c r="W684" s="30">
        <v>8742</v>
      </c>
      <c r="X684" s="27">
        <v>253</v>
      </c>
      <c r="Y684" s="27" t="s">
        <v>1257</v>
      </c>
      <c r="Z684" s="27">
        <v>233</v>
      </c>
      <c r="AA684" s="27" t="s">
        <v>1258</v>
      </c>
      <c r="AB684" s="27" t="s">
        <v>1259</v>
      </c>
      <c r="AC684" s="273">
        <v>44779611925</v>
      </c>
      <c r="AD684" s="27">
        <v>845931645338.69507</v>
      </c>
      <c r="AE684" s="228">
        <v>5.2935260398103548E-2</v>
      </c>
      <c r="AF684" s="27">
        <v>172113252560.6109</v>
      </c>
      <c r="AG684" s="226">
        <v>0.26017526982258699</v>
      </c>
      <c r="AH684" s="226">
        <v>0.38029099956355616</v>
      </c>
      <c r="AI684" s="27">
        <v>419270000</v>
      </c>
      <c r="AJ684" s="226">
        <v>106.80375873542108</v>
      </c>
      <c r="AK684" s="27">
        <v>9183435786.3452435</v>
      </c>
      <c r="AL684" s="226">
        <v>4.8761283866744458</v>
      </c>
      <c r="AM684" s="27">
        <v>23407266999.179829</v>
      </c>
      <c r="AN684" s="271">
        <v>1.9130645165268136</v>
      </c>
      <c r="AO684" s="27">
        <v>243801639</v>
      </c>
      <c r="AP684" s="27">
        <v>12.5</v>
      </c>
      <c r="AQ684" s="27">
        <v>70.391560975609764</v>
      </c>
      <c r="AR684" s="27">
        <v>26.4</v>
      </c>
      <c r="AS684" s="29">
        <v>96.758229999999998</v>
      </c>
      <c r="AT684" s="609">
        <v>34</v>
      </c>
      <c r="AU684" s="464">
        <v>65.756016474143607</v>
      </c>
      <c r="AV684" s="29">
        <v>-4.8407412125047199E-2</v>
      </c>
      <c r="AW684" s="29">
        <v>-0.76291902872726403</v>
      </c>
      <c r="AX684" s="29">
        <v>-0.24884587309561801</v>
      </c>
      <c r="AY684" s="29">
        <v>-0.330592347662021</v>
      </c>
      <c r="AZ684" s="60">
        <v>-0.67947156187538604</v>
      </c>
    </row>
    <row r="685" spans="1:52" ht="15" customHeight="1">
      <c r="A685" s="59" t="s">
        <v>243</v>
      </c>
      <c r="B685" s="27">
        <v>2011</v>
      </c>
      <c r="C685" s="27" t="s">
        <v>237</v>
      </c>
      <c r="D685" s="27" t="s">
        <v>238</v>
      </c>
      <c r="E685" s="27" t="s">
        <v>50</v>
      </c>
      <c r="F685" s="27" t="s">
        <v>597</v>
      </c>
      <c r="G685" s="43"/>
      <c r="H685" s="43"/>
      <c r="I685" s="43"/>
      <c r="J685" s="43"/>
      <c r="K685" s="27"/>
      <c r="L685" s="28"/>
      <c r="M685" s="27"/>
      <c r="N685" s="27"/>
      <c r="O685" s="18">
        <f>SUM(O686:O687)</f>
        <v>51377828940.113564</v>
      </c>
      <c r="P685" s="213">
        <v>37103382000</v>
      </c>
      <c r="Q685" s="213">
        <v>37028897000</v>
      </c>
      <c r="R685" s="27"/>
      <c r="S685" s="27" t="s">
        <v>1256</v>
      </c>
      <c r="T685" s="18">
        <v>28245912000</v>
      </c>
      <c r="U685" s="27"/>
      <c r="V685" s="27"/>
      <c r="W685" s="30"/>
      <c r="X685" s="27">
        <v>170</v>
      </c>
      <c r="Y685" s="27" t="s">
        <v>1245</v>
      </c>
      <c r="Z685" s="27">
        <v>159</v>
      </c>
      <c r="AA685" s="27" t="s">
        <v>1260</v>
      </c>
      <c r="AB685" s="27"/>
      <c r="AC685" s="273">
        <v>44779611925</v>
      </c>
      <c r="AD685" s="27">
        <v>845931645338.69507</v>
      </c>
      <c r="AE685" s="228">
        <v>5.2935260398103548E-2</v>
      </c>
      <c r="AF685" s="27">
        <v>172113252560.6109</v>
      </c>
      <c r="AG685" s="226">
        <v>0.26017526982258699</v>
      </c>
      <c r="AH685" s="226">
        <v>0.38029099956355616</v>
      </c>
      <c r="AI685" s="27">
        <v>419270000</v>
      </c>
      <c r="AJ685" s="226">
        <v>106.80375873542108</v>
      </c>
      <c r="AK685" s="27">
        <v>9183435786.3452435</v>
      </c>
      <c r="AL685" s="226">
        <v>4.8761283866744458</v>
      </c>
      <c r="AM685" s="27">
        <v>23407266999.179829</v>
      </c>
      <c r="AN685" s="271">
        <v>1.9130645165268136</v>
      </c>
      <c r="AO685" s="27">
        <v>243801639</v>
      </c>
      <c r="AP685" s="27">
        <v>12.5</v>
      </c>
      <c r="AQ685" s="27">
        <v>70.391560975609764</v>
      </c>
      <c r="AR685" s="27">
        <v>26.4</v>
      </c>
      <c r="AS685" s="29">
        <v>96.758229999999998</v>
      </c>
      <c r="AT685" s="609">
        <v>34</v>
      </c>
      <c r="AU685" s="464">
        <v>65.756016474143607</v>
      </c>
      <c r="AV685" s="29">
        <v>-4.8407412125047199E-2</v>
      </c>
      <c r="AW685" s="29">
        <v>-0.76291902872726403</v>
      </c>
      <c r="AX685" s="29">
        <v>-0.24884587309561801</v>
      </c>
      <c r="AY685" s="29">
        <v>-0.330592347662021</v>
      </c>
      <c r="AZ685" s="60">
        <v>-0.67947156187538604</v>
      </c>
    </row>
    <row r="686" spans="1:52" ht="15" customHeight="1">
      <c r="A686" s="59" t="s">
        <v>243</v>
      </c>
      <c r="B686" s="27">
        <v>2011</v>
      </c>
      <c r="C686" s="27" t="s">
        <v>237</v>
      </c>
      <c r="D686" s="27" t="s">
        <v>238</v>
      </c>
      <c r="E686" s="27" t="s">
        <v>552</v>
      </c>
      <c r="F686" s="27" t="s">
        <v>552</v>
      </c>
      <c r="G686" s="43">
        <v>75900000000</v>
      </c>
      <c r="H686" s="43"/>
      <c r="I686" s="43"/>
      <c r="J686" s="43"/>
      <c r="K686" s="27" t="s">
        <v>599</v>
      </c>
      <c r="L686" s="28">
        <v>0.19666043794616025</v>
      </c>
      <c r="M686" s="27" t="s">
        <v>600</v>
      </c>
      <c r="N686" s="27" t="s">
        <v>685</v>
      </c>
      <c r="O686" s="18">
        <f>G686*L686</f>
        <v>14926527240.113564</v>
      </c>
      <c r="P686" s="213"/>
      <c r="Q686" s="213"/>
      <c r="R686" s="27"/>
      <c r="S686" s="27"/>
      <c r="T686" s="18"/>
      <c r="U686" s="27"/>
      <c r="V686" s="27"/>
      <c r="W686" s="30"/>
      <c r="X686" s="27"/>
      <c r="Y686" s="27"/>
      <c r="Z686" s="27"/>
      <c r="AA686" s="27"/>
      <c r="AB686" s="27"/>
      <c r="AC686" s="273">
        <v>44779611925</v>
      </c>
      <c r="AD686" s="27">
        <v>845931645338.69507</v>
      </c>
      <c r="AE686" s="228">
        <v>5.2935260398103548E-2</v>
      </c>
      <c r="AF686" s="27">
        <v>172113252560.6109</v>
      </c>
      <c r="AG686" s="226">
        <v>0.26017526982258699</v>
      </c>
      <c r="AH686" s="226">
        <v>0.38029099956355616</v>
      </c>
      <c r="AI686" s="27">
        <v>419270000</v>
      </c>
      <c r="AJ686" s="226">
        <v>106.80375873542108</v>
      </c>
      <c r="AK686" s="27">
        <v>9183435786.3452435</v>
      </c>
      <c r="AL686" s="226">
        <v>4.8761283866744458</v>
      </c>
      <c r="AM686" s="27">
        <v>23407266999.179829</v>
      </c>
      <c r="AN686" s="271">
        <v>1.9130645165268136</v>
      </c>
      <c r="AO686" s="27">
        <v>243801639</v>
      </c>
      <c r="AP686" s="27">
        <v>12.5</v>
      </c>
      <c r="AQ686" s="27">
        <v>70.391560975609764</v>
      </c>
      <c r="AR686" s="27">
        <v>26.4</v>
      </c>
      <c r="AS686" s="29">
        <v>96.758229999999998</v>
      </c>
      <c r="AT686" s="609">
        <v>34</v>
      </c>
      <c r="AU686" s="464">
        <v>65.756016474143607</v>
      </c>
      <c r="AV686" s="29">
        <v>-4.8407412125047199E-2</v>
      </c>
      <c r="AW686" s="29">
        <v>-0.76291902872726403</v>
      </c>
      <c r="AX686" s="29">
        <v>-0.24884587309561801</v>
      </c>
      <c r="AY686" s="29">
        <v>-0.330592347662021</v>
      </c>
      <c r="AZ686" s="60">
        <v>-0.67947156187538604</v>
      </c>
    </row>
    <row r="687" spans="1:52" ht="15" customHeight="1">
      <c r="A687" s="59" t="s">
        <v>243</v>
      </c>
      <c r="B687" s="27">
        <v>2011</v>
      </c>
      <c r="C687" s="27" t="s">
        <v>237</v>
      </c>
      <c r="D687" s="27" t="s">
        <v>238</v>
      </c>
      <c r="E687" s="27" t="s">
        <v>98</v>
      </c>
      <c r="F687" s="27" t="s">
        <v>98</v>
      </c>
      <c r="G687" s="43">
        <v>327770000</v>
      </c>
      <c r="H687" s="43">
        <v>327770000</v>
      </c>
      <c r="I687" s="43"/>
      <c r="J687" s="43"/>
      <c r="K687" s="27" t="s">
        <v>603</v>
      </c>
      <c r="L687" s="28">
        <v>111.21</v>
      </c>
      <c r="M687" s="27" t="s">
        <v>626</v>
      </c>
      <c r="N687" s="27" t="s">
        <v>1247</v>
      </c>
      <c r="O687" s="18">
        <f>G687*L687</f>
        <v>36451301700</v>
      </c>
      <c r="P687" s="213"/>
      <c r="Q687" s="213"/>
      <c r="R687" s="27"/>
      <c r="S687" s="27"/>
      <c r="T687" s="18"/>
      <c r="U687" s="27"/>
      <c r="V687" s="27"/>
      <c r="W687" s="30"/>
      <c r="X687" s="27"/>
      <c r="Y687" s="27"/>
      <c r="Z687" s="27"/>
      <c r="AA687" s="27" t="s">
        <v>1248</v>
      </c>
      <c r="AB687" s="27"/>
      <c r="AC687" s="273">
        <v>44779611925</v>
      </c>
      <c r="AD687" s="27">
        <v>845931645338.69507</v>
      </c>
      <c r="AE687" s="228">
        <v>5.2935260398103548E-2</v>
      </c>
      <c r="AF687" s="27">
        <v>172113252560.6109</v>
      </c>
      <c r="AG687" s="226">
        <v>0.26017526982258699</v>
      </c>
      <c r="AH687" s="226">
        <v>0.38029099956355616</v>
      </c>
      <c r="AI687" s="27">
        <v>419270000</v>
      </c>
      <c r="AJ687" s="226">
        <v>106.80375873542108</v>
      </c>
      <c r="AK687" s="27">
        <v>9183435786.3452435</v>
      </c>
      <c r="AL687" s="226">
        <v>4.8761283866744458</v>
      </c>
      <c r="AM687" s="27">
        <v>23407266999.179829</v>
      </c>
      <c r="AN687" s="271">
        <v>1.9130645165268136</v>
      </c>
      <c r="AO687" s="27">
        <v>243801639</v>
      </c>
      <c r="AP687" s="27">
        <v>12.5</v>
      </c>
      <c r="AQ687" s="27">
        <v>70.391560975609764</v>
      </c>
      <c r="AR687" s="27">
        <v>26.4</v>
      </c>
      <c r="AS687" s="29">
        <v>96.758229999999998</v>
      </c>
      <c r="AT687" s="609">
        <v>34</v>
      </c>
      <c r="AU687" s="464">
        <v>65.756016474143607</v>
      </c>
      <c r="AV687" s="29">
        <v>-4.8407412125047199E-2</v>
      </c>
      <c r="AW687" s="29">
        <v>-0.76291902872726403</v>
      </c>
      <c r="AX687" s="29">
        <v>-0.24884587309561801</v>
      </c>
      <c r="AY687" s="29">
        <v>-0.330592347662021</v>
      </c>
      <c r="AZ687" s="60">
        <v>-0.67947156187538604</v>
      </c>
    </row>
    <row r="688" spans="1:52" ht="15" customHeight="1">
      <c r="A688" s="59" t="s">
        <v>243</v>
      </c>
      <c r="B688" s="27">
        <v>2011</v>
      </c>
      <c r="C688" s="27" t="s">
        <v>237</v>
      </c>
      <c r="D688" s="27" t="s">
        <v>238</v>
      </c>
      <c r="E688" s="27" t="s">
        <v>19</v>
      </c>
      <c r="F688" s="27" t="s">
        <v>559</v>
      </c>
      <c r="G688" s="43"/>
      <c r="H688" s="43"/>
      <c r="I688" s="43"/>
      <c r="J688" s="43"/>
      <c r="K688" s="27"/>
      <c r="L688" s="28"/>
      <c r="M688" s="27"/>
      <c r="N688" s="27"/>
      <c r="O688" s="18">
        <f>SUM(O689:O703)</f>
        <v>58660106790.713982</v>
      </c>
      <c r="P688" s="213">
        <v>7676229925</v>
      </c>
      <c r="Q688" s="213">
        <v>7660950698</v>
      </c>
      <c r="R688" s="27"/>
      <c r="S688" s="27"/>
      <c r="T688" s="18"/>
      <c r="U688" s="27"/>
      <c r="V688" s="27"/>
      <c r="W688" s="30"/>
      <c r="X688" s="27">
        <v>83</v>
      </c>
      <c r="Y688" s="27" t="s">
        <v>1261</v>
      </c>
      <c r="Z688" s="27">
        <v>74</v>
      </c>
      <c r="AA688" s="27" t="s">
        <v>1262</v>
      </c>
      <c r="AB688" s="27"/>
      <c r="AC688" s="273">
        <v>44779611925</v>
      </c>
      <c r="AD688" s="27">
        <v>845931645338.69507</v>
      </c>
      <c r="AE688" s="228">
        <v>5.2935260398103548E-2</v>
      </c>
      <c r="AF688" s="27">
        <v>172113252560.6109</v>
      </c>
      <c r="AG688" s="226">
        <v>0.26017526982258699</v>
      </c>
      <c r="AH688" s="226">
        <v>0.38029099956355616</v>
      </c>
      <c r="AI688" s="27">
        <v>419270000</v>
      </c>
      <c r="AJ688" s="226">
        <v>106.80375873542108</v>
      </c>
      <c r="AK688" s="27">
        <v>9183435786.3452435</v>
      </c>
      <c r="AL688" s="226">
        <v>4.8761283866744458</v>
      </c>
      <c r="AM688" s="27">
        <v>23407266999.179829</v>
      </c>
      <c r="AN688" s="271">
        <v>1.9130645165268136</v>
      </c>
      <c r="AO688" s="27">
        <v>243801639</v>
      </c>
      <c r="AP688" s="27">
        <v>12.5</v>
      </c>
      <c r="AQ688" s="27">
        <v>70.391560975609764</v>
      </c>
      <c r="AR688" s="27">
        <v>26.4</v>
      </c>
      <c r="AS688" s="29">
        <v>96.758229999999998</v>
      </c>
      <c r="AT688" s="609">
        <v>34</v>
      </c>
      <c r="AU688" s="464">
        <v>65.756016474143607</v>
      </c>
      <c r="AV688" s="29">
        <v>-4.8407412125047199E-2</v>
      </c>
      <c r="AW688" s="29">
        <v>-0.76291902872726403</v>
      </c>
      <c r="AX688" s="29">
        <v>-0.24884587309561801</v>
      </c>
      <c r="AY688" s="29">
        <v>-0.330592347662021</v>
      </c>
      <c r="AZ688" s="60">
        <v>-0.67947156187538604</v>
      </c>
    </row>
    <row r="689" spans="1:52" ht="15" customHeight="1">
      <c r="A689" s="59" t="s">
        <v>243</v>
      </c>
      <c r="B689" s="27">
        <v>2011</v>
      </c>
      <c r="C689" s="27" t="s">
        <v>237</v>
      </c>
      <c r="D689" s="27" t="s">
        <v>238</v>
      </c>
      <c r="E689" s="27" t="s">
        <v>19</v>
      </c>
      <c r="F689" s="27" t="s">
        <v>1251</v>
      </c>
      <c r="G689" s="43">
        <v>40000000</v>
      </c>
      <c r="H689" s="43"/>
      <c r="I689" s="43"/>
      <c r="J689" s="43"/>
      <c r="K689" s="43" t="s">
        <v>567</v>
      </c>
      <c r="L689" s="28">
        <v>30.49</v>
      </c>
      <c r="M689" s="27" t="s">
        <v>568</v>
      </c>
      <c r="N689" s="27" t="s">
        <v>1263</v>
      </c>
      <c r="O689" s="18">
        <f>G689*L689</f>
        <v>1219600000</v>
      </c>
      <c r="P689" s="213"/>
      <c r="Q689" s="213"/>
      <c r="R689" s="27"/>
      <c r="S689" s="27"/>
      <c r="T689" s="18"/>
      <c r="U689" s="27"/>
      <c r="V689" s="27"/>
      <c r="W689" s="30"/>
      <c r="X689" s="27">
        <v>3</v>
      </c>
      <c r="Y689" s="27" t="s">
        <v>1264</v>
      </c>
      <c r="Z689" s="27">
        <v>3</v>
      </c>
      <c r="AA689" s="27"/>
      <c r="AB689" s="27"/>
      <c r="AC689" s="273">
        <v>44779611925</v>
      </c>
      <c r="AD689" s="27">
        <v>845931645338.69507</v>
      </c>
      <c r="AE689" s="228">
        <v>5.2935260398103548E-2</v>
      </c>
      <c r="AF689" s="27">
        <v>172113252560.6109</v>
      </c>
      <c r="AG689" s="226">
        <v>0.26017526982258699</v>
      </c>
      <c r="AH689" s="226">
        <v>0.38029099956355616</v>
      </c>
      <c r="AI689" s="27">
        <v>419270000</v>
      </c>
      <c r="AJ689" s="226">
        <v>106.80375873542108</v>
      </c>
      <c r="AK689" s="27">
        <v>9183435786.3452435</v>
      </c>
      <c r="AL689" s="226">
        <v>4.8761283866744458</v>
      </c>
      <c r="AM689" s="27">
        <v>23407266999.179829</v>
      </c>
      <c r="AN689" s="271">
        <v>1.9130645165268136</v>
      </c>
      <c r="AO689" s="27">
        <v>243801639</v>
      </c>
      <c r="AP689" s="27">
        <v>12.5</v>
      </c>
      <c r="AQ689" s="27">
        <v>70.391560975609764</v>
      </c>
      <c r="AR689" s="27">
        <v>26.4</v>
      </c>
      <c r="AS689" s="29">
        <v>96.758229999999998</v>
      </c>
      <c r="AT689" s="609">
        <v>34</v>
      </c>
      <c r="AU689" s="464">
        <v>65.756016474143607</v>
      </c>
      <c r="AV689" s="29">
        <v>-4.8407412125047199E-2</v>
      </c>
      <c r="AW689" s="29">
        <v>-0.76291902872726403</v>
      </c>
      <c r="AX689" s="29">
        <v>-0.24884587309561801</v>
      </c>
      <c r="AY689" s="29">
        <v>-0.330592347662021</v>
      </c>
      <c r="AZ689" s="60">
        <v>-0.67947156187538604</v>
      </c>
    </row>
    <row r="690" spans="1:52" ht="15" customHeight="1">
      <c r="A690" s="59" t="s">
        <v>243</v>
      </c>
      <c r="B690" s="27">
        <v>2011</v>
      </c>
      <c r="C690" s="27" t="s">
        <v>237</v>
      </c>
      <c r="D690" s="27" t="s">
        <v>238</v>
      </c>
      <c r="E690" s="27" t="s">
        <v>19</v>
      </c>
      <c r="F690" s="27" t="s">
        <v>573</v>
      </c>
      <c r="G690" s="43">
        <v>353300000</v>
      </c>
      <c r="H690" s="43"/>
      <c r="I690" s="43"/>
      <c r="J690" s="43"/>
      <c r="K690" s="27" t="s">
        <v>567</v>
      </c>
      <c r="L690" s="28">
        <v>111.54662184722224</v>
      </c>
      <c r="M690" s="27" t="s">
        <v>568</v>
      </c>
      <c r="N690" s="27" t="s">
        <v>1223</v>
      </c>
      <c r="O690" s="18">
        <f>G690*L690</f>
        <v>39409421498.623619</v>
      </c>
      <c r="P690" s="213"/>
      <c r="Q690" s="213"/>
      <c r="R690" s="27"/>
      <c r="S690" s="27"/>
      <c r="T690" s="18"/>
      <c r="U690" s="27"/>
      <c r="V690" s="27"/>
      <c r="W690" s="30"/>
      <c r="X690" s="27">
        <v>63</v>
      </c>
      <c r="Y690" s="27" t="s">
        <v>1265</v>
      </c>
      <c r="Z690" s="27">
        <v>60</v>
      </c>
      <c r="AA690" s="27"/>
      <c r="AB690" s="27"/>
      <c r="AC690" s="273">
        <v>44779611925</v>
      </c>
      <c r="AD690" s="27">
        <v>845931645338.69507</v>
      </c>
      <c r="AE690" s="228">
        <v>5.2935260398103548E-2</v>
      </c>
      <c r="AF690" s="27">
        <v>172113252560.6109</v>
      </c>
      <c r="AG690" s="226">
        <v>0.26017526982258699</v>
      </c>
      <c r="AH690" s="226">
        <v>0.38029099956355616</v>
      </c>
      <c r="AI690" s="27">
        <v>419270000</v>
      </c>
      <c r="AJ690" s="226">
        <v>106.80375873542108</v>
      </c>
      <c r="AK690" s="27">
        <v>9183435786.3452435</v>
      </c>
      <c r="AL690" s="226">
        <v>4.8761283866744458</v>
      </c>
      <c r="AM690" s="27">
        <v>23407266999.179829</v>
      </c>
      <c r="AN690" s="271">
        <v>1.9130645165268136</v>
      </c>
      <c r="AO690" s="27">
        <v>243801639</v>
      </c>
      <c r="AP690" s="27">
        <v>12.5</v>
      </c>
      <c r="AQ690" s="27">
        <v>70.391560975609764</v>
      </c>
      <c r="AR690" s="27">
        <v>26.4</v>
      </c>
      <c r="AS690" s="29">
        <v>96.758229999999998</v>
      </c>
      <c r="AT690" s="609">
        <v>34</v>
      </c>
      <c r="AU690" s="464">
        <v>65.756016474143607</v>
      </c>
      <c r="AV690" s="29">
        <v>-4.8407412125047199E-2</v>
      </c>
      <c r="AW690" s="29">
        <v>-0.76291902872726403</v>
      </c>
      <c r="AX690" s="29">
        <v>-0.24884587309561801</v>
      </c>
      <c r="AY690" s="29">
        <v>-0.330592347662021</v>
      </c>
      <c r="AZ690" s="60">
        <v>-0.67947156187538604</v>
      </c>
    </row>
    <row r="691" spans="1:52" ht="15" customHeight="1">
      <c r="A691" s="59" t="s">
        <v>243</v>
      </c>
      <c r="B691" s="27">
        <v>2011</v>
      </c>
      <c r="C691" s="27" t="s">
        <v>237</v>
      </c>
      <c r="D691" s="27" t="s">
        <v>238</v>
      </c>
      <c r="E691" s="27" t="s">
        <v>19</v>
      </c>
      <c r="F691" s="27" t="s">
        <v>576</v>
      </c>
      <c r="G691" s="43"/>
      <c r="H691" s="43"/>
      <c r="I691" s="43"/>
      <c r="J691" s="43"/>
      <c r="K691" s="27"/>
      <c r="L691" s="44">
        <v>8828.1875</v>
      </c>
      <c r="M691" s="27" t="s">
        <v>568</v>
      </c>
      <c r="N691" s="27" t="s">
        <v>633</v>
      </c>
      <c r="O691" s="18">
        <f>SUM(G693:G694)*L691</f>
        <v>4707189575</v>
      </c>
      <c r="P691" s="213"/>
      <c r="Q691" s="213"/>
      <c r="R691" s="27"/>
      <c r="S691" s="27"/>
      <c r="T691" s="18"/>
      <c r="U691" s="27"/>
      <c r="V691" s="27"/>
      <c r="W691" s="30"/>
      <c r="X691" s="27">
        <v>4</v>
      </c>
      <c r="Y691" s="27" t="s">
        <v>1253</v>
      </c>
      <c r="Z691" s="27">
        <v>4</v>
      </c>
      <c r="AA691" s="27"/>
      <c r="AB691" s="27"/>
      <c r="AC691" s="273">
        <v>44779611925</v>
      </c>
      <c r="AD691" s="27">
        <v>845931645338.69507</v>
      </c>
      <c r="AE691" s="228">
        <v>5.2935260398103548E-2</v>
      </c>
      <c r="AF691" s="27">
        <v>172113252560.6109</v>
      </c>
      <c r="AG691" s="226">
        <v>0.26017526982258699</v>
      </c>
      <c r="AH691" s="226">
        <v>0.38029099956355616</v>
      </c>
      <c r="AI691" s="27">
        <v>419270000</v>
      </c>
      <c r="AJ691" s="226">
        <v>106.80375873542108</v>
      </c>
      <c r="AK691" s="27">
        <v>9183435786.3452435</v>
      </c>
      <c r="AL691" s="226">
        <v>4.8761283866744458</v>
      </c>
      <c r="AM691" s="27">
        <v>23407266999.179829</v>
      </c>
      <c r="AN691" s="271">
        <v>1.9130645165268136</v>
      </c>
      <c r="AO691" s="27">
        <v>243801639</v>
      </c>
      <c r="AP691" s="27">
        <v>12.5</v>
      </c>
      <c r="AQ691" s="27">
        <v>70.391560975609764</v>
      </c>
      <c r="AR691" s="27">
        <v>26.4</v>
      </c>
      <c r="AS691" s="29">
        <v>96.758229999999998</v>
      </c>
      <c r="AT691" s="609">
        <v>34</v>
      </c>
      <c r="AU691" s="464">
        <v>65.756016474143607</v>
      </c>
      <c r="AV691" s="29">
        <v>-4.8407412125047199E-2</v>
      </c>
      <c r="AW691" s="29">
        <v>-0.76291902872726403</v>
      </c>
      <c r="AX691" s="29">
        <v>-0.24884587309561801</v>
      </c>
      <c r="AY691" s="29">
        <v>-0.330592347662021</v>
      </c>
      <c r="AZ691" s="60">
        <v>-0.67947156187538604</v>
      </c>
    </row>
    <row r="692" spans="1:52" ht="15" customHeight="1">
      <c r="A692" s="59" t="s">
        <v>243</v>
      </c>
      <c r="B692" s="27">
        <v>2011</v>
      </c>
      <c r="C692" s="27" t="s">
        <v>237</v>
      </c>
      <c r="D692" s="27" t="s">
        <v>238</v>
      </c>
      <c r="E692" s="27" t="s">
        <v>19</v>
      </c>
      <c r="F692" s="27" t="s">
        <v>1226</v>
      </c>
      <c r="G692" s="43">
        <v>542700</v>
      </c>
      <c r="H692" s="43"/>
      <c r="I692" s="43"/>
      <c r="J692" s="43"/>
      <c r="K692" s="27" t="s">
        <v>567</v>
      </c>
      <c r="L692" s="28"/>
      <c r="M692" s="27"/>
      <c r="N692" s="27" t="s">
        <v>636</v>
      </c>
      <c r="O692" s="18"/>
      <c r="P692" s="213"/>
      <c r="Q692" s="213"/>
      <c r="R692" s="27"/>
      <c r="S692" s="27"/>
      <c r="T692" s="18"/>
      <c r="U692" s="27"/>
      <c r="V692" s="27"/>
      <c r="W692" s="30"/>
      <c r="X692" s="27"/>
      <c r="Y692" s="27"/>
      <c r="Z692" s="27"/>
      <c r="AA692" s="27"/>
      <c r="AB692" s="27"/>
      <c r="AC692" s="273">
        <v>44779611925</v>
      </c>
      <c r="AD692" s="27">
        <v>845931645338.69507</v>
      </c>
      <c r="AE692" s="228">
        <v>5.2935260398103548E-2</v>
      </c>
      <c r="AF692" s="27">
        <v>172113252560.6109</v>
      </c>
      <c r="AG692" s="226">
        <v>0.26017526982258699</v>
      </c>
      <c r="AH692" s="226">
        <v>0.38029099956355616</v>
      </c>
      <c r="AI692" s="27">
        <v>419270000</v>
      </c>
      <c r="AJ692" s="226">
        <v>106.80375873542108</v>
      </c>
      <c r="AK692" s="27">
        <v>9183435786.3452435</v>
      </c>
      <c r="AL692" s="226">
        <v>4.8761283866744458</v>
      </c>
      <c r="AM692" s="27">
        <v>23407266999.179829</v>
      </c>
      <c r="AN692" s="271">
        <v>1.9130645165268136</v>
      </c>
      <c r="AO692" s="27">
        <v>243801639</v>
      </c>
      <c r="AP692" s="27">
        <v>12.5</v>
      </c>
      <c r="AQ692" s="27">
        <v>70.391560975609764</v>
      </c>
      <c r="AR692" s="27">
        <v>26.4</v>
      </c>
      <c r="AS692" s="29">
        <v>96.758229999999998</v>
      </c>
      <c r="AT692" s="609">
        <v>34</v>
      </c>
      <c r="AU692" s="464">
        <v>65.756016474143607</v>
      </c>
      <c r="AV692" s="29">
        <v>-4.8407412125047199E-2</v>
      </c>
      <c r="AW692" s="29">
        <v>-0.76291902872726403</v>
      </c>
      <c r="AX692" s="29">
        <v>-0.24884587309561801</v>
      </c>
      <c r="AY692" s="29">
        <v>-0.330592347662021</v>
      </c>
      <c r="AZ692" s="60">
        <v>-0.67947156187538604</v>
      </c>
    </row>
    <row r="693" spans="1:52" ht="15" customHeight="1">
      <c r="A693" s="59" t="s">
        <v>243</v>
      </c>
      <c r="B693" s="27">
        <v>2011</v>
      </c>
      <c r="C693" s="27" t="s">
        <v>237</v>
      </c>
      <c r="D693" s="27" t="s">
        <v>238</v>
      </c>
      <c r="E693" s="27" t="s">
        <v>19</v>
      </c>
      <c r="F693" s="27" t="s">
        <v>1227</v>
      </c>
      <c r="G693" s="43">
        <v>276200</v>
      </c>
      <c r="H693" s="43"/>
      <c r="I693" s="43"/>
      <c r="J693" s="43"/>
      <c r="K693" s="27" t="s">
        <v>567</v>
      </c>
      <c r="L693" s="28"/>
      <c r="M693" s="27"/>
      <c r="N693" s="27" t="s">
        <v>636</v>
      </c>
      <c r="O693" s="18"/>
      <c r="P693" s="213"/>
      <c r="Q693" s="213"/>
      <c r="R693" s="27"/>
      <c r="S693" s="27"/>
      <c r="T693" s="18"/>
      <c r="U693" s="27"/>
      <c r="V693" s="27"/>
      <c r="W693" s="30"/>
      <c r="X693" s="27"/>
      <c r="Y693" s="27"/>
      <c r="Z693" s="27"/>
      <c r="AA693" s="27"/>
      <c r="AB693" s="27"/>
      <c r="AC693" s="273">
        <v>44779611925</v>
      </c>
      <c r="AD693" s="27">
        <v>845931645338.69507</v>
      </c>
      <c r="AE693" s="228">
        <v>5.2935260398103548E-2</v>
      </c>
      <c r="AF693" s="27">
        <v>172113252560.6109</v>
      </c>
      <c r="AG693" s="226">
        <v>0.26017526982258699</v>
      </c>
      <c r="AH693" s="226">
        <v>0.38029099956355616</v>
      </c>
      <c r="AI693" s="27">
        <v>419270000</v>
      </c>
      <c r="AJ693" s="226">
        <v>106.80375873542108</v>
      </c>
      <c r="AK693" s="27">
        <v>9183435786.3452435</v>
      </c>
      <c r="AL693" s="226">
        <v>4.8761283866744458</v>
      </c>
      <c r="AM693" s="27">
        <v>23407266999.179829</v>
      </c>
      <c r="AN693" s="271">
        <v>1.9130645165268136</v>
      </c>
      <c r="AO693" s="27">
        <v>243801639</v>
      </c>
      <c r="AP693" s="27">
        <v>12.5</v>
      </c>
      <c r="AQ693" s="27">
        <v>70.391560975609764</v>
      </c>
      <c r="AR693" s="27">
        <v>26.4</v>
      </c>
      <c r="AS693" s="29">
        <v>96.758229999999998</v>
      </c>
      <c r="AT693" s="609">
        <v>34</v>
      </c>
      <c r="AU693" s="464">
        <v>65.756016474143607</v>
      </c>
      <c r="AV693" s="29">
        <v>-4.8407412125047199E-2</v>
      </c>
      <c r="AW693" s="29">
        <v>-0.76291902872726403</v>
      </c>
      <c r="AX693" s="29">
        <v>-0.24884587309561801</v>
      </c>
      <c r="AY693" s="29">
        <v>-0.330592347662021</v>
      </c>
      <c r="AZ693" s="60">
        <v>-0.67947156187538604</v>
      </c>
    </row>
    <row r="694" spans="1:52" ht="15" customHeight="1">
      <c r="A694" s="59" t="s">
        <v>243</v>
      </c>
      <c r="B694" s="27">
        <v>2011</v>
      </c>
      <c r="C694" s="27" t="s">
        <v>237</v>
      </c>
      <c r="D694" s="27" t="s">
        <v>238</v>
      </c>
      <c r="E694" s="27" t="s">
        <v>19</v>
      </c>
      <c r="F694" s="27" t="s">
        <v>1228</v>
      </c>
      <c r="G694" s="43">
        <v>257000</v>
      </c>
      <c r="H694" s="43"/>
      <c r="I694" s="43"/>
      <c r="J694" s="43"/>
      <c r="K694" s="27" t="s">
        <v>567</v>
      </c>
      <c r="L694" s="28"/>
      <c r="M694" s="27"/>
      <c r="N694" s="27" t="s">
        <v>636</v>
      </c>
      <c r="O694" s="18"/>
      <c r="P694" s="213"/>
      <c r="Q694" s="213"/>
      <c r="R694" s="27"/>
      <c r="S694" s="27"/>
      <c r="T694" s="18"/>
      <c r="U694" s="27"/>
      <c r="V694" s="27"/>
      <c r="W694" s="30"/>
      <c r="X694" s="27"/>
      <c r="Y694" s="27"/>
      <c r="Z694" s="27"/>
      <c r="AA694" s="27"/>
      <c r="AB694" s="27"/>
      <c r="AC694" s="273">
        <v>44779611925</v>
      </c>
      <c r="AD694" s="27">
        <v>845931645338.69507</v>
      </c>
      <c r="AE694" s="228">
        <v>5.2935260398103548E-2</v>
      </c>
      <c r="AF694" s="27">
        <v>172113252560.6109</v>
      </c>
      <c r="AG694" s="226">
        <v>0.26017526982258699</v>
      </c>
      <c r="AH694" s="226">
        <v>0.38029099956355616</v>
      </c>
      <c r="AI694" s="27">
        <v>419270000</v>
      </c>
      <c r="AJ694" s="226">
        <v>106.80375873542108</v>
      </c>
      <c r="AK694" s="27">
        <v>9183435786.3452435</v>
      </c>
      <c r="AL694" s="226">
        <v>4.8761283866744458</v>
      </c>
      <c r="AM694" s="27">
        <v>23407266999.179829</v>
      </c>
      <c r="AN694" s="271">
        <v>1.9130645165268136</v>
      </c>
      <c r="AO694" s="27">
        <v>243801639</v>
      </c>
      <c r="AP694" s="27">
        <v>12.5</v>
      </c>
      <c r="AQ694" s="27">
        <v>70.391560975609764</v>
      </c>
      <c r="AR694" s="27">
        <v>26.4</v>
      </c>
      <c r="AS694" s="29">
        <v>96.758229999999998</v>
      </c>
      <c r="AT694" s="609">
        <v>34</v>
      </c>
      <c r="AU694" s="464">
        <v>65.756016474143607</v>
      </c>
      <c r="AV694" s="29">
        <v>-4.8407412125047199E-2</v>
      </c>
      <c r="AW694" s="29">
        <v>-0.76291902872726403</v>
      </c>
      <c r="AX694" s="29">
        <v>-0.24884587309561801</v>
      </c>
      <c r="AY694" s="29">
        <v>-0.330592347662021</v>
      </c>
      <c r="AZ694" s="60">
        <v>-0.67947156187538604</v>
      </c>
    </row>
    <row r="695" spans="1:52" ht="15" customHeight="1">
      <c r="A695" s="59" t="s">
        <v>243</v>
      </c>
      <c r="B695" s="27">
        <v>2011</v>
      </c>
      <c r="C695" s="27" t="s">
        <v>237</v>
      </c>
      <c r="D695" s="27" t="s">
        <v>238</v>
      </c>
      <c r="E695" s="27" t="s">
        <v>19</v>
      </c>
      <c r="F695" s="27" t="s">
        <v>730</v>
      </c>
      <c r="G695" s="43">
        <f>96100*32.150743126506</f>
        <v>3089686.4144572266</v>
      </c>
      <c r="H695" s="43"/>
      <c r="I695" s="43"/>
      <c r="J695" s="43"/>
      <c r="K695" s="27" t="s">
        <v>731</v>
      </c>
      <c r="L695" s="28">
        <v>1569.2108333333299</v>
      </c>
      <c r="M695" s="27" t="s">
        <v>732</v>
      </c>
      <c r="N695" s="27" t="s">
        <v>733</v>
      </c>
      <c r="O695" s="18">
        <f>G695*L695</f>
        <v>4848369393.1690931</v>
      </c>
      <c r="P695" s="213"/>
      <c r="Q695" s="213"/>
      <c r="R695" s="27"/>
      <c r="S695" s="27"/>
      <c r="T695" s="18"/>
      <c r="U695" s="27"/>
      <c r="V695" s="27"/>
      <c r="W695" s="30"/>
      <c r="X695" s="27">
        <v>4</v>
      </c>
      <c r="Y695" s="27" t="s">
        <v>1253</v>
      </c>
      <c r="Z695" s="27">
        <v>4</v>
      </c>
      <c r="AA695" s="27"/>
      <c r="AB695" s="27"/>
      <c r="AC695" s="273">
        <v>44779611925</v>
      </c>
      <c r="AD695" s="27">
        <v>845931645338.69507</v>
      </c>
      <c r="AE695" s="228">
        <v>5.2935260398103548E-2</v>
      </c>
      <c r="AF695" s="27">
        <v>172113252560.6109</v>
      </c>
      <c r="AG695" s="226">
        <v>0.26017526982258699</v>
      </c>
      <c r="AH695" s="226">
        <v>0.38029099956355616</v>
      </c>
      <c r="AI695" s="27">
        <v>419270000</v>
      </c>
      <c r="AJ695" s="226">
        <v>106.80375873542108</v>
      </c>
      <c r="AK695" s="27">
        <v>9183435786.3452435</v>
      </c>
      <c r="AL695" s="226">
        <v>4.8761283866744458</v>
      </c>
      <c r="AM695" s="27">
        <v>23407266999.179829</v>
      </c>
      <c r="AN695" s="271">
        <v>1.9130645165268136</v>
      </c>
      <c r="AO695" s="27">
        <v>243801639</v>
      </c>
      <c r="AP695" s="27">
        <v>12.5</v>
      </c>
      <c r="AQ695" s="27">
        <v>70.391560975609764</v>
      </c>
      <c r="AR695" s="27">
        <v>26.4</v>
      </c>
      <c r="AS695" s="29">
        <v>96.758229999999998</v>
      </c>
      <c r="AT695" s="609">
        <v>34</v>
      </c>
      <c r="AU695" s="464">
        <v>65.756016474143607</v>
      </c>
      <c r="AV695" s="29">
        <v>-4.8407412125047199E-2</v>
      </c>
      <c r="AW695" s="29">
        <v>-0.76291902872726403</v>
      </c>
      <c r="AX695" s="29">
        <v>-0.24884587309561801</v>
      </c>
      <c r="AY695" s="29">
        <v>-0.330592347662021</v>
      </c>
      <c r="AZ695" s="60">
        <v>-0.67947156187538604</v>
      </c>
    </row>
    <row r="696" spans="1:52" ht="15" customHeight="1">
      <c r="A696" s="59" t="s">
        <v>243</v>
      </c>
      <c r="B696" s="27">
        <v>2011</v>
      </c>
      <c r="C696" s="27" t="s">
        <v>237</v>
      </c>
      <c r="D696" s="27" t="s">
        <v>238</v>
      </c>
      <c r="E696" s="27" t="s">
        <v>19</v>
      </c>
      <c r="F696" s="27" t="s">
        <v>638</v>
      </c>
      <c r="G696" s="43"/>
      <c r="H696" s="43"/>
      <c r="I696" s="43"/>
      <c r="J696" s="43"/>
      <c r="K696" s="27"/>
      <c r="L696" s="44">
        <v>22910.356666666699</v>
      </c>
      <c r="M696" s="27" t="s">
        <v>568</v>
      </c>
      <c r="N696" s="27" t="s">
        <v>1229</v>
      </c>
      <c r="O696" s="18">
        <f>SUM(G697:G699)*L696</f>
        <v>7003696033.0000095</v>
      </c>
      <c r="P696" s="213"/>
      <c r="Q696" s="213"/>
      <c r="R696" s="27"/>
      <c r="S696" s="27"/>
      <c r="T696" s="18"/>
      <c r="U696" s="27"/>
      <c r="V696" s="27"/>
      <c r="W696" s="30"/>
      <c r="X696" s="27">
        <v>5</v>
      </c>
      <c r="Y696" s="27" t="s">
        <v>1266</v>
      </c>
      <c r="Z696" s="27">
        <v>5</v>
      </c>
      <c r="AA696" s="27"/>
      <c r="AB696" s="27"/>
      <c r="AC696" s="273">
        <v>44779611925</v>
      </c>
      <c r="AD696" s="27">
        <v>845931645338.69507</v>
      </c>
      <c r="AE696" s="228">
        <v>5.2935260398103548E-2</v>
      </c>
      <c r="AF696" s="27">
        <v>172113252560.6109</v>
      </c>
      <c r="AG696" s="226">
        <v>0.26017526982258699</v>
      </c>
      <c r="AH696" s="226">
        <v>0.38029099956355616</v>
      </c>
      <c r="AI696" s="27">
        <v>419270000</v>
      </c>
      <c r="AJ696" s="226">
        <v>106.80375873542108</v>
      </c>
      <c r="AK696" s="27">
        <v>9183435786.3452435</v>
      </c>
      <c r="AL696" s="226">
        <v>4.8761283866744458</v>
      </c>
      <c r="AM696" s="27">
        <v>23407266999.179829</v>
      </c>
      <c r="AN696" s="271">
        <v>1.9130645165268136</v>
      </c>
      <c r="AO696" s="27">
        <v>243801639</v>
      </c>
      <c r="AP696" s="27">
        <v>12.5</v>
      </c>
      <c r="AQ696" s="27">
        <v>70.391560975609764</v>
      </c>
      <c r="AR696" s="27">
        <v>26.4</v>
      </c>
      <c r="AS696" s="29">
        <v>96.758229999999998</v>
      </c>
      <c r="AT696" s="609">
        <v>34</v>
      </c>
      <c r="AU696" s="464">
        <v>65.756016474143607</v>
      </c>
      <c r="AV696" s="29">
        <v>-4.8407412125047199E-2</v>
      </c>
      <c r="AW696" s="29">
        <v>-0.76291902872726403</v>
      </c>
      <c r="AX696" s="29">
        <v>-0.24884587309561801</v>
      </c>
      <c r="AY696" s="29">
        <v>-0.330592347662021</v>
      </c>
      <c r="AZ696" s="60">
        <v>-0.67947156187538604</v>
      </c>
    </row>
    <row r="697" spans="1:52" ht="15" customHeight="1">
      <c r="A697" s="59" t="s">
        <v>243</v>
      </c>
      <c r="B697" s="27">
        <v>2011</v>
      </c>
      <c r="C697" s="27" t="s">
        <v>237</v>
      </c>
      <c r="D697" s="27" t="s">
        <v>238</v>
      </c>
      <c r="E697" s="27" t="s">
        <v>19</v>
      </c>
      <c r="F697" s="27" t="s">
        <v>1231</v>
      </c>
      <c r="G697" s="43">
        <v>218200</v>
      </c>
      <c r="H697" s="43"/>
      <c r="I697" s="43"/>
      <c r="J697" s="43"/>
      <c r="K697" s="27" t="s">
        <v>567</v>
      </c>
      <c r="L697" s="28"/>
      <c r="M697" s="27"/>
      <c r="N697" s="27" t="s">
        <v>636</v>
      </c>
      <c r="O697" s="18"/>
      <c r="P697" s="213"/>
      <c r="Q697" s="213"/>
      <c r="R697" s="27"/>
      <c r="S697" s="27"/>
      <c r="T697" s="18"/>
      <c r="U697" s="27"/>
      <c r="V697" s="27"/>
      <c r="W697" s="30"/>
      <c r="X697" s="27"/>
      <c r="Y697" s="27"/>
      <c r="Z697" s="27"/>
      <c r="AA697" s="27"/>
      <c r="AB697" s="27"/>
      <c r="AC697" s="273">
        <v>44779611925</v>
      </c>
      <c r="AD697" s="27">
        <v>845931645338.69507</v>
      </c>
      <c r="AE697" s="228">
        <v>5.2935260398103548E-2</v>
      </c>
      <c r="AF697" s="27">
        <v>172113252560.6109</v>
      </c>
      <c r="AG697" s="226">
        <v>0.26017526982258699</v>
      </c>
      <c r="AH697" s="226">
        <v>0.38029099956355616</v>
      </c>
      <c r="AI697" s="27">
        <v>419270000</v>
      </c>
      <c r="AJ697" s="226">
        <v>106.80375873542108</v>
      </c>
      <c r="AK697" s="27">
        <v>9183435786.3452435</v>
      </c>
      <c r="AL697" s="226">
        <v>4.8761283866744458</v>
      </c>
      <c r="AM697" s="27">
        <v>23407266999.179829</v>
      </c>
      <c r="AN697" s="271">
        <v>1.9130645165268136</v>
      </c>
      <c r="AO697" s="27">
        <v>243801639</v>
      </c>
      <c r="AP697" s="27">
        <v>12.5</v>
      </c>
      <c r="AQ697" s="27">
        <v>70.391560975609764</v>
      </c>
      <c r="AR697" s="27">
        <v>26.4</v>
      </c>
      <c r="AS697" s="29">
        <v>96.758229999999998</v>
      </c>
      <c r="AT697" s="609">
        <v>34</v>
      </c>
      <c r="AU697" s="464">
        <v>65.756016474143607</v>
      </c>
      <c r="AV697" s="29">
        <v>-4.8407412125047199E-2</v>
      </c>
      <c r="AW697" s="29">
        <v>-0.76291902872726403</v>
      </c>
      <c r="AX697" s="29">
        <v>-0.24884587309561801</v>
      </c>
      <c r="AY697" s="29">
        <v>-0.330592347662021</v>
      </c>
      <c r="AZ697" s="60">
        <v>-0.67947156187538604</v>
      </c>
    </row>
    <row r="698" spans="1:52" ht="15" customHeight="1">
      <c r="A698" s="59" t="s">
        <v>243</v>
      </c>
      <c r="B698" s="27">
        <v>2011</v>
      </c>
      <c r="C698" s="27" t="s">
        <v>237</v>
      </c>
      <c r="D698" s="27" t="s">
        <v>238</v>
      </c>
      <c r="E698" s="27" t="s">
        <v>19</v>
      </c>
      <c r="F698" s="27" t="s">
        <v>1232</v>
      </c>
      <c r="G698" s="43">
        <v>67800</v>
      </c>
      <c r="H698" s="43"/>
      <c r="I698" s="43"/>
      <c r="J698" s="43"/>
      <c r="K698" s="27" t="s">
        <v>567</v>
      </c>
      <c r="L698" s="28"/>
      <c r="M698" s="27"/>
      <c r="N698" s="27" t="s">
        <v>636</v>
      </c>
      <c r="O698" s="18"/>
      <c r="P698" s="213"/>
      <c r="Q698" s="213"/>
      <c r="R698" s="27"/>
      <c r="S698" s="27"/>
      <c r="T698" s="18"/>
      <c r="U698" s="27"/>
      <c r="V698" s="27"/>
      <c r="W698" s="30"/>
      <c r="X698" s="27"/>
      <c r="Y698" s="27"/>
      <c r="Z698" s="27"/>
      <c r="AA698" s="27"/>
      <c r="AB698" s="27"/>
      <c r="AC698" s="273">
        <v>44779611925</v>
      </c>
      <c r="AD698" s="27">
        <v>845931645338.69507</v>
      </c>
      <c r="AE698" s="228">
        <v>5.2935260398103548E-2</v>
      </c>
      <c r="AF698" s="27">
        <v>172113252560.6109</v>
      </c>
      <c r="AG698" s="226">
        <v>0.26017526982258699</v>
      </c>
      <c r="AH698" s="226">
        <v>0.38029099956355616</v>
      </c>
      <c r="AI698" s="27">
        <v>419270000</v>
      </c>
      <c r="AJ698" s="226">
        <v>106.80375873542108</v>
      </c>
      <c r="AK698" s="27">
        <v>9183435786.3452435</v>
      </c>
      <c r="AL698" s="226">
        <v>4.8761283866744458</v>
      </c>
      <c r="AM698" s="27">
        <v>23407266999.179829</v>
      </c>
      <c r="AN698" s="271">
        <v>1.9130645165268136</v>
      </c>
      <c r="AO698" s="27">
        <v>243801639</v>
      </c>
      <c r="AP698" s="27">
        <v>12.5</v>
      </c>
      <c r="AQ698" s="27">
        <v>70.391560975609764</v>
      </c>
      <c r="AR698" s="27">
        <v>26.4</v>
      </c>
      <c r="AS698" s="29">
        <v>96.758229999999998</v>
      </c>
      <c r="AT698" s="609">
        <v>34</v>
      </c>
      <c r="AU698" s="464">
        <v>65.756016474143607</v>
      </c>
      <c r="AV698" s="29">
        <v>-4.8407412125047199E-2</v>
      </c>
      <c r="AW698" s="29">
        <v>-0.76291902872726403</v>
      </c>
      <c r="AX698" s="29">
        <v>-0.24884587309561801</v>
      </c>
      <c r="AY698" s="29">
        <v>-0.330592347662021</v>
      </c>
      <c r="AZ698" s="60">
        <v>-0.67947156187538604</v>
      </c>
    </row>
    <row r="699" spans="1:52" ht="15" customHeight="1">
      <c r="A699" s="59" t="s">
        <v>243</v>
      </c>
      <c r="B699" s="27">
        <v>2011</v>
      </c>
      <c r="C699" s="27" t="s">
        <v>237</v>
      </c>
      <c r="D699" s="27" t="s">
        <v>238</v>
      </c>
      <c r="E699" s="27" t="s">
        <v>19</v>
      </c>
      <c r="F699" s="27" t="s">
        <v>1233</v>
      </c>
      <c r="G699" s="43">
        <v>19700</v>
      </c>
      <c r="H699" s="43"/>
      <c r="I699" s="43"/>
      <c r="J699" s="43"/>
      <c r="K699" s="27" t="s">
        <v>567</v>
      </c>
      <c r="L699" s="28"/>
      <c r="M699" s="27"/>
      <c r="N699" s="27" t="s">
        <v>636</v>
      </c>
      <c r="O699" s="18"/>
      <c r="P699" s="213"/>
      <c r="Q699" s="213"/>
      <c r="R699" s="27"/>
      <c r="S699" s="27"/>
      <c r="T699" s="18"/>
      <c r="U699" s="27"/>
      <c r="V699" s="27"/>
      <c r="W699" s="30"/>
      <c r="X699" s="27"/>
      <c r="Y699" s="27"/>
      <c r="Z699" s="27"/>
      <c r="AA699" s="27"/>
      <c r="AB699" s="27"/>
      <c r="AC699" s="273">
        <v>44779611925</v>
      </c>
      <c r="AD699" s="27">
        <v>845931645338.69507</v>
      </c>
      <c r="AE699" s="228">
        <v>5.2935260398103548E-2</v>
      </c>
      <c r="AF699" s="27">
        <v>172113252560.6109</v>
      </c>
      <c r="AG699" s="226">
        <v>0.26017526982258699</v>
      </c>
      <c r="AH699" s="226">
        <v>0.38029099956355616</v>
      </c>
      <c r="AI699" s="27">
        <v>419270000</v>
      </c>
      <c r="AJ699" s="226">
        <v>106.80375873542108</v>
      </c>
      <c r="AK699" s="27">
        <v>9183435786.3452435</v>
      </c>
      <c r="AL699" s="226">
        <v>4.8761283866744458</v>
      </c>
      <c r="AM699" s="27">
        <v>23407266999.179829</v>
      </c>
      <c r="AN699" s="271">
        <v>1.9130645165268136</v>
      </c>
      <c r="AO699" s="27">
        <v>243801639</v>
      </c>
      <c r="AP699" s="27">
        <v>12.5</v>
      </c>
      <c r="AQ699" s="27">
        <v>70.391560975609764</v>
      </c>
      <c r="AR699" s="27">
        <v>26.4</v>
      </c>
      <c r="AS699" s="29">
        <v>96.758229999999998</v>
      </c>
      <c r="AT699" s="609">
        <v>34</v>
      </c>
      <c r="AU699" s="464">
        <v>65.756016474143607</v>
      </c>
      <c r="AV699" s="29">
        <v>-4.8407412125047199E-2</v>
      </c>
      <c r="AW699" s="29">
        <v>-0.76291902872726403</v>
      </c>
      <c r="AX699" s="29">
        <v>-0.24884587309561801</v>
      </c>
      <c r="AY699" s="29">
        <v>-0.330592347662021</v>
      </c>
      <c r="AZ699" s="60">
        <v>-0.67947156187538604</v>
      </c>
    </row>
    <row r="700" spans="1:52" ht="15" customHeight="1">
      <c r="A700" s="59" t="s">
        <v>243</v>
      </c>
      <c r="B700" s="27">
        <v>2011</v>
      </c>
      <c r="C700" s="27" t="s">
        <v>237</v>
      </c>
      <c r="D700" s="27" t="s">
        <v>238</v>
      </c>
      <c r="E700" s="27" t="s">
        <v>19</v>
      </c>
      <c r="F700" s="27" t="s">
        <v>735</v>
      </c>
      <c r="G700" s="43">
        <f>310400*32.150743126506</f>
        <v>9979590.6664674617</v>
      </c>
      <c r="H700" s="43"/>
      <c r="I700" s="43"/>
      <c r="J700" s="43"/>
      <c r="K700" s="27" t="s">
        <v>731</v>
      </c>
      <c r="L700" s="28">
        <f>35.22411666667/1</f>
        <v>35.22411666667</v>
      </c>
      <c r="M700" s="27" t="s">
        <v>732</v>
      </c>
      <c r="N700" s="27" t="s">
        <v>744</v>
      </c>
      <c r="O700" s="18">
        <f>G700*L700</f>
        <v>351522265.92126089</v>
      </c>
      <c r="P700" s="213"/>
      <c r="Q700" s="213"/>
      <c r="R700" s="27"/>
      <c r="S700" s="27"/>
      <c r="T700" s="18"/>
      <c r="U700" s="27"/>
      <c r="V700" s="27"/>
      <c r="W700" s="30"/>
      <c r="X700" s="27"/>
      <c r="Y700" s="27"/>
      <c r="Z700" s="27"/>
      <c r="AA700" s="27"/>
      <c r="AB700" s="27"/>
      <c r="AC700" s="273">
        <v>44779611925</v>
      </c>
      <c r="AD700" s="27">
        <v>845931645338.69507</v>
      </c>
      <c r="AE700" s="228">
        <v>5.2935260398103548E-2</v>
      </c>
      <c r="AF700" s="27">
        <v>172113252560.6109</v>
      </c>
      <c r="AG700" s="226">
        <v>0.26017526982258699</v>
      </c>
      <c r="AH700" s="226">
        <v>0.38029099956355616</v>
      </c>
      <c r="AI700" s="27">
        <v>419270000</v>
      </c>
      <c r="AJ700" s="226">
        <v>106.80375873542108</v>
      </c>
      <c r="AK700" s="27">
        <v>9183435786.3452435</v>
      </c>
      <c r="AL700" s="226">
        <v>4.8761283866744458</v>
      </c>
      <c r="AM700" s="27">
        <v>23407266999.179829</v>
      </c>
      <c r="AN700" s="271">
        <v>1.9130645165268136</v>
      </c>
      <c r="AO700" s="27">
        <v>243801639</v>
      </c>
      <c r="AP700" s="27">
        <v>12.5</v>
      </c>
      <c r="AQ700" s="27">
        <v>70.391560975609764</v>
      </c>
      <c r="AR700" s="27">
        <v>26.4</v>
      </c>
      <c r="AS700" s="29">
        <v>96.758229999999998</v>
      </c>
      <c r="AT700" s="609">
        <v>34</v>
      </c>
      <c r="AU700" s="464">
        <v>65.756016474143607</v>
      </c>
      <c r="AV700" s="29">
        <v>-4.8407412125047199E-2</v>
      </c>
      <c r="AW700" s="29">
        <v>-0.76291902872726403</v>
      </c>
      <c r="AX700" s="29">
        <v>-0.24884587309561801</v>
      </c>
      <c r="AY700" s="29">
        <v>-0.330592347662021</v>
      </c>
      <c r="AZ700" s="60">
        <v>-0.67947156187538604</v>
      </c>
    </row>
    <row r="701" spans="1:52" ht="15" customHeight="1">
      <c r="A701" s="59" t="s">
        <v>243</v>
      </c>
      <c r="B701" s="27">
        <v>2011</v>
      </c>
      <c r="C701" s="27" t="s">
        <v>237</v>
      </c>
      <c r="D701" s="27" t="s">
        <v>238</v>
      </c>
      <c r="E701" s="27" t="s">
        <v>19</v>
      </c>
      <c r="F701" s="27" t="s">
        <v>1234</v>
      </c>
      <c r="G701" s="43"/>
      <c r="H701" s="43"/>
      <c r="I701" s="43"/>
      <c r="J701" s="43"/>
      <c r="K701" s="27"/>
      <c r="L701" s="44">
        <f>26053.675</f>
        <v>26053.674999999999</v>
      </c>
      <c r="M701" s="27" t="s">
        <v>568</v>
      </c>
      <c r="N701" s="27" t="s">
        <v>1235</v>
      </c>
      <c r="O701" s="18">
        <f>G703*L701</f>
        <v>1120308025</v>
      </c>
      <c r="P701" s="213"/>
      <c r="Q701" s="213"/>
      <c r="R701" s="27"/>
      <c r="S701" s="27"/>
      <c r="T701" s="18"/>
      <c r="U701" s="27"/>
      <c r="V701" s="27"/>
      <c r="W701" s="30"/>
      <c r="X701" s="27">
        <v>9</v>
      </c>
      <c r="Y701" s="27" t="s">
        <v>1267</v>
      </c>
      <c r="Z701" s="27">
        <v>7</v>
      </c>
      <c r="AA701" s="27"/>
      <c r="AB701" s="27"/>
      <c r="AC701" s="273">
        <v>44779611925</v>
      </c>
      <c r="AD701" s="27">
        <v>845931645338.69507</v>
      </c>
      <c r="AE701" s="228">
        <v>5.2935260398103548E-2</v>
      </c>
      <c r="AF701" s="27">
        <v>172113252560.6109</v>
      </c>
      <c r="AG701" s="226">
        <v>0.26017526982258699</v>
      </c>
      <c r="AH701" s="226">
        <v>0.38029099956355616</v>
      </c>
      <c r="AI701" s="27">
        <v>419270000</v>
      </c>
      <c r="AJ701" s="226">
        <v>106.80375873542108</v>
      </c>
      <c r="AK701" s="27">
        <v>9183435786.3452435</v>
      </c>
      <c r="AL701" s="226">
        <v>4.8761283866744458</v>
      </c>
      <c r="AM701" s="27">
        <v>23407266999.179829</v>
      </c>
      <c r="AN701" s="271">
        <v>1.9130645165268136</v>
      </c>
      <c r="AO701" s="27">
        <v>243801639</v>
      </c>
      <c r="AP701" s="27">
        <v>12.5</v>
      </c>
      <c r="AQ701" s="27">
        <v>70.391560975609764</v>
      </c>
      <c r="AR701" s="27">
        <v>26.4</v>
      </c>
      <c r="AS701" s="29">
        <v>96.758229999999998</v>
      </c>
      <c r="AT701" s="609">
        <v>34</v>
      </c>
      <c r="AU701" s="464">
        <v>65.756016474143607</v>
      </c>
      <c r="AV701" s="29">
        <v>-4.8407412125047199E-2</v>
      </c>
      <c r="AW701" s="29">
        <v>-0.76291902872726403</v>
      </c>
      <c r="AX701" s="29">
        <v>-0.24884587309561801</v>
      </c>
      <c r="AY701" s="29">
        <v>-0.330592347662021</v>
      </c>
      <c r="AZ701" s="60">
        <v>-0.67947156187538604</v>
      </c>
    </row>
    <row r="702" spans="1:52" ht="15" customHeight="1">
      <c r="A702" s="59" t="s">
        <v>243</v>
      </c>
      <c r="B702" s="27">
        <v>2011</v>
      </c>
      <c r="C702" s="27" t="s">
        <v>237</v>
      </c>
      <c r="D702" s="27" t="s">
        <v>238</v>
      </c>
      <c r="E702" s="27" t="s">
        <v>19</v>
      </c>
      <c r="F702" s="27" t="s">
        <v>1237</v>
      </c>
      <c r="G702" s="43">
        <v>42000</v>
      </c>
      <c r="H702" s="43"/>
      <c r="I702" s="43"/>
      <c r="J702" s="43"/>
      <c r="K702" s="27"/>
      <c r="L702" s="28"/>
      <c r="M702" s="27"/>
      <c r="N702" s="27" t="s">
        <v>636</v>
      </c>
      <c r="O702" s="18"/>
      <c r="P702" s="213"/>
      <c r="Q702" s="213"/>
      <c r="R702" s="27"/>
      <c r="S702" s="27"/>
      <c r="T702" s="18"/>
      <c r="U702" s="27"/>
      <c r="V702" s="27"/>
      <c r="W702" s="30"/>
      <c r="X702" s="27"/>
      <c r="Y702" s="27"/>
      <c r="Z702" s="27"/>
      <c r="AA702" s="27"/>
      <c r="AB702" s="27"/>
      <c r="AC702" s="273">
        <v>44779611925</v>
      </c>
      <c r="AD702" s="27">
        <v>845931645338.69507</v>
      </c>
      <c r="AE702" s="228">
        <v>5.2935260398103548E-2</v>
      </c>
      <c r="AF702" s="27">
        <v>172113252560.6109</v>
      </c>
      <c r="AG702" s="226">
        <v>0.26017526982258699</v>
      </c>
      <c r="AH702" s="226">
        <v>0.38029099956355616</v>
      </c>
      <c r="AI702" s="27">
        <v>419270000</v>
      </c>
      <c r="AJ702" s="226">
        <v>106.80375873542108</v>
      </c>
      <c r="AK702" s="27">
        <v>9183435786.3452435</v>
      </c>
      <c r="AL702" s="226">
        <v>4.8761283866744458</v>
      </c>
      <c r="AM702" s="27">
        <v>23407266999.179829</v>
      </c>
      <c r="AN702" s="271">
        <v>1.9130645165268136</v>
      </c>
      <c r="AO702" s="27">
        <v>243801639</v>
      </c>
      <c r="AP702" s="27">
        <v>12.5</v>
      </c>
      <c r="AQ702" s="27">
        <v>70.391560975609764</v>
      </c>
      <c r="AR702" s="27">
        <v>26.4</v>
      </c>
      <c r="AS702" s="29">
        <v>96.758229999999998</v>
      </c>
      <c r="AT702" s="609">
        <v>34</v>
      </c>
      <c r="AU702" s="464">
        <v>65.756016474143607</v>
      </c>
      <c r="AV702" s="29">
        <v>-4.8407412125047199E-2</v>
      </c>
      <c r="AW702" s="29">
        <v>-0.76291902872726403</v>
      </c>
      <c r="AX702" s="29">
        <v>-0.24884587309561801</v>
      </c>
      <c r="AY702" s="29">
        <v>-0.330592347662021</v>
      </c>
      <c r="AZ702" s="60">
        <v>-0.67947156187538604</v>
      </c>
    </row>
    <row r="703" spans="1:52" s="232" customFormat="1" ht="15" customHeight="1" thickBot="1">
      <c r="A703" s="360" t="s">
        <v>243</v>
      </c>
      <c r="B703" s="230">
        <v>2011</v>
      </c>
      <c r="C703" s="230" t="s">
        <v>237</v>
      </c>
      <c r="D703" s="230" t="s">
        <v>238</v>
      </c>
      <c r="E703" s="230" t="s">
        <v>19</v>
      </c>
      <c r="F703" s="230" t="s">
        <v>1238</v>
      </c>
      <c r="G703" s="297">
        <v>43000</v>
      </c>
      <c r="H703" s="297"/>
      <c r="I703" s="297"/>
      <c r="J703" s="297"/>
      <c r="K703" s="230"/>
      <c r="L703" s="298"/>
      <c r="M703" s="230"/>
      <c r="N703" s="230" t="s">
        <v>636</v>
      </c>
      <c r="O703" s="285"/>
      <c r="P703" s="299"/>
      <c r="Q703" s="299"/>
      <c r="R703" s="230"/>
      <c r="S703" s="230"/>
      <c r="T703" s="285"/>
      <c r="U703" s="230"/>
      <c r="V703" s="230"/>
      <c r="W703" s="300"/>
      <c r="X703" s="230"/>
      <c r="Y703" s="230"/>
      <c r="Z703" s="230"/>
      <c r="AA703" s="230"/>
      <c r="AB703" s="230"/>
      <c r="AC703" s="273">
        <v>44779611925</v>
      </c>
      <c r="AD703" s="27">
        <v>845931645338.69507</v>
      </c>
      <c r="AE703" s="229">
        <v>5.2935260398103548E-2</v>
      </c>
      <c r="AF703" s="230">
        <v>172113252560.6109</v>
      </c>
      <c r="AG703" s="231">
        <v>0.26017526982258699</v>
      </c>
      <c r="AH703" s="231">
        <v>0.38029099956355616</v>
      </c>
      <c r="AI703" s="230">
        <v>419270000</v>
      </c>
      <c r="AJ703" s="231">
        <v>106.80375873542108</v>
      </c>
      <c r="AK703" s="230">
        <v>9183435786.3452435</v>
      </c>
      <c r="AL703" s="231">
        <v>4.8761283866744458</v>
      </c>
      <c r="AM703" s="230">
        <v>23407266999.179829</v>
      </c>
      <c r="AN703" s="275">
        <v>1.9130645165268136</v>
      </c>
      <c r="AO703" s="230">
        <v>243801639</v>
      </c>
      <c r="AP703" s="230">
        <v>12.5</v>
      </c>
      <c r="AQ703" s="230">
        <v>70.391560975609764</v>
      </c>
      <c r="AR703" s="230">
        <v>26.4</v>
      </c>
      <c r="AS703" s="232">
        <v>96.758229999999998</v>
      </c>
      <c r="AT703" s="611">
        <v>34</v>
      </c>
      <c r="AU703" s="466">
        <v>65.756016474143607</v>
      </c>
      <c r="AV703" s="232">
        <v>-4.8407412125047199E-2</v>
      </c>
      <c r="AW703" s="232">
        <v>-0.76291902872726403</v>
      </c>
      <c r="AX703" s="232">
        <v>-0.24884587309561801</v>
      </c>
      <c r="AY703" s="232">
        <v>-0.330592347662021</v>
      </c>
      <c r="AZ703" s="293">
        <v>-0.67947156187538604</v>
      </c>
    </row>
    <row r="704" spans="1:52" s="66" customFormat="1" ht="15" customHeight="1">
      <c r="A704" s="82" t="s">
        <v>244</v>
      </c>
      <c r="B704" s="77">
        <v>2009</v>
      </c>
      <c r="C704" s="77" t="s">
        <v>245</v>
      </c>
      <c r="D704" s="192" t="s">
        <v>246</v>
      </c>
      <c r="E704" s="77" t="s">
        <v>98</v>
      </c>
      <c r="F704" s="77" t="s">
        <v>98</v>
      </c>
      <c r="G704" s="182"/>
      <c r="H704" s="182">
        <v>852685651</v>
      </c>
      <c r="I704" s="182"/>
      <c r="J704" s="182"/>
      <c r="K704" s="77" t="s">
        <v>603</v>
      </c>
      <c r="L704" s="83">
        <v>59.31</v>
      </c>
      <c r="M704" s="77" t="s">
        <v>626</v>
      </c>
      <c r="N704" s="77" t="s">
        <v>1269</v>
      </c>
      <c r="O704" s="84">
        <f>H704*L704</f>
        <v>50572785960.810005</v>
      </c>
      <c r="P704" s="248">
        <v>41249682456.5</v>
      </c>
      <c r="Q704" s="248">
        <v>40159269633.400002</v>
      </c>
      <c r="R704" s="77" t="s">
        <v>619</v>
      </c>
      <c r="S704" s="77"/>
      <c r="T704" s="84"/>
      <c r="U704" s="77" t="s">
        <v>1270</v>
      </c>
      <c r="V704" s="77" t="s">
        <v>802</v>
      </c>
      <c r="W704" s="85" t="s">
        <v>803</v>
      </c>
      <c r="X704" s="77">
        <v>34</v>
      </c>
      <c r="Y704" s="77" t="s">
        <v>1271</v>
      </c>
      <c r="Z704" s="77">
        <v>34</v>
      </c>
      <c r="AA704" s="77" t="s">
        <v>1272</v>
      </c>
      <c r="AB704" s="77" t="s">
        <v>3676</v>
      </c>
      <c r="AC704" s="328">
        <v>41249682456.5</v>
      </c>
      <c r="AD704" s="77">
        <v>111660855042.73505</v>
      </c>
      <c r="AE704" s="233">
        <v>0.36941936760839639</v>
      </c>
      <c r="AF704" s="77">
        <v>62588142468.553848</v>
      </c>
      <c r="AG704" s="234">
        <v>0.6590654528088139</v>
      </c>
      <c r="AH704" s="234">
        <v>0.99390737938065843</v>
      </c>
      <c r="AI704" s="77">
        <v>2791100000</v>
      </c>
      <c r="AJ704" s="234">
        <v>14.779005573608972</v>
      </c>
      <c r="AK704" s="77">
        <v>3855740296.3497028</v>
      </c>
      <c r="AL704" s="234">
        <v>10.698252290371268</v>
      </c>
      <c r="AM704" s="77" t="s">
        <v>2842</v>
      </c>
      <c r="AN704" s="329" t="s">
        <v>2842</v>
      </c>
      <c r="AO704" s="77">
        <v>30163199</v>
      </c>
      <c r="AP704" s="77" t="s">
        <v>2842</v>
      </c>
      <c r="AQ704" s="77">
        <v>68.727951219512221</v>
      </c>
      <c r="AR704" s="77">
        <v>30.7</v>
      </c>
      <c r="AS704" s="66" t="s">
        <v>2842</v>
      </c>
      <c r="AT704" s="612">
        <v>16</v>
      </c>
      <c r="AU704" s="467">
        <v>46.873045162130573</v>
      </c>
      <c r="AV704" s="66">
        <v>-1.1000623897045001</v>
      </c>
      <c r="AW704" s="66">
        <v>-2.1856993154475899</v>
      </c>
      <c r="AX704" s="66">
        <v>-1.2020230439441499</v>
      </c>
      <c r="AY704" s="66">
        <v>-1.0060865909061101</v>
      </c>
      <c r="AZ704" s="331">
        <v>-1.3922886481096199</v>
      </c>
    </row>
    <row r="705" spans="1:52" s="238" customFormat="1" ht="15" customHeight="1">
      <c r="A705" s="333" t="s">
        <v>249</v>
      </c>
      <c r="B705" s="236">
        <v>2010</v>
      </c>
      <c r="C705" s="236" t="s">
        <v>245</v>
      </c>
      <c r="D705" s="386" t="s">
        <v>246</v>
      </c>
      <c r="E705" s="236" t="s">
        <v>98</v>
      </c>
      <c r="F705" s="236" t="s">
        <v>98</v>
      </c>
      <c r="G705" s="335"/>
      <c r="H705" s="335">
        <v>860655520</v>
      </c>
      <c r="I705" s="335"/>
      <c r="J705" s="335"/>
      <c r="K705" s="236" t="s">
        <v>603</v>
      </c>
      <c r="L705" s="336">
        <v>75.650000000000006</v>
      </c>
      <c r="M705" s="236" t="s">
        <v>626</v>
      </c>
      <c r="N705" s="236" t="s">
        <v>1269</v>
      </c>
      <c r="O705" s="337">
        <f t="shared" ref="O705:O706" si="8">H705*L705</f>
        <v>65108590088.000008</v>
      </c>
      <c r="P705" s="338">
        <v>53852645106.349998</v>
      </c>
      <c r="Q705" s="338">
        <v>54037731812.769997</v>
      </c>
      <c r="R705" s="236" t="s">
        <v>619</v>
      </c>
      <c r="S705" s="236"/>
      <c r="T705" s="337"/>
      <c r="U705" s="236"/>
      <c r="V705" s="236" t="s">
        <v>802</v>
      </c>
      <c r="W705" s="339" t="s">
        <v>803</v>
      </c>
      <c r="X705" s="236">
        <v>51</v>
      </c>
      <c r="Y705" s="236" t="s">
        <v>1273</v>
      </c>
      <c r="Z705" s="236">
        <v>51</v>
      </c>
      <c r="AA705" s="236" t="s">
        <v>1275</v>
      </c>
      <c r="AB705" s="236" t="s">
        <v>3677</v>
      </c>
      <c r="AC705" s="340">
        <v>53852645106.349998</v>
      </c>
      <c r="AD705" s="236">
        <v>138516722649.57266</v>
      </c>
      <c r="AE705" s="235">
        <v>0.38878082065650243</v>
      </c>
      <c r="AF705" s="236">
        <v>93185739995.273514</v>
      </c>
      <c r="AG705" s="237">
        <v>0.57790650274474897</v>
      </c>
      <c r="AH705" s="237" t="s">
        <v>2842</v>
      </c>
      <c r="AI705" s="236">
        <v>2191630000</v>
      </c>
      <c r="AJ705" s="237">
        <v>24.571960187782608</v>
      </c>
      <c r="AK705" s="236">
        <v>3203139503.7178831</v>
      </c>
      <c r="AL705" s="237">
        <v>16.812456979736051</v>
      </c>
      <c r="AM705" s="236" t="s">
        <v>2842</v>
      </c>
      <c r="AN705" s="341" t="s">
        <v>2842</v>
      </c>
      <c r="AO705" s="236">
        <v>30962380</v>
      </c>
      <c r="AP705" s="236" t="s">
        <v>2842</v>
      </c>
      <c r="AQ705" s="236">
        <v>68.829756097560974</v>
      </c>
      <c r="AR705" s="236">
        <v>30.1</v>
      </c>
      <c r="AS705" s="238" t="s">
        <v>2842</v>
      </c>
      <c r="AT705" s="342">
        <v>16</v>
      </c>
      <c r="AU705" s="468">
        <v>46.873045162130573</v>
      </c>
      <c r="AV705" s="238">
        <v>-1.05609304989007</v>
      </c>
      <c r="AW705" s="238">
        <v>-2.2555389510886399</v>
      </c>
      <c r="AX705" s="238">
        <v>-1.22080514370563</v>
      </c>
      <c r="AY705" s="238">
        <v>-1.05017296506253</v>
      </c>
      <c r="AZ705" s="343">
        <v>-1.3101540300572501</v>
      </c>
    </row>
    <row r="706" spans="1:52" s="238" customFormat="1" ht="15" customHeight="1">
      <c r="A706" s="333" t="s">
        <v>251</v>
      </c>
      <c r="B706" s="236">
        <v>2011</v>
      </c>
      <c r="C706" s="236" t="s">
        <v>245</v>
      </c>
      <c r="D706" s="386" t="s">
        <v>246</v>
      </c>
      <c r="E706" s="236" t="s">
        <v>98</v>
      </c>
      <c r="F706" s="236" t="s">
        <v>98</v>
      </c>
      <c r="G706" s="335"/>
      <c r="H706" s="335">
        <v>933670000</v>
      </c>
      <c r="I706" s="335"/>
      <c r="J706" s="335"/>
      <c r="K706" s="236" t="s">
        <v>603</v>
      </c>
      <c r="L706" s="336">
        <v>104.98</v>
      </c>
      <c r="M706" s="236" t="s">
        <v>626</v>
      </c>
      <c r="N706" s="236" t="s">
        <v>1269</v>
      </c>
      <c r="O706" s="337">
        <f t="shared" si="8"/>
        <v>98016676600</v>
      </c>
      <c r="P706" s="338">
        <v>82986002828</v>
      </c>
      <c r="Q706" s="338">
        <v>81810684105</v>
      </c>
      <c r="R706" s="236" t="s">
        <v>619</v>
      </c>
      <c r="S706" s="236"/>
      <c r="T706" s="337"/>
      <c r="U706" s="236"/>
      <c r="V706" s="236" t="s">
        <v>802</v>
      </c>
      <c r="W706" s="339" t="s">
        <v>803</v>
      </c>
      <c r="X706" s="236">
        <v>60</v>
      </c>
      <c r="Y706" s="236" t="s">
        <v>1276</v>
      </c>
      <c r="Z706" s="236">
        <v>47</v>
      </c>
      <c r="AA706" s="236" t="s">
        <v>1278</v>
      </c>
      <c r="AB706" s="236" t="s">
        <v>3678</v>
      </c>
      <c r="AC706" s="340">
        <v>82986002828</v>
      </c>
      <c r="AD706" s="236">
        <v>185749664444.44446</v>
      </c>
      <c r="AE706" s="235">
        <v>0.44676259887844988</v>
      </c>
      <c r="AF706" s="236">
        <v>113381595176.8889</v>
      </c>
      <c r="AG706" s="237">
        <v>0.73191775700925599</v>
      </c>
      <c r="AH706" s="237" t="s">
        <v>2842</v>
      </c>
      <c r="AI706" s="236">
        <v>1908080000</v>
      </c>
      <c r="AJ706" s="237">
        <v>43.491888614733135</v>
      </c>
      <c r="AK706" s="236">
        <v>3813283816.2280684</v>
      </c>
      <c r="AL706" s="237">
        <v>21.762346268284347</v>
      </c>
      <c r="AM706" s="236" t="s">
        <v>2842</v>
      </c>
      <c r="AN706" s="341" t="s">
        <v>2842</v>
      </c>
      <c r="AO706" s="236">
        <v>31760020</v>
      </c>
      <c r="AP706" s="236" t="s">
        <v>2842</v>
      </c>
      <c r="AQ706" s="236">
        <v>69.015780487804889</v>
      </c>
      <c r="AR706" s="236">
        <v>29.4</v>
      </c>
      <c r="AS706" s="238" t="s">
        <v>2842</v>
      </c>
      <c r="AT706" s="342">
        <v>16</v>
      </c>
      <c r="AU706" s="468">
        <v>46.873045162130573</v>
      </c>
      <c r="AV706" s="238">
        <v>-1.14941272584278</v>
      </c>
      <c r="AW706" s="238">
        <v>-1.8422029306640999</v>
      </c>
      <c r="AX706" s="238">
        <v>-1.1508256264483501</v>
      </c>
      <c r="AY706" s="238">
        <v>-1.09298881572478</v>
      </c>
      <c r="AZ706" s="343">
        <v>-1.2066321616253699</v>
      </c>
    </row>
    <row r="707" spans="1:52" s="242" customFormat="1" ht="15" customHeight="1" thickBot="1">
      <c r="A707" s="388" t="s">
        <v>253</v>
      </c>
      <c r="B707" s="389">
        <v>2012</v>
      </c>
      <c r="C707" s="240" t="s">
        <v>245</v>
      </c>
      <c r="D707" s="390" t="s">
        <v>246</v>
      </c>
      <c r="E707" s="391" t="s">
        <v>98</v>
      </c>
      <c r="F707" s="391" t="s">
        <v>98</v>
      </c>
      <c r="G707" s="392"/>
      <c r="H707" s="392"/>
      <c r="I707" s="391"/>
      <c r="J707" s="393">
        <v>1054000000</v>
      </c>
      <c r="K707" s="240" t="s">
        <v>603</v>
      </c>
      <c r="L707" s="351">
        <v>107.27185943041016</v>
      </c>
      <c r="M707" s="240" t="s">
        <v>626</v>
      </c>
      <c r="N707" s="240" t="s">
        <v>3555</v>
      </c>
      <c r="O707" s="353">
        <f>J707*L707</f>
        <v>113064539839.65231</v>
      </c>
      <c r="P707" s="394">
        <v>94032633453</v>
      </c>
      <c r="Q707" s="395">
        <v>93136980753</v>
      </c>
      <c r="R707" s="240" t="s">
        <v>619</v>
      </c>
      <c r="S707" s="240"/>
      <c r="T707" s="353"/>
      <c r="U707" s="240" t="s">
        <v>1279</v>
      </c>
      <c r="V707" s="240" t="s">
        <v>802</v>
      </c>
      <c r="W707" s="354"/>
      <c r="X707" s="240">
        <v>43</v>
      </c>
      <c r="Y707" s="240" t="s">
        <v>1280</v>
      </c>
      <c r="Z707" s="240">
        <v>43</v>
      </c>
      <c r="AA707" s="240"/>
      <c r="AB707" s="353" t="s">
        <v>1281</v>
      </c>
      <c r="AC707" s="355">
        <v>94032633453</v>
      </c>
      <c r="AD707" s="240">
        <v>216044306775.30017</v>
      </c>
      <c r="AE707" s="239">
        <v>0.43524698640080306</v>
      </c>
      <c r="AF707" s="240">
        <v>116568866163.68097</v>
      </c>
      <c r="AG707" s="241">
        <v>0.80667022462896254</v>
      </c>
      <c r="AH707" s="241" t="s">
        <v>2842</v>
      </c>
      <c r="AI707" s="240">
        <v>1300790000</v>
      </c>
      <c r="AJ707" s="241">
        <v>72.288865576303635</v>
      </c>
      <c r="AK707" s="240">
        <v>4151822389.4593396</v>
      </c>
      <c r="AL707" s="241">
        <v>22.648520247814638</v>
      </c>
      <c r="AM707" s="240" t="s">
        <v>2842</v>
      </c>
      <c r="AN707" s="356" t="s">
        <v>2842</v>
      </c>
      <c r="AO707" s="240">
        <v>32578209</v>
      </c>
      <c r="AP707" s="240">
        <v>18.899999999999999</v>
      </c>
      <c r="AQ707" s="240">
        <v>69.241926829268309</v>
      </c>
      <c r="AR707" s="240">
        <v>28.8</v>
      </c>
      <c r="AS707" s="242" t="s">
        <v>2842</v>
      </c>
      <c r="AT707" s="357">
        <v>16</v>
      </c>
      <c r="AU707" s="469">
        <v>46.873045162130573</v>
      </c>
      <c r="AV707" s="242">
        <v>-1.1344417600162</v>
      </c>
      <c r="AW707" s="242">
        <v>-1.93249133973044</v>
      </c>
      <c r="AX707" s="242">
        <v>-1.11293652359442</v>
      </c>
      <c r="AY707" s="242">
        <v>-1.27023127643095</v>
      </c>
      <c r="AZ707" s="358">
        <v>-1.22911513075325</v>
      </c>
    </row>
    <row r="708" spans="1:52" s="66" customFormat="1" ht="15" customHeight="1">
      <c r="A708" s="82" t="s">
        <v>1282</v>
      </c>
      <c r="B708" s="77">
        <v>2005</v>
      </c>
      <c r="C708" s="77" t="s">
        <v>273</v>
      </c>
      <c r="D708" s="192" t="s">
        <v>34</v>
      </c>
      <c r="E708" s="77" t="s">
        <v>98</v>
      </c>
      <c r="F708" s="77" t="s">
        <v>98</v>
      </c>
      <c r="G708" s="182">
        <v>485450000</v>
      </c>
      <c r="H708" s="182"/>
      <c r="I708" s="182"/>
      <c r="J708" s="182"/>
      <c r="K708" s="77" t="s">
        <v>603</v>
      </c>
      <c r="L708" s="83">
        <v>54.04</v>
      </c>
      <c r="M708" s="77" t="s">
        <v>626</v>
      </c>
      <c r="N708" s="77" t="s">
        <v>687</v>
      </c>
      <c r="O708" s="84">
        <f>G708*L708</f>
        <v>26233718000</v>
      </c>
      <c r="P708" s="248">
        <v>2622996991</v>
      </c>
      <c r="Q708" s="248">
        <v>2610384907</v>
      </c>
      <c r="R708" s="77" t="s">
        <v>619</v>
      </c>
      <c r="S708" s="77"/>
      <c r="T708" s="84"/>
      <c r="U708" s="77" t="s">
        <v>1014</v>
      </c>
      <c r="V708" s="77" t="s">
        <v>1284</v>
      </c>
      <c r="W708" s="85">
        <v>131.6</v>
      </c>
      <c r="X708" s="77">
        <v>38</v>
      </c>
      <c r="Y708" s="77" t="s">
        <v>1285</v>
      </c>
      <c r="Z708" s="77">
        <v>37</v>
      </c>
      <c r="AA708" s="396" t="s">
        <v>1286</v>
      </c>
      <c r="AB708" s="77" t="s">
        <v>1287</v>
      </c>
      <c r="AC708" s="328">
        <v>2622996991</v>
      </c>
      <c r="AD708" s="77">
        <v>57123671733.895248</v>
      </c>
      <c r="AE708" s="233">
        <v>4.5917864019997909E-2</v>
      </c>
      <c r="AF708" s="77">
        <v>12484378457.442806</v>
      </c>
      <c r="AG708" s="234">
        <v>0.21010232907800461</v>
      </c>
      <c r="AH708" s="234">
        <v>0.76132714129103385</v>
      </c>
      <c r="AI708" s="77">
        <v>228880000</v>
      </c>
      <c r="AJ708" s="234">
        <v>11.460140645753233</v>
      </c>
      <c r="AK708" s="77">
        <v>1440397256.1129694</v>
      </c>
      <c r="AL708" s="234">
        <v>1.821023318302045</v>
      </c>
      <c r="AM708" s="77">
        <v>1293011446.798239</v>
      </c>
      <c r="AN708" s="329">
        <v>2.0285953364876059</v>
      </c>
      <c r="AO708" s="77">
        <v>15147029</v>
      </c>
      <c r="AP708" s="77">
        <v>31.6</v>
      </c>
      <c r="AQ708" s="77">
        <v>65.909756097560987</v>
      </c>
      <c r="AR708" s="77">
        <v>28.5</v>
      </c>
      <c r="AS708" s="66">
        <v>98.763279999999995</v>
      </c>
      <c r="AT708" s="330">
        <v>29</v>
      </c>
      <c r="AU708" s="467">
        <v>57.363105318322219</v>
      </c>
      <c r="AV708" s="66">
        <v>-1.0029731937432</v>
      </c>
      <c r="AW708" s="66">
        <v>0.177586919741824</v>
      </c>
      <c r="AX708" s="66">
        <v>-0.55226747501863804</v>
      </c>
      <c r="AY708" s="66">
        <v>-0.32629253789044799</v>
      </c>
      <c r="AZ708" s="331">
        <v>-0.99613384534870197</v>
      </c>
    </row>
    <row r="709" spans="1:52" s="29" customFormat="1" ht="15" customHeight="1">
      <c r="A709" s="332" t="s">
        <v>259</v>
      </c>
      <c r="B709" s="27">
        <v>2006</v>
      </c>
      <c r="C709" s="27" t="s">
        <v>273</v>
      </c>
      <c r="D709" s="69" t="s">
        <v>34</v>
      </c>
      <c r="E709" s="27" t="s">
        <v>50</v>
      </c>
      <c r="F709" s="27" t="s">
        <v>659</v>
      </c>
      <c r="G709" s="43"/>
      <c r="H709" s="43"/>
      <c r="I709" s="43"/>
      <c r="J709" s="43"/>
      <c r="K709" s="27"/>
      <c r="L709" s="28"/>
      <c r="M709" s="27" t="s">
        <v>626</v>
      </c>
      <c r="N709" s="27"/>
      <c r="O709" s="18">
        <f>SUM(O710:O711)</f>
        <v>37511373650</v>
      </c>
      <c r="P709" s="213">
        <v>10237431640</v>
      </c>
      <c r="Q709" s="213">
        <v>10113048830</v>
      </c>
      <c r="R709" s="27" t="s">
        <v>619</v>
      </c>
      <c r="S709" s="27"/>
      <c r="T709" s="18"/>
      <c r="U709" s="27" t="s">
        <v>1014</v>
      </c>
      <c r="V709" s="27" t="s">
        <v>1284</v>
      </c>
      <c r="W709" s="30">
        <v>121.5</v>
      </c>
      <c r="X709" s="27">
        <v>110</v>
      </c>
      <c r="Y709" s="27" t="s">
        <v>1288</v>
      </c>
      <c r="Z709" s="27">
        <v>103</v>
      </c>
      <c r="AA709" s="54" t="s">
        <v>1290</v>
      </c>
      <c r="AB709" s="27" t="s">
        <v>1291</v>
      </c>
      <c r="AC709" s="273">
        <v>10237431640</v>
      </c>
      <c r="AD709" s="27">
        <v>81003864915.543655</v>
      </c>
      <c r="AE709" s="228">
        <v>0.12638201461959578</v>
      </c>
      <c r="AF709" s="27">
        <v>20780731505.433567</v>
      </c>
      <c r="AG709" s="226">
        <v>0.49264058088249707</v>
      </c>
      <c r="AH709" s="226">
        <v>0.7732093319254153</v>
      </c>
      <c r="AI709" s="27">
        <v>174300000</v>
      </c>
      <c r="AJ709" s="226">
        <v>58.734547561675271</v>
      </c>
      <c r="AK709" s="27">
        <v>1867722009.4802325</v>
      </c>
      <c r="AL709" s="226">
        <v>5.4812394928348951</v>
      </c>
      <c r="AM709" s="27">
        <v>2127793322.8285177</v>
      </c>
      <c r="AN709" s="271">
        <v>4.8112904247632375</v>
      </c>
      <c r="AO709" s="27">
        <v>15308084</v>
      </c>
      <c r="AP709" s="27">
        <v>18.2</v>
      </c>
      <c r="AQ709" s="27">
        <v>66.160975609756107</v>
      </c>
      <c r="AR709" s="27">
        <v>26.7</v>
      </c>
      <c r="AS709" s="29">
        <v>98.831010000000006</v>
      </c>
      <c r="AT709" s="270">
        <v>29</v>
      </c>
      <c r="AU709" s="464">
        <v>57.363105318322219</v>
      </c>
      <c r="AV709" s="29">
        <v>-1.1430693754560399</v>
      </c>
      <c r="AW709" s="29">
        <v>0.19965697502830801</v>
      </c>
      <c r="AX709" s="29">
        <v>-0.45724626354541698</v>
      </c>
      <c r="AY709" s="29">
        <v>-0.3649877654548</v>
      </c>
      <c r="AZ709" s="60">
        <v>-0.90072973001074697</v>
      </c>
    </row>
    <row r="710" spans="1:52" s="29" customFormat="1" ht="15" customHeight="1">
      <c r="A710" s="59" t="s">
        <v>259</v>
      </c>
      <c r="B710" s="27">
        <v>2006</v>
      </c>
      <c r="C710" s="27" t="s">
        <v>273</v>
      </c>
      <c r="D710" s="69" t="s">
        <v>34</v>
      </c>
      <c r="E710" s="27" t="s">
        <v>552</v>
      </c>
      <c r="F710" s="27" t="s">
        <v>552</v>
      </c>
      <c r="G710" s="43">
        <v>13000000000</v>
      </c>
      <c r="H710" s="43"/>
      <c r="I710" s="43"/>
      <c r="J710" s="43"/>
      <c r="K710" s="27" t="s">
        <v>599</v>
      </c>
      <c r="L710" s="28">
        <v>0.243474</v>
      </c>
      <c r="M710" s="27" t="s">
        <v>600</v>
      </c>
      <c r="N710" s="27" t="s">
        <v>685</v>
      </c>
      <c r="O710" s="18">
        <f>G710*L710</f>
        <v>3165162000</v>
      </c>
      <c r="P710" s="249"/>
      <c r="Q710" s="213"/>
      <c r="R710" s="27"/>
      <c r="S710" s="27"/>
      <c r="T710" s="18"/>
      <c r="U710" s="27"/>
      <c r="V710" s="27"/>
      <c r="W710" s="30"/>
      <c r="X710" s="27"/>
      <c r="Y710" s="27"/>
      <c r="Z710" s="27"/>
      <c r="AA710" s="54"/>
      <c r="AB710" s="27"/>
      <c r="AC710" s="273">
        <v>10237431640</v>
      </c>
      <c r="AD710" s="27">
        <v>81003864915.543655</v>
      </c>
      <c r="AE710" s="228">
        <v>0.12638201461959578</v>
      </c>
      <c r="AF710" s="27">
        <v>20780731505.433567</v>
      </c>
      <c r="AG710" s="226">
        <v>0.49264058088249707</v>
      </c>
      <c r="AH710" s="226">
        <v>0.7732093319254153</v>
      </c>
      <c r="AI710" s="27">
        <v>174300000</v>
      </c>
      <c r="AJ710" s="226">
        <v>58.734547561675271</v>
      </c>
      <c r="AK710" s="27">
        <v>1867722009.4802325</v>
      </c>
      <c r="AL710" s="226">
        <v>5.4812394928348951</v>
      </c>
      <c r="AM710" s="27">
        <v>2127793322.8285177</v>
      </c>
      <c r="AN710" s="271">
        <v>4.8112904247632375</v>
      </c>
      <c r="AO710" s="27">
        <v>15308084</v>
      </c>
      <c r="AP710" s="27">
        <v>18.2</v>
      </c>
      <c r="AQ710" s="27">
        <v>66.160975609756107</v>
      </c>
      <c r="AR710" s="27">
        <v>26.7</v>
      </c>
      <c r="AS710" s="29">
        <v>98.831010000000006</v>
      </c>
      <c r="AT710" s="270">
        <v>29</v>
      </c>
      <c r="AU710" s="464">
        <v>57.363105318322219</v>
      </c>
      <c r="AV710" s="29">
        <v>-1.1430693754560399</v>
      </c>
      <c r="AW710" s="29">
        <v>0.19965697502830801</v>
      </c>
      <c r="AX710" s="29">
        <v>-0.45724626354541698</v>
      </c>
      <c r="AY710" s="29">
        <v>-0.3649877654548</v>
      </c>
      <c r="AZ710" s="60">
        <v>-0.90072973001074697</v>
      </c>
    </row>
    <row r="711" spans="1:52" s="287" customFormat="1" ht="15" customHeight="1">
      <c r="A711" s="344" t="s">
        <v>259</v>
      </c>
      <c r="B711" s="284">
        <v>2006</v>
      </c>
      <c r="C711" s="284" t="s">
        <v>273</v>
      </c>
      <c r="D711" s="369" t="s">
        <v>34</v>
      </c>
      <c r="E711" s="284" t="s">
        <v>98</v>
      </c>
      <c r="F711" s="284" t="s">
        <v>98</v>
      </c>
      <c r="G711" s="303">
        <v>512095000</v>
      </c>
      <c r="H711" s="303"/>
      <c r="I711" s="303"/>
      <c r="J711" s="303"/>
      <c r="K711" s="284" t="s">
        <v>603</v>
      </c>
      <c r="L711" s="304">
        <v>67.069999999999993</v>
      </c>
      <c r="M711" s="284" t="s">
        <v>626</v>
      </c>
      <c r="N711" s="284" t="s">
        <v>687</v>
      </c>
      <c r="O711" s="305">
        <f>G711*L711</f>
        <v>34346211649.999996</v>
      </c>
      <c r="P711" s="306"/>
      <c r="Q711" s="306"/>
      <c r="R711" s="284"/>
      <c r="S711" s="284"/>
      <c r="T711" s="305"/>
      <c r="U711" s="284"/>
      <c r="V711" s="284"/>
      <c r="W711" s="307"/>
      <c r="X711" s="284"/>
      <c r="Y711" s="284"/>
      <c r="Z711" s="284"/>
      <c r="AA711" s="321"/>
      <c r="AB711" s="284"/>
      <c r="AC711" s="308">
        <v>10237431640</v>
      </c>
      <c r="AD711" s="284">
        <v>81003864915.543655</v>
      </c>
      <c r="AE711" s="309">
        <v>0.12638201461959578</v>
      </c>
      <c r="AF711" s="284">
        <v>20780731505.433567</v>
      </c>
      <c r="AG711" s="310">
        <v>0.49264058088249707</v>
      </c>
      <c r="AH711" s="310">
        <v>0.7732093319254153</v>
      </c>
      <c r="AI711" s="284">
        <v>174300000</v>
      </c>
      <c r="AJ711" s="310">
        <v>58.734547561675271</v>
      </c>
      <c r="AK711" s="284">
        <v>1867722009.4802325</v>
      </c>
      <c r="AL711" s="310">
        <v>5.4812394928348951</v>
      </c>
      <c r="AM711" s="284">
        <v>2127793322.8285177</v>
      </c>
      <c r="AN711" s="311">
        <v>4.8112904247632375</v>
      </c>
      <c r="AO711" s="284">
        <v>15308084</v>
      </c>
      <c r="AP711" s="284">
        <v>18.2</v>
      </c>
      <c r="AQ711" s="284">
        <v>66.160975609756107</v>
      </c>
      <c r="AR711" s="284">
        <v>26.7</v>
      </c>
      <c r="AS711" s="287">
        <v>98.831010000000006</v>
      </c>
      <c r="AT711" s="312">
        <v>29</v>
      </c>
      <c r="AU711" s="465">
        <v>57.363105318322219</v>
      </c>
      <c r="AV711" s="287">
        <v>-1.1430693754560399</v>
      </c>
      <c r="AW711" s="287">
        <v>0.19965697502830801</v>
      </c>
      <c r="AX711" s="287">
        <v>-0.45724626354541698</v>
      </c>
      <c r="AY711" s="287">
        <v>-0.3649877654548</v>
      </c>
      <c r="AZ711" s="313">
        <v>-0.90072973001074697</v>
      </c>
    </row>
    <row r="712" spans="1:52" ht="15" customHeight="1">
      <c r="A712" s="59" t="s">
        <v>262</v>
      </c>
      <c r="B712" s="27">
        <v>2007</v>
      </c>
      <c r="C712" s="27" t="s">
        <v>273</v>
      </c>
      <c r="D712" s="69" t="s">
        <v>34</v>
      </c>
      <c r="E712" s="27" t="s">
        <v>50</v>
      </c>
      <c r="F712" s="27" t="s">
        <v>659</v>
      </c>
      <c r="G712" s="43"/>
      <c r="H712" s="43"/>
      <c r="I712" s="43"/>
      <c r="J712" s="43"/>
      <c r="K712" s="27"/>
      <c r="L712" s="28"/>
      <c r="M712" s="27" t="s">
        <v>626</v>
      </c>
      <c r="N712" s="27"/>
      <c r="O712" s="18">
        <f>SUM(O713:O714)</f>
        <v>41526847600</v>
      </c>
      <c r="P712" s="213">
        <v>12635329400</v>
      </c>
      <c r="Q712" s="213">
        <v>12635329400</v>
      </c>
      <c r="R712" s="27" t="s">
        <v>619</v>
      </c>
      <c r="S712" s="27"/>
      <c r="T712" s="18"/>
      <c r="U712" s="27" t="s">
        <v>1014</v>
      </c>
      <c r="V712" s="27" t="s">
        <v>1284</v>
      </c>
      <c r="W712" s="30">
        <v>119.1</v>
      </c>
      <c r="X712" s="27">
        <v>108</v>
      </c>
      <c r="Y712" s="27" t="s">
        <v>1292</v>
      </c>
      <c r="Z712" s="27">
        <v>108</v>
      </c>
      <c r="AA712" s="54" t="s">
        <v>1294</v>
      </c>
      <c r="AB712" s="27" t="s">
        <v>1291</v>
      </c>
      <c r="AC712" s="273">
        <v>12635329400</v>
      </c>
      <c r="AD712" s="27">
        <v>104849886825.58411</v>
      </c>
      <c r="AE712" s="228">
        <v>0.12050875573207477</v>
      </c>
      <c r="AF712" s="27">
        <v>23539848091.211887</v>
      </c>
      <c r="AG712" s="226">
        <v>0.53676342137131872</v>
      </c>
      <c r="AH712" s="226">
        <v>0.74248278847398341</v>
      </c>
      <c r="AI712" s="27">
        <v>210820000</v>
      </c>
      <c r="AJ712" s="226">
        <v>59.934206432027324</v>
      </c>
      <c r="AK712" s="27">
        <v>1870660974.4912822</v>
      </c>
      <c r="AL712" s="226">
        <v>6.7544731901172632</v>
      </c>
      <c r="AM712" s="27">
        <v>2968709210.5909057</v>
      </c>
      <c r="AN712" s="271">
        <v>4.2561694338143026</v>
      </c>
      <c r="AO712" s="27">
        <v>15484192</v>
      </c>
      <c r="AP712" s="27">
        <v>12.7</v>
      </c>
      <c r="AQ712" s="27">
        <v>66.504878048780498</v>
      </c>
      <c r="AR712" s="27">
        <v>24.9</v>
      </c>
      <c r="AS712" s="29">
        <v>98.769270000000006</v>
      </c>
      <c r="AT712" s="270">
        <v>29</v>
      </c>
      <c r="AU712" s="464">
        <v>57.363105318322219</v>
      </c>
      <c r="AV712" s="29">
        <v>-1.13010662813649</v>
      </c>
      <c r="AW712" s="29">
        <v>0.58275473450669502</v>
      </c>
      <c r="AX712" s="29">
        <v>-0.55509551754990605</v>
      </c>
      <c r="AY712" s="29">
        <v>-0.35177229666770399</v>
      </c>
      <c r="AZ712" s="60">
        <v>-0.91220919230445696</v>
      </c>
    </row>
    <row r="713" spans="1:52" ht="15" customHeight="1">
      <c r="A713" s="59" t="s">
        <v>262</v>
      </c>
      <c r="B713" s="27">
        <v>2007</v>
      </c>
      <c r="C713" s="27" t="s">
        <v>273</v>
      </c>
      <c r="D713" s="69" t="s">
        <v>34</v>
      </c>
      <c r="E713" s="27" t="s">
        <v>552</v>
      </c>
      <c r="F713" s="27" t="s">
        <v>552</v>
      </c>
      <c r="G713" s="43">
        <v>15100000000</v>
      </c>
      <c r="H713" s="43"/>
      <c r="I713" s="43"/>
      <c r="J713" s="43"/>
      <c r="K713" s="27" t="s">
        <v>599</v>
      </c>
      <c r="L713" s="28">
        <v>0.22764700000000004</v>
      </c>
      <c r="M713" s="27" t="s">
        <v>600</v>
      </c>
      <c r="N713" s="27" t="s">
        <v>685</v>
      </c>
      <c r="O713" s="18">
        <f>G713*L713</f>
        <v>3437469700.0000005</v>
      </c>
      <c r="P713" s="213"/>
      <c r="Q713" s="213"/>
      <c r="R713" s="27"/>
      <c r="S713" s="27"/>
      <c r="T713" s="18"/>
      <c r="U713" s="27"/>
      <c r="V713" s="27"/>
      <c r="W713" s="30"/>
      <c r="X713" s="27"/>
      <c r="Y713" s="27"/>
      <c r="Z713" s="27"/>
      <c r="AA713" s="54"/>
      <c r="AB713" s="27"/>
      <c r="AC713" s="273">
        <v>12635329400</v>
      </c>
      <c r="AD713" s="27">
        <v>104849886825.58411</v>
      </c>
      <c r="AE713" s="228">
        <v>0.12050875573207477</v>
      </c>
      <c r="AF713" s="27">
        <v>23539848091.211887</v>
      </c>
      <c r="AG713" s="226">
        <v>0.53676342137131872</v>
      </c>
      <c r="AH713" s="226">
        <v>0.74248278847398341</v>
      </c>
      <c r="AI713" s="27">
        <v>210820000</v>
      </c>
      <c r="AJ713" s="226">
        <v>59.934206432027324</v>
      </c>
      <c r="AK713" s="27">
        <v>1870660974.4912822</v>
      </c>
      <c r="AL713" s="226">
        <v>6.7544731901172632</v>
      </c>
      <c r="AM713" s="27">
        <v>2968709210.5909057</v>
      </c>
      <c r="AN713" s="271">
        <v>4.2561694338143026</v>
      </c>
      <c r="AO713" s="27">
        <v>15484192</v>
      </c>
      <c r="AP713" s="27">
        <v>12.7</v>
      </c>
      <c r="AQ713" s="27">
        <v>66.504878048780498</v>
      </c>
      <c r="AR713" s="27">
        <v>24.9</v>
      </c>
      <c r="AS713" s="29">
        <v>98.769270000000006</v>
      </c>
      <c r="AT713" s="270">
        <v>29</v>
      </c>
      <c r="AU713" s="464">
        <v>57.363105318322219</v>
      </c>
      <c r="AV713" s="29">
        <v>-1.13010662813649</v>
      </c>
      <c r="AW713" s="29">
        <v>0.58275473450669502</v>
      </c>
      <c r="AX713" s="29">
        <v>-0.55509551754990605</v>
      </c>
      <c r="AY713" s="29">
        <v>-0.35177229666770399</v>
      </c>
      <c r="AZ713" s="60">
        <v>-0.91220919230445696</v>
      </c>
    </row>
    <row r="714" spans="1:52" s="287" customFormat="1" ht="15" customHeight="1">
      <c r="A714" s="344" t="s">
        <v>262</v>
      </c>
      <c r="B714" s="284">
        <v>2007</v>
      </c>
      <c r="C714" s="284" t="s">
        <v>273</v>
      </c>
      <c r="D714" s="369" t="s">
        <v>34</v>
      </c>
      <c r="E714" s="284" t="s">
        <v>98</v>
      </c>
      <c r="F714" s="284" t="s">
        <v>98</v>
      </c>
      <c r="G714" s="303">
        <v>530345000</v>
      </c>
      <c r="H714" s="303"/>
      <c r="I714" s="303"/>
      <c r="J714" s="303"/>
      <c r="K714" s="284" t="s">
        <v>603</v>
      </c>
      <c r="L714" s="304">
        <v>71.819999999999993</v>
      </c>
      <c r="M714" s="284" t="s">
        <v>626</v>
      </c>
      <c r="N714" s="284" t="s">
        <v>687</v>
      </c>
      <c r="O714" s="305">
        <f>G714*L714</f>
        <v>38089377900</v>
      </c>
      <c r="P714" s="306"/>
      <c r="Q714" s="306"/>
      <c r="R714" s="284"/>
      <c r="S714" s="284"/>
      <c r="T714" s="305"/>
      <c r="U714" s="284"/>
      <c r="V714" s="284"/>
      <c r="W714" s="307"/>
      <c r="X714" s="284"/>
      <c r="Y714" s="284"/>
      <c r="Z714" s="284"/>
      <c r="AA714" s="321"/>
      <c r="AB714" s="284"/>
      <c r="AC714" s="308">
        <v>12635329400</v>
      </c>
      <c r="AD714" s="284">
        <v>104849886825.58411</v>
      </c>
      <c r="AE714" s="309">
        <v>0.12050875573207477</v>
      </c>
      <c r="AF714" s="284">
        <v>23539848091.211887</v>
      </c>
      <c r="AG714" s="310">
        <v>0.53676342137131872</v>
      </c>
      <c r="AH714" s="310">
        <v>0.74248278847398341</v>
      </c>
      <c r="AI714" s="284">
        <v>210820000</v>
      </c>
      <c r="AJ714" s="310">
        <v>59.934206432027324</v>
      </c>
      <c r="AK714" s="284">
        <v>1870660974.4912822</v>
      </c>
      <c r="AL714" s="310">
        <v>6.7544731901172632</v>
      </c>
      <c r="AM714" s="284">
        <v>2968709210.5909057</v>
      </c>
      <c r="AN714" s="311">
        <v>4.2561694338143026</v>
      </c>
      <c r="AO714" s="284">
        <v>15484192</v>
      </c>
      <c r="AP714" s="284">
        <v>12.7</v>
      </c>
      <c r="AQ714" s="284">
        <v>66.504878048780498</v>
      </c>
      <c r="AR714" s="284">
        <v>24.9</v>
      </c>
      <c r="AS714" s="287">
        <v>98.769270000000006</v>
      </c>
      <c r="AT714" s="312">
        <v>29</v>
      </c>
      <c r="AU714" s="465">
        <v>57.363105318322219</v>
      </c>
      <c r="AV714" s="287">
        <v>-1.13010662813649</v>
      </c>
      <c r="AW714" s="287">
        <v>0.58275473450669502</v>
      </c>
      <c r="AX714" s="287">
        <v>-0.55509551754990605</v>
      </c>
      <c r="AY714" s="287">
        <v>-0.35177229666770399</v>
      </c>
      <c r="AZ714" s="313">
        <v>-0.91220919230445696</v>
      </c>
    </row>
    <row r="715" spans="1:52" s="29" customFormat="1" ht="15" customHeight="1">
      <c r="A715" s="332" t="s">
        <v>264</v>
      </c>
      <c r="B715" s="27">
        <v>2008</v>
      </c>
      <c r="C715" s="27" t="s">
        <v>273</v>
      </c>
      <c r="D715" s="69" t="s">
        <v>34</v>
      </c>
      <c r="E715" s="27" t="s">
        <v>50</v>
      </c>
      <c r="F715" s="27" t="s">
        <v>659</v>
      </c>
      <c r="G715" s="43"/>
      <c r="H715" s="43"/>
      <c r="I715" s="43"/>
      <c r="J715" s="43"/>
      <c r="K715" s="27"/>
      <c r="L715" s="28"/>
      <c r="M715" s="27" t="s">
        <v>626</v>
      </c>
      <c r="N715" s="27"/>
      <c r="O715" s="18">
        <f>SUM(O716:O717)</f>
        <v>60292076600</v>
      </c>
      <c r="P715" s="213">
        <v>21000131830</v>
      </c>
      <c r="Q715" s="213">
        <v>21000131830</v>
      </c>
      <c r="R715" s="27" t="s">
        <v>619</v>
      </c>
      <c r="S715" s="27"/>
      <c r="T715" s="18"/>
      <c r="U715" s="27" t="s">
        <v>1014</v>
      </c>
      <c r="V715" s="27" t="s">
        <v>1284</v>
      </c>
      <c r="W715" s="30">
        <v>118.3</v>
      </c>
      <c r="X715" s="27">
        <v>109</v>
      </c>
      <c r="Y715" s="27" t="s">
        <v>1295</v>
      </c>
      <c r="Z715" s="27">
        <v>109</v>
      </c>
      <c r="AA715" s="54" t="s">
        <v>1294</v>
      </c>
      <c r="AB715" s="27" t="s">
        <v>1291</v>
      </c>
      <c r="AC715" s="273">
        <v>21000131830</v>
      </c>
      <c r="AD715" s="27">
        <v>133441612246.79799</v>
      </c>
      <c r="AE715" s="228">
        <v>0.15737318724207719</v>
      </c>
      <c r="AF715" s="27">
        <v>33828783120.68576</v>
      </c>
      <c r="AG715" s="226">
        <v>0.62077703933603079</v>
      </c>
      <c r="AH715" s="226">
        <v>0.75366933380223711</v>
      </c>
      <c r="AI715" s="27">
        <v>335410000</v>
      </c>
      <c r="AJ715" s="226">
        <v>62.61033311469545</v>
      </c>
      <c r="AK715" s="27">
        <v>3019222110.5806046</v>
      </c>
      <c r="AL715" s="226">
        <v>6.9554776233278242</v>
      </c>
      <c r="AM715" s="27">
        <v>3455417172.4859352</v>
      </c>
      <c r="AN715" s="271">
        <v>6.0774519491352326</v>
      </c>
      <c r="AO715" s="27">
        <v>15674000</v>
      </c>
      <c r="AP715" s="27">
        <v>12.1</v>
      </c>
      <c r="AQ715" s="27">
        <v>67.021951219512204</v>
      </c>
      <c r="AR715" s="27">
        <v>23</v>
      </c>
      <c r="AS715" s="29">
        <v>98.526750000000007</v>
      </c>
      <c r="AT715" s="270">
        <v>29</v>
      </c>
      <c r="AU715" s="464">
        <v>57.363105318322219</v>
      </c>
      <c r="AV715" s="29">
        <v>-1.05016921379902</v>
      </c>
      <c r="AW715" s="29">
        <v>0.57221457578992696</v>
      </c>
      <c r="AX715" s="29">
        <v>-0.42425830744728599</v>
      </c>
      <c r="AY715" s="29">
        <v>-0.30116829922155602</v>
      </c>
      <c r="AZ715" s="60">
        <v>-0.90394410860004404</v>
      </c>
    </row>
    <row r="716" spans="1:52" s="29" customFormat="1" ht="15" customHeight="1">
      <c r="A716" s="59" t="s">
        <v>264</v>
      </c>
      <c r="B716" s="27">
        <v>2008</v>
      </c>
      <c r="C716" s="27" t="s">
        <v>273</v>
      </c>
      <c r="D716" s="69" t="s">
        <v>34</v>
      </c>
      <c r="E716" s="27" t="s">
        <v>552</v>
      </c>
      <c r="F716" s="27" t="s">
        <v>552</v>
      </c>
      <c r="G716" s="43">
        <v>16900000000</v>
      </c>
      <c r="H716" s="43"/>
      <c r="I716" s="43"/>
      <c r="J716" s="43"/>
      <c r="K716" s="27" t="s">
        <v>599</v>
      </c>
      <c r="L716" s="28">
        <v>0.32879700000000006</v>
      </c>
      <c r="M716" s="27" t="s">
        <v>600</v>
      </c>
      <c r="N716" s="27" t="s">
        <v>685</v>
      </c>
      <c r="O716" s="18">
        <f>G716*L716</f>
        <v>5556669300.000001</v>
      </c>
      <c r="P716" s="213"/>
      <c r="Q716" s="213"/>
      <c r="R716" s="27"/>
      <c r="S716" s="27"/>
      <c r="T716" s="18"/>
      <c r="U716" s="27"/>
      <c r="V716" s="27"/>
      <c r="W716" s="30"/>
      <c r="X716" s="27"/>
      <c r="Y716" s="27"/>
      <c r="Z716" s="27"/>
      <c r="AA716" s="54"/>
      <c r="AB716" s="27"/>
      <c r="AC716" s="273">
        <v>21000131830</v>
      </c>
      <c r="AD716" s="27">
        <v>133441612246.79799</v>
      </c>
      <c r="AE716" s="228">
        <v>0.15737318724207719</v>
      </c>
      <c r="AF716" s="27">
        <v>33828783120.68576</v>
      </c>
      <c r="AG716" s="226">
        <v>0.62077703933603079</v>
      </c>
      <c r="AH716" s="226">
        <v>0.75366933380223711</v>
      </c>
      <c r="AI716" s="27">
        <v>335410000</v>
      </c>
      <c r="AJ716" s="226">
        <v>62.61033311469545</v>
      </c>
      <c r="AK716" s="27">
        <v>3019222110.5806046</v>
      </c>
      <c r="AL716" s="226">
        <v>6.9554776233278242</v>
      </c>
      <c r="AM716" s="27">
        <v>3455417172.4859352</v>
      </c>
      <c r="AN716" s="271">
        <v>6.0774519491352326</v>
      </c>
      <c r="AO716" s="27">
        <v>15674000</v>
      </c>
      <c r="AP716" s="27">
        <v>12.1</v>
      </c>
      <c r="AQ716" s="27">
        <v>67.021951219512204</v>
      </c>
      <c r="AR716" s="27">
        <v>23</v>
      </c>
      <c r="AS716" s="29">
        <v>98.526750000000007</v>
      </c>
      <c r="AT716" s="270">
        <v>29</v>
      </c>
      <c r="AU716" s="464">
        <v>57.363105318322219</v>
      </c>
      <c r="AV716" s="29">
        <v>-1.05016921379902</v>
      </c>
      <c r="AW716" s="29">
        <v>0.57221457578992696</v>
      </c>
      <c r="AX716" s="29">
        <v>-0.42425830744728599</v>
      </c>
      <c r="AY716" s="29">
        <v>-0.30116829922155602</v>
      </c>
      <c r="AZ716" s="60">
        <v>-0.90394410860004404</v>
      </c>
    </row>
    <row r="717" spans="1:52" s="287" customFormat="1" ht="15" customHeight="1">
      <c r="A717" s="344" t="s">
        <v>264</v>
      </c>
      <c r="B717" s="284">
        <v>2008</v>
      </c>
      <c r="C717" s="284" t="s">
        <v>273</v>
      </c>
      <c r="D717" s="369" t="s">
        <v>34</v>
      </c>
      <c r="E717" s="284" t="s">
        <v>98</v>
      </c>
      <c r="F717" s="284" t="s">
        <v>98</v>
      </c>
      <c r="G717" s="303">
        <v>556990000</v>
      </c>
      <c r="H717" s="303"/>
      <c r="I717" s="303"/>
      <c r="J717" s="303"/>
      <c r="K717" s="284" t="s">
        <v>603</v>
      </c>
      <c r="L717" s="304">
        <v>98.27</v>
      </c>
      <c r="M717" s="284" t="s">
        <v>626</v>
      </c>
      <c r="N717" s="284" t="s">
        <v>687</v>
      </c>
      <c r="O717" s="305">
        <f>G717*L717</f>
        <v>54735407300</v>
      </c>
      <c r="P717" s="306"/>
      <c r="Q717" s="306"/>
      <c r="R717" s="284"/>
      <c r="S717" s="284"/>
      <c r="T717" s="305"/>
      <c r="U717" s="284"/>
      <c r="V717" s="284"/>
      <c r="W717" s="307"/>
      <c r="X717" s="284"/>
      <c r="Y717" s="284"/>
      <c r="Z717" s="284"/>
      <c r="AA717" s="321"/>
      <c r="AB717" s="284"/>
      <c r="AC717" s="308">
        <v>21000131830</v>
      </c>
      <c r="AD717" s="284">
        <v>133441612246.79799</v>
      </c>
      <c r="AE717" s="309">
        <v>0.15737318724207719</v>
      </c>
      <c r="AF717" s="284">
        <v>33828783120.68576</v>
      </c>
      <c r="AG717" s="310">
        <v>0.62077703933603079</v>
      </c>
      <c r="AH717" s="310">
        <v>0.75366933380223711</v>
      </c>
      <c r="AI717" s="284">
        <v>335410000</v>
      </c>
      <c r="AJ717" s="310">
        <v>62.61033311469545</v>
      </c>
      <c r="AK717" s="284">
        <v>3019222110.5806046</v>
      </c>
      <c r="AL717" s="310">
        <v>6.9554776233278242</v>
      </c>
      <c r="AM717" s="284">
        <v>3455417172.4859352</v>
      </c>
      <c r="AN717" s="311">
        <v>6.0774519491352326</v>
      </c>
      <c r="AO717" s="284">
        <v>15674000</v>
      </c>
      <c r="AP717" s="284">
        <v>12.1</v>
      </c>
      <c r="AQ717" s="284">
        <v>67.021951219512204</v>
      </c>
      <c r="AR717" s="284">
        <v>23</v>
      </c>
      <c r="AS717" s="287">
        <v>98.526750000000007</v>
      </c>
      <c r="AT717" s="312">
        <v>29</v>
      </c>
      <c r="AU717" s="465">
        <v>57.363105318322219</v>
      </c>
      <c r="AV717" s="287">
        <v>-1.05016921379902</v>
      </c>
      <c r="AW717" s="287">
        <v>0.57221457578992696</v>
      </c>
      <c r="AX717" s="287">
        <v>-0.42425830744728599</v>
      </c>
      <c r="AY717" s="287">
        <v>-0.30116829922155602</v>
      </c>
      <c r="AZ717" s="313">
        <v>-0.90394410860004404</v>
      </c>
    </row>
    <row r="718" spans="1:52" ht="15" customHeight="1">
      <c r="A718" s="59" t="s">
        <v>266</v>
      </c>
      <c r="B718" s="27">
        <v>2009</v>
      </c>
      <c r="C718" s="27" t="s">
        <v>273</v>
      </c>
      <c r="D718" s="69" t="s">
        <v>34</v>
      </c>
      <c r="E718" s="27" t="s">
        <v>30</v>
      </c>
      <c r="F718" s="27" t="s">
        <v>659</v>
      </c>
      <c r="G718" s="43"/>
      <c r="H718" s="43"/>
      <c r="I718" s="43"/>
      <c r="J718" s="43"/>
      <c r="K718" s="27"/>
      <c r="L718" s="28"/>
      <c r="M718" s="27"/>
      <c r="N718" s="27"/>
      <c r="O718" s="18">
        <f>O719+O722</f>
        <v>49356007139.798973</v>
      </c>
      <c r="P718" s="213">
        <v>12722411270</v>
      </c>
      <c r="Q718" s="213">
        <v>12971087110</v>
      </c>
      <c r="R718" s="27" t="s">
        <v>619</v>
      </c>
      <c r="S718" s="27"/>
      <c r="T718" s="18"/>
      <c r="U718" s="27" t="s">
        <v>1014</v>
      </c>
      <c r="V718" s="27" t="s">
        <v>1284</v>
      </c>
      <c r="W718" s="30">
        <v>145.5</v>
      </c>
      <c r="X718" s="27">
        <v>123</v>
      </c>
      <c r="Y718" s="27" t="s">
        <v>1296</v>
      </c>
      <c r="Z718" s="27">
        <v>123</v>
      </c>
      <c r="AA718" s="54" t="s">
        <v>1297</v>
      </c>
      <c r="AB718" s="27" t="s">
        <v>1298</v>
      </c>
      <c r="AC718" s="273">
        <v>12722411270</v>
      </c>
      <c r="AD718" s="27">
        <v>115308661142.92726</v>
      </c>
      <c r="AE718" s="228">
        <v>0.11033352693454944</v>
      </c>
      <c r="AF718" s="27">
        <v>28308276310.588642</v>
      </c>
      <c r="AG718" s="226">
        <v>0.44942373496761484</v>
      </c>
      <c r="AH718" s="226">
        <v>0.73565267284571678</v>
      </c>
      <c r="AI718" s="27">
        <v>297500000</v>
      </c>
      <c r="AJ718" s="226">
        <v>42.764407630252101</v>
      </c>
      <c r="AK718" s="27">
        <v>3056970088.1443467</v>
      </c>
      <c r="AL718" s="226">
        <v>4.161771591858396</v>
      </c>
      <c r="AM718" s="27">
        <v>3529275253.3338032</v>
      </c>
      <c r="AN718" s="271">
        <v>3.6048226212966048</v>
      </c>
      <c r="AO718" s="27">
        <v>16092701</v>
      </c>
      <c r="AP718" s="27">
        <v>8.1999999999999993</v>
      </c>
      <c r="AQ718" s="27">
        <v>68.429268292682934</v>
      </c>
      <c r="AR718" s="27">
        <v>21.1</v>
      </c>
      <c r="AS718" s="29">
        <v>98.118610000000004</v>
      </c>
      <c r="AT718" s="270">
        <v>29</v>
      </c>
      <c r="AU718" s="464">
        <v>57.363105318322219</v>
      </c>
      <c r="AV718" s="29">
        <v>-1.0437228644659999</v>
      </c>
      <c r="AW718" s="29">
        <v>0.74874515291924304</v>
      </c>
      <c r="AX718" s="29">
        <v>-0.36180551130907501</v>
      </c>
      <c r="AY718" s="29">
        <v>-0.32490139377488098</v>
      </c>
      <c r="AZ718" s="60">
        <v>-0.88404358302178698</v>
      </c>
    </row>
    <row r="719" spans="1:52" ht="15" customHeight="1">
      <c r="A719" s="59" t="s">
        <v>266</v>
      </c>
      <c r="B719" s="27">
        <v>2009</v>
      </c>
      <c r="C719" s="27" t="s">
        <v>273</v>
      </c>
      <c r="D719" s="69" t="s">
        <v>34</v>
      </c>
      <c r="E719" s="27" t="s">
        <v>50</v>
      </c>
      <c r="F719" s="27" t="s">
        <v>597</v>
      </c>
      <c r="G719" s="43"/>
      <c r="H719" s="43"/>
      <c r="I719" s="43"/>
      <c r="J719" s="43"/>
      <c r="K719" s="27"/>
      <c r="L719" s="28"/>
      <c r="M719" s="27"/>
      <c r="N719" s="27"/>
      <c r="O719" s="18">
        <f>SUM(O720:O721)</f>
        <v>40071016188.928001</v>
      </c>
      <c r="P719" s="213"/>
      <c r="Q719" s="213"/>
      <c r="R719" s="27"/>
      <c r="S719" s="27"/>
      <c r="T719" s="18"/>
      <c r="U719" s="27"/>
      <c r="V719" s="27"/>
      <c r="W719" s="30"/>
      <c r="X719" s="27"/>
      <c r="Y719" s="27"/>
      <c r="Z719" s="27"/>
      <c r="AA719" s="54"/>
      <c r="AB719" s="27"/>
      <c r="AC719" s="273">
        <v>12722411270</v>
      </c>
      <c r="AD719" s="27">
        <v>115308661142.92726</v>
      </c>
      <c r="AE719" s="228">
        <v>0.11033352693454944</v>
      </c>
      <c r="AF719" s="27">
        <v>28308276310.588642</v>
      </c>
      <c r="AG719" s="226">
        <v>0.44942373496761484</v>
      </c>
      <c r="AH719" s="226">
        <v>0.73565267284571678</v>
      </c>
      <c r="AI719" s="27">
        <v>297500000</v>
      </c>
      <c r="AJ719" s="226">
        <v>42.764407630252101</v>
      </c>
      <c r="AK719" s="27">
        <v>3056970088.1443467</v>
      </c>
      <c r="AL719" s="226">
        <v>4.161771591858396</v>
      </c>
      <c r="AM719" s="27">
        <v>3529275253.3338032</v>
      </c>
      <c r="AN719" s="271">
        <v>3.6048226212966048</v>
      </c>
      <c r="AO719" s="27">
        <v>16092701</v>
      </c>
      <c r="AP719" s="27">
        <v>8.1999999999999993</v>
      </c>
      <c r="AQ719" s="27">
        <v>68.429268292682934</v>
      </c>
      <c r="AR719" s="27">
        <v>21.1</v>
      </c>
      <c r="AS719" s="29">
        <v>98.118610000000004</v>
      </c>
      <c r="AT719" s="270">
        <v>29</v>
      </c>
      <c r="AU719" s="464">
        <v>57.363105318322219</v>
      </c>
      <c r="AV719" s="29">
        <v>-1.0437228644659999</v>
      </c>
      <c r="AW719" s="29">
        <v>0.74874515291924304</v>
      </c>
      <c r="AX719" s="29">
        <v>-0.36180551130907501</v>
      </c>
      <c r="AY719" s="29">
        <v>-0.32490139377488098</v>
      </c>
      <c r="AZ719" s="60">
        <v>-0.88404358302178698</v>
      </c>
    </row>
    <row r="720" spans="1:52" ht="15" customHeight="1">
      <c r="A720" s="59" t="s">
        <v>266</v>
      </c>
      <c r="B720" s="27">
        <v>2009</v>
      </c>
      <c r="C720" s="27" t="s">
        <v>273</v>
      </c>
      <c r="D720" s="69" t="s">
        <v>34</v>
      </c>
      <c r="E720" s="27" t="s">
        <v>552</v>
      </c>
      <c r="F720" s="27" t="s">
        <v>552</v>
      </c>
      <c r="G720" s="43">
        <v>16400000000</v>
      </c>
      <c r="H720" s="43"/>
      <c r="I720" s="43"/>
      <c r="J720" s="43"/>
      <c r="K720" s="27" t="s">
        <v>599</v>
      </c>
      <c r="L720" s="28">
        <v>0.14422800000000002</v>
      </c>
      <c r="M720" s="27" t="s">
        <v>600</v>
      </c>
      <c r="N720" s="27" t="s">
        <v>685</v>
      </c>
      <c r="O720" s="18">
        <f>G720*L720</f>
        <v>2365339200.0000005</v>
      </c>
      <c r="P720" s="213"/>
      <c r="Q720" s="213"/>
      <c r="R720" s="27"/>
      <c r="S720" s="27"/>
      <c r="T720" s="18"/>
      <c r="U720" s="27"/>
      <c r="V720" s="27"/>
      <c r="W720" s="30"/>
      <c r="X720" s="27"/>
      <c r="Y720" s="27"/>
      <c r="Z720" s="27"/>
      <c r="AA720" s="54"/>
      <c r="AB720" s="27"/>
      <c r="AC720" s="273">
        <v>12722411270</v>
      </c>
      <c r="AD720" s="27">
        <v>115308661142.92726</v>
      </c>
      <c r="AE720" s="228">
        <v>0.11033352693454944</v>
      </c>
      <c r="AF720" s="27">
        <v>28308276310.588642</v>
      </c>
      <c r="AG720" s="226">
        <v>0.44942373496761484</v>
      </c>
      <c r="AH720" s="226">
        <v>0.73565267284571678</v>
      </c>
      <c r="AI720" s="27">
        <v>297500000</v>
      </c>
      <c r="AJ720" s="226">
        <v>42.764407630252101</v>
      </c>
      <c r="AK720" s="27">
        <v>3056970088.1443467</v>
      </c>
      <c r="AL720" s="226">
        <v>4.161771591858396</v>
      </c>
      <c r="AM720" s="27">
        <v>3529275253.3338032</v>
      </c>
      <c r="AN720" s="271">
        <v>3.6048226212966048</v>
      </c>
      <c r="AO720" s="27">
        <v>16092701</v>
      </c>
      <c r="AP720" s="27">
        <v>8.1999999999999993</v>
      </c>
      <c r="AQ720" s="27">
        <v>68.429268292682934</v>
      </c>
      <c r="AR720" s="27">
        <v>21.1</v>
      </c>
      <c r="AS720" s="29">
        <v>98.118610000000004</v>
      </c>
      <c r="AT720" s="270">
        <v>29</v>
      </c>
      <c r="AU720" s="464">
        <v>57.363105318322219</v>
      </c>
      <c r="AV720" s="29">
        <v>-1.0437228644659999</v>
      </c>
      <c r="AW720" s="29">
        <v>0.74874515291924304</v>
      </c>
      <c r="AX720" s="29">
        <v>-0.36180551130907501</v>
      </c>
      <c r="AY720" s="29">
        <v>-0.32490139377488098</v>
      </c>
      <c r="AZ720" s="60">
        <v>-0.88404358302178698</v>
      </c>
    </row>
    <row r="721" spans="1:52" ht="15" customHeight="1">
      <c r="A721" s="59" t="s">
        <v>266</v>
      </c>
      <c r="B721" s="27">
        <v>2009</v>
      </c>
      <c r="C721" s="27" t="s">
        <v>273</v>
      </c>
      <c r="D721" s="69" t="s">
        <v>34</v>
      </c>
      <c r="E721" s="27" t="s">
        <v>98</v>
      </c>
      <c r="F721" s="27" t="s">
        <v>98</v>
      </c>
      <c r="G721" s="43">
        <v>607360000</v>
      </c>
      <c r="H721" s="43"/>
      <c r="I721" s="43"/>
      <c r="J721" s="43"/>
      <c r="K721" s="27" t="s">
        <v>603</v>
      </c>
      <c r="L721" s="28">
        <v>62.0812648</v>
      </c>
      <c r="M721" s="27" t="s">
        <v>626</v>
      </c>
      <c r="N721" s="27" t="s">
        <v>687</v>
      </c>
      <c r="O721" s="18">
        <f>G721*L721</f>
        <v>37705676988.928001</v>
      </c>
      <c r="P721" s="213"/>
      <c r="Q721" s="213"/>
      <c r="R721" s="27"/>
      <c r="S721" s="27"/>
      <c r="T721" s="18"/>
      <c r="U721" s="27"/>
      <c r="V721" s="27"/>
      <c r="W721" s="30"/>
      <c r="X721" s="27"/>
      <c r="Y721" s="27"/>
      <c r="Z721" s="27"/>
      <c r="AA721" s="54"/>
      <c r="AB721" s="27"/>
      <c r="AC721" s="273">
        <v>12722411270</v>
      </c>
      <c r="AD721" s="27">
        <v>115308661142.92726</v>
      </c>
      <c r="AE721" s="228">
        <v>0.11033352693454944</v>
      </c>
      <c r="AF721" s="27">
        <v>28308276310.588642</v>
      </c>
      <c r="AG721" s="226">
        <v>0.44942373496761484</v>
      </c>
      <c r="AH721" s="226">
        <v>0.73565267284571678</v>
      </c>
      <c r="AI721" s="27">
        <v>297500000</v>
      </c>
      <c r="AJ721" s="226">
        <v>42.764407630252101</v>
      </c>
      <c r="AK721" s="27">
        <v>3056970088.1443467</v>
      </c>
      <c r="AL721" s="226">
        <v>4.161771591858396</v>
      </c>
      <c r="AM721" s="27">
        <v>3529275253.3338032</v>
      </c>
      <c r="AN721" s="271">
        <v>3.6048226212966048</v>
      </c>
      <c r="AO721" s="27">
        <v>16092701</v>
      </c>
      <c r="AP721" s="27">
        <v>8.1999999999999993</v>
      </c>
      <c r="AQ721" s="27">
        <v>68.429268292682934</v>
      </c>
      <c r="AR721" s="27">
        <v>21.1</v>
      </c>
      <c r="AS721" s="29">
        <v>98.118610000000004</v>
      </c>
      <c r="AT721" s="270">
        <v>29</v>
      </c>
      <c r="AU721" s="464">
        <v>57.363105318322219</v>
      </c>
      <c r="AV721" s="29">
        <v>-1.0437228644659999</v>
      </c>
      <c r="AW721" s="29">
        <v>0.74874515291924304</v>
      </c>
      <c r="AX721" s="29">
        <v>-0.36180551130907501</v>
      </c>
      <c r="AY721" s="29">
        <v>-0.32490139377488098</v>
      </c>
      <c r="AZ721" s="60">
        <v>-0.88404358302178698</v>
      </c>
    </row>
    <row r="722" spans="1:52" ht="15" customHeight="1">
      <c r="A722" s="59" t="s">
        <v>266</v>
      </c>
      <c r="B722" s="27">
        <v>2009</v>
      </c>
      <c r="C722" s="27" t="s">
        <v>273</v>
      </c>
      <c r="D722" s="69" t="s">
        <v>34</v>
      </c>
      <c r="E722" s="27" t="s">
        <v>19</v>
      </c>
      <c r="F722" s="29" t="s">
        <v>559</v>
      </c>
      <c r="G722" s="18"/>
      <c r="H722" s="18"/>
      <c r="I722" s="18"/>
      <c r="J722" s="18"/>
      <c r="K722" s="29"/>
      <c r="L722" s="28"/>
      <c r="M722" s="29"/>
      <c r="N722" s="29"/>
      <c r="O722" s="18">
        <f>SUM(O723:O749)</f>
        <v>9284990950.8709698</v>
      </c>
      <c r="P722" s="244"/>
      <c r="Q722" s="244"/>
      <c r="R722" s="29"/>
      <c r="S722" s="29"/>
      <c r="T722" s="29"/>
      <c r="U722" s="29"/>
      <c r="V722" s="29"/>
      <c r="W722" s="72"/>
      <c r="X722" s="29"/>
      <c r="Y722" s="29"/>
      <c r="Z722" s="29"/>
      <c r="AA722" s="29"/>
      <c r="AB722" s="29"/>
      <c r="AC722" s="273">
        <v>12722411270</v>
      </c>
      <c r="AD722" s="27">
        <v>115308661142.92726</v>
      </c>
      <c r="AE722" s="228">
        <v>0.11033352693454944</v>
      </c>
      <c r="AF722" s="27">
        <v>28308276310.588642</v>
      </c>
      <c r="AG722" s="226">
        <v>0.44942373496761484</v>
      </c>
      <c r="AH722" s="226">
        <v>0.73565267284571678</v>
      </c>
      <c r="AI722" s="27">
        <v>297500000</v>
      </c>
      <c r="AJ722" s="226">
        <v>42.764407630252101</v>
      </c>
      <c r="AK722" s="27">
        <v>3056970088.1443467</v>
      </c>
      <c r="AL722" s="226">
        <v>4.161771591858396</v>
      </c>
      <c r="AM722" s="27">
        <v>3529275253.3338032</v>
      </c>
      <c r="AN722" s="271">
        <v>3.6048226212966048</v>
      </c>
      <c r="AO722" s="27">
        <v>16092701</v>
      </c>
      <c r="AP722" s="27">
        <v>8.1999999999999993</v>
      </c>
      <c r="AQ722" s="27">
        <v>68.429268292682934</v>
      </c>
      <c r="AR722" s="27">
        <v>21.1</v>
      </c>
      <c r="AS722" s="29">
        <v>98.118610000000004</v>
      </c>
      <c r="AT722" s="270">
        <v>29</v>
      </c>
      <c r="AU722" s="464">
        <v>57.363105318322219</v>
      </c>
      <c r="AV722" s="29">
        <v>-1.0437228644659999</v>
      </c>
      <c r="AW722" s="29">
        <v>0.74874515291924304</v>
      </c>
      <c r="AX722" s="29">
        <v>-0.36180551130907501</v>
      </c>
      <c r="AY722" s="29">
        <v>-0.32490139377488098</v>
      </c>
      <c r="AZ722" s="60">
        <v>-0.88404358302178698</v>
      </c>
    </row>
    <row r="723" spans="1:52" ht="15" customHeight="1">
      <c r="A723" s="59" t="s">
        <v>266</v>
      </c>
      <c r="B723" s="27">
        <v>2009</v>
      </c>
      <c r="C723" s="27" t="s">
        <v>273</v>
      </c>
      <c r="D723" s="69" t="s">
        <v>34</v>
      </c>
      <c r="E723" s="27" t="s">
        <v>19</v>
      </c>
      <c r="F723" s="29" t="s">
        <v>1299</v>
      </c>
      <c r="G723" s="18">
        <v>230000</v>
      </c>
      <c r="H723" s="18"/>
      <c r="I723" s="18"/>
      <c r="J723" s="18"/>
      <c r="K723" s="29" t="s">
        <v>567</v>
      </c>
      <c r="L723" s="28">
        <v>787</v>
      </c>
      <c r="M723" s="27" t="s">
        <v>568</v>
      </c>
      <c r="N723" s="27" t="s">
        <v>1300</v>
      </c>
      <c r="O723" s="18">
        <f>G723*L723</f>
        <v>181010000</v>
      </c>
      <c r="P723" s="244"/>
      <c r="Q723" s="244"/>
      <c r="R723" s="29"/>
      <c r="S723" s="29"/>
      <c r="T723" s="29"/>
      <c r="U723" s="29"/>
      <c r="V723" s="29"/>
      <c r="W723" s="72"/>
      <c r="X723" s="29"/>
      <c r="Y723" s="29"/>
      <c r="Z723" s="29"/>
      <c r="AA723" s="29"/>
      <c r="AB723" s="27" t="s">
        <v>1301</v>
      </c>
      <c r="AC723" s="273">
        <v>12722411270</v>
      </c>
      <c r="AD723" s="27">
        <v>115308661142.92726</v>
      </c>
      <c r="AE723" s="228">
        <v>0.11033352693454944</v>
      </c>
      <c r="AF723" s="27">
        <v>28308276310.588642</v>
      </c>
      <c r="AG723" s="226">
        <v>0.44942373496761484</v>
      </c>
      <c r="AH723" s="226">
        <v>0.73565267284571678</v>
      </c>
      <c r="AI723" s="27">
        <v>297500000</v>
      </c>
      <c r="AJ723" s="226">
        <v>42.764407630252101</v>
      </c>
      <c r="AK723" s="27">
        <v>3056970088.1443467</v>
      </c>
      <c r="AL723" s="226">
        <v>4.161771591858396</v>
      </c>
      <c r="AM723" s="27">
        <v>3529275253.3338032</v>
      </c>
      <c r="AN723" s="271">
        <v>3.6048226212966048</v>
      </c>
      <c r="AO723" s="27">
        <v>16092701</v>
      </c>
      <c r="AP723" s="27">
        <v>8.1999999999999993</v>
      </c>
      <c r="AQ723" s="27">
        <v>68.429268292682934</v>
      </c>
      <c r="AR723" s="27">
        <v>21.1</v>
      </c>
      <c r="AS723" s="29">
        <v>98.118610000000004</v>
      </c>
      <c r="AT723" s="270">
        <v>29</v>
      </c>
      <c r="AU723" s="464">
        <v>57.363105318322219</v>
      </c>
      <c r="AV723" s="29">
        <v>-1.0437228644659999</v>
      </c>
      <c r="AW723" s="29">
        <v>0.74874515291924304</v>
      </c>
      <c r="AX723" s="29">
        <v>-0.36180551130907501</v>
      </c>
      <c r="AY723" s="29">
        <v>-0.32490139377488098</v>
      </c>
      <c r="AZ723" s="60">
        <v>-0.88404358302178698</v>
      </c>
    </row>
    <row r="724" spans="1:52" ht="15" customHeight="1">
      <c r="A724" s="59" t="s">
        <v>266</v>
      </c>
      <c r="B724" s="27">
        <v>2009</v>
      </c>
      <c r="C724" s="27" t="s">
        <v>273</v>
      </c>
      <c r="D724" s="69" t="s">
        <v>34</v>
      </c>
      <c r="E724" s="27" t="s">
        <v>19</v>
      </c>
      <c r="F724" s="29" t="s">
        <v>1302</v>
      </c>
      <c r="G724" s="18"/>
      <c r="H724" s="18"/>
      <c r="I724" s="18"/>
      <c r="J724" s="18"/>
      <c r="K724" s="29"/>
      <c r="L724" s="28">
        <v>80</v>
      </c>
      <c r="M724" s="27" t="s">
        <v>568</v>
      </c>
      <c r="N724" s="27" t="s">
        <v>1303</v>
      </c>
      <c r="O724" s="18">
        <f>G726*L724</f>
        <v>13600000</v>
      </c>
      <c r="P724" s="244"/>
      <c r="Q724" s="244"/>
      <c r="R724" s="29"/>
      <c r="S724" s="29"/>
      <c r="T724" s="29"/>
      <c r="U724" s="29"/>
      <c r="V724" s="29"/>
      <c r="W724" s="72"/>
      <c r="X724" s="29"/>
      <c r="Y724" s="29"/>
      <c r="Z724" s="29"/>
      <c r="AA724" s="29"/>
      <c r="AB724" s="27" t="s">
        <v>1301</v>
      </c>
      <c r="AC724" s="273">
        <v>12722411270</v>
      </c>
      <c r="AD724" s="27">
        <v>115308661142.92726</v>
      </c>
      <c r="AE724" s="228">
        <v>0.11033352693454944</v>
      </c>
      <c r="AF724" s="27">
        <v>28308276310.588642</v>
      </c>
      <c r="AG724" s="226">
        <v>0.44942373496761484</v>
      </c>
      <c r="AH724" s="226">
        <v>0.73565267284571678</v>
      </c>
      <c r="AI724" s="27">
        <v>297500000</v>
      </c>
      <c r="AJ724" s="226">
        <v>42.764407630252101</v>
      </c>
      <c r="AK724" s="27">
        <v>3056970088.1443467</v>
      </c>
      <c r="AL724" s="226">
        <v>4.161771591858396</v>
      </c>
      <c r="AM724" s="27">
        <v>3529275253.3338032</v>
      </c>
      <c r="AN724" s="271">
        <v>3.6048226212966048</v>
      </c>
      <c r="AO724" s="27">
        <v>16092701</v>
      </c>
      <c r="AP724" s="27">
        <v>8.1999999999999993</v>
      </c>
      <c r="AQ724" s="27">
        <v>68.429268292682934</v>
      </c>
      <c r="AR724" s="27">
        <v>21.1</v>
      </c>
      <c r="AS724" s="29">
        <v>98.118610000000004</v>
      </c>
      <c r="AT724" s="270">
        <v>29</v>
      </c>
      <c r="AU724" s="464">
        <v>57.363105318322219</v>
      </c>
      <c r="AV724" s="29">
        <v>-1.0437228644659999</v>
      </c>
      <c r="AW724" s="29">
        <v>0.74874515291924304</v>
      </c>
      <c r="AX724" s="29">
        <v>-0.36180551130907501</v>
      </c>
      <c r="AY724" s="29">
        <v>-0.32490139377488098</v>
      </c>
      <c r="AZ724" s="60">
        <v>-0.88404358302178698</v>
      </c>
    </row>
    <row r="725" spans="1:52" ht="15" customHeight="1">
      <c r="A725" s="59" t="s">
        <v>266</v>
      </c>
      <c r="B725" s="27">
        <v>2009</v>
      </c>
      <c r="C725" s="27" t="s">
        <v>273</v>
      </c>
      <c r="D725" s="69" t="s">
        <v>34</v>
      </c>
      <c r="E725" s="27" t="s">
        <v>19</v>
      </c>
      <c r="F725" s="29" t="s">
        <v>1304</v>
      </c>
      <c r="G725" s="18">
        <v>306000</v>
      </c>
      <c r="H725" s="18"/>
      <c r="I725" s="18"/>
      <c r="J725" s="18"/>
      <c r="K725" s="29" t="s">
        <v>567</v>
      </c>
      <c r="L725" s="28"/>
      <c r="M725" s="29"/>
      <c r="N725" s="27" t="s">
        <v>788</v>
      </c>
      <c r="O725" s="18"/>
      <c r="P725" s="244"/>
      <c r="Q725" s="244"/>
      <c r="R725" s="29"/>
      <c r="S725" s="29"/>
      <c r="T725" s="29"/>
      <c r="U725" s="29"/>
      <c r="V725" s="29"/>
      <c r="W725" s="72"/>
      <c r="X725" s="29"/>
      <c r="Y725" s="29"/>
      <c r="Z725" s="29"/>
      <c r="AA725" s="29"/>
      <c r="AB725" s="27"/>
      <c r="AC725" s="273">
        <v>12722411270</v>
      </c>
      <c r="AD725" s="27">
        <v>115308661142.92726</v>
      </c>
      <c r="AE725" s="228">
        <v>0.11033352693454944</v>
      </c>
      <c r="AF725" s="27">
        <v>28308276310.588642</v>
      </c>
      <c r="AG725" s="226">
        <v>0.44942373496761484</v>
      </c>
      <c r="AH725" s="226">
        <v>0.73565267284571678</v>
      </c>
      <c r="AI725" s="27">
        <v>297500000</v>
      </c>
      <c r="AJ725" s="226">
        <v>42.764407630252101</v>
      </c>
      <c r="AK725" s="27">
        <v>3056970088.1443467</v>
      </c>
      <c r="AL725" s="226">
        <v>4.161771591858396</v>
      </c>
      <c r="AM725" s="27">
        <v>3529275253.3338032</v>
      </c>
      <c r="AN725" s="271">
        <v>3.6048226212966048</v>
      </c>
      <c r="AO725" s="27">
        <v>16092701</v>
      </c>
      <c r="AP725" s="27">
        <v>8.1999999999999993</v>
      </c>
      <c r="AQ725" s="27">
        <v>68.429268292682934</v>
      </c>
      <c r="AR725" s="27">
        <v>21.1</v>
      </c>
      <c r="AS725" s="29">
        <v>98.118610000000004</v>
      </c>
      <c r="AT725" s="270">
        <v>29</v>
      </c>
      <c r="AU725" s="464">
        <v>57.363105318322219</v>
      </c>
      <c r="AV725" s="29">
        <v>-1.0437228644659999</v>
      </c>
      <c r="AW725" s="29">
        <v>0.74874515291924304</v>
      </c>
      <c r="AX725" s="29">
        <v>-0.36180551130907501</v>
      </c>
      <c r="AY725" s="29">
        <v>-0.32490139377488098</v>
      </c>
      <c r="AZ725" s="60">
        <v>-0.88404358302178698</v>
      </c>
    </row>
    <row r="726" spans="1:52" ht="15" customHeight="1">
      <c r="A726" s="59" t="s">
        <v>266</v>
      </c>
      <c r="B726" s="27">
        <v>2009</v>
      </c>
      <c r="C726" s="27" t="s">
        <v>273</v>
      </c>
      <c r="D726" s="69" t="s">
        <v>34</v>
      </c>
      <c r="E726" s="27" t="s">
        <v>19</v>
      </c>
      <c r="F726" s="29" t="s">
        <v>1305</v>
      </c>
      <c r="G726" s="18">
        <v>170000</v>
      </c>
      <c r="H726" s="18"/>
      <c r="I726" s="18"/>
      <c r="J726" s="18"/>
      <c r="K726" s="29" t="s">
        <v>567</v>
      </c>
      <c r="L726" s="28"/>
      <c r="M726" s="29"/>
      <c r="N726" s="27" t="s">
        <v>788</v>
      </c>
      <c r="O726" s="18"/>
      <c r="P726" s="244"/>
      <c r="Q726" s="244"/>
      <c r="R726" s="29"/>
      <c r="S726" s="29"/>
      <c r="T726" s="29"/>
      <c r="U726" s="29"/>
      <c r="V726" s="29"/>
      <c r="W726" s="72"/>
      <c r="X726" s="29"/>
      <c r="Y726" s="29"/>
      <c r="Z726" s="29"/>
      <c r="AA726" s="29"/>
      <c r="AB726" s="27"/>
      <c r="AC726" s="273">
        <v>12722411270</v>
      </c>
      <c r="AD726" s="27">
        <v>115308661142.92726</v>
      </c>
      <c r="AE726" s="228">
        <v>0.11033352693454944</v>
      </c>
      <c r="AF726" s="27">
        <v>28308276310.588642</v>
      </c>
      <c r="AG726" s="226">
        <v>0.44942373496761484</v>
      </c>
      <c r="AH726" s="226">
        <v>0.73565267284571678</v>
      </c>
      <c r="AI726" s="27">
        <v>297500000</v>
      </c>
      <c r="AJ726" s="226">
        <v>42.764407630252101</v>
      </c>
      <c r="AK726" s="27">
        <v>3056970088.1443467</v>
      </c>
      <c r="AL726" s="226">
        <v>4.161771591858396</v>
      </c>
      <c r="AM726" s="27">
        <v>3529275253.3338032</v>
      </c>
      <c r="AN726" s="271">
        <v>3.6048226212966048</v>
      </c>
      <c r="AO726" s="27">
        <v>16092701</v>
      </c>
      <c r="AP726" s="27">
        <v>8.1999999999999993</v>
      </c>
      <c r="AQ726" s="27">
        <v>68.429268292682934</v>
      </c>
      <c r="AR726" s="27">
        <v>21.1</v>
      </c>
      <c r="AS726" s="29">
        <v>98.118610000000004</v>
      </c>
      <c r="AT726" s="270">
        <v>29</v>
      </c>
      <c r="AU726" s="464">
        <v>57.363105318322219</v>
      </c>
      <c r="AV726" s="29">
        <v>-1.0437228644659999</v>
      </c>
      <c r="AW726" s="29">
        <v>0.74874515291924304</v>
      </c>
      <c r="AX726" s="29">
        <v>-0.36180551130907501</v>
      </c>
      <c r="AY726" s="29">
        <v>-0.32490139377488098</v>
      </c>
      <c r="AZ726" s="60">
        <v>-0.88404358302178698</v>
      </c>
    </row>
    <row r="727" spans="1:52" ht="15" customHeight="1">
      <c r="A727" s="59" t="s">
        <v>266</v>
      </c>
      <c r="B727" s="27">
        <v>2009</v>
      </c>
      <c r="C727" s="27" t="s">
        <v>273</v>
      </c>
      <c r="D727" s="69" t="s">
        <v>34</v>
      </c>
      <c r="E727" s="27" t="s">
        <v>19</v>
      </c>
      <c r="F727" s="29" t="s">
        <v>1049</v>
      </c>
      <c r="G727" s="18">
        <v>5130000</v>
      </c>
      <c r="H727" s="18"/>
      <c r="I727" s="18"/>
      <c r="J727" s="18"/>
      <c r="K727" s="29" t="s">
        <v>567</v>
      </c>
      <c r="L727" s="28">
        <v>29.8</v>
      </c>
      <c r="M727" s="27" t="s">
        <v>568</v>
      </c>
      <c r="N727" s="27" t="s">
        <v>1081</v>
      </c>
      <c r="O727" s="18">
        <f>G727*L727</f>
        <v>152874000</v>
      </c>
      <c r="P727" s="244"/>
      <c r="Q727" s="244"/>
      <c r="R727" s="29"/>
      <c r="S727" s="29"/>
      <c r="T727" s="29"/>
      <c r="U727" s="29"/>
      <c r="V727" s="29"/>
      <c r="W727" s="72"/>
      <c r="X727" s="29"/>
      <c r="Y727" s="29"/>
      <c r="Z727" s="29"/>
      <c r="AA727" s="29"/>
      <c r="AB727" s="27" t="s">
        <v>1301</v>
      </c>
      <c r="AC727" s="273">
        <v>12722411270</v>
      </c>
      <c r="AD727" s="27">
        <v>115308661142.92726</v>
      </c>
      <c r="AE727" s="228">
        <v>0.11033352693454944</v>
      </c>
      <c r="AF727" s="27">
        <v>28308276310.588642</v>
      </c>
      <c r="AG727" s="226">
        <v>0.44942373496761484</v>
      </c>
      <c r="AH727" s="226">
        <v>0.73565267284571678</v>
      </c>
      <c r="AI727" s="27">
        <v>297500000</v>
      </c>
      <c r="AJ727" s="226">
        <v>42.764407630252101</v>
      </c>
      <c r="AK727" s="27">
        <v>3056970088.1443467</v>
      </c>
      <c r="AL727" s="226">
        <v>4.161771591858396</v>
      </c>
      <c r="AM727" s="27">
        <v>3529275253.3338032</v>
      </c>
      <c r="AN727" s="271">
        <v>3.6048226212966048</v>
      </c>
      <c r="AO727" s="27">
        <v>16092701</v>
      </c>
      <c r="AP727" s="27">
        <v>8.1999999999999993</v>
      </c>
      <c r="AQ727" s="27">
        <v>68.429268292682934</v>
      </c>
      <c r="AR727" s="27">
        <v>21.1</v>
      </c>
      <c r="AS727" s="29">
        <v>98.118610000000004</v>
      </c>
      <c r="AT727" s="270">
        <v>29</v>
      </c>
      <c r="AU727" s="464">
        <v>57.363105318322219</v>
      </c>
      <c r="AV727" s="29">
        <v>-1.0437228644659999</v>
      </c>
      <c r="AW727" s="29">
        <v>0.74874515291924304</v>
      </c>
      <c r="AX727" s="29">
        <v>-0.36180551130907501</v>
      </c>
      <c r="AY727" s="29">
        <v>-0.32490139377488098</v>
      </c>
      <c r="AZ727" s="60">
        <v>-0.88404358302178698</v>
      </c>
    </row>
    <row r="728" spans="1:52" ht="15" customHeight="1">
      <c r="A728" s="59" t="s">
        <v>266</v>
      </c>
      <c r="B728" s="27">
        <v>2009</v>
      </c>
      <c r="C728" s="27" t="s">
        <v>273</v>
      </c>
      <c r="D728" s="69" t="s">
        <v>34</v>
      </c>
      <c r="E728" s="27" t="s">
        <v>19</v>
      </c>
      <c r="F728" s="29" t="s">
        <v>1306</v>
      </c>
      <c r="G728" s="18">
        <v>30000</v>
      </c>
      <c r="H728" s="18"/>
      <c r="I728" s="18"/>
      <c r="J728" s="18"/>
      <c r="K728" s="29" t="s">
        <v>567</v>
      </c>
      <c r="L728" s="28">
        <v>339</v>
      </c>
      <c r="M728" s="27" t="s">
        <v>568</v>
      </c>
      <c r="N728" s="27" t="s">
        <v>1307</v>
      </c>
      <c r="O728" s="18">
        <f>G728*L728</f>
        <v>10170000</v>
      </c>
      <c r="P728" s="244"/>
      <c r="Q728" s="244"/>
      <c r="R728" s="29"/>
      <c r="S728" s="29"/>
      <c r="T728" s="29"/>
      <c r="U728" s="29"/>
      <c r="V728" s="29"/>
      <c r="W728" s="72"/>
      <c r="X728" s="29"/>
      <c r="Y728" s="29"/>
      <c r="Z728" s="29"/>
      <c r="AA728" s="29"/>
      <c r="AB728" s="27" t="s">
        <v>1301</v>
      </c>
      <c r="AC728" s="273">
        <v>12722411270</v>
      </c>
      <c r="AD728" s="27">
        <v>115308661142.92726</v>
      </c>
      <c r="AE728" s="228">
        <v>0.11033352693454944</v>
      </c>
      <c r="AF728" s="27">
        <v>28308276310.588642</v>
      </c>
      <c r="AG728" s="226">
        <v>0.44942373496761484</v>
      </c>
      <c r="AH728" s="226">
        <v>0.73565267284571678</v>
      </c>
      <c r="AI728" s="27">
        <v>297500000</v>
      </c>
      <c r="AJ728" s="226">
        <v>42.764407630252101</v>
      </c>
      <c r="AK728" s="27">
        <v>3056970088.1443467</v>
      </c>
      <c r="AL728" s="226">
        <v>4.161771591858396</v>
      </c>
      <c r="AM728" s="27">
        <v>3529275253.3338032</v>
      </c>
      <c r="AN728" s="271">
        <v>3.6048226212966048</v>
      </c>
      <c r="AO728" s="27">
        <v>16092701</v>
      </c>
      <c r="AP728" s="27">
        <v>8.1999999999999993</v>
      </c>
      <c r="AQ728" s="27">
        <v>68.429268292682934</v>
      </c>
      <c r="AR728" s="27">
        <v>21.1</v>
      </c>
      <c r="AS728" s="29">
        <v>98.118610000000004</v>
      </c>
      <c r="AT728" s="270">
        <v>29</v>
      </c>
      <c r="AU728" s="464">
        <v>57.363105318322219</v>
      </c>
      <c r="AV728" s="29">
        <v>-1.0437228644659999</v>
      </c>
      <c r="AW728" s="29">
        <v>0.74874515291924304</v>
      </c>
      <c r="AX728" s="29">
        <v>-0.36180551130907501</v>
      </c>
      <c r="AY728" s="29">
        <v>-0.32490139377488098</v>
      </c>
      <c r="AZ728" s="60">
        <v>-0.88404358302178698</v>
      </c>
    </row>
    <row r="729" spans="1:52" ht="15" customHeight="1">
      <c r="A729" s="59" t="s">
        <v>266</v>
      </c>
      <c r="B729" s="27">
        <v>2009</v>
      </c>
      <c r="C729" s="27" t="s">
        <v>273</v>
      </c>
      <c r="D729" s="69" t="s">
        <v>34</v>
      </c>
      <c r="E729" s="27" t="s">
        <v>19</v>
      </c>
      <c r="F729" s="29" t="s">
        <v>576</v>
      </c>
      <c r="G729" s="18"/>
      <c r="H729" s="18"/>
      <c r="I729" s="18"/>
      <c r="J729" s="18"/>
      <c r="K729" s="29"/>
      <c r="L729" s="44">
        <v>5149.7385833333301</v>
      </c>
      <c r="M729" s="27" t="s">
        <v>568</v>
      </c>
      <c r="N729" s="27" t="s">
        <v>1308</v>
      </c>
      <c r="O729" s="18">
        <f>SUM(G731:G732)*L729</f>
        <v>3324779373.9102478</v>
      </c>
      <c r="P729" s="244"/>
      <c r="Q729" s="244"/>
      <c r="R729" s="29"/>
      <c r="S729" s="29"/>
      <c r="T729" s="29"/>
      <c r="U729" s="29"/>
      <c r="V729" s="29"/>
      <c r="W729" s="72"/>
      <c r="X729" s="29"/>
      <c r="Y729" s="29"/>
      <c r="Z729" s="29"/>
      <c r="AA729" s="29"/>
      <c r="AB729" s="27" t="s">
        <v>1309</v>
      </c>
      <c r="AC729" s="273">
        <v>12722411270</v>
      </c>
      <c r="AD729" s="27">
        <v>115308661142.92726</v>
      </c>
      <c r="AE729" s="228">
        <v>0.11033352693454944</v>
      </c>
      <c r="AF729" s="27">
        <v>28308276310.588642</v>
      </c>
      <c r="AG729" s="226">
        <v>0.44942373496761484</v>
      </c>
      <c r="AH729" s="226">
        <v>0.73565267284571678</v>
      </c>
      <c r="AI729" s="27">
        <v>297500000</v>
      </c>
      <c r="AJ729" s="226">
        <v>42.764407630252101</v>
      </c>
      <c r="AK729" s="27">
        <v>3056970088.1443467</v>
      </c>
      <c r="AL729" s="226">
        <v>4.161771591858396</v>
      </c>
      <c r="AM729" s="27">
        <v>3529275253.3338032</v>
      </c>
      <c r="AN729" s="271">
        <v>3.6048226212966048</v>
      </c>
      <c r="AO729" s="27">
        <v>16092701</v>
      </c>
      <c r="AP729" s="27">
        <v>8.1999999999999993</v>
      </c>
      <c r="AQ729" s="27">
        <v>68.429268292682934</v>
      </c>
      <c r="AR729" s="27">
        <v>21.1</v>
      </c>
      <c r="AS729" s="29">
        <v>98.118610000000004</v>
      </c>
      <c r="AT729" s="270">
        <v>29</v>
      </c>
      <c r="AU729" s="464">
        <v>57.363105318322219</v>
      </c>
      <c r="AV729" s="29">
        <v>-1.0437228644659999</v>
      </c>
      <c r="AW729" s="29">
        <v>0.74874515291924304</v>
      </c>
      <c r="AX729" s="29">
        <v>-0.36180551130907501</v>
      </c>
      <c r="AY729" s="29">
        <v>-0.32490139377488098</v>
      </c>
      <c r="AZ729" s="60">
        <v>-0.88404358302178698</v>
      </c>
    </row>
    <row r="730" spans="1:52" ht="15" customHeight="1">
      <c r="A730" s="59" t="s">
        <v>266</v>
      </c>
      <c r="B730" s="27">
        <v>2009</v>
      </c>
      <c r="C730" s="27" t="s">
        <v>273</v>
      </c>
      <c r="D730" s="69" t="s">
        <v>34</v>
      </c>
      <c r="E730" s="27" t="s">
        <v>19</v>
      </c>
      <c r="F730" s="29" t="s">
        <v>988</v>
      </c>
      <c r="G730" s="18">
        <v>455000</v>
      </c>
      <c r="H730" s="18"/>
      <c r="I730" s="18"/>
      <c r="J730" s="18"/>
      <c r="K730" s="29" t="s">
        <v>567</v>
      </c>
      <c r="L730" s="28"/>
      <c r="M730" s="29"/>
      <c r="N730" s="27" t="s">
        <v>788</v>
      </c>
      <c r="O730" s="18"/>
      <c r="P730" s="244"/>
      <c r="Q730" s="244"/>
      <c r="R730" s="29"/>
      <c r="S730" s="29"/>
      <c r="T730" s="29"/>
      <c r="U730" s="29"/>
      <c r="V730" s="29"/>
      <c r="W730" s="72"/>
      <c r="X730" s="29"/>
      <c r="Y730" s="29"/>
      <c r="Z730" s="29"/>
      <c r="AA730" s="29"/>
      <c r="AB730" s="27"/>
      <c r="AC730" s="273">
        <v>12722411270</v>
      </c>
      <c r="AD730" s="27">
        <v>115308661142.92726</v>
      </c>
      <c r="AE730" s="228">
        <v>0.11033352693454944</v>
      </c>
      <c r="AF730" s="27">
        <v>28308276310.588642</v>
      </c>
      <c r="AG730" s="226">
        <v>0.44942373496761484</v>
      </c>
      <c r="AH730" s="226">
        <v>0.73565267284571678</v>
      </c>
      <c r="AI730" s="27">
        <v>297500000</v>
      </c>
      <c r="AJ730" s="226">
        <v>42.764407630252101</v>
      </c>
      <c r="AK730" s="27">
        <v>3056970088.1443467</v>
      </c>
      <c r="AL730" s="226">
        <v>4.161771591858396</v>
      </c>
      <c r="AM730" s="27">
        <v>3529275253.3338032</v>
      </c>
      <c r="AN730" s="271">
        <v>3.6048226212966048</v>
      </c>
      <c r="AO730" s="27">
        <v>16092701</v>
      </c>
      <c r="AP730" s="27">
        <v>8.1999999999999993</v>
      </c>
      <c r="AQ730" s="27">
        <v>68.429268292682934</v>
      </c>
      <c r="AR730" s="27">
        <v>21.1</v>
      </c>
      <c r="AS730" s="29">
        <v>98.118610000000004</v>
      </c>
      <c r="AT730" s="270">
        <v>29</v>
      </c>
      <c r="AU730" s="464">
        <v>57.363105318322219</v>
      </c>
      <c r="AV730" s="29">
        <v>-1.0437228644659999</v>
      </c>
      <c r="AW730" s="29">
        <v>0.74874515291924304</v>
      </c>
      <c r="AX730" s="29">
        <v>-0.36180551130907501</v>
      </c>
      <c r="AY730" s="29">
        <v>-0.32490139377488098</v>
      </c>
      <c r="AZ730" s="60">
        <v>-0.88404358302178698</v>
      </c>
    </row>
    <row r="731" spans="1:52" ht="15" customHeight="1">
      <c r="A731" s="59" t="s">
        <v>266</v>
      </c>
      <c r="B731" s="27">
        <v>2009</v>
      </c>
      <c r="C731" s="27" t="s">
        <v>273</v>
      </c>
      <c r="D731" s="69" t="s">
        <v>34</v>
      </c>
      <c r="E731" s="27" t="s">
        <v>19</v>
      </c>
      <c r="F731" s="29" t="s">
        <v>1310</v>
      </c>
      <c r="G731" s="18">
        <v>332854</v>
      </c>
      <c r="H731" s="18"/>
      <c r="I731" s="18"/>
      <c r="J731" s="18"/>
      <c r="K731" s="29" t="s">
        <v>567</v>
      </c>
      <c r="L731" s="28"/>
      <c r="M731" s="29"/>
      <c r="N731" s="27" t="s">
        <v>788</v>
      </c>
      <c r="O731" s="18"/>
      <c r="P731" s="244"/>
      <c r="Q731" s="244"/>
      <c r="R731" s="29"/>
      <c r="S731" s="29"/>
      <c r="T731" s="29"/>
      <c r="U731" s="29"/>
      <c r="V731" s="29"/>
      <c r="W731" s="72"/>
      <c r="X731" s="29"/>
      <c r="Y731" s="29"/>
      <c r="Z731" s="29"/>
      <c r="AA731" s="29"/>
      <c r="AB731" s="27"/>
      <c r="AC731" s="273">
        <v>12722411270</v>
      </c>
      <c r="AD731" s="27">
        <v>115308661142.92726</v>
      </c>
      <c r="AE731" s="228">
        <v>0.11033352693454944</v>
      </c>
      <c r="AF731" s="27">
        <v>28308276310.588642</v>
      </c>
      <c r="AG731" s="226">
        <v>0.44942373496761484</v>
      </c>
      <c r="AH731" s="226">
        <v>0.73565267284571678</v>
      </c>
      <c r="AI731" s="27">
        <v>297500000</v>
      </c>
      <c r="AJ731" s="226">
        <v>42.764407630252101</v>
      </c>
      <c r="AK731" s="27">
        <v>3056970088.1443467</v>
      </c>
      <c r="AL731" s="226">
        <v>4.161771591858396</v>
      </c>
      <c r="AM731" s="27">
        <v>3529275253.3338032</v>
      </c>
      <c r="AN731" s="271">
        <v>3.6048226212966048</v>
      </c>
      <c r="AO731" s="27">
        <v>16092701</v>
      </c>
      <c r="AP731" s="27">
        <v>8.1999999999999993</v>
      </c>
      <c r="AQ731" s="27">
        <v>68.429268292682934</v>
      </c>
      <c r="AR731" s="27">
        <v>21.1</v>
      </c>
      <c r="AS731" s="29">
        <v>98.118610000000004</v>
      </c>
      <c r="AT731" s="270">
        <v>29</v>
      </c>
      <c r="AU731" s="464">
        <v>57.363105318322219</v>
      </c>
      <c r="AV731" s="29">
        <v>-1.0437228644659999</v>
      </c>
      <c r="AW731" s="29">
        <v>0.74874515291924304</v>
      </c>
      <c r="AX731" s="29">
        <v>-0.36180551130907501</v>
      </c>
      <c r="AY731" s="29">
        <v>-0.32490139377488098</v>
      </c>
      <c r="AZ731" s="60">
        <v>-0.88404358302178698</v>
      </c>
    </row>
    <row r="732" spans="1:52" ht="15" customHeight="1">
      <c r="A732" s="59" t="s">
        <v>266</v>
      </c>
      <c r="B732" s="27">
        <v>2009</v>
      </c>
      <c r="C732" s="27" t="s">
        <v>273</v>
      </c>
      <c r="D732" s="69" t="s">
        <v>34</v>
      </c>
      <c r="E732" s="27" t="s">
        <v>19</v>
      </c>
      <c r="F732" s="29" t="s">
        <v>1311</v>
      </c>
      <c r="G732" s="18">
        <v>312767</v>
      </c>
      <c r="H732" s="18"/>
      <c r="I732" s="18"/>
      <c r="J732" s="18"/>
      <c r="K732" s="29" t="s">
        <v>567</v>
      </c>
      <c r="L732" s="28"/>
      <c r="M732" s="29"/>
      <c r="N732" s="27" t="s">
        <v>788</v>
      </c>
      <c r="O732" s="18"/>
      <c r="P732" s="244"/>
      <c r="Q732" s="244"/>
      <c r="R732" s="29"/>
      <c r="S732" s="29"/>
      <c r="T732" s="29"/>
      <c r="U732" s="29"/>
      <c r="V732" s="29"/>
      <c r="W732" s="72"/>
      <c r="X732" s="29"/>
      <c r="Y732" s="29"/>
      <c r="Z732" s="29"/>
      <c r="AA732" s="29"/>
      <c r="AB732" s="27"/>
      <c r="AC732" s="273">
        <v>12722411270</v>
      </c>
      <c r="AD732" s="27">
        <v>115308661142.92726</v>
      </c>
      <c r="AE732" s="228">
        <v>0.11033352693454944</v>
      </c>
      <c r="AF732" s="27">
        <v>28308276310.588642</v>
      </c>
      <c r="AG732" s="226">
        <v>0.44942373496761484</v>
      </c>
      <c r="AH732" s="226">
        <v>0.73565267284571678</v>
      </c>
      <c r="AI732" s="27">
        <v>297500000</v>
      </c>
      <c r="AJ732" s="226">
        <v>42.764407630252101</v>
      </c>
      <c r="AK732" s="27">
        <v>3056970088.1443467</v>
      </c>
      <c r="AL732" s="226">
        <v>4.161771591858396</v>
      </c>
      <c r="AM732" s="27">
        <v>3529275253.3338032</v>
      </c>
      <c r="AN732" s="271">
        <v>3.6048226212966048</v>
      </c>
      <c r="AO732" s="27">
        <v>16092701</v>
      </c>
      <c r="AP732" s="27">
        <v>8.1999999999999993</v>
      </c>
      <c r="AQ732" s="27">
        <v>68.429268292682934</v>
      </c>
      <c r="AR732" s="27">
        <v>21.1</v>
      </c>
      <c r="AS732" s="29">
        <v>98.118610000000004</v>
      </c>
      <c r="AT732" s="270">
        <v>29</v>
      </c>
      <c r="AU732" s="464">
        <v>57.363105318322219</v>
      </c>
      <c r="AV732" s="29">
        <v>-1.0437228644659999</v>
      </c>
      <c r="AW732" s="29">
        <v>0.74874515291924304</v>
      </c>
      <c r="AX732" s="29">
        <v>-0.36180551130907501</v>
      </c>
      <c r="AY732" s="29">
        <v>-0.32490139377488098</v>
      </c>
      <c r="AZ732" s="60">
        <v>-0.88404358302178698</v>
      </c>
    </row>
    <row r="733" spans="1:52" ht="15" customHeight="1">
      <c r="A733" s="59" t="s">
        <v>266</v>
      </c>
      <c r="B733" s="27">
        <v>2009</v>
      </c>
      <c r="C733" s="27" t="s">
        <v>273</v>
      </c>
      <c r="D733" s="69" t="s">
        <v>34</v>
      </c>
      <c r="E733" s="27" t="s">
        <v>19</v>
      </c>
      <c r="F733" s="29" t="s">
        <v>1312</v>
      </c>
      <c r="G733" s="18">
        <v>1173286</v>
      </c>
      <c r="H733" s="18"/>
      <c r="I733" s="18"/>
      <c r="J733" s="18"/>
      <c r="K733" s="29" t="s">
        <v>567</v>
      </c>
      <c r="L733" s="28">
        <f>0.8054/0.000453592</f>
        <v>1775.6045080160143</v>
      </c>
      <c r="M733" s="29" t="s">
        <v>568</v>
      </c>
      <c r="N733" s="27" t="s">
        <v>1313</v>
      </c>
      <c r="O733" s="18">
        <f>G733*L733</f>
        <v>2083291910.7920773</v>
      </c>
      <c r="P733" s="244"/>
      <c r="Q733" s="244"/>
      <c r="R733" s="29"/>
      <c r="S733" s="29"/>
      <c r="T733" s="29"/>
      <c r="U733" s="29"/>
      <c r="V733" s="29"/>
      <c r="W733" s="72"/>
      <c r="X733" s="29"/>
      <c r="Y733" s="29"/>
      <c r="Z733" s="29"/>
      <c r="AA733" s="29"/>
      <c r="AB733" s="27" t="s">
        <v>1301</v>
      </c>
      <c r="AC733" s="273">
        <v>12722411270</v>
      </c>
      <c r="AD733" s="27">
        <v>115308661142.92726</v>
      </c>
      <c r="AE733" s="228">
        <v>0.11033352693454944</v>
      </c>
      <c r="AF733" s="27">
        <v>28308276310.588642</v>
      </c>
      <c r="AG733" s="226">
        <v>0.44942373496761484</v>
      </c>
      <c r="AH733" s="226">
        <v>0.73565267284571678</v>
      </c>
      <c r="AI733" s="27">
        <v>297500000</v>
      </c>
      <c r="AJ733" s="226">
        <v>42.764407630252101</v>
      </c>
      <c r="AK733" s="27">
        <v>3056970088.1443467</v>
      </c>
      <c r="AL733" s="226">
        <v>4.161771591858396</v>
      </c>
      <c r="AM733" s="27">
        <v>3529275253.3338032</v>
      </c>
      <c r="AN733" s="271">
        <v>3.6048226212966048</v>
      </c>
      <c r="AO733" s="27">
        <v>16092701</v>
      </c>
      <c r="AP733" s="27">
        <v>8.1999999999999993</v>
      </c>
      <c r="AQ733" s="27">
        <v>68.429268292682934</v>
      </c>
      <c r="AR733" s="27">
        <v>21.1</v>
      </c>
      <c r="AS733" s="29">
        <v>98.118610000000004</v>
      </c>
      <c r="AT733" s="270">
        <v>29</v>
      </c>
      <c r="AU733" s="464">
        <v>57.363105318322219</v>
      </c>
      <c r="AV733" s="29">
        <v>-1.0437228644659999</v>
      </c>
      <c r="AW733" s="29">
        <v>0.74874515291924304</v>
      </c>
      <c r="AX733" s="29">
        <v>-0.36180551130907501</v>
      </c>
      <c r="AY733" s="29">
        <v>-0.32490139377488098</v>
      </c>
      <c r="AZ733" s="60">
        <v>-0.88404358302178698</v>
      </c>
    </row>
    <row r="734" spans="1:52" ht="15" customHeight="1">
      <c r="A734" s="59" t="s">
        <v>266</v>
      </c>
      <c r="B734" s="27">
        <v>2009</v>
      </c>
      <c r="C734" s="27" t="s">
        <v>273</v>
      </c>
      <c r="D734" s="69" t="s">
        <v>34</v>
      </c>
      <c r="E734" s="27" t="s">
        <v>19</v>
      </c>
      <c r="F734" s="29" t="s">
        <v>1314</v>
      </c>
      <c r="G734" s="18">
        <v>60829</v>
      </c>
      <c r="H734" s="18"/>
      <c r="I734" s="18"/>
      <c r="J734" s="18"/>
      <c r="K734" s="29" t="s">
        <v>567</v>
      </c>
      <c r="L734" s="28"/>
      <c r="M734" s="29"/>
      <c r="N734" s="27"/>
      <c r="O734" s="18"/>
      <c r="P734" s="244"/>
      <c r="Q734" s="244"/>
      <c r="R734" s="29"/>
      <c r="S734" s="29"/>
      <c r="T734" s="29"/>
      <c r="U734" s="29"/>
      <c r="V734" s="29"/>
      <c r="W734" s="72"/>
      <c r="X734" s="29"/>
      <c r="Y734" s="29"/>
      <c r="Z734" s="29"/>
      <c r="AA734" s="29"/>
      <c r="AB734" s="27" t="s">
        <v>1301</v>
      </c>
      <c r="AC734" s="273">
        <v>12722411270</v>
      </c>
      <c r="AD734" s="27">
        <v>115308661142.92726</v>
      </c>
      <c r="AE734" s="228">
        <v>0.11033352693454944</v>
      </c>
      <c r="AF734" s="27">
        <v>28308276310.588642</v>
      </c>
      <c r="AG734" s="226">
        <v>0.44942373496761484</v>
      </c>
      <c r="AH734" s="226">
        <v>0.73565267284571678</v>
      </c>
      <c r="AI734" s="27">
        <v>297500000</v>
      </c>
      <c r="AJ734" s="226">
        <v>42.764407630252101</v>
      </c>
      <c r="AK734" s="27">
        <v>3056970088.1443467</v>
      </c>
      <c r="AL734" s="226">
        <v>4.161771591858396</v>
      </c>
      <c r="AM734" s="27">
        <v>3529275253.3338032</v>
      </c>
      <c r="AN734" s="271">
        <v>3.6048226212966048</v>
      </c>
      <c r="AO734" s="27">
        <v>16092701</v>
      </c>
      <c r="AP734" s="27">
        <v>8.1999999999999993</v>
      </c>
      <c r="AQ734" s="27">
        <v>68.429268292682934</v>
      </c>
      <c r="AR734" s="27">
        <v>21.1</v>
      </c>
      <c r="AS734" s="29">
        <v>98.118610000000004</v>
      </c>
      <c r="AT734" s="270">
        <v>29</v>
      </c>
      <c r="AU734" s="464">
        <v>57.363105318322219</v>
      </c>
      <c r="AV734" s="29">
        <v>-1.0437228644659999</v>
      </c>
      <c r="AW734" s="29">
        <v>0.74874515291924304</v>
      </c>
      <c r="AX734" s="29">
        <v>-0.36180551130907501</v>
      </c>
      <c r="AY734" s="29">
        <v>-0.32490139377488098</v>
      </c>
      <c r="AZ734" s="60">
        <v>-0.88404358302178698</v>
      </c>
    </row>
    <row r="735" spans="1:52" ht="15" customHeight="1">
      <c r="A735" s="59" t="s">
        <v>266</v>
      </c>
      <c r="B735" s="27">
        <v>2009</v>
      </c>
      <c r="C735" s="27" t="s">
        <v>273</v>
      </c>
      <c r="D735" s="69" t="s">
        <v>34</v>
      </c>
      <c r="E735" s="27" t="s">
        <v>19</v>
      </c>
      <c r="F735" s="29" t="s">
        <v>1315</v>
      </c>
      <c r="G735" s="18">
        <v>33100</v>
      </c>
      <c r="H735" s="18"/>
      <c r="I735" s="18"/>
      <c r="J735" s="18"/>
      <c r="K735" s="29" t="s">
        <v>567</v>
      </c>
      <c r="L735" s="28">
        <f>0.729/0.000453592</f>
        <v>1607.1712023139737</v>
      </c>
      <c r="M735" s="29" t="s">
        <v>568</v>
      </c>
      <c r="N735" s="27" t="s">
        <v>1316</v>
      </c>
      <c r="O735" s="18">
        <f>G735*L735</f>
        <v>53197366.796592526</v>
      </c>
      <c r="P735" s="244"/>
      <c r="Q735" s="244"/>
      <c r="R735" s="29"/>
      <c r="S735" s="29"/>
      <c r="T735" s="29"/>
      <c r="U735" s="29"/>
      <c r="V735" s="29"/>
      <c r="W735" s="72"/>
      <c r="X735" s="29"/>
      <c r="Y735" s="29"/>
      <c r="Z735" s="29"/>
      <c r="AA735" s="29"/>
      <c r="AB735" s="27" t="s">
        <v>1301</v>
      </c>
      <c r="AC735" s="273">
        <v>12722411270</v>
      </c>
      <c r="AD735" s="27">
        <v>115308661142.92726</v>
      </c>
      <c r="AE735" s="228">
        <v>0.11033352693454944</v>
      </c>
      <c r="AF735" s="27">
        <v>28308276310.588642</v>
      </c>
      <c r="AG735" s="226">
        <v>0.44942373496761484</v>
      </c>
      <c r="AH735" s="226">
        <v>0.73565267284571678</v>
      </c>
      <c r="AI735" s="27">
        <v>297500000</v>
      </c>
      <c r="AJ735" s="226">
        <v>42.764407630252101</v>
      </c>
      <c r="AK735" s="27">
        <v>3056970088.1443467</v>
      </c>
      <c r="AL735" s="226">
        <v>4.161771591858396</v>
      </c>
      <c r="AM735" s="27">
        <v>3529275253.3338032</v>
      </c>
      <c r="AN735" s="271">
        <v>3.6048226212966048</v>
      </c>
      <c r="AO735" s="27">
        <v>16092701</v>
      </c>
      <c r="AP735" s="27">
        <v>8.1999999999999993</v>
      </c>
      <c r="AQ735" s="27">
        <v>68.429268292682934</v>
      </c>
      <c r="AR735" s="27">
        <v>21.1</v>
      </c>
      <c r="AS735" s="29">
        <v>98.118610000000004</v>
      </c>
      <c r="AT735" s="270">
        <v>29</v>
      </c>
      <c r="AU735" s="464">
        <v>57.363105318322219</v>
      </c>
      <c r="AV735" s="29">
        <v>-1.0437228644659999</v>
      </c>
      <c r="AW735" s="29">
        <v>0.74874515291924304</v>
      </c>
      <c r="AX735" s="29">
        <v>-0.36180551130907501</v>
      </c>
      <c r="AY735" s="29">
        <v>-0.32490139377488098</v>
      </c>
      <c r="AZ735" s="60">
        <v>-0.88404358302178698</v>
      </c>
    </row>
    <row r="736" spans="1:52" ht="15" customHeight="1">
      <c r="A736" s="59" t="s">
        <v>266</v>
      </c>
      <c r="B736" s="27">
        <v>2009</v>
      </c>
      <c r="C736" s="27" t="s">
        <v>273</v>
      </c>
      <c r="D736" s="69" t="s">
        <v>34</v>
      </c>
      <c r="E736" s="27" t="s">
        <v>19</v>
      </c>
      <c r="F736" s="29" t="s">
        <v>1317</v>
      </c>
      <c r="G736" s="18">
        <v>65000</v>
      </c>
      <c r="H736" s="18"/>
      <c r="I736" s="18"/>
      <c r="J736" s="18"/>
      <c r="K736" s="29" t="s">
        <v>567</v>
      </c>
      <c r="L736" s="28"/>
      <c r="M736" s="29"/>
      <c r="N736" s="27" t="s">
        <v>788</v>
      </c>
      <c r="O736" s="18"/>
      <c r="P736" s="244"/>
      <c r="Q736" s="244"/>
      <c r="R736" s="29"/>
      <c r="S736" s="29"/>
      <c r="T736" s="29"/>
      <c r="U736" s="29"/>
      <c r="V736" s="29"/>
      <c r="W736" s="72"/>
      <c r="X736" s="29"/>
      <c r="Y736" s="29"/>
      <c r="Z736" s="29"/>
      <c r="AA736" s="29"/>
      <c r="AB736" s="27" t="s">
        <v>1301</v>
      </c>
      <c r="AC736" s="273">
        <v>12722411270</v>
      </c>
      <c r="AD736" s="27">
        <v>115308661142.92726</v>
      </c>
      <c r="AE736" s="228">
        <v>0.11033352693454944</v>
      </c>
      <c r="AF736" s="27">
        <v>28308276310.588642</v>
      </c>
      <c r="AG736" s="226">
        <v>0.44942373496761484</v>
      </c>
      <c r="AH736" s="226">
        <v>0.73565267284571678</v>
      </c>
      <c r="AI736" s="27">
        <v>297500000</v>
      </c>
      <c r="AJ736" s="226">
        <v>42.764407630252101</v>
      </c>
      <c r="AK736" s="27">
        <v>3056970088.1443467</v>
      </c>
      <c r="AL736" s="226">
        <v>4.161771591858396</v>
      </c>
      <c r="AM736" s="27">
        <v>3529275253.3338032</v>
      </c>
      <c r="AN736" s="271">
        <v>3.6048226212966048</v>
      </c>
      <c r="AO736" s="27">
        <v>16092701</v>
      </c>
      <c r="AP736" s="27">
        <v>8.1999999999999993</v>
      </c>
      <c r="AQ736" s="27">
        <v>68.429268292682934</v>
      </c>
      <c r="AR736" s="27">
        <v>21.1</v>
      </c>
      <c r="AS736" s="29">
        <v>98.118610000000004</v>
      </c>
      <c r="AT736" s="270">
        <v>29</v>
      </c>
      <c r="AU736" s="464">
        <v>57.363105318322219</v>
      </c>
      <c r="AV736" s="29">
        <v>-1.0437228644659999</v>
      </c>
      <c r="AW736" s="29">
        <v>0.74874515291924304</v>
      </c>
      <c r="AX736" s="29">
        <v>-0.36180551130907501</v>
      </c>
      <c r="AY736" s="29">
        <v>-0.32490139377488098</v>
      </c>
      <c r="AZ736" s="60">
        <v>-0.88404358302178698</v>
      </c>
    </row>
    <row r="737" spans="1:52" ht="15" customHeight="1">
      <c r="A737" s="59" t="s">
        <v>266</v>
      </c>
      <c r="B737" s="27">
        <v>2009</v>
      </c>
      <c r="C737" s="27" t="s">
        <v>273</v>
      </c>
      <c r="D737" s="69" t="s">
        <v>34</v>
      </c>
      <c r="E737" s="27" t="s">
        <v>19</v>
      </c>
      <c r="F737" s="29" t="s">
        <v>730</v>
      </c>
      <c r="G737" s="18">
        <f>22839*32.150743126506</f>
        <v>734290.82226627052</v>
      </c>
      <c r="H737" s="18"/>
      <c r="I737" s="18"/>
      <c r="J737" s="18"/>
      <c r="K737" s="29" t="s">
        <v>731</v>
      </c>
      <c r="L737" s="28">
        <v>972.96591666666995</v>
      </c>
      <c r="M737" s="29" t="s">
        <v>732</v>
      </c>
      <c r="N737" s="27" t="s">
        <v>782</v>
      </c>
      <c r="O737" s="18">
        <f>G737*L737</f>
        <v>714439942.98622477</v>
      </c>
      <c r="P737" s="244"/>
      <c r="Q737" s="244"/>
      <c r="R737" s="29"/>
      <c r="S737" s="29"/>
      <c r="T737" s="29"/>
      <c r="U737" s="29"/>
      <c r="V737" s="29"/>
      <c r="W737" s="72"/>
      <c r="X737" s="29"/>
      <c r="Y737" s="29"/>
      <c r="Z737" s="29"/>
      <c r="AA737" s="29"/>
      <c r="AB737" s="27" t="s">
        <v>1301</v>
      </c>
      <c r="AC737" s="273">
        <v>12722411270</v>
      </c>
      <c r="AD737" s="27">
        <v>115308661142.92726</v>
      </c>
      <c r="AE737" s="228">
        <v>0.11033352693454944</v>
      </c>
      <c r="AF737" s="27">
        <v>28308276310.588642</v>
      </c>
      <c r="AG737" s="226">
        <v>0.44942373496761484</v>
      </c>
      <c r="AH737" s="226">
        <v>0.73565267284571678</v>
      </c>
      <c r="AI737" s="27">
        <v>297500000</v>
      </c>
      <c r="AJ737" s="226">
        <v>42.764407630252101</v>
      </c>
      <c r="AK737" s="27">
        <v>3056970088.1443467</v>
      </c>
      <c r="AL737" s="226">
        <v>4.161771591858396</v>
      </c>
      <c r="AM737" s="27">
        <v>3529275253.3338032</v>
      </c>
      <c r="AN737" s="271">
        <v>3.6048226212966048</v>
      </c>
      <c r="AO737" s="27">
        <v>16092701</v>
      </c>
      <c r="AP737" s="27">
        <v>8.1999999999999993</v>
      </c>
      <c r="AQ737" s="27">
        <v>68.429268292682934</v>
      </c>
      <c r="AR737" s="27">
        <v>21.1</v>
      </c>
      <c r="AS737" s="29">
        <v>98.118610000000004</v>
      </c>
      <c r="AT737" s="270">
        <v>29</v>
      </c>
      <c r="AU737" s="464">
        <v>57.363105318322219</v>
      </c>
      <c r="AV737" s="29">
        <v>-1.0437228644659999</v>
      </c>
      <c r="AW737" s="29">
        <v>0.74874515291924304</v>
      </c>
      <c r="AX737" s="29">
        <v>-0.36180551130907501</v>
      </c>
      <c r="AY737" s="29">
        <v>-0.32490139377488098</v>
      </c>
      <c r="AZ737" s="60">
        <v>-0.88404358302178698</v>
      </c>
    </row>
    <row r="738" spans="1:52" ht="15" customHeight="1">
      <c r="A738" s="59" t="s">
        <v>266</v>
      </c>
      <c r="B738" s="27">
        <v>2009</v>
      </c>
      <c r="C738" s="27" t="s">
        <v>273</v>
      </c>
      <c r="D738" s="69" t="s">
        <v>34</v>
      </c>
      <c r="E738" s="27" t="s">
        <v>19</v>
      </c>
      <c r="F738" s="29" t="s">
        <v>1318</v>
      </c>
      <c r="G738" s="18">
        <v>25000</v>
      </c>
      <c r="H738" s="18"/>
      <c r="I738" s="18"/>
      <c r="J738" s="18"/>
      <c r="K738" s="29" t="s">
        <v>567</v>
      </c>
      <c r="L738" s="28">
        <v>73</v>
      </c>
      <c r="M738" s="27" t="s">
        <v>568</v>
      </c>
      <c r="N738" s="27" t="s">
        <v>1319</v>
      </c>
      <c r="O738" s="18">
        <f>G738*L738</f>
        <v>1825000</v>
      </c>
      <c r="P738" s="244"/>
      <c r="Q738" s="244"/>
      <c r="R738" s="29"/>
      <c r="S738" s="29"/>
      <c r="T738" s="29"/>
      <c r="U738" s="29"/>
      <c r="V738" s="29"/>
      <c r="W738" s="72"/>
      <c r="X738" s="29"/>
      <c r="Y738" s="29"/>
      <c r="Z738" s="29"/>
      <c r="AA738" s="29"/>
      <c r="AB738" s="27" t="s">
        <v>1301</v>
      </c>
      <c r="AC738" s="273">
        <v>12722411270</v>
      </c>
      <c r="AD738" s="27">
        <v>115308661142.92726</v>
      </c>
      <c r="AE738" s="228">
        <v>0.11033352693454944</v>
      </c>
      <c r="AF738" s="27">
        <v>28308276310.588642</v>
      </c>
      <c r="AG738" s="226">
        <v>0.44942373496761484</v>
      </c>
      <c r="AH738" s="226">
        <v>0.73565267284571678</v>
      </c>
      <c r="AI738" s="27">
        <v>297500000</v>
      </c>
      <c r="AJ738" s="226">
        <v>42.764407630252101</v>
      </c>
      <c r="AK738" s="27">
        <v>3056970088.1443467</v>
      </c>
      <c r="AL738" s="226">
        <v>4.161771591858396</v>
      </c>
      <c r="AM738" s="27">
        <v>3529275253.3338032</v>
      </c>
      <c r="AN738" s="271">
        <v>3.6048226212966048</v>
      </c>
      <c r="AO738" s="27">
        <v>16092701</v>
      </c>
      <c r="AP738" s="27">
        <v>8.1999999999999993</v>
      </c>
      <c r="AQ738" s="27">
        <v>68.429268292682934</v>
      </c>
      <c r="AR738" s="27">
        <v>21.1</v>
      </c>
      <c r="AS738" s="29">
        <v>98.118610000000004</v>
      </c>
      <c r="AT738" s="270">
        <v>29</v>
      </c>
      <c r="AU738" s="464">
        <v>57.363105318322219</v>
      </c>
      <c r="AV738" s="29">
        <v>-1.0437228644659999</v>
      </c>
      <c r="AW738" s="29">
        <v>0.74874515291924304</v>
      </c>
      <c r="AX738" s="29">
        <v>-0.36180551130907501</v>
      </c>
      <c r="AY738" s="29">
        <v>-0.32490139377488098</v>
      </c>
      <c r="AZ738" s="60">
        <v>-0.88404358302178698</v>
      </c>
    </row>
    <row r="739" spans="1:52" ht="15" customHeight="1">
      <c r="A739" s="59" t="s">
        <v>266</v>
      </c>
      <c r="B739" s="27">
        <v>2009</v>
      </c>
      <c r="C739" s="27" t="s">
        <v>273</v>
      </c>
      <c r="D739" s="69" t="s">
        <v>34</v>
      </c>
      <c r="E739" s="27" t="s">
        <v>19</v>
      </c>
      <c r="F739" s="29" t="s">
        <v>1133</v>
      </c>
      <c r="G739" s="18">
        <v>22281300</v>
      </c>
      <c r="H739" s="18"/>
      <c r="I739" s="18"/>
      <c r="J739" s="18"/>
      <c r="K739" s="29" t="s">
        <v>567</v>
      </c>
      <c r="L739" s="28">
        <v>79.979166666669997</v>
      </c>
      <c r="M739" s="29" t="s">
        <v>568</v>
      </c>
      <c r="N739" s="27" t="s">
        <v>1320</v>
      </c>
      <c r="O739" s="18">
        <f>G739*L739</f>
        <v>1782039806.2500741</v>
      </c>
      <c r="P739" s="244"/>
      <c r="Q739" s="244"/>
      <c r="R739" s="29"/>
      <c r="S739" s="29"/>
      <c r="T739" s="29"/>
      <c r="U739" s="29"/>
      <c r="V739" s="29"/>
      <c r="W739" s="72"/>
      <c r="X739" s="29"/>
      <c r="Y739" s="29"/>
      <c r="Z739" s="29"/>
      <c r="AA739" s="29"/>
      <c r="AB739" s="27" t="s">
        <v>1301</v>
      </c>
      <c r="AC739" s="273">
        <v>12722411270</v>
      </c>
      <c r="AD739" s="27">
        <v>115308661142.92726</v>
      </c>
      <c r="AE739" s="228">
        <v>0.11033352693454944</v>
      </c>
      <c r="AF739" s="27">
        <v>28308276310.588642</v>
      </c>
      <c r="AG739" s="226">
        <v>0.44942373496761484</v>
      </c>
      <c r="AH739" s="226">
        <v>0.73565267284571678</v>
      </c>
      <c r="AI739" s="27">
        <v>297500000</v>
      </c>
      <c r="AJ739" s="226">
        <v>42.764407630252101</v>
      </c>
      <c r="AK739" s="27">
        <v>3056970088.1443467</v>
      </c>
      <c r="AL739" s="226">
        <v>4.161771591858396</v>
      </c>
      <c r="AM739" s="27">
        <v>3529275253.3338032</v>
      </c>
      <c r="AN739" s="271">
        <v>3.6048226212966048</v>
      </c>
      <c r="AO739" s="27">
        <v>16092701</v>
      </c>
      <c r="AP739" s="27">
        <v>8.1999999999999993</v>
      </c>
      <c r="AQ739" s="27">
        <v>68.429268292682934</v>
      </c>
      <c r="AR739" s="27">
        <v>21.1</v>
      </c>
      <c r="AS739" s="29">
        <v>98.118610000000004</v>
      </c>
      <c r="AT739" s="270">
        <v>29</v>
      </c>
      <c r="AU739" s="464">
        <v>57.363105318322219</v>
      </c>
      <c r="AV739" s="29">
        <v>-1.0437228644659999</v>
      </c>
      <c r="AW739" s="29">
        <v>0.74874515291924304</v>
      </c>
      <c r="AX739" s="29">
        <v>-0.36180551130907501</v>
      </c>
      <c r="AY739" s="29">
        <v>-0.32490139377488098</v>
      </c>
      <c r="AZ739" s="60">
        <v>-0.88404358302178698</v>
      </c>
    </row>
    <row r="740" spans="1:52" ht="15" customHeight="1">
      <c r="A740" s="59" t="s">
        <v>266</v>
      </c>
      <c r="B740" s="27">
        <v>2009</v>
      </c>
      <c r="C740" s="27" t="s">
        <v>273</v>
      </c>
      <c r="D740" s="69" t="s">
        <v>34</v>
      </c>
      <c r="E740" s="27" t="s">
        <v>19</v>
      </c>
      <c r="F740" s="29" t="s">
        <v>784</v>
      </c>
      <c r="G740" s="18"/>
      <c r="H740" s="18"/>
      <c r="I740" s="18"/>
      <c r="J740" s="18"/>
      <c r="K740" s="29"/>
      <c r="L740" s="28">
        <v>7.95</v>
      </c>
      <c r="M740" s="27" t="s">
        <v>568</v>
      </c>
      <c r="N740" s="27" t="s">
        <v>785</v>
      </c>
      <c r="O740" s="18">
        <f>G742*L740</f>
        <v>6996000</v>
      </c>
      <c r="P740" s="244"/>
      <c r="Q740" s="244"/>
      <c r="R740" s="29"/>
      <c r="S740" s="29"/>
      <c r="T740" s="29"/>
      <c r="U740" s="29"/>
      <c r="V740" s="29"/>
      <c r="W740" s="72"/>
      <c r="X740" s="29"/>
      <c r="Y740" s="29"/>
      <c r="Z740" s="29"/>
      <c r="AA740" s="29"/>
      <c r="AB740" s="27" t="s">
        <v>1301</v>
      </c>
      <c r="AC740" s="273">
        <v>12722411270</v>
      </c>
      <c r="AD740" s="27">
        <v>115308661142.92726</v>
      </c>
      <c r="AE740" s="228">
        <v>0.11033352693454944</v>
      </c>
      <c r="AF740" s="27">
        <v>28308276310.588642</v>
      </c>
      <c r="AG740" s="226">
        <v>0.44942373496761484</v>
      </c>
      <c r="AH740" s="226">
        <v>0.73565267284571678</v>
      </c>
      <c r="AI740" s="27">
        <v>297500000</v>
      </c>
      <c r="AJ740" s="226">
        <v>42.764407630252101</v>
      </c>
      <c r="AK740" s="27">
        <v>3056970088.1443467</v>
      </c>
      <c r="AL740" s="226">
        <v>4.161771591858396</v>
      </c>
      <c r="AM740" s="27">
        <v>3529275253.3338032</v>
      </c>
      <c r="AN740" s="271">
        <v>3.6048226212966048</v>
      </c>
      <c r="AO740" s="27">
        <v>16092701</v>
      </c>
      <c r="AP740" s="27">
        <v>8.1999999999999993</v>
      </c>
      <c r="AQ740" s="27">
        <v>68.429268292682934</v>
      </c>
      <c r="AR740" s="27">
        <v>21.1</v>
      </c>
      <c r="AS740" s="29">
        <v>98.118610000000004</v>
      </c>
      <c r="AT740" s="270">
        <v>29</v>
      </c>
      <c r="AU740" s="464">
        <v>57.363105318322219</v>
      </c>
      <c r="AV740" s="29">
        <v>-1.0437228644659999</v>
      </c>
      <c r="AW740" s="29">
        <v>0.74874515291924304</v>
      </c>
      <c r="AX740" s="29">
        <v>-0.36180551130907501</v>
      </c>
      <c r="AY740" s="29">
        <v>-0.32490139377488098</v>
      </c>
      <c r="AZ740" s="60">
        <v>-0.88404358302178698</v>
      </c>
    </row>
    <row r="741" spans="1:52" ht="15" customHeight="1">
      <c r="A741" s="59" t="s">
        <v>266</v>
      </c>
      <c r="B741" s="27">
        <v>2009</v>
      </c>
      <c r="C741" s="27" t="s">
        <v>273</v>
      </c>
      <c r="D741" s="69" t="s">
        <v>34</v>
      </c>
      <c r="E741" s="27" t="s">
        <v>19</v>
      </c>
      <c r="F741" s="29" t="s">
        <v>982</v>
      </c>
      <c r="G741" s="18">
        <v>3439400</v>
      </c>
      <c r="H741" s="18"/>
      <c r="I741" s="18"/>
      <c r="J741" s="18"/>
      <c r="K741" s="29" t="s">
        <v>567</v>
      </c>
      <c r="L741" s="28"/>
      <c r="M741" s="29"/>
      <c r="N741" s="27" t="s">
        <v>788</v>
      </c>
      <c r="O741" s="18"/>
      <c r="P741" s="244"/>
      <c r="Q741" s="244"/>
      <c r="R741" s="29"/>
      <c r="S741" s="29"/>
      <c r="T741" s="29"/>
      <c r="U741" s="29"/>
      <c r="V741" s="29"/>
      <c r="W741" s="72"/>
      <c r="X741" s="29"/>
      <c r="Y741" s="29"/>
      <c r="Z741" s="29"/>
      <c r="AA741" s="29"/>
      <c r="AB741" s="27"/>
      <c r="AC741" s="273">
        <v>12722411270</v>
      </c>
      <c r="AD741" s="27">
        <v>115308661142.92726</v>
      </c>
      <c r="AE741" s="228">
        <v>0.11033352693454944</v>
      </c>
      <c r="AF741" s="27">
        <v>28308276310.588642</v>
      </c>
      <c r="AG741" s="226">
        <v>0.44942373496761484</v>
      </c>
      <c r="AH741" s="226">
        <v>0.73565267284571678</v>
      </c>
      <c r="AI741" s="27">
        <v>297500000</v>
      </c>
      <c r="AJ741" s="226">
        <v>42.764407630252101</v>
      </c>
      <c r="AK741" s="27">
        <v>3056970088.1443467</v>
      </c>
      <c r="AL741" s="226">
        <v>4.161771591858396</v>
      </c>
      <c r="AM741" s="27">
        <v>3529275253.3338032</v>
      </c>
      <c r="AN741" s="271">
        <v>3.6048226212966048</v>
      </c>
      <c r="AO741" s="27">
        <v>16092701</v>
      </c>
      <c r="AP741" s="27">
        <v>8.1999999999999993</v>
      </c>
      <c r="AQ741" s="27">
        <v>68.429268292682934</v>
      </c>
      <c r="AR741" s="27">
        <v>21.1</v>
      </c>
      <c r="AS741" s="29">
        <v>98.118610000000004</v>
      </c>
      <c r="AT741" s="270">
        <v>29</v>
      </c>
      <c r="AU741" s="464">
        <v>57.363105318322219</v>
      </c>
      <c r="AV741" s="29">
        <v>-1.0437228644659999</v>
      </c>
      <c r="AW741" s="29">
        <v>0.74874515291924304</v>
      </c>
      <c r="AX741" s="29">
        <v>-0.36180551130907501</v>
      </c>
      <c r="AY741" s="29">
        <v>-0.32490139377488098</v>
      </c>
      <c r="AZ741" s="60">
        <v>-0.88404358302178698</v>
      </c>
    </row>
    <row r="742" spans="1:52" ht="15" customHeight="1">
      <c r="A742" s="59" t="s">
        <v>266</v>
      </c>
      <c r="B742" s="27">
        <v>2009</v>
      </c>
      <c r="C742" s="27" t="s">
        <v>273</v>
      </c>
      <c r="D742" s="69" t="s">
        <v>34</v>
      </c>
      <c r="E742" s="27" t="s">
        <v>19</v>
      </c>
      <c r="F742" s="29" t="s">
        <v>1321</v>
      </c>
      <c r="G742" s="18">
        <v>880000</v>
      </c>
      <c r="H742" s="18"/>
      <c r="I742" s="18"/>
      <c r="J742" s="18"/>
      <c r="K742" s="29" t="s">
        <v>567</v>
      </c>
      <c r="L742" s="28"/>
      <c r="M742" s="29"/>
      <c r="N742" s="27" t="s">
        <v>788</v>
      </c>
      <c r="O742" s="18"/>
      <c r="P742" s="244"/>
      <c r="Q742" s="244"/>
      <c r="R742" s="29"/>
      <c r="S742" s="29"/>
      <c r="T742" s="29"/>
      <c r="U742" s="29"/>
      <c r="V742" s="29"/>
      <c r="W742" s="72"/>
      <c r="X742" s="29"/>
      <c r="Y742" s="29"/>
      <c r="Z742" s="29"/>
      <c r="AA742" s="29"/>
      <c r="AB742" s="27"/>
      <c r="AC742" s="273">
        <v>12722411270</v>
      </c>
      <c r="AD742" s="27">
        <v>115308661142.92726</v>
      </c>
      <c r="AE742" s="228">
        <v>0.11033352693454944</v>
      </c>
      <c r="AF742" s="27">
        <v>28308276310.588642</v>
      </c>
      <c r="AG742" s="226">
        <v>0.44942373496761484</v>
      </c>
      <c r="AH742" s="226">
        <v>0.73565267284571678</v>
      </c>
      <c r="AI742" s="27">
        <v>297500000</v>
      </c>
      <c r="AJ742" s="226">
        <v>42.764407630252101</v>
      </c>
      <c r="AK742" s="27">
        <v>3056970088.1443467</v>
      </c>
      <c r="AL742" s="226">
        <v>4.161771591858396</v>
      </c>
      <c r="AM742" s="27">
        <v>3529275253.3338032</v>
      </c>
      <c r="AN742" s="271">
        <v>3.6048226212966048</v>
      </c>
      <c r="AO742" s="27">
        <v>16092701</v>
      </c>
      <c r="AP742" s="27">
        <v>8.1999999999999993</v>
      </c>
      <c r="AQ742" s="27">
        <v>68.429268292682934</v>
      </c>
      <c r="AR742" s="27">
        <v>21.1</v>
      </c>
      <c r="AS742" s="29">
        <v>98.118610000000004</v>
      </c>
      <c r="AT742" s="270">
        <v>29</v>
      </c>
      <c r="AU742" s="464">
        <v>57.363105318322219</v>
      </c>
      <c r="AV742" s="29">
        <v>-1.0437228644659999</v>
      </c>
      <c r="AW742" s="29">
        <v>0.74874515291924304</v>
      </c>
      <c r="AX742" s="29">
        <v>-0.36180551130907501</v>
      </c>
      <c r="AY742" s="29">
        <v>-0.32490139377488098</v>
      </c>
      <c r="AZ742" s="60">
        <v>-0.88404358302178698</v>
      </c>
    </row>
    <row r="743" spans="1:52" ht="15" customHeight="1">
      <c r="A743" s="59" t="s">
        <v>266</v>
      </c>
      <c r="B743" s="27">
        <v>2009</v>
      </c>
      <c r="C743" s="27" t="s">
        <v>273</v>
      </c>
      <c r="D743" s="69" t="s">
        <v>34</v>
      </c>
      <c r="E743" s="27" t="s">
        <v>19</v>
      </c>
      <c r="F743" s="29" t="s">
        <v>1322</v>
      </c>
      <c r="G743" s="18">
        <v>500</v>
      </c>
      <c r="H743" s="18"/>
      <c r="I743" s="18"/>
      <c r="J743" s="18"/>
      <c r="K743" s="29" t="s">
        <v>567</v>
      </c>
      <c r="L743" s="44">
        <v>14654.629499999999</v>
      </c>
      <c r="M743" s="27" t="s">
        <v>568</v>
      </c>
      <c r="N743" s="27" t="s">
        <v>1323</v>
      </c>
      <c r="O743" s="18">
        <f>G743*L743</f>
        <v>7327314.75</v>
      </c>
      <c r="P743" s="244"/>
      <c r="Q743" s="244"/>
      <c r="R743" s="29"/>
      <c r="S743" s="29"/>
      <c r="T743" s="29"/>
      <c r="U743" s="29"/>
      <c r="V743" s="29"/>
      <c r="W743" s="72"/>
      <c r="X743" s="29"/>
      <c r="Y743" s="29"/>
      <c r="Z743" s="29"/>
      <c r="AA743" s="29"/>
      <c r="AB743" s="27" t="s">
        <v>1301</v>
      </c>
      <c r="AC743" s="273">
        <v>12722411270</v>
      </c>
      <c r="AD743" s="27">
        <v>115308661142.92726</v>
      </c>
      <c r="AE743" s="228">
        <v>0.11033352693454944</v>
      </c>
      <c r="AF743" s="27">
        <v>28308276310.588642</v>
      </c>
      <c r="AG743" s="226">
        <v>0.44942373496761484</v>
      </c>
      <c r="AH743" s="226">
        <v>0.73565267284571678</v>
      </c>
      <c r="AI743" s="27">
        <v>297500000</v>
      </c>
      <c r="AJ743" s="226">
        <v>42.764407630252101</v>
      </c>
      <c r="AK743" s="27">
        <v>3056970088.1443467</v>
      </c>
      <c r="AL743" s="226">
        <v>4.161771591858396</v>
      </c>
      <c r="AM743" s="27">
        <v>3529275253.3338032</v>
      </c>
      <c r="AN743" s="271">
        <v>3.6048226212966048</v>
      </c>
      <c r="AO743" s="27">
        <v>16092701</v>
      </c>
      <c r="AP743" s="27">
        <v>8.1999999999999993</v>
      </c>
      <c r="AQ743" s="27">
        <v>68.429268292682934</v>
      </c>
      <c r="AR743" s="27">
        <v>21.1</v>
      </c>
      <c r="AS743" s="29">
        <v>98.118610000000004</v>
      </c>
      <c r="AT743" s="270">
        <v>29</v>
      </c>
      <c r="AU743" s="464">
        <v>57.363105318322219</v>
      </c>
      <c r="AV743" s="29">
        <v>-1.0437228644659999</v>
      </c>
      <c r="AW743" s="29">
        <v>0.74874515291924304</v>
      </c>
      <c r="AX743" s="29">
        <v>-0.36180551130907501</v>
      </c>
      <c r="AY743" s="29">
        <v>-0.32490139377488098</v>
      </c>
      <c r="AZ743" s="60">
        <v>-0.88404358302178698</v>
      </c>
    </row>
    <row r="744" spans="1:52" ht="15" customHeight="1">
      <c r="A744" s="59" t="s">
        <v>266</v>
      </c>
      <c r="B744" s="27">
        <v>2009</v>
      </c>
      <c r="C744" s="27" t="s">
        <v>273</v>
      </c>
      <c r="D744" s="69" t="s">
        <v>34</v>
      </c>
      <c r="E744" s="27" t="s">
        <v>19</v>
      </c>
      <c r="F744" s="29" t="s">
        <v>1324</v>
      </c>
      <c r="G744" s="18">
        <v>1225000</v>
      </c>
      <c r="H744" s="18"/>
      <c r="I744" s="18"/>
      <c r="J744" s="18"/>
      <c r="K744" s="29" t="s">
        <v>567</v>
      </c>
      <c r="L744" s="28">
        <v>121.65625</v>
      </c>
      <c r="M744" s="29" t="s">
        <v>568</v>
      </c>
      <c r="N744" s="27" t="s">
        <v>1325</v>
      </c>
      <c r="O744" s="18">
        <f>G744*L744</f>
        <v>149028906.25</v>
      </c>
      <c r="P744" s="244"/>
      <c r="Q744" s="244"/>
      <c r="R744" s="29"/>
      <c r="S744" s="29"/>
      <c r="T744" s="29"/>
      <c r="U744" s="29"/>
      <c r="V744" s="29"/>
      <c r="W744" s="72"/>
      <c r="X744" s="29"/>
      <c r="Y744" s="29"/>
      <c r="Z744" s="29"/>
      <c r="AA744" s="29"/>
      <c r="AB744" s="27" t="s">
        <v>1301</v>
      </c>
      <c r="AC744" s="273">
        <v>12722411270</v>
      </c>
      <c r="AD744" s="27">
        <v>115308661142.92726</v>
      </c>
      <c r="AE744" s="228">
        <v>0.11033352693454944</v>
      </c>
      <c r="AF744" s="27">
        <v>28308276310.588642</v>
      </c>
      <c r="AG744" s="226">
        <v>0.44942373496761484</v>
      </c>
      <c r="AH744" s="226">
        <v>0.73565267284571678</v>
      </c>
      <c r="AI744" s="27">
        <v>297500000</v>
      </c>
      <c r="AJ744" s="226">
        <v>42.764407630252101</v>
      </c>
      <c r="AK744" s="27">
        <v>3056970088.1443467</v>
      </c>
      <c r="AL744" s="226">
        <v>4.161771591858396</v>
      </c>
      <c r="AM744" s="27">
        <v>3529275253.3338032</v>
      </c>
      <c r="AN744" s="271">
        <v>3.6048226212966048</v>
      </c>
      <c r="AO744" s="27">
        <v>16092701</v>
      </c>
      <c r="AP744" s="27">
        <v>8.1999999999999993</v>
      </c>
      <c r="AQ744" s="27">
        <v>68.429268292682934</v>
      </c>
      <c r="AR744" s="27">
        <v>21.1</v>
      </c>
      <c r="AS744" s="29">
        <v>98.118610000000004</v>
      </c>
      <c r="AT744" s="270">
        <v>29</v>
      </c>
      <c r="AU744" s="464">
        <v>57.363105318322219</v>
      </c>
      <c r="AV744" s="29">
        <v>-1.0437228644659999</v>
      </c>
      <c r="AW744" s="29">
        <v>0.74874515291924304</v>
      </c>
      <c r="AX744" s="29">
        <v>-0.36180551130907501</v>
      </c>
      <c r="AY744" s="29">
        <v>-0.32490139377488098</v>
      </c>
      <c r="AZ744" s="60">
        <v>-0.88404358302178698</v>
      </c>
    </row>
    <row r="745" spans="1:52" ht="15" customHeight="1">
      <c r="A745" s="59" t="s">
        <v>266</v>
      </c>
      <c r="B745" s="27">
        <v>2009</v>
      </c>
      <c r="C745" s="27" t="s">
        <v>273</v>
      </c>
      <c r="D745" s="69" t="s">
        <v>34</v>
      </c>
      <c r="E745" s="27" t="s">
        <v>19</v>
      </c>
      <c r="F745" s="29" t="s">
        <v>1326</v>
      </c>
      <c r="G745" s="18">
        <v>2996000</v>
      </c>
      <c r="H745" s="18"/>
      <c r="I745" s="18"/>
      <c r="J745" s="18"/>
      <c r="K745" s="29" t="s">
        <v>567</v>
      </c>
      <c r="L745" s="28"/>
      <c r="M745" s="29"/>
      <c r="N745" s="27" t="s">
        <v>788</v>
      </c>
      <c r="O745" s="18"/>
      <c r="P745" s="244"/>
      <c r="Q745" s="244"/>
      <c r="R745" s="29"/>
      <c r="S745" s="29"/>
      <c r="T745" s="29"/>
      <c r="U745" s="29"/>
      <c r="V745" s="29"/>
      <c r="W745" s="72"/>
      <c r="X745" s="29"/>
      <c r="Y745" s="29"/>
      <c r="Z745" s="29"/>
      <c r="AA745" s="29"/>
      <c r="AB745" s="27" t="s">
        <v>1301</v>
      </c>
      <c r="AC745" s="273">
        <v>12722411270</v>
      </c>
      <c r="AD745" s="27">
        <v>115308661142.92726</v>
      </c>
      <c r="AE745" s="228">
        <v>0.11033352693454944</v>
      </c>
      <c r="AF745" s="27">
        <v>28308276310.588642</v>
      </c>
      <c r="AG745" s="226">
        <v>0.44942373496761484</v>
      </c>
      <c r="AH745" s="226">
        <v>0.73565267284571678</v>
      </c>
      <c r="AI745" s="27">
        <v>297500000</v>
      </c>
      <c r="AJ745" s="226">
        <v>42.764407630252101</v>
      </c>
      <c r="AK745" s="27">
        <v>3056970088.1443467</v>
      </c>
      <c r="AL745" s="226">
        <v>4.161771591858396</v>
      </c>
      <c r="AM745" s="27">
        <v>3529275253.3338032</v>
      </c>
      <c r="AN745" s="271">
        <v>3.6048226212966048</v>
      </c>
      <c r="AO745" s="27">
        <v>16092701</v>
      </c>
      <c r="AP745" s="27">
        <v>8.1999999999999993</v>
      </c>
      <c r="AQ745" s="27">
        <v>68.429268292682934</v>
      </c>
      <c r="AR745" s="27">
        <v>21.1</v>
      </c>
      <c r="AS745" s="29">
        <v>98.118610000000004</v>
      </c>
      <c r="AT745" s="270">
        <v>29</v>
      </c>
      <c r="AU745" s="464">
        <v>57.363105318322219</v>
      </c>
      <c r="AV745" s="29">
        <v>-1.0437228644659999</v>
      </c>
      <c r="AW745" s="29">
        <v>0.74874515291924304</v>
      </c>
      <c r="AX745" s="29">
        <v>-0.36180551130907501</v>
      </c>
      <c r="AY745" s="29">
        <v>-0.32490139377488098</v>
      </c>
      <c r="AZ745" s="60">
        <v>-0.88404358302178698</v>
      </c>
    </row>
    <row r="746" spans="1:52" ht="15" customHeight="1">
      <c r="A746" s="59" t="s">
        <v>266</v>
      </c>
      <c r="B746" s="27">
        <v>2009</v>
      </c>
      <c r="C746" s="27" t="s">
        <v>273</v>
      </c>
      <c r="D746" s="69" t="s">
        <v>34</v>
      </c>
      <c r="E746" s="27" t="s">
        <v>19</v>
      </c>
      <c r="F746" s="29" t="s">
        <v>1327</v>
      </c>
      <c r="G746" s="18">
        <v>16800</v>
      </c>
      <c r="H746" s="18"/>
      <c r="I746" s="18"/>
      <c r="J746" s="18"/>
      <c r="K746" s="29" t="s">
        <v>567</v>
      </c>
      <c r="L746" s="28">
        <v>15580</v>
      </c>
      <c r="M746" s="29" t="s">
        <v>568</v>
      </c>
      <c r="N746" s="27" t="s">
        <v>1328</v>
      </c>
      <c r="O746" s="18">
        <f>G746*L746</f>
        <v>261744000</v>
      </c>
      <c r="P746" s="244"/>
      <c r="Q746" s="244"/>
      <c r="R746" s="29"/>
      <c r="S746" s="29"/>
      <c r="T746" s="29"/>
      <c r="U746" s="29"/>
      <c r="V746" s="29"/>
      <c r="W746" s="72"/>
      <c r="X746" s="29"/>
      <c r="Y746" s="29"/>
      <c r="Z746" s="29"/>
      <c r="AA746" s="29"/>
      <c r="AB746" s="27" t="s">
        <v>1301</v>
      </c>
      <c r="AC746" s="273">
        <v>12722411270</v>
      </c>
      <c r="AD746" s="27">
        <v>115308661142.92726</v>
      </c>
      <c r="AE746" s="228">
        <v>0.11033352693454944</v>
      </c>
      <c r="AF746" s="27">
        <v>28308276310.588642</v>
      </c>
      <c r="AG746" s="226">
        <v>0.44942373496761484</v>
      </c>
      <c r="AH746" s="226">
        <v>0.73565267284571678</v>
      </c>
      <c r="AI746" s="27">
        <v>297500000</v>
      </c>
      <c r="AJ746" s="226">
        <v>42.764407630252101</v>
      </c>
      <c r="AK746" s="27">
        <v>3056970088.1443467</v>
      </c>
      <c r="AL746" s="226">
        <v>4.161771591858396</v>
      </c>
      <c r="AM746" s="27">
        <v>3529275253.3338032</v>
      </c>
      <c r="AN746" s="271">
        <v>3.6048226212966048</v>
      </c>
      <c r="AO746" s="27">
        <v>16092701</v>
      </c>
      <c r="AP746" s="27">
        <v>8.1999999999999993</v>
      </c>
      <c r="AQ746" s="27">
        <v>68.429268292682934</v>
      </c>
      <c r="AR746" s="27">
        <v>21.1</v>
      </c>
      <c r="AS746" s="29">
        <v>98.118610000000004</v>
      </c>
      <c r="AT746" s="270">
        <v>29</v>
      </c>
      <c r="AU746" s="464">
        <v>57.363105318322219</v>
      </c>
      <c r="AV746" s="29">
        <v>-1.0437228644659999</v>
      </c>
      <c r="AW746" s="29">
        <v>0.74874515291924304</v>
      </c>
      <c r="AX746" s="29">
        <v>-0.36180551130907501</v>
      </c>
      <c r="AY746" s="29">
        <v>-0.32490139377488098</v>
      </c>
      <c r="AZ746" s="60">
        <v>-0.88404358302178698</v>
      </c>
    </row>
    <row r="747" spans="1:52" ht="15" customHeight="1">
      <c r="A747" s="59" t="s">
        <v>266</v>
      </c>
      <c r="B747" s="27">
        <v>2009</v>
      </c>
      <c r="C747" s="27" t="s">
        <v>273</v>
      </c>
      <c r="D747" s="69" t="s">
        <v>34</v>
      </c>
      <c r="E747" s="27" t="s">
        <v>19</v>
      </c>
      <c r="F747" s="29" t="s">
        <v>790</v>
      </c>
      <c r="G747" s="18"/>
      <c r="H747" s="18"/>
      <c r="I747" s="18"/>
      <c r="J747" s="18"/>
      <c r="K747" s="29"/>
      <c r="L747" s="44">
        <f>1655.11441666667</f>
        <v>1655.11441666667</v>
      </c>
      <c r="M747" s="27" t="s">
        <v>568</v>
      </c>
      <c r="N747" s="27" t="s">
        <v>1329</v>
      </c>
      <c r="O747" s="18">
        <f>G749*L747</f>
        <v>542667329.13575113</v>
      </c>
      <c r="P747" s="244"/>
      <c r="Q747" s="244"/>
      <c r="R747" s="29"/>
      <c r="S747" s="29"/>
      <c r="T747" s="29"/>
      <c r="U747" s="29"/>
      <c r="V747" s="29"/>
      <c r="W747" s="72"/>
      <c r="X747" s="29"/>
      <c r="Y747" s="29"/>
      <c r="Z747" s="29"/>
      <c r="AA747" s="29"/>
      <c r="AB747" s="27" t="s">
        <v>1309</v>
      </c>
      <c r="AC747" s="273">
        <v>12722411270</v>
      </c>
      <c r="AD747" s="27">
        <v>115308661142.92726</v>
      </c>
      <c r="AE747" s="228">
        <v>0.11033352693454944</v>
      </c>
      <c r="AF747" s="27">
        <v>28308276310.588642</v>
      </c>
      <c r="AG747" s="226">
        <v>0.44942373496761484</v>
      </c>
      <c r="AH747" s="226">
        <v>0.73565267284571678</v>
      </c>
      <c r="AI747" s="27">
        <v>297500000</v>
      </c>
      <c r="AJ747" s="226">
        <v>42.764407630252101</v>
      </c>
      <c r="AK747" s="27">
        <v>3056970088.1443467</v>
      </c>
      <c r="AL747" s="226">
        <v>4.161771591858396</v>
      </c>
      <c r="AM747" s="27">
        <v>3529275253.3338032</v>
      </c>
      <c r="AN747" s="271">
        <v>3.6048226212966048</v>
      </c>
      <c r="AO747" s="27">
        <v>16092701</v>
      </c>
      <c r="AP747" s="27">
        <v>8.1999999999999993</v>
      </c>
      <c r="AQ747" s="27">
        <v>68.429268292682934</v>
      </c>
      <c r="AR747" s="27">
        <v>21.1</v>
      </c>
      <c r="AS747" s="29">
        <v>98.118610000000004</v>
      </c>
      <c r="AT747" s="270">
        <v>29</v>
      </c>
      <c r="AU747" s="464">
        <v>57.363105318322219</v>
      </c>
      <c r="AV747" s="29">
        <v>-1.0437228644659999</v>
      </c>
      <c r="AW747" s="29">
        <v>0.74874515291924304</v>
      </c>
      <c r="AX747" s="29">
        <v>-0.36180551130907501</v>
      </c>
      <c r="AY747" s="29">
        <v>-0.32490139377488098</v>
      </c>
      <c r="AZ747" s="60">
        <v>-0.88404358302178698</v>
      </c>
    </row>
    <row r="748" spans="1:52" ht="15" customHeight="1">
      <c r="A748" s="59" t="s">
        <v>266</v>
      </c>
      <c r="B748" s="27">
        <v>2009</v>
      </c>
      <c r="C748" s="27" t="s">
        <v>273</v>
      </c>
      <c r="D748" s="69" t="s">
        <v>34</v>
      </c>
      <c r="E748" s="27" t="s">
        <v>19</v>
      </c>
      <c r="F748" s="29" t="s">
        <v>1330</v>
      </c>
      <c r="G748" s="18">
        <v>410000</v>
      </c>
      <c r="H748" s="18"/>
      <c r="I748" s="18"/>
      <c r="J748" s="18"/>
      <c r="K748" s="18" t="s">
        <v>567</v>
      </c>
      <c r="L748" s="28"/>
      <c r="M748" s="29"/>
      <c r="N748" s="27" t="s">
        <v>788</v>
      </c>
      <c r="O748" s="18"/>
      <c r="P748" s="244"/>
      <c r="Q748" s="244"/>
      <c r="R748" s="29"/>
      <c r="S748" s="29"/>
      <c r="T748" s="29"/>
      <c r="U748" s="29"/>
      <c r="V748" s="29"/>
      <c r="W748" s="72"/>
      <c r="X748" s="29"/>
      <c r="Y748" s="29"/>
      <c r="Z748" s="29"/>
      <c r="AA748" s="29"/>
      <c r="AB748" s="27"/>
      <c r="AC748" s="273">
        <v>12722411270</v>
      </c>
      <c r="AD748" s="27">
        <v>115308661142.92726</v>
      </c>
      <c r="AE748" s="228">
        <v>0.11033352693454944</v>
      </c>
      <c r="AF748" s="27">
        <v>28308276310.588642</v>
      </c>
      <c r="AG748" s="226">
        <v>0.44942373496761484</v>
      </c>
      <c r="AH748" s="226">
        <v>0.73565267284571678</v>
      </c>
      <c r="AI748" s="27">
        <v>297500000</v>
      </c>
      <c r="AJ748" s="226">
        <v>42.764407630252101</v>
      </c>
      <c r="AK748" s="27">
        <v>3056970088.1443467</v>
      </c>
      <c r="AL748" s="226">
        <v>4.161771591858396</v>
      </c>
      <c r="AM748" s="27">
        <v>3529275253.3338032</v>
      </c>
      <c r="AN748" s="271">
        <v>3.6048226212966048</v>
      </c>
      <c r="AO748" s="27">
        <v>16092701</v>
      </c>
      <c r="AP748" s="27">
        <v>8.1999999999999993</v>
      </c>
      <c r="AQ748" s="27">
        <v>68.429268292682934</v>
      </c>
      <c r="AR748" s="27">
        <v>21.1</v>
      </c>
      <c r="AS748" s="29">
        <v>98.118610000000004</v>
      </c>
      <c r="AT748" s="270">
        <v>29</v>
      </c>
      <c r="AU748" s="464">
        <v>57.363105318322219</v>
      </c>
      <c r="AV748" s="29">
        <v>-1.0437228644659999</v>
      </c>
      <c r="AW748" s="29">
        <v>0.74874515291924304</v>
      </c>
      <c r="AX748" s="29">
        <v>-0.36180551130907501</v>
      </c>
      <c r="AY748" s="29">
        <v>-0.32490139377488098</v>
      </c>
      <c r="AZ748" s="60">
        <v>-0.88404358302178698</v>
      </c>
    </row>
    <row r="749" spans="1:52" s="287" customFormat="1" ht="15" customHeight="1">
      <c r="A749" s="344" t="s">
        <v>266</v>
      </c>
      <c r="B749" s="284">
        <v>2009</v>
      </c>
      <c r="C749" s="284" t="s">
        <v>273</v>
      </c>
      <c r="D749" s="369" t="s">
        <v>34</v>
      </c>
      <c r="E749" s="284" t="s">
        <v>19</v>
      </c>
      <c r="F749" s="287" t="s">
        <v>1331</v>
      </c>
      <c r="G749" s="305">
        <v>327873</v>
      </c>
      <c r="H749" s="305"/>
      <c r="I749" s="305"/>
      <c r="J749" s="305"/>
      <c r="K749" s="305" t="s">
        <v>567</v>
      </c>
      <c r="L749" s="304"/>
      <c r="N749" s="284" t="s">
        <v>788</v>
      </c>
      <c r="O749" s="305"/>
      <c r="P749" s="374"/>
      <c r="Q749" s="374"/>
      <c r="W749" s="397"/>
      <c r="AB749" s="284"/>
      <c r="AC749" s="308">
        <v>12722411270</v>
      </c>
      <c r="AD749" s="284">
        <v>115308661142.92726</v>
      </c>
      <c r="AE749" s="309">
        <v>0.11033352693454944</v>
      </c>
      <c r="AF749" s="284">
        <v>28308276310.588642</v>
      </c>
      <c r="AG749" s="310">
        <v>0.44942373496761484</v>
      </c>
      <c r="AH749" s="310">
        <v>0.73565267284571678</v>
      </c>
      <c r="AI749" s="284">
        <v>297500000</v>
      </c>
      <c r="AJ749" s="310">
        <v>42.764407630252101</v>
      </c>
      <c r="AK749" s="284">
        <v>3056970088.1443467</v>
      </c>
      <c r="AL749" s="310">
        <v>4.161771591858396</v>
      </c>
      <c r="AM749" s="284">
        <v>3529275253.3338032</v>
      </c>
      <c r="AN749" s="311">
        <v>3.6048226212966048</v>
      </c>
      <c r="AO749" s="284">
        <v>16092701</v>
      </c>
      <c r="AP749" s="284">
        <v>8.1999999999999993</v>
      </c>
      <c r="AQ749" s="284">
        <v>68.429268292682934</v>
      </c>
      <c r="AR749" s="284">
        <v>21.1</v>
      </c>
      <c r="AS749" s="287">
        <v>98.118610000000004</v>
      </c>
      <c r="AT749" s="312">
        <v>29</v>
      </c>
      <c r="AU749" s="465">
        <v>57.363105318322219</v>
      </c>
      <c r="AV749" s="287">
        <v>-1.0437228644659999</v>
      </c>
      <c r="AW749" s="287">
        <v>0.74874515291924304</v>
      </c>
      <c r="AX749" s="287">
        <v>-0.36180551130907501</v>
      </c>
      <c r="AY749" s="287">
        <v>-0.32490139377488098</v>
      </c>
      <c r="AZ749" s="313">
        <v>-0.88404358302178698</v>
      </c>
    </row>
    <row r="750" spans="1:52" s="29" customFormat="1" ht="15" customHeight="1">
      <c r="A750" s="332" t="s">
        <v>268</v>
      </c>
      <c r="B750" s="27">
        <v>2010</v>
      </c>
      <c r="C750" s="27" t="s">
        <v>273</v>
      </c>
      <c r="D750" s="69" t="s">
        <v>34</v>
      </c>
      <c r="E750" s="27" t="s">
        <v>30</v>
      </c>
      <c r="F750" s="27" t="s">
        <v>659</v>
      </c>
      <c r="G750" s="43"/>
      <c r="H750" s="43"/>
      <c r="I750" s="43"/>
      <c r="J750" s="43"/>
      <c r="K750" s="27"/>
      <c r="L750" s="28"/>
      <c r="M750" s="27"/>
      <c r="N750" s="27"/>
      <c r="O750" s="18">
        <f>O751+O754</f>
        <v>68560811535.392632</v>
      </c>
      <c r="P750" s="213">
        <v>20754211560</v>
      </c>
      <c r="Q750" s="213">
        <v>20787323350</v>
      </c>
      <c r="R750" s="27" t="s">
        <v>619</v>
      </c>
      <c r="S750" s="27"/>
      <c r="T750" s="18"/>
      <c r="U750" s="27" t="s">
        <v>1211</v>
      </c>
      <c r="V750" s="27" t="s">
        <v>1284</v>
      </c>
      <c r="W750" s="30">
        <v>145.5</v>
      </c>
      <c r="X750" s="27">
        <v>173</v>
      </c>
      <c r="Y750" s="27" t="s">
        <v>1332</v>
      </c>
      <c r="Z750" s="27">
        <v>164</v>
      </c>
      <c r="AA750" s="54" t="s">
        <v>760</v>
      </c>
      <c r="AB750" s="27" t="s">
        <v>1333</v>
      </c>
      <c r="AC750" s="273">
        <v>20754211560</v>
      </c>
      <c r="AD750" s="27">
        <v>148047348240.64334</v>
      </c>
      <c r="AE750" s="228">
        <v>0.14018631070828164</v>
      </c>
      <c r="AF750" s="27">
        <v>41577617279.902275</v>
      </c>
      <c r="AG750" s="226">
        <v>0.49916789171158538</v>
      </c>
      <c r="AH750" s="226">
        <v>0.77019375904808951</v>
      </c>
      <c r="AI750" s="27">
        <v>223930000</v>
      </c>
      <c r="AJ750" s="226">
        <v>92.681693207698828</v>
      </c>
      <c r="AK750" s="27">
        <v>3741479420.4472179</v>
      </c>
      <c r="AL750" s="226">
        <v>5.5470601940446471</v>
      </c>
      <c r="AM750" s="27" t="s">
        <v>2842</v>
      </c>
      <c r="AN750" s="271" t="s">
        <v>2842</v>
      </c>
      <c r="AO750" s="27">
        <v>16321581</v>
      </c>
      <c r="AP750" s="27">
        <v>6.5</v>
      </c>
      <c r="AQ750" s="27">
        <v>68.295365853658538</v>
      </c>
      <c r="AR750" s="27">
        <v>19.3</v>
      </c>
      <c r="AS750" s="29">
        <v>97.410539999999997</v>
      </c>
      <c r="AT750" s="270">
        <v>29</v>
      </c>
      <c r="AU750" s="464">
        <v>57.363105318322219</v>
      </c>
      <c r="AV750" s="29">
        <v>-1.1020684613614</v>
      </c>
      <c r="AW750" s="29">
        <v>0.45235036310351401</v>
      </c>
      <c r="AX750" s="29">
        <v>-0.42554743484187901</v>
      </c>
      <c r="AY750" s="29">
        <v>-0.336527196038655</v>
      </c>
      <c r="AZ750" s="60">
        <v>-0.97534524891083396</v>
      </c>
    </row>
    <row r="751" spans="1:52" s="29" customFormat="1" ht="15" customHeight="1">
      <c r="A751" s="59" t="s">
        <v>268</v>
      </c>
      <c r="B751" s="27">
        <v>2010</v>
      </c>
      <c r="C751" s="27" t="s">
        <v>273</v>
      </c>
      <c r="D751" s="69" t="s">
        <v>34</v>
      </c>
      <c r="E751" s="27" t="s">
        <v>50</v>
      </c>
      <c r="F751" s="27" t="s">
        <v>597</v>
      </c>
      <c r="G751" s="43"/>
      <c r="H751" s="43"/>
      <c r="I751" s="43"/>
      <c r="J751" s="43"/>
      <c r="K751" s="27"/>
      <c r="L751" s="28"/>
      <c r="M751" s="27"/>
      <c r="N751" s="27"/>
      <c r="O751" s="18">
        <f>SUM(O752:O753)</f>
        <v>53265113965.715019</v>
      </c>
      <c r="P751" s="213">
        <v>17840438480</v>
      </c>
      <c r="Q751" s="213">
        <v>17844153130</v>
      </c>
      <c r="R751" s="27"/>
      <c r="S751" s="27"/>
      <c r="T751" s="18"/>
      <c r="U751" s="27"/>
      <c r="V751" s="27"/>
      <c r="W751" s="30"/>
      <c r="X751" s="27">
        <v>72</v>
      </c>
      <c r="Y751" s="27" t="s">
        <v>1334</v>
      </c>
      <c r="Z751" s="27">
        <v>71</v>
      </c>
      <c r="AA751" s="54" t="s">
        <v>1335</v>
      </c>
      <c r="AB751" s="27"/>
      <c r="AC751" s="273">
        <v>20754211560</v>
      </c>
      <c r="AD751" s="27">
        <v>148047348240.64334</v>
      </c>
      <c r="AE751" s="228">
        <v>0.14018631070828164</v>
      </c>
      <c r="AF751" s="27">
        <v>41577617279.902275</v>
      </c>
      <c r="AG751" s="226">
        <v>0.49916789171158538</v>
      </c>
      <c r="AH751" s="226">
        <v>0.77019375904808951</v>
      </c>
      <c r="AI751" s="27">
        <v>223930000</v>
      </c>
      <c r="AJ751" s="226">
        <v>92.681693207698828</v>
      </c>
      <c r="AK751" s="27">
        <v>3741479420.4472179</v>
      </c>
      <c r="AL751" s="226">
        <v>5.5470601940446471</v>
      </c>
      <c r="AM751" s="27" t="s">
        <v>2842</v>
      </c>
      <c r="AN751" s="271" t="s">
        <v>2842</v>
      </c>
      <c r="AO751" s="27">
        <v>16321581</v>
      </c>
      <c r="AP751" s="27">
        <v>6.5</v>
      </c>
      <c r="AQ751" s="27">
        <v>68.295365853658538</v>
      </c>
      <c r="AR751" s="27">
        <v>19.3</v>
      </c>
      <c r="AS751" s="29">
        <v>97.410539999999997</v>
      </c>
      <c r="AT751" s="270">
        <v>29</v>
      </c>
      <c r="AU751" s="464">
        <v>57.363105318322219</v>
      </c>
      <c r="AV751" s="29">
        <v>-1.1020684613614</v>
      </c>
      <c r="AW751" s="29">
        <v>0.45235036310351401</v>
      </c>
      <c r="AX751" s="29">
        <v>-0.42554743484187901</v>
      </c>
      <c r="AY751" s="29">
        <v>-0.336527196038655</v>
      </c>
      <c r="AZ751" s="60">
        <v>-0.97534524891083396</v>
      </c>
    </row>
    <row r="752" spans="1:52" s="29" customFormat="1" ht="15" customHeight="1">
      <c r="A752" s="59" t="s">
        <v>268</v>
      </c>
      <c r="B752" s="27">
        <v>2010</v>
      </c>
      <c r="C752" s="27" t="s">
        <v>273</v>
      </c>
      <c r="D752" s="69" t="s">
        <v>34</v>
      </c>
      <c r="E752" s="27" t="s">
        <v>552</v>
      </c>
      <c r="F752" s="27" t="s">
        <v>552</v>
      </c>
      <c r="G752" s="43">
        <v>15900000000</v>
      </c>
      <c r="H752" s="43"/>
      <c r="I752" s="43"/>
      <c r="J752" s="43"/>
      <c r="K752" s="27" t="s">
        <v>599</v>
      </c>
      <c r="L752" s="28">
        <v>0.1741077336927683</v>
      </c>
      <c r="M752" s="27" t="s">
        <v>600</v>
      </c>
      <c r="N752" s="27" t="s">
        <v>685</v>
      </c>
      <c r="O752" s="18">
        <f>G752*L752</f>
        <v>2768312965.7150159</v>
      </c>
      <c r="P752" s="213"/>
      <c r="Q752" s="213"/>
      <c r="R752" s="27"/>
      <c r="S752" s="27"/>
      <c r="T752" s="18"/>
      <c r="U752" s="27"/>
      <c r="V752" s="27"/>
      <c r="W752" s="30"/>
      <c r="X752" s="27"/>
      <c r="Y752" s="27"/>
      <c r="Z752" s="27"/>
      <c r="AA752" s="54"/>
      <c r="AB752" s="27"/>
      <c r="AC752" s="273">
        <v>20754211560</v>
      </c>
      <c r="AD752" s="27">
        <v>148047348240.64334</v>
      </c>
      <c r="AE752" s="228">
        <v>0.14018631070828164</v>
      </c>
      <c r="AF752" s="27">
        <v>41577617279.902275</v>
      </c>
      <c r="AG752" s="226">
        <v>0.49916789171158538</v>
      </c>
      <c r="AH752" s="226">
        <v>0.77019375904808951</v>
      </c>
      <c r="AI752" s="27">
        <v>223930000</v>
      </c>
      <c r="AJ752" s="226">
        <v>92.681693207698828</v>
      </c>
      <c r="AK752" s="27">
        <v>3741479420.4472179</v>
      </c>
      <c r="AL752" s="226">
        <v>5.5470601940446471</v>
      </c>
      <c r="AM752" s="27" t="s">
        <v>2842</v>
      </c>
      <c r="AN752" s="271" t="s">
        <v>2842</v>
      </c>
      <c r="AO752" s="27">
        <v>16321581</v>
      </c>
      <c r="AP752" s="27">
        <v>6.5</v>
      </c>
      <c r="AQ752" s="27">
        <v>68.295365853658538</v>
      </c>
      <c r="AR752" s="27">
        <v>19.3</v>
      </c>
      <c r="AS752" s="29">
        <v>97.410539999999997</v>
      </c>
      <c r="AT752" s="270">
        <v>29</v>
      </c>
      <c r="AU752" s="464">
        <v>57.363105318322219</v>
      </c>
      <c r="AV752" s="29">
        <v>-1.1020684613614</v>
      </c>
      <c r="AW752" s="29">
        <v>0.45235036310351401</v>
      </c>
      <c r="AX752" s="29">
        <v>-0.42554743484187901</v>
      </c>
      <c r="AY752" s="29">
        <v>-0.336527196038655</v>
      </c>
      <c r="AZ752" s="60">
        <v>-0.97534524891083396</v>
      </c>
    </row>
    <row r="753" spans="1:52" s="29" customFormat="1" ht="15" customHeight="1">
      <c r="A753" s="59" t="s">
        <v>268</v>
      </c>
      <c r="B753" s="27">
        <v>2010</v>
      </c>
      <c r="C753" s="27" t="s">
        <v>273</v>
      </c>
      <c r="D753" s="69" t="s">
        <v>34</v>
      </c>
      <c r="E753" s="27" t="s">
        <v>98</v>
      </c>
      <c r="F753" s="27" t="s">
        <v>98</v>
      </c>
      <c r="G753" s="43">
        <v>635100000</v>
      </c>
      <c r="H753" s="43"/>
      <c r="I753" s="43"/>
      <c r="J753" s="43"/>
      <c r="K753" s="27" t="s">
        <v>603</v>
      </c>
      <c r="L753" s="28">
        <v>79.510000000000005</v>
      </c>
      <c r="M753" s="27" t="s">
        <v>626</v>
      </c>
      <c r="N753" s="27" t="s">
        <v>687</v>
      </c>
      <c r="O753" s="18">
        <f>G753*L753</f>
        <v>50496801000</v>
      </c>
      <c r="P753" s="213"/>
      <c r="Q753" s="213"/>
      <c r="R753" s="27"/>
      <c r="S753" s="27"/>
      <c r="T753" s="18"/>
      <c r="U753" s="27"/>
      <c r="V753" s="27"/>
      <c r="W753" s="30"/>
      <c r="X753" s="27"/>
      <c r="Y753" s="27"/>
      <c r="Z753" s="27"/>
      <c r="AA753" s="54"/>
      <c r="AB753" s="27"/>
      <c r="AC753" s="273">
        <v>20754211560</v>
      </c>
      <c r="AD753" s="27">
        <v>148047348240.64334</v>
      </c>
      <c r="AE753" s="228">
        <v>0.14018631070828164</v>
      </c>
      <c r="AF753" s="27">
        <v>41577617279.902275</v>
      </c>
      <c r="AG753" s="226">
        <v>0.49916789171158538</v>
      </c>
      <c r="AH753" s="226">
        <v>0.77019375904808951</v>
      </c>
      <c r="AI753" s="27">
        <v>223930000</v>
      </c>
      <c r="AJ753" s="226">
        <v>92.681693207698828</v>
      </c>
      <c r="AK753" s="27">
        <v>3741479420.4472179</v>
      </c>
      <c r="AL753" s="226">
        <v>5.5470601940446471</v>
      </c>
      <c r="AM753" s="27" t="s">
        <v>2842</v>
      </c>
      <c r="AN753" s="271" t="s">
        <v>2842</v>
      </c>
      <c r="AO753" s="27">
        <v>16321581</v>
      </c>
      <c r="AP753" s="27">
        <v>6.5</v>
      </c>
      <c r="AQ753" s="27">
        <v>68.295365853658538</v>
      </c>
      <c r="AR753" s="27">
        <v>19.3</v>
      </c>
      <c r="AS753" s="29">
        <v>97.410539999999997</v>
      </c>
      <c r="AT753" s="270">
        <v>29</v>
      </c>
      <c r="AU753" s="464">
        <v>57.363105318322219</v>
      </c>
      <c r="AV753" s="29">
        <v>-1.1020684613614</v>
      </c>
      <c r="AW753" s="29">
        <v>0.45235036310351401</v>
      </c>
      <c r="AX753" s="29">
        <v>-0.42554743484187901</v>
      </c>
      <c r="AY753" s="29">
        <v>-0.336527196038655</v>
      </c>
      <c r="AZ753" s="60">
        <v>-0.97534524891083396</v>
      </c>
    </row>
    <row r="754" spans="1:52" s="29" customFormat="1" ht="15" customHeight="1">
      <c r="A754" s="59" t="s">
        <v>268</v>
      </c>
      <c r="B754" s="27">
        <v>2010</v>
      </c>
      <c r="C754" s="27" t="s">
        <v>273</v>
      </c>
      <c r="D754" s="69" t="s">
        <v>34</v>
      </c>
      <c r="E754" s="27" t="s">
        <v>19</v>
      </c>
      <c r="F754" s="29" t="s">
        <v>559</v>
      </c>
      <c r="G754" s="18"/>
      <c r="H754" s="18"/>
      <c r="I754" s="18"/>
      <c r="J754" s="18"/>
      <c r="L754" s="28"/>
      <c r="O754" s="18">
        <f>SUM(O755:O785)</f>
        <v>15295697569.67761</v>
      </c>
      <c r="P754" s="213">
        <v>2913773079</v>
      </c>
      <c r="Q754" s="213">
        <v>2943170222</v>
      </c>
      <c r="W754" s="72"/>
      <c r="X754" s="27">
        <v>101</v>
      </c>
      <c r="Y754" s="27" t="s">
        <v>1336</v>
      </c>
      <c r="Z754" s="27">
        <v>92</v>
      </c>
      <c r="AA754" s="27">
        <v>29</v>
      </c>
      <c r="AC754" s="273">
        <v>20754211560</v>
      </c>
      <c r="AD754" s="27">
        <v>148047348240.64334</v>
      </c>
      <c r="AE754" s="228">
        <v>0.14018631070828164</v>
      </c>
      <c r="AF754" s="27">
        <v>41577617279.902275</v>
      </c>
      <c r="AG754" s="226">
        <v>0.49916789171158538</v>
      </c>
      <c r="AH754" s="226">
        <v>0.77019375904808951</v>
      </c>
      <c r="AI754" s="27">
        <v>223930000</v>
      </c>
      <c r="AJ754" s="226">
        <v>92.681693207698828</v>
      </c>
      <c r="AK754" s="27">
        <v>3741479420.4472179</v>
      </c>
      <c r="AL754" s="226">
        <v>5.5470601940446471</v>
      </c>
      <c r="AM754" s="27" t="s">
        <v>2842</v>
      </c>
      <c r="AN754" s="271" t="s">
        <v>2842</v>
      </c>
      <c r="AO754" s="27">
        <v>16321581</v>
      </c>
      <c r="AP754" s="27">
        <v>6.5</v>
      </c>
      <c r="AQ754" s="27">
        <v>68.295365853658538</v>
      </c>
      <c r="AR754" s="27">
        <v>19.3</v>
      </c>
      <c r="AS754" s="29">
        <v>97.410539999999997</v>
      </c>
      <c r="AT754" s="270">
        <v>29</v>
      </c>
      <c r="AU754" s="464">
        <v>57.363105318322219</v>
      </c>
      <c r="AV754" s="29">
        <v>-1.1020684613614</v>
      </c>
      <c r="AW754" s="29">
        <v>0.45235036310351401</v>
      </c>
      <c r="AX754" s="29">
        <v>-0.42554743484187901</v>
      </c>
      <c r="AY754" s="29">
        <v>-0.336527196038655</v>
      </c>
      <c r="AZ754" s="60">
        <v>-0.97534524891083396</v>
      </c>
    </row>
    <row r="755" spans="1:52" s="29" customFormat="1" ht="15" customHeight="1">
      <c r="A755" s="59" t="s">
        <v>268</v>
      </c>
      <c r="B755" s="27">
        <v>2010</v>
      </c>
      <c r="C755" s="27" t="s">
        <v>273</v>
      </c>
      <c r="D755" s="69" t="s">
        <v>34</v>
      </c>
      <c r="E755" s="27" t="s">
        <v>19</v>
      </c>
      <c r="F755" s="29" t="s">
        <v>1299</v>
      </c>
      <c r="G755" s="18">
        <v>214100</v>
      </c>
      <c r="H755" s="18"/>
      <c r="I755" s="18"/>
      <c r="J755" s="18"/>
      <c r="K755" s="29" t="s">
        <v>567</v>
      </c>
      <c r="L755" s="28">
        <v>786</v>
      </c>
      <c r="M755" s="27" t="s">
        <v>568</v>
      </c>
      <c r="N755" s="27" t="s">
        <v>1300</v>
      </c>
      <c r="O755" s="18">
        <f>G755*L755</f>
        <v>168282600</v>
      </c>
      <c r="P755" s="244"/>
      <c r="Q755" s="244"/>
      <c r="W755" s="72"/>
      <c r="AB755" s="27"/>
      <c r="AC755" s="273">
        <v>20754211560</v>
      </c>
      <c r="AD755" s="27">
        <v>148047348240.64334</v>
      </c>
      <c r="AE755" s="228">
        <v>0.14018631070828164</v>
      </c>
      <c r="AF755" s="27">
        <v>41577617279.902275</v>
      </c>
      <c r="AG755" s="226">
        <v>0.49916789171158538</v>
      </c>
      <c r="AH755" s="226">
        <v>0.77019375904808951</v>
      </c>
      <c r="AI755" s="27">
        <v>223930000</v>
      </c>
      <c r="AJ755" s="226">
        <v>92.681693207698828</v>
      </c>
      <c r="AK755" s="27">
        <v>3741479420.4472179</v>
      </c>
      <c r="AL755" s="226">
        <v>5.5470601940446471</v>
      </c>
      <c r="AM755" s="27" t="s">
        <v>2842</v>
      </c>
      <c r="AN755" s="271" t="s">
        <v>2842</v>
      </c>
      <c r="AO755" s="27">
        <v>16321581</v>
      </c>
      <c r="AP755" s="27">
        <v>6.5</v>
      </c>
      <c r="AQ755" s="27">
        <v>68.295365853658538</v>
      </c>
      <c r="AR755" s="27">
        <v>19.3</v>
      </c>
      <c r="AS755" s="29">
        <v>97.410539999999997</v>
      </c>
      <c r="AT755" s="270">
        <v>29</v>
      </c>
      <c r="AU755" s="464">
        <v>57.363105318322219</v>
      </c>
      <c r="AV755" s="29">
        <v>-1.1020684613614</v>
      </c>
      <c r="AW755" s="29">
        <v>0.45235036310351401</v>
      </c>
      <c r="AX755" s="29">
        <v>-0.42554743484187901</v>
      </c>
      <c r="AY755" s="29">
        <v>-0.336527196038655</v>
      </c>
      <c r="AZ755" s="60">
        <v>-0.97534524891083396</v>
      </c>
    </row>
    <row r="756" spans="1:52" s="29" customFormat="1" ht="15" customHeight="1">
      <c r="A756" s="59" t="s">
        <v>268</v>
      </c>
      <c r="B756" s="27">
        <v>2010</v>
      </c>
      <c r="C756" s="27" t="s">
        <v>273</v>
      </c>
      <c r="D756" s="69" t="s">
        <v>34</v>
      </c>
      <c r="E756" s="27" t="s">
        <v>19</v>
      </c>
      <c r="F756" s="29" t="s">
        <v>1302</v>
      </c>
      <c r="G756" s="18"/>
      <c r="H756" s="18"/>
      <c r="I756" s="18"/>
      <c r="J756" s="18"/>
      <c r="L756" s="28">
        <v>77</v>
      </c>
      <c r="M756" s="27" t="s">
        <v>568</v>
      </c>
      <c r="N756" s="27" t="s">
        <v>1303</v>
      </c>
      <c r="O756" s="18">
        <f>G758*L756</f>
        <v>15400000</v>
      </c>
      <c r="P756" s="244"/>
      <c r="Q756" s="244"/>
      <c r="W756" s="72"/>
      <c r="AB756" s="27"/>
      <c r="AC756" s="273">
        <v>20754211560</v>
      </c>
      <c r="AD756" s="27">
        <v>148047348240.64334</v>
      </c>
      <c r="AE756" s="228">
        <v>0.14018631070828164</v>
      </c>
      <c r="AF756" s="27">
        <v>41577617279.902275</v>
      </c>
      <c r="AG756" s="226">
        <v>0.49916789171158538</v>
      </c>
      <c r="AH756" s="226">
        <v>0.77019375904808951</v>
      </c>
      <c r="AI756" s="27">
        <v>223930000</v>
      </c>
      <c r="AJ756" s="226">
        <v>92.681693207698828</v>
      </c>
      <c r="AK756" s="27">
        <v>3741479420.4472179</v>
      </c>
      <c r="AL756" s="226">
        <v>5.5470601940446471</v>
      </c>
      <c r="AM756" s="27" t="s">
        <v>2842</v>
      </c>
      <c r="AN756" s="271" t="s">
        <v>2842</v>
      </c>
      <c r="AO756" s="27">
        <v>16321581</v>
      </c>
      <c r="AP756" s="27">
        <v>6.5</v>
      </c>
      <c r="AQ756" s="27">
        <v>68.295365853658538</v>
      </c>
      <c r="AR756" s="27">
        <v>19.3</v>
      </c>
      <c r="AS756" s="29">
        <v>97.410539999999997</v>
      </c>
      <c r="AT756" s="270">
        <v>29</v>
      </c>
      <c r="AU756" s="464">
        <v>57.363105318322219</v>
      </c>
      <c r="AV756" s="29">
        <v>-1.1020684613614</v>
      </c>
      <c r="AW756" s="29">
        <v>0.45235036310351401</v>
      </c>
      <c r="AX756" s="29">
        <v>-0.42554743484187901</v>
      </c>
      <c r="AY756" s="29">
        <v>-0.336527196038655</v>
      </c>
      <c r="AZ756" s="60">
        <v>-0.97534524891083396</v>
      </c>
    </row>
    <row r="757" spans="1:52" s="29" customFormat="1" ht="15" customHeight="1">
      <c r="A757" s="59" t="s">
        <v>268</v>
      </c>
      <c r="B757" s="27">
        <v>2010</v>
      </c>
      <c r="C757" s="27" t="s">
        <v>273</v>
      </c>
      <c r="D757" s="69" t="s">
        <v>34</v>
      </c>
      <c r="E757" s="27" t="s">
        <v>19</v>
      </c>
      <c r="F757" s="29" t="s">
        <v>1304</v>
      </c>
      <c r="G757" s="18">
        <v>358000</v>
      </c>
      <c r="H757" s="18"/>
      <c r="I757" s="18"/>
      <c r="J757" s="18"/>
      <c r="K757" s="29" t="s">
        <v>567</v>
      </c>
      <c r="L757" s="28"/>
      <c r="N757" s="27" t="s">
        <v>788</v>
      </c>
      <c r="O757" s="18"/>
      <c r="P757" s="244"/>
      <c r="Q757" s="244"/>
      <c r="W757" s="72"/>
      <c r="AB757" s="27"/>
      <c r="AC757" s="273">
        <v>20754211560</v>
      </c>
      <c r="AD757" s="27">
        <v>148047348240.64334</v>
      </c>
      <c r="AE757" s="228">
        <v>0.14018631070828164</v>
      </c>
      <c r="AF757" s="27">
        <v>41577617279.902275</v>
      </c>
      <c r="AG757" s="226">
        <v>0.49916789171158538</v>
      </c>
      <c r="AH757" s="226">
        <v>0.77019375904808951</v>
      </c>
      <c r="AI757" s="27">
        <v>223930000</v>
      </c>
      <c r="AJ757" s="226">
        <v>92.681693207698828</v>
      </c>
      <c r="AK757" s="27">
        <v>3741479420.4472179</v>
      </c>
      <c r="AL757" s="226">
        <v>5.5470601940446471</v>
      </c>
      <c r="AM757" s="27" t="s">
        <v>2842</v>
      </c>
      <c r="AN757" s="271" t="s">
        <v>2842</v>
      </c>
      <c r="AO757" s="27">
        <v>16321581</v>
      </c>
      <c r="AP757" s="27">
        <v>6.5</v>
      </c>
      <c r="AQ757" s="27">
        <v>68.295365853658538</v>
      </c>
      <c r="AR757" s="27">
        <v>19.3</v>
      </c>
      <c r="AS757" s="29">
        <v>97.410539999999997</v>
      </c>
      <c r="AT757" s="270">
        <v>29</v>
      </c>
      <c r="AU757" s="464">
        <v>57.363105318322219</v>
      </c>
      <c r="AV757" s="29">
        <v>-1.1020684613614</v>
      </c>
      <c r="AW757" s="29">
        <v>0.45235036310351401</v>
      </c>
      <c r="AX757" s="29">
        <v>-0.42554743484187901</v>
      </c>
      <c r="AY757" s="29">
        <v>-0.336527196038655</v>
      </c>
      <c r="AZ757" s="60">
        <v>-0.97534524891083396</v>
      </c>
    </row>
    <row r="758" spans="1:52" s="29" customFormat="1" ht="15" customHeight="1">
      <c r="A758" s="59" t="s">
        <v>268</v>
      </c>
      <c r="B758" s="27">
        <v>2010</v>
      </c>
      <c r="C758" s="27" t="s">
        <v>273</v>
      </c>
      <c r="D758" s="69" t="s">
        <v>34</v>
      </c>
      <c r="E758" s="27" t="s">
        <v>19</v>
      </c>
      <c r="F758" s="29" t="s">
        <v>1305</v>
      </c>
      <c r="G758" s="18">
        <v>200000</v>
      </c>
      <c r="H758" s="18"/>
      <c r="I758" s="18"/>
      <c r="J758" s="18"/>
      <c r="K758" s="29" t="s">
        <v>567</v>
      </c>
      <c r="L758" s="28"/>
      <c r="N758" s="27" t="s">
        <v>788</v>
      </c>
      <c r="O758" s="18"/>
      <c r="P758" s="244"/>
      <c r="Q758" s="244"/>
      <c r="W758" s="72"/>
      <c r="AB758" s="27"/>
      <c r="AC758" s="273">
        <v>20754211560</v>
      </c>
      <c r="AD758" s="27">
        <v>148047348240.64334</v>
      </c>
      <c r="AE758" s="228">
        <v>0.14018631070828164</v>
      </c>
      <c r="AF758" s="27">
        <v>41577617279.902275</v>
      </c>
      <c r="AG758" s="226">
        <v>0.49916789171158538</v>
      </c>
      <c r="AH758" s="226">
        <v>0.77019375904808951</v>
      </c>
      <c r="AI758" s="27">
        <v>223930000</v>
      </c>
      <c r="AJ758" s="226">
        <v>92.681693207698828</v>
      </c>
      <c r="AK758" s="27">
        <v>3741479420.4472179</v>
      </c>
      <c r="AL758" s="226">
        <v>5.5470601940446471</v>
      </c>
      <c r="AM758" s="27" t="s">
        <v>2842</v>
      </c>
      <c r="AN758" s="271" t="s">
        <v>2842</v>
      </c>
      <c r="AO758" s="27">
        <v>16321581</v>
      </c>
      <c r="AP758" s="27">
        <v>6.5</v>
      </c>
      <c r="AQ758" s="27">
        <v>68.295365853658538</v>
      </c>
      <c r="AR758" s="27">
        <v>19.3</v>
      </c>
      <c r="AS758" s="29">
        <v>97.410539999999997</v>
      </c>
      <c r="AT758" s="270">
        <v>29</v>
      </c>
      <c r="AU758" s="464">
        <v>57.363105318322219</v>
      </c>
      <c r="AV758" s="29">
        <v>-1.1020684613614</v>
      </c>
      <c r="AW758" s="29">
        <v>0.45235036310351401</v>
      </c>
      <c r="AX758" s="29">
        <v>-0.42554743484187901</v>
      </c>
      <c r="AY758" s="29">
        <v>-0.336527196038655</v>
      </c>
      <c r="AZ758" s="60">
        <v>-0.97534524891083396</v>
      </c>
    </row>
    <row r="759" spans="1:52" s="29" customFormat="1" ht="15" customHeight="1">
      <c r="A759" s="59" t="s">
        <v>268</v>
      </c>
      <c r="B759" s="27">
        <v>2010</v>
      </c>
      <c r="C759" s="27" t="s">
        <v>273</v>
      </c>
      <c r="D759" s="69" t="s">
        <v>34</v>
      </c>
      <c r="E759" s="27" t="s">
        <v>19</v>
      </c>
      <c r="F759" s="29" t="s">
        <v>1049</v>
      </c>
      <c r="G759" s="18">
        <v>5310400</v>
      </c>
      <c r="H759" s="18"/>
      <c r="I759" s="18"/>
      <c r="J759" s="18"/>
      <c r="K759" s="29" t="s">
        <v>567</v>
      </c>
      <c r="L759" s="28">
        <v>29.41</v>
      </c>
      <c r="M759" s="27" t="s">
        <v>568</v>
      </c>
      <c r="N759" s="27" t="s">
        <v>1081</v>
      </c>
      <c r="O759" s="18">
        <f>G759*L759</f>
        <v>156178864</v>
      </c>
      <c r="P759" s="244"/>
      <c r="Q759" s="244"/>
      <c r="W759" s="72"/>
      <c r="AB759" s="27"/>
      <c r="AC759" s="273">
        <v>20754211560</v>
      </c>
      <c r="AD759" s="27">
        <v>148047348240.64334</v>
      </c>
      <c r="AE759" s="228">
        <v>0.14018631070828164</v>
      </c>
      <c r="AF759" s="27">
        <v>41577617279.902275</v>
      </c>
      <c r="AG759" s="226">
        <v>0.49916789171158538</v>
      </c>
      <c r="AH759" s="226">
        <v>0.77019375904808951</v>
      </c>
      <c r="AI759" s="27">
        <v>223930000</v>
      </c>
      <c r="AJ759" s="226">
        <v>92.681693207698828</v>
      </c>
      <c r="AK759" s="27">
        <v>3741479420.4472179</v>
      </c>
      <c r="AL759" s="226">
        <v>5.5470601940446471</v>
      </c>
      <c r="AM759" s="27" t="s">
        <v>2842</v>
      </c>
      <c r="AN759" s="271" t="s">
        <v>2842</v>
      </c>
      <c r="AO759" s="27">
        <v>16321581</v>
      </c>
      <c r="AP759" s="27">
        <v>6.5</v>
      </c>
      <c r="AQ759" s="27">
        <v>68.295365853658538</v>
      </c>
      <c r="AR759" s="27">
        <v>19.3</v>
      </c>
      <c r="AS759" s="29">
        <v>97.410539999999997</v>
      </c>
      <c r="AT759" s="270">
        <v>29</v>
      </c>
      <c r="AU759" s="464">
        <v>57.363105318322219</v>
      </c>
      <c r="AV759" s="29">
        <v>-1.1020684613614</v>
      </c>
      <c r="AW759" s="29">
        <v>0.45235036310351401</v>
      </c>
      <c r="AX759" s="29">
        <v>-0.42554743484187901</v>
      </c>
      <c r="AY759" s="29">
        <v>-0.336527196038655</v>
      </c>
      <c r="AZ759" s="60">
        <v>-0.97534524891083396</v>
      </c>
    </row>
    <row r="760" spans="1:52" s="29" customFormat="1" ht="15" customHeight="1">
      <c r="A760" s="59" t="s">
        <v>268</v>
      </c>
      <c r="B760" s="27">
        <v>2010</v>
      </c>
      <c r="C760" s="27" t="s">
        <v>273</v>
      </c>
      <c r="D760" s="69" t="s">
        <v>34</v>
      </c>
      <c r="E760" s="27" t="s">
        <v>19</v>
      </c>
      <c r="F760" s="29" t="s">
        <v>1306</v>
      </c>
      <c r="G760" s="18">
        <v>30000</v>
      </c>
      <c r="H760" s="18"/>
      <c r="I760" s="18"/>
      <c r="J760" s="18"/>
      <c r="K760" s="29" t="s">
        <v>567</v>
      </c>
      <c r="L760" s="28">
        <v>361</v>
      </c>
      <c r="M760" s="27" t="s">
        <v>568</v>
      </c>
      <c r="N760" s="27" t="s">
        <v>1307</v>
      </c>
      <c r="O760" s="18">
        <f>G760*L760</f>
        <v>10830000</v>
      </c>
      <c r="P760" s="244"/>
      <c r="Q760" s="244"/>
      <c r="W760" s="72"/>
      <c r="AB760" s="27"/>
      <c r="AC760" s="273">
        <v>20754211560</v>
      </c>
      <c r="AD760" s="27">
        <v>148047348240.64334</v>
      </c>
      <c r="AE760" s="228">
        <v>0.14018631070828164</v>
      </c>
      <c r="AF760" s="27">
        <v>41577617279.902275</v>
      </c>
      <c r="AG760" s="226">
        <v>0.49916789171158538</v>
      </c>
      <c r="AH760" s="226">
        <v>0.77019375904808951</v>
      </c>
      <c r="AI760" s="27">
        <v>223930000</v>
      </c>
      <c r="AJ760" s="226">
        <v>92.681693207698828</v>
      </c>
      <c r="AK760" s="27">
        <v>3741479420.4472179</v>
      </c>
      <c r="AL760" s="226">
        <v>5.5470601940446471</v>
      </c>
      <c r="AM760" s="27" t="s">
        <v>2842</v>
      </c>
      <c r="AN760" s="271" t="s">
        <v>2842</v>
      </c>
      <c r="AO760" s="27">
        <v>16321581</v>
      </c>
      <c r="AP760" s="27">
        <v>6.5</v>
      </c>
      <c r="AQ760" s="27">
        <v>68.295365853658538</v>
      </c>
      <c r="AR760" s="27">
        <v>19.3</v>
      </c>
      <c r="AS760" s="29">
        <v>97.410539999999997</v>
      </c>
      <c r="AT760" s="270">
        <v>29</v>
      </c>
      <c r="AU760" s="464">
        <v>57.363105318322219</v>
      </c>
      <c r="AV760" s="29">
        <v>-1.1020684613614</v>
      </c>
      <c r="AW760" s="29">
        <v>0.45235036310351401</v>
      </c>
      <c r="AX760" s="29">
        <v>-0.42554743484187901</v>
      </c>
      <c r="AY760" s="29">
        <v>-0.336527196038655</v>
      </c>
      <c r="AZ760" s="60">
        <v>-0.97534524891083396</v>
      </c>
    </row>
    <row r="761" spans="1:52" s="29" customFormat="1" ht="15" customHeight="1">
      <c r="A761" s="59" t="s">
        <v>268</v>
      </c>
      <c r="B761" s="27">
        <v>2010</v>
      </c>
      <c r="C761" s="27" t="s">
        <v>273</v>
      </c>
      <c r="D761" s="69" t="s">
        <v>34</v>
      </c>
      <c r="E761" s="27" t="s">
        <v>19</v>
      </c>
      <c r="F761" s="29" t="s">
        <v>1337</v>
      </c>
      <c r="G761" s="18">
        <v>3760000</v>
      </c>
      <c r="H761" s="18"/>
      <c r="I761" s="18"/>
      <c r="J761" s="18"/>
      <c r="K761" s="29" t="s">
        <v>567</v>
      </c>
      <c r="L761" s="28">
        <v>212</v>
      </c>
      <c r="M761" s="27" t="s">
        <v>568</v>
      </c>
      <c r="N761" s="27" t="s">
        <v>1338</v>
      </c>
      <c r="O761" s="18">
        <f>G761*L761</f>
        <v>797120000</v>
      </c>
      <c r="P761" s="244"/>
      <c r="Q761" s="244"/>
      <c r="W761" s="72"/>
      <c r="AB761" s="27"/>
      <c r="AC761" s="273">
        <v>20754211560</v>
      </c>
      <c r="AD761" s="27">
        <v>148047348240.64334</v>
      </c>
      <c r="AE761" s="228">
        <v>0.14018631070828164</v>
      </c>
      <c r="AF761" s="27">
        <v>41577617279.902275</v>
      </c>
      <c r="AG761" s="226">
        <v>0.49916789171158538</v>
      </c>
      <c r="AH761" s="226">
        <v>0.77019375904808951</v>
      </c>
      <c r="AI761" s="27">
        <v>223930000</v>
      </c>
      <c r="AJ761" s="226">
        <v>92.681693207698828</v>
      </c>
      <c r="AK761" s="27">
        <v>3741479420.4472179</v>
      </c>
      <c r="AL761" s="226">
        <v>5.5470601940446471</v>
      </c>
      <c r="AM761" s="27" t="s">
        <v>2842</v>
      </c>
      <c r="AN761" s="271" t="s">
        <v>2842</v>
      </c>
      <c r="AO761" s="27">
        <v>16321581</v>
      </c>
      <c r="AP761" s="27">
        <v>6.5</v>
      </c>
      <c r="AQ761" s="27">
        <v>68.295365853658538</v>
      </c>
      <c r="AR761" s="27">
        <v>19.3</v>
      </c>
      <c r="AS761" s="29">
        <v>97.410539999999997</v>
      </c>
      <c r="AT761" s="270">
        <v>29</v>
      </c>
      <c r="AU761" s="464">
        <v>57.363105318322219</v>
      </c>
      <c r="AV761" s="29">
        <v>-1.1020684613614</v>
      </c>
      <c r="AW761" s="29">
        <v>0.45235036310351401</v>
      </c>
      <c r="AX761" s="29">
        <v>-0.42554743484187901</v>
      </c>
      <c r="AY761" s="29">
        <v>-0.336527196038655</v>
      </c>
      <c r="AZ761" s="60">
        <v>-0.97534524891083396</v>
      </c>
    </row>
    <row r="762" spans="1:52" s="29" customFormat="1" ht="15" customHeight="1">
      <c r="A762" s="59" t="s">
        <v>268</v>
      </c>
      <c r="B762" s="27">
        <v>2010</v>
      </c>
      <c r="C762" s="27" t="s">
        <v>273</v>
      </c>
      <c r="D762" s="69" t="s">
        <v>34</v>
      </c>
      <c r="E762" s="27" t="s">
        <v>19</v>
      </c>
      <c r="F762" s="29" t="s">
        <v>576</v>
      </c>
      <c r="G762" s="18"/>
      <c r="H762" s="18"/>
      <c r="I762" s="18"/>
      <c r="J762" s="18"/>
      <c r="L762" s="44">
        <v>7534.7795833333303</v>
      </c>
      <c r="M762" s="27" t="s">
        <v>568</v>
      </c>
      <c r="N762" s="27" t="s">
        <v>1308</v>
      </c>
      <c r="O762" s="18">
        <f>SUM(G764:G765)*L762</f>
        <v>4837366166.3979149</v>
      </c>
      <c r="P762" s="244"/>
      <c r="Q762" s="244"/>
      <c r="W762" s="72"/>
      <c r="AB762" s="27"/>
      <c r="AC762" s="273">
        <v>20754211560</v>
      </c>
      <c r="AD762" s="27">
        <v>148047348240.64334</v>
      </c>
      <c r="AE762" s="228">
        <v>0.14018631070828164</v>
      </c>
      <c r="AF762" s="27">
        <v>41577617279.902275</v>
      </c>
      <c r="AG762" s="226">
        <v>0.49916789171158538</v>
      </c>
      <c r="AH762" s="226">
        <v>0.77019375904808951</v>
      </c>
      <c r="AI762" s="27">
        <v>223930000</v>
      </c>
      <c r="AJ762" s="226">
        <v>92.681693207698828</v>
      </c>
      <c r="AK762" s="27">
        <v>3741479420.4472179</v>
      </c>
      <c r="AL762" s="226">
        <v>5.5470601940446471</v>
      </c>
      <c r="AM762" s="27" t="s">
        <v>2842</v>
      </c>
      <c r="AN762" s="271" t="s">
        <v>2842</v>
      </c>
      <c r="AO762" s="27">
        <v>16321581</v>
      </c>
      <c r="AP762" s="27">
        <v>6.5</v>
      </c>
      <c r="AQ762" s="27">
        <v>68.295365853658538</v>
      </c>
      <c r="AR762" s="27">
        <v>19.3</v>
      </c>
      <c r="AS762" s="29">
        <v>97.410539999999997</v>
      </c>
      <c r="AT762" s="270">
        <v>29</v>
      </c>
      <c r="AU762" s="464">
        <v>57.363105318322219</v>
      </c>
      <c r="AV762" s="29">
        <v>-1.1020684613614</v>
      </c>
      <c r="AW762" s="29">
        <v>0.45235036310351401</v>
      </c>
      <c r="AX762" s="29">
        <v>-0.42554743484187901</v>
      </c>
      <c r="AY762" s="29">
        <v>-0.336527196038655</v>
      </c>
      <c r="AZ762" s="60">
        <v>-0.97534524891083396</v>
      </c>
    </row>
    <row r="763" spans="1:52" s="29" customFormat="1" ht="15" customHeight="1">
      <c r="A763" s="59" t="s">
        <v>268</v>
      </c>
      <c r="B763" s="27">
        <v>2010</v>
      </c>
      <c r="C763" s="27" t="s">
        <v>273</v>
      </c>
      <c r="D763" s="69" t="s">
        <v>34</v>
      </c>
      <c r="E763" s="27" t="s">
        <v>19</v>
      </c>
      <c r="F763" s="29" t="s">
        <v>988</v>
      </c>
      <c r="G763" s="18">
        <v>427000</v>
      </c>
      <c r="H763" s="18"/>
      <c r="I763" s="18"/>
      <c r="J763" s="18"/>
      <c r="K763" s="29" t="s">
        <v>567</v>
      </c>
      <c r="L763" s="28"/>
      <c r="N763" s="27" t="s">
        <v>788</v>
      </c>
      <c r="O763" s="18"/>
      <c r="P763" s="244"/>
      <c r="Q763" s="244"/>
      <c r="W763" s="72"/>
      <c r="AB763" s="27"/>
      <c r="AC763" s="273">
        <v>20754211560</v>
      </c>
      <c r="AD763" s="27">
        <v>148047348240.64334</v>
      </c>
      <c r="AE763" s="228">
        <v>0.14018631070828164</v>
      </c>
      <c r="AF763" s="27">
        <v>41577617279.902275</v>
      </c>
      <c r="AG763" s="226">
        <v>0.49916789171158538</v>
      </c>
      <c r="AH763" s="226">
        <v>0.77019375904808951</v>
      </c>
      <c r="AI763" s="27">
        <v>223930000</v>
      </c>
      <c r="AJ763" s="226">
        <v>92.681693207698828</v>
      </c>
      <c r="AK763" s="27">
        <v>3741479420.4472179</v>
      </c>
      <c r="AL763" s="226">
        <v>5.5470601940446471</v>
      </c>
      <c r="AM763" s="27" t="s">
        <v>2842</v>
      </c>
      <c r="AN763" s="271" t="s">
        <v>2842</v>
      </c>
      <c r="AO763" s="27">
        <v>16321581</v>
      </c>
      <c r="AP763" s="27">
        <v>6.5</v>
      </c>
      <c r="AQ763" s="27">
        <v>68.295365853658538</v>
      </c>
      <c r="AR763" s="27">
        <v>19.3</v>
      </c>
      <c r="AS763" s="29">
        <v>97.410539999999997</v>
      </c>
      <c r="AT763" s="270">
        <v>29</v>
      </c>
      <c r="AU763" s="464">
        <v>57.363105318322219</v>
      </c>
      <c r="AV763" s="29">
        <v>-1.1020684613614</v>
      </c>
      <c r="AW763" s="29">
        <v>0.45235036310351401</v>
      </c>
      <c r="AX763" s="29">
        <v>-0.42554743484187901</v>
      </c>
      <c r="AY763" s="29">
        <v>-0.336527196038655</v>
      </c>
      <c r="AZ763" s="60">
        <v>-0.97534524891083396</v>
      </c>
    </row>
    <row r="764" spans="1:52" s="29" customFormat="1" ht="15" customHeight="1">
      <c r="A764" s="59" t="s">
        <v>268</v>
      </c>
      <c r="B764" s="27">
        <v>2010</v>
      </c>
      <c r="C764" s="27" t="s">
        <v>273</v>
      </c>
      <c r="D764" s="69" t="s">
        <v>34</v>
      </c>
      <c r="E764" s="27" t="s">
        <v>19</v>
      </c>
      <c r="F764" s="29" t="s">
        <v>1310</v>
      </c>
      <c r="G764" s="18">
        <v>318637</v>
      </c>
      <c r="H764" s="18"/>
      <c r="I764" s="18"/>
      <c r="J764" s="18"/>
      <c r="K764" s="29" t="s">
        <v>567</v>
      </c>
      <c r="L764" s="28"/>
      <c r="N764" s="27" t="s">
        <v>788</v>
      </c>
      <c r="O764" s="18"/>
      <c r="P764" s="244"/>
      <c r="Q764" s="244"/>
      <c r="W764" s="72"/>
      <c r="AB764" s="27"/>
      <c r="AC764" s="273">
        <v>20754211560</v>
      </c>
      <c r="AD764" s="27">
        <v>148047348240.64334</v>
      </c>
      <c r="AE764" s="228">
        <v>0.14018631070828164</v>
      </c>
      <c r="AF764" s="27">
        <v>41577617279.902275</v>
      </c>
      <c r="AG764" s="226">
        <v>0.49916789171158538</v>
      </c>
      <c r="AH764" s="226">
        <v>0.77019375904808951</v>
      </c>
      <c r="AI764" s="27">
        <v>223930000</v>
      </c>
      <c r="AJ764" s="226">
        <v>92.681693207698828</v>
      </c>
      <c r="AK764" s="27">
        <v>3741479420.4472179</v>
      </c>
      <c r="AL764" s="226">
        <v>5.5470601940446471</v>
      </c>
      <c r="AM764" s="27" t="s">
        <v>2842</v>
      </c>
      <c r="AN764" s="271" t="s">
        <v>2842</v>
      </c>
      <c r="AO764" s="27">
        <v>16321581</v>
      </c>
      <c r="AP764" s="27">
        <v>6.5</v>
      </c>
      <c r="AQ764" s="27">
        <v>68.295365853658538</v>
      </c>
      <c r="AR764" s="27">
        <v>19.3</v>
      </c>
      <c r="AS764" s="29">
        <v>97.410539999999997</v>
      </c>
      <c r="AT764" s="270">
        <v>29</v>
      </c>
      <c r="AU764" s="464">
        <v>57.363105318322219</v>
      </c>
      <c r="AV764" s="29">
        <v>-1.1020684613614</v>
      </c>
      <c r="AW764" s="29">
        <v>0.45235036310351401</v>
      </c>
      <c r="AX764" s="29">
        <v>-0.42554743484187901</v>
      </c>
      <c r="AY764" s="29">
        <v>-0.336527196038655</v>
      </c>
      <c r="AZ764" s="60">
        <v>-0.97534524891083396</v>
      </c>
    </row>
    <row r="765" spans="1:52" s="29" customFormat="1" ht="15" customHeight="1">
      <c r="A765" s="59" t="s">
        <v>268</v>
      </c>
      <c r="B765" s="27">
        <v>2010</v>
      </c>
      <c r="C765" s="27" t="s">
        <v>273</v>
      </c>
      <c r="D765" s="69" t="s">
        <v>34</v>
      </c>
      <c r="E765" s="27" t="s">
        <v>19</v>
      </c>
      <c r="F765" s="29" t="s">
        <v>1339</v>
      </c>
      <c r="G765" s="18">
        <v>323368</v>
      </c>
      <c r="H765" s="18"/>
      <c r="I765" s="18"/>
      <c r="J765" s="18"/>
      <c r="K765" s="29" t="s">
        <v>567</v>
      </c>
      <c r="L765" s="28"/>
      <c r="N765" s="27" t="s">
        <v>788</v>
      </c>
      <c r="O765" s="18"/>
      <c r="P765" s="244"/>
      <c r="Q765" s="244"/>
      <c r="W765" s="72"/>
      <c r="AB765" s="27"/>
      <c r="AC765" s="273">
        <v>20754211560</v>
      </c>
      <c r="AD765" s="27">
        <v>148047348240.64334</v>
      </c>
      <c r="AE765" s="228">
        <v>0.14018631070828164</v>
      </c>
      <c r="AF765" s="27">
        <v>41577617279.902275</v>
      </c>
      <c r="AG765" s="226">
        <v>0.49916789171158538</v>
      </c>
      <c r="AH765" s="226">
        <v>0.77019375904808951</v>
      </c>
      <c r="AI765" s="27">
        <v>223930000</v>
      </c>
      <c r="AJ765" s="226">
        <v>92.681693207698828</v>
      </c>
      <c r="AK765" s="27">
        <v>3741479420.4472179</v>
      </c>
      <c r="AL765" s="226">
        <v>5.5470601940446471</v>
      </c>
      <c r="AM765" s="27" t="s">
        <v>2842</v>
      </c>
      <c r="AN765" s="271" t="s">
        <v>2842</v>
      </c>
      <c r="AO765" s="27">
        <v>16321581</v>
      </c>
      <c r="AP765" s="27">
        <v>6.5</v>
      </c>
      <c r="AQ765" s="27">
        <v>68.295365853658538</v>
      </c>
      <c r="AR765" s="27">
        <v>19.3</v>
      </c>
      <c r="AS765" s="29">
        <v>97.410539999999997</v>
      </c>
      <c r="AT765" s="270">
        <v>29</v>
      </c>
      <c r="AU765" s="464">
        <v>57.363105318322219</v>
      </c>
      <c r="AV765" s="29">
        <v>-1.1020684613614</v>
      </c>
      <c r="AW765" s="29">
        <v>0.45235036310351401</v>
      </c>
      <c r="AX765" s="29">
        <v>-0.42554743484187901</v>
      </c>
      <c r="AY765" s="29">
        <v>-0.336527196038655</v>
      </c>
      <c r="AZ765" s="60">
        <v>-0.97534524891083396</v>
      </c>
    </row>
    <row r="766" spans="1:52" s="29" customFormat="1" ht="15" customHeight="1">
      <c r="A766" s="59" t="s">
        <v>268</v>
      </c>
      <c r="B766" s="27">
        <v>2010</v>
      </c>
      <c r="C766" s="27" t="s">
        <v>273</v>
      </c>
      <c r="D766" s="69" t="s">
        <v>34</v>
      </c>
      <c r="E766" s="27" t="s">
        <v>19</v>
      </c>
      <c r="F766" s="29" t="s">
        <v>1312</v>
      </c>
      <c r="G766" s="18">
        <v>1311302</v>
      </c>
      <c r="H766" s="18"/>
      <c r="I766" s="18"/>
      <c r="J766" s="18"/>
      <c r="K766" s="29" t="s">
        <v>567</v>
      </c>
      <c r="L766" s="28">
        <f>1.2169/0.000453592</f>
        <v>2682.8074569216392</v>
      </c>
      <c r="M766" s="29" t="s">
        <v>568</v>
      </c>
      <c r="N766" s="27" t="s">
        <v>1340</v>
      </c>
      <c r="O766" s="18">
        <f>G766*L766</f>
        <v>3517970783.8762593</v>
      </c>
      <c r="P766" s="244"/>
      <c r="Q766" s="244"/>
      <c r="W766" s="72"/>
      <c r="AB766" s="27"/>
      <c r="AC766" s="273">
        <v>20754211560</v>
      </c>
      <c r="AD766" s="27">
        <v>148047348240.64334</v>
      </c>
      <c r="AE766" s="228">
        <v>0.14018631070828164</v>
      </c>
      <c r="AF766" s="27">
        <v>41577617279.902275</v>
      </c>
      <c r="AG766" s="226">
        <v>0.49916789171158538</v>
      </c>
      <c r="AH766" s="226">
        <v>0.77019375904808951</v>
      </c>
      <c r="AI766" s="27">
        <v>223930000</v>
      </c>
      <c r="AJ766" s="226">
        <v>92.681693207698828</v>
      </c>
      <c r="AK766" s="27">
        <v>3741479420.4472179</v>
      </c>
      <c r="AL766" s="226">
        <v>5.5470601940446471</v>
      </c>
      <c r="AM766" s="27" t="s">
        <v>2842</v>
      </c>
      <c r="AN766" s="271" t="s">
        <v>2842</v>
      </c>
      <c r="AO766" s="27">
        <v>16321581</v>
      </c>
      <c r="AP766" s="27">
        <v>6.5</v>
      </c>
      <c r="AQ766" s="27">
        <v>68.295365853658538</v>
      </c>
      <c r="AR766" s="27">
        <v>19.3</v>
      </c>
      <c r="AS766" s="29">
        <v>97.410539999999997</v>
      </c>
      <c r="AT766" s="270">
        <v>29</v>
      </c>
      <c r="AU766" s="464">
        <v>57.363105318322219</v>
      </c>
      <c r="AV766" s="29">
        <v>-1.1020684613614</v>
      </c>
      <c r="AW766" s="29">
        <v>0.45235036310351401</v>
      </c>
      <c r="AX766" s="29">
        <v>-0.42554743484187901</v>
      </c>
      <c r="AY766" s="29">
        <v>-0.336527196038655</v>
      </c>
      <c r="AZ766" s="60">
        <v>-0.97534524891083396</v>
      </c>
    </row>
    <row r="767" spans="1:52" s="29" customFormat="1" ht="15" customHeight="1">
      <c r="A767" s="59" t="s">
        <v>268</v>
      </c>
      <c r="B767" s="27">
        <v>2010</v>
      </c>
      <c r="C767" s="27" t="s">
        <v>273</v>
      </c>
      <c r="D767" s="69" t="s">
        <v>34</v>
      </c>
      <c r="E767" s="27" t="s">
        <v>19</v>
      </c>
      <c r="F767" s="29" t="s">
        <v>1314</v>
      </c>
      <c r="G767" s="18">
        <v>159765</v>
      </c>
      <c r="H767" s="18"/>
      <c r="I767" s="18"/>
      <c r="J767" s="18"/>
      <c r="K767" s="29" t="s">
        <v>567</v>
      </c>
      <c r="L767" s="28"/>
      <c r="N767" s="27" t="s">
        <v>788</v>
      </c>
      <c r="O767" s="18"/>
      <c r="P767" s="244"/>
      <c r="Q767" s="244"/>
      <c r="W767" s="72"/>
      <c r="AB767" s="27"/>
      <c r="AC767" s="273">
        <v>20754211560</v>
      </c>
      <c r="AD767" s="27">
        <v>148047348240.64334</v>
      </c>
      <c r="AE767" s="228">
        <v>0.14018631070828164</v>
      </c>
      <c r="AF767" s="27">
        <v>41577617279.902275</v>
      </c>
      <c r="AG767" s="226">
        <v>0.49916789171158538</v>
      </c>
      <c r="AH767" s="226">
        <v>0.77019375904808951</v>
      </c>
      <c r="AI767" s="27">
        <v>223930000</v>
      </c>
      <c r="AJ767" s="226">
        <v>92.681693207698828</v>
      </c>
      <c r="AK767" s="27">
        <v>3741479420.4472179</v>
      </c>
      <c r="AL767" s="226">
        <v>5.5470601940446471</v>
      </c>
      <c r="AM767" s="27" t="s">
        <v>2842</v>
      </c>
      <c r="AN767" s="271" t="s">
        <v>2842</v>
      </c>
      <c r="AO767" s="27">
        <v>16321581</v>
      </c>
      <c r="AP767" s="27">
        <v>6.5</v>
      </c>
      <c r="AQ767" s="27">
        <v>68.295365853658538</v>
      </c>
      <c r="AR767" s="27">
        <v>19.3</v>
      </c>
      <c r="AS767" s="29">
        <v>97.410539999999997</v>
      </c>
      <c r="AT767" s="270">
        <v>29</v>
      </c>
      <c r="AU767" s="464">
        <v>57.363105318322219</v>
      </c>
      <c r="AV767" s="29">
        <v>-1.1020684613614</v>
      </c>
      <c r="AW767" s="29">
        <v>0.45235036310351401</v>
      </c>
      <c r="AX767" s="29">
        <v>-0.42554743484187901</v>
      </c>
      <c r="AY767" s="29">
        <v>-0.336527196038655</v>
      </c>
      <c r="AZ767" s="60">
        <v>-0.97534524891083396</v>
      </c>
    </row>
    <row r="768" spans="1:52" s="29" customFormat="1" ht="15" customHeight="1">
      <c r="A768" s="59" t="s">
        <v>268</v>
      </c>
      <c r="B768" s="27">
        <v>2010</v>
      </c>
      <c r="C768" s="27" t="s">
        <v>273</v>
      </c>
      <c r="D768" s="69" t="s">
        <v>34</v>
      </c>
      <c r="E768" s="27" t="s">
        <v>19</v>
      </c>
      <c r="F768" s="29" t="s">
        <v>1315</v>
      </c>
      <c r="G768" s="18">
        <v>4813</v>
      </c>
      <c r="H768" s="18"/>
      <c r="I768" s="18"/>
      <c r="J768" s="18"/>
      <c r="K768" s="29" t="s">
        <v>567</v>
      </c>
      <c r="L768" s="28">
        <f>1.031/0.000453592</f>
        <v>2272.9677772094742</v>
      </c>
      <c r="M768" s="29" t="s">
        <v>568</v>
      </c>
      <c r="N768" s="27" t="s">
        <v>1316</v>
      </c>
      <c r="O768" s="18">
        <f>G768*L768</f>
        <v>10939793.911709199</v>
      </c>
      <c r="P768" s="244"/>
      <c r="Q768" s="244"/>
      <c r="W768" s="72"/>
      <c r="AB768" s="27"/>
      <c r="AC768" s="273">
        <v>20754211560</v>
      </c>
      <c r="AD768" s="27">
        <v>148047348240.64334</v>
      </c>
      <c r="AE768" s="228">
        <v>0.14018631070828164</v>
      </c>
      <c r="AF768" s="27">
        <v>41577617279.902275</v>
      </c>
      <c r="AG768" s="226">
        <v>0.49916789171158538</v>
      </c>
      <c r="AH768" s="226">
        <v>0.77019375904808951</v>
      </c>
      <c r="AI768" s="27">
        <v>223930000</v>
      </c>
      <c r="AJ768" s="226">
        <v>92.681693207698828</v>
      </c>
      <c r="AK768" s="27">
        <v>3741479420.4472179</v>
      </c>
      <c r="AL768" s="226">
        <v>5.5470601940446471</v>
      </c>
      <c r="AM768" s="27" t="s">
        <v>2842</v>
      </c>
      <c r="AN768" s="271" t="s">
        <v>2842</v>
      </c>
      <c r="AO768" s="27">
        <v>16321581</v>
      </c>
      <c r="AP768" s="27">
        <v>6.5</v>
      </c>
      <c r="AQ768" s="27">
        <v>68.295365853658538</v>
      </c>
      <c r="AR768" s="27">
        <v>19.3</v>
      </c>
      <c r="AS768" s="29">
        <v>97.410539999999997</v>
      </c>
      <c r="AT768" s="270">
        <v>29</v>
      </c>
      <c r="AU768" s="464">
        <v>57.363105318322219</v>
      </c>
      <c r="AV768" s="29">
        <v>-1.1020684613614</v>
      </c>
      <c r="AW768" s="29">
        <v>0.45235036310351401</v>
      </c>
      <c r="AX768" s="29">
        <v>-0.42554743484187901</v>
      </c>
      <c r="AY768" s="29">
        <v>-0.336527196038655</v>
      </c>
      <c r="AZ768" s="60">
        <v>-0.97534524891083396</v>
      </c>
    </row>
    <row r="769" spans="1:52" s="29" customFormat="1" ht="15" customHeight="1">
      <c r="A769" s="59" t="s">
        <v>268</v>
      </c>
      <c r="B769" s="27">
        <v>2010</v>
      </c>
      <c r="C769" s="27" t="s">
        <v>273</v>
      </c>
      <c r="D769" s="69" t="s">
        <v>34</v>
      </c>
      <c r="E769" s="27" t="s">
        <v>19</v>
      </c>
      <c r="F769" s="29" t="s">
        <v>1317</v>
      </c>
      <c r="G769" s="18">
        <v>65000</v>
      </c>
      <c r="H769" s="18"/>
      <c r="I769" s="18"/>
      <c r="J769" s="18"/>
      <c r="K769" s="29" t="s">
        <v>567</v>
      </c>
      <c r="L769" s="28"/>
      <c r="N769" s="27" t="s">
        <v>788</v>
      </c>
      <c r="O769" s="18"/>
      <c r="P769" s="244"/>
      <c r="Q769" s="244"/>
      <c r="W769" s="72"/>
      <c r="AB769" s="27"/>
      <c r="AC769" s="273">
        <v>20754211560</v>
      </c>
      <c r="AD769" s="27">
        <v>148047348240.64334</v>
      </c>
      <c r="AE769" s="228">
        <v>0.14018631070828164</v>
      </c>
      <c r="AF769" s="27">
        <v>41577617279.902275</v>
      </c>
      <c r="AG769" s="226">
        <v>0.49916789171158538</v>
      </c>
      <c r="AH769" s="226">
        <v>0.77019375904808951</v>
      </c>
      <c r="AI769" s="27">
        <v>223930000</v>
      </c>
      <c r="AJ769" s="226">
        <v>92.681693207698828</v>
      </c>
      <c r="AK769" s="27">
        <v>3741479420.4472179</v>
      </c>
      <c r="AL769" s="226">
        <v>5.5470601940446471</v>
      </c>
      <c r="AM769" s="27" t="s">
        <v>2842</v>
      </c>
      <c r="AN769" s="271" t="s">
        <v>2842</v>
      </c>
      <c r="AO769" s="27">
        <v>16321581</v>
      </c>
      <c r="AP769" s="27">
        <v>6.5</v>
      </c>
      <c r="AQ769" s="27">
        <v>68.295365853658538</v>
      </c>
      <c r="AR769" s="27">
        <v>19.3</v>
      </c>
      <c r="AS769" s="29">
        <v>97.410539999999997</v>
      </c>
      <c r="AT769" s="270">
        <v>29</v>
      </c>
      <c r="AU769" s="464">
        <v>57.363105318322219</v>
      </c>
      <c r="AV769" s="29">
        <v>-1.1020684613614</v>
      </c>
      <c r="AW769" s="29">
        <v>0.45235036310351401</v>
      </c>
      <c r="AX769" s="29">
        <v>-0.42554743484187901</v>
      </c>
      <c r="AY769" s="29">
        <v>-0.336527196038655</v>
      </c>
      <c r="AZ769" s="60">
        <v>-0.97534524891083396</v>
      </c>
    </row>
    <row r="770" spans="1:52" s="29" customFormat="1" ht="15" customHeight="1">
      <c r="A770" s="59" t="s">
        <v>268</v>
      </c>
      <c r="B770" s="27">
        <v>2010</v>
      </c>
      <c r="C770" s="27" t="s">
        <v>273</v>
      </c>
      <c r="D770" s="69" t="s">
        <v>34</v>
      </c>
      <c r="E770" s="27" t="s">
        <v>19</v>
      </c>
      <c r="F770" s="29" t="s">
        <v>730</v>
      </c>
      <c r="G770" s="18">
        <f>29941*32.150743126506</f>
        <v>962625.39995071618</v>
      </c>
      <c r="H770" s="18"/>
      <c r="I770" s="18"/>
      <c r="J770" s="18"/>
      <c r="K770" s="29" t="s">
        <v>731</v>
      </c>
      <c r="L770" s="28">
        <v>1224.66425</v>
      </c>
      <c r="M770" s="29" t="s">
        <v>732</v>
      </c>
      <c r="N770" s="27" t="s">
        <v>782</v>
      </c>
      <c r="O770" s="18">
        <f>G770*L770</f>
        <v>1178892913.4615939</v>
      </c>
      <c r="P770" s="244"/>
      <c r="Q770" s="244"/>
      <c r="W770" s="72"/>
      <c r="AB770" s="27"/>
      <c r="AC770" s="273">
        <v>20754211560</v>
      </c>
      <c r="AD770" s="27">
        <v>148047348240.64334</v>
      </c>
      <c r="AE770" s="228">
        <v>0.14018631070828164</v>
      </c>
      <c r="AF770" s="27">
        <v>41577617279.902275</v>
      </c>
      <c r="AG770" s="226">
        <v>0.49916789171158538</v>
      </c>
      <c r="AH770" s="226">
        <v>0.77019375904808951</v>
      </c>
      <c r="AI770" s="27">
        <v>223930000</v>
      </c>
      <c r="AJ770" s="226">
        <v>92.681693207698828</v>
      </c>
      <c r="AK770" s="27">
        <v>3741479420.4472179</v>
      </c>
      <c r="AL770" s="226">
        <v>5.5470601940446471</v>
      </c>
      <c r="AM770" s="27" t="s">
        <v>2842</v>
      </c>
      <c r="AN770" s="271" t="s">
        <v>2842</v>
      </c>
      <c r="AO770" s="27">
        <v>16321581</v>
      </c>
      <c r="AP770" s="27">
        <v>6.5</v>
      </c>
      <c r="AQ770" s="27">
        <v>68.295365853658538</v>
      </c>
      <c r="AR770" s="27">
        <v>19.3</v>
      </c>
      <c r="AS770" s="29">
        <v>97.410539999999997</v>
      </c>
      <c r="AT770" s="270">
        <v>29</v>
      </c>
      <c r="AU770" s="464">
        <v>57.363105318322219</v>
      </c>
      <c r="AV770" s="29">
        <v>-1.1020684613614</v>
      </c>
      <c r="AW770" s="29">
        <v>0.45235036310351401</v>
      </c>
      <c r="AX770" s="29">
        <v>-0.42554743484187901</v>
      </c>
      <c r="AY770" s="29">
        <v>-0.336527196038655</v>
      </c>
      <c r="AZ770" s="60">
        <v>-0.97534524891083396</v>
      </c>
    </row>
    <row r="771" spans="1:52" s="29" customFormat="1" ht="15" customHeight="1">
      <c r="A771" s="59" t="s">
        <v>268</v>
      </c>
      <c r="B771" s="27">
        <v>2010</v>
      </c>
      <c r="C771" s="27" t="s">
        <v>273</v>
      </c>
      <c r="D771" s="69" t="s">
        <v>34</v>
      </c>
      <c r="E771" s="27" t="s">
        <v>19</v>
      </c>
      <c r="F771" s="29" t="s">
        <v>1318</v>
      </c>
      <c r="G771" s="18">
        <v>25000</v>
      </c>
      <c r="H771" s="18"/>
      <c r="I771" s="18"/>
      <c r="J771" s="18"/>
      <c r="K771" s="29" t="s">
        <v>567</v>
      </c>
      <c r="L771" s="28">
        <v>75</v>
      </c>
      <c r="M771" s="27" t="s">
        <v>568</v>
      </c>
      <c r="N771" s="27" t="s">
        <v>1319</v>
      </c>
      <c r="O771" s="18">
        <f>G771*L771</f>
        <v>1875000</v>
      </c>
      <c r="P771" s="244"/>
      <c r="Q771" s="244"/>
      <c r="W771" s="72"/>
      <c r="AB771" s="27"/>
      <c r="AC771" s="273">
        <v>20754211560</v>
      </c>
      <c r="AD771" s="27">
        <v>148047348240.64334</v>
      </c>
      <c r="AE771" s="228">
        <v>0.14018631070828164</v>
      </c>
      <c r="AF771" s="27">
        <v>41577617279.902275</v>
      </c>
      <c r="AG771" s="226">
        <v>0.49916789171158538</v>
      </c>
      <c r="AH771" s="226">
        <v>0.77019375904808951</v>
      </c>
      <c r="AI771" s="27">
        <v>223930000</v>
      </c>
      <c r="AJ771" s="226">
        <v>92.681693207698828</v>
      </c>
      <c r="AK771" s="27">
        <v>3741479420.4472179</v>
      </c>
      <c r="AL771" s="226">
        <v>5.5470601940446471</v>
      </c>
      <c r="AM771" s="27" t="s">
        <v>2842</v>
      </c>
      <c r="AN771" s="271" t="s">
        <v>2842</v>
      </c>
      <c r="AO771" s="27">
        <v>16321581</v>
      </c>
      <c r="AP771" s="27">
        <v>6.5</v>
      </c>
      <c r="AQ771" s="27">
        <v>68.295365853658538</v>
      </c>
      <c r="AR771" s="27">
        <v>19.3</v>
      </c>
      <c r="AS771" s="29">
        <v>97.410539999999997</v>
      </c>
      <c r="AT771" s="270">
        <v>29</v>
      </c>
      <c r="AU771" s="464">
        <v>57.363105318322219</v>
      </c>
      <c r="AV771" s="29">
        <v>-1.1020684613614</v>
      </c>
      <c r="AW771" s="29">
        <v>0.45235036310351401</v>
      </c>
      <c r="AX771" s="29">
        <v>-0.42554743484187901</v>
      </c>
      <c r="AY771" s="29">
        <v>-0.336527196038655</v>
      </c>
      <c r="AZ771" s="60">
        <v>-0.97534524891083396</v>
      </c>
    </row>
    <row r="772" spans="1:52" s="29" customFormat="1" ht="15" customHeight="1">
      <c r="A772" s="59" t="s">
        <v>268</v>
      </c>
      <c r="B772" s="27">
        <v>2010</v>
      </c>
      <c r="C772" s="27" t="s">
        <v>273</v>
      </c>
      <c r="D772" s="69" t="s">
        <v>34</v>
      </c>
      <c r="E772" s="27" t="s">
        <v>19</v>
      </c>
      <c r="F772" s="29" t="s">
        <v>1133</v>
      </c>
      <c r="G772" s="18">
        <v>24229100</v>
      </c>
      <c r="H772" s="18"/>
      <c r="I772" s="18"/>
      <c r="J772" s="18"/>
      <c r="K772" s="29" t="s">
        <v>567</v>
      </c>
      <c r="L772" s="28">
        <v>145.86318542569001</v>
      </c>
      <c r="M772" s="29" t="s">
        <v>568</v>
      </c>
      <c r="N772" s="27" t="s">
        <v>1320</v>
      </c>
      <c r="O772" s="18">
        <f>G772*L772</f>
        <v>3534133705.9975858</v>
      </c>
      <c r="P772" s="244"/>
      <c r="Q772" s="244"/>
      <c r="W772" s="72"/>
      <c r="AB772" s="27"/>
      <c r="AC772" s="273">
        <v>20754211560</v>
      </c>
      <c r="AD772" s="27">
        <v>148047348240.64334</v>
      </c>
      <c r="AE772" s="228">
        <v>0.14018631070828164</v>
      </c>
      <c r="AF772" s="27">
        <v>41577617279.902275</v>
      </c>
      <c r="AG772" s="226">
        <v>0.49916789171158538</v>
      </c>
      <c r="AH772" s="226">
        <v>0.77019375904808951</v>
      </c>
      <c r="AI772" s="27">
        <v>223930000</v>
      </c>
      <c r="AJ772" s="226">
        <v>92.681693207698828</v>
      </c>
      <c r="AK772" s="27">
        <v>3741479420.4472179</v>
      </c>
      <c r="AL772" s="226">
        <v>5.5470601940446471</v>
      </c>
      <c r="AM772" s="27" t="s">
        <v>2842</v>
      </c>
      <c r="AN772" s="271" t="s">
        <v>2842</v>
      </c>
      <c r="AO772" s="27">
        <v>16321581</v>
      </c>
      <c r="AP772" s="27">
        <v>6.5</v>
      </c>
      <c r="AQ772" s="27">
        <v>68.295365853658538</v>
      </c>
      <c r="AR772" s="27">
        <v>19.3</v>
      </c>
      <c r="AS772" s="29">
        <v>97.410539999999997</v>
      </c>
      <c r="AT772" s="270">
        <v>29</v>
      </c>
      <c r="AU772" s="464">
        <v>57.363105318322219</v>
      </c>
      <c r="AV772" s="29">
        <v>-1.1020684613614</v>
      </c>
      <c r="AW772" s="29">
        <v>0.45235036310351401</v>
      </c>
      <c r="AX772" s="29">
        <v>-0.42554743484187901</v>
      </c>
      <c r="AY772" s="29">
        <v>-0.336527196038655</v>
      </c>
      <c r="AZ772" s="60">
        <v>-0.97534524891083396</v>
      </c>
    </row>
    <row r="773" spans="1:52" s="29" customFormat="1" ht="15" customHeight="1">
      <c r="A773" s="59" t="s">
        <v>268</v>
      </c>
      <c r="B773" s="27">
        <v>2010</v>
      </c>
      <c r="C773" s="27" t="s">
        <v>273</v>
      </c>
      <c r="D773" s="69" t="s">
        <v>34</v>
      </c>
      <c r="E773" s="27" t="s">
        <v>19</v>
      </c>
      <c r="F773" s="29" t="s">
        <v>784</v>
      </c>
      <c r="G773" s="18"/>
      <c r="H773" s="18"/>
      <c r="I773" s="18"/>
      <c r="J773" s="18"/>
      <c r="L773" s="28">
        <v>9.64</v>
      </c>
      <c r="M773" s="27" t="s">
        <v>568</v>
      </c>
      <c r="N773" s="27" t="s">
        <v>785</v>
      </c>
      <c r="O773" s="18">
        <f>G775*L773</f>
        <v>9640000</v>
      </c>
      <c r="P773" s="244"/>
      <c r="Q773" s="244"/>
      <c r="W773" s="72"/>
      <c r="AB773" s="27"/>
      <c r="AC773" s="273">
        <v>20754211560</v>
      </c>
      <c r="AD773" s="27">
        <v>148047348240.64334</v>
      </c>
      <c r="AE773" s="228">
        <v>0.14018631070828164</v>
      </c>
      <c r="AF773" s="27">
        <v>41577617279.902275</v>
      </c>
      <c r="AG773" s="226">
        <v>0.49916789171158538</v>
      </c>
      <c r="AH773" s="226">
        <v>0.77019375904808951</v>
      </c>
      <c r="AI773" s="27">
        <v>223930000</v>
      </c>
      <c r="AJ773" s="226">
        <v>92.681693207698828</v>
      </c>
      <c r="AK773" s="27">
        <v>3741479420.4472179</v>
      </c>
      <c r="AL773" s="226">
        <v>5.5470601940446471</v>
      </c>
      <c r="AM773" s="27" t="s">
        <v>2842</v>
      </c>
      <c r="AN773" s="271" t="s">
        <v>2842</v>
      </c>
      <c r="AO773" s="27">
        <v>16321581</v>
      </c>
      <c r="AP773" s="27">
        <v>6.5</v>
      </c>
      <c r="AQ773" s="27">
        <v>68.295365853658538</v>
      </c>
      <c r="AR773" s="27">
        <v>19.3</v>
      </c>
      <c r="AS773" s="29">
        <v>97.410539999999997</v>
      </c>
      <c r="AT773" s="270">
        <v>29</v>
      </c>
      <c r="AU773" s="464">
        <v>57.363105318322219</v>
      </c>
      <c r="AV773" s="29">
        <v>-1.1020684613614</v>
      </c>
      <c r="AW773" s="29">
        <v>0.45235036310351401</v>
      </c>
      <c r="AX773" s="29">
        <v>-0.42554743484187901</v>
      </c>
      <c r="AY773" s="29">
        <v>-0.336527196038655</v>
      </c>
      <c r="AZ773" s="60">
        <v>-0.97534524891083396</v>
      </c>
    </row>
    <row r="774" spans="1:52" s="29" customFormat="1" ht="15" customHeight="1">
      <c r="A774" s="59" t="s">
        <v>268</v>
      </c>
      <c r="B774" s="27">
        <v>2010</v>
      </c>
      <c r="C774" s="27" t="s">
        <v>273</v>
      </c>
      <c r="D774" s="69" t="s">
        <v>34</v>
      </c>
      <c r="E774" s="27" t="s">
        <v>19</v>
      </c>
      <c r="F774" s="29" t="s">
        <v>982</v>
      </c>
      <c r="G774" s="18">
        <v>4135800</v>
      </c>
      <c r="H774" s="18"/>
      <c r="I774" s="18"/>
      <c r="J774" s="18"/>
      <c r="K774" s="29" t="s">
        <v>567</v>
      </c>
      <c r="L774" s="28"/>
      <c r="N774" s="27" t="s">
        <v>788</v>
      </c>
      <c r="O774" s="18"/>
      <c r="P774" s="244"/>
      <c r="Q774" s="244"/>
      <c r="W774" s="72"/>
      <c r="AB774" s="27"/>
      <c r="AC774" s="273">
        <v>20754211560</v>
      </c>
      <c r="AD774" s="27">
        <v>148047348240.64334</v>
      </c>
      <c r="AE774" s="228">
        <v>0.14018631070828164</v>
      </c>
      <c r="AF774" s="27">
        <v>41577617279.902275</v>
      </c>
      <c r="AG774" s="226">
        <v>0.49916789171158538</v>
      </c>
      <c r="AH774" s="226">
        <v>0.77019375904808951</v>
      </c>
      <c r="AI774" s="27">
        <v>223930000</v>
      </c>
      <c r="AJ774" s="226">
        <v>92.681693207698828</v>
      </c>
      <c r="AK774" s="27">
        <v>3741479420.4472179</v>
      </c>
      <c r="AL774" s="226">
        <v>5.5470601940446471</v>
      </c>
      <c r="AM774" s="27" t="s">
        <v>2842</v>
      </c>
      <c r="AN774" s="271" t="s">
        <v>2842</v>
      </c>
      <c r="AO774" s="27">
        <v>16321581</v>
      </c>
      <c r="AP774" s="27">
        <v>6.5</v>
      </c>
      <c r="AQ774" s="27">
        <v>68.295365853658538</v>
      </c>
      <c r="AR774" s="27">
        <v>19.3</v>
      </c>
      <c r="AS774" s="29">
        <v>97.410539999999997</v>
      </c>
      <c r="AT774" s="270">
        <v>29</v>
      </c>
      <c r="AU774" s="464">
        <v>57.363105318322219</v>
      </c>
      <c r="AV774" s="29">
        <v>-1.1020684613614</v>
      </c>
      <c r="AW774" s="29">
        <v>0.45235036310351401</v>
      </c>
      <c r="AX774" s="29">
        <v>-0.42554743484187901</v>
      </c>
      <c r="AY774" s="29">
        <v>-0.336527196038655</v>
      </c>
      <c r="AZ774" s="60">
        <v>-0.97534524891083396</v>
      </c>
    </row>
    <row r="775" spans="1:52" s="29" customFormat="1" ht="15" customHeight="1">
      <c r="A775" s="59" t="s">
        <v>268</v>
      </c>
      <c r="B775" s="27">
        <v>2010</v>
      </c>
      <c r="C775" s="27" t="s">
        <v>273</v>
      </c>
      <c r="D775" s="69" t="s">
        <v>34</v>
      </c>
      <c r="E775" s="27" t="s">
        <v>19</v>
      </c>
      <c r="F775" s="29" t="s">
        <v>1321</v>
      </c>
      <c r="G775" s="18">
        <v>1000000</v>
      </c>
      <c r="H775" s="18"/>
      <c r="I775" s="18"/>
      <c r="J775" s="18"/>
      <c r="K775" s="29" t="s">
        <v>567</v>
      </c>
      <c r="L775" s="28"/>
      <c r="N775" s="27" t="s">
        <v>788</v>
      </c>
      <c r="O775" s="18"/>
      <c r="P775" s="244"/>
      <c r="Q775" s="244"/>
      <c r="W775" s="72"/>
      <c r="AB775" s="27"/>
      <c r="AC775" s="273">
        <v>20754211560</v>
      </c>
      <c r="AD775" s="27">
        <v>148047348240.64334</v>
      </c>
      <c r="AE775" s="228">
        <v>0.14018631070828164</v>
      </c>
      <c r="AF775" s="27">
        <v>41577617279.902275</v>
      </c>
      <c r="AG775" s="226">
        <v>0.49916789171158538</v>
      </c>
      <c r="AH775" s="226">
        <v>0.77019375904808951</v>
      </c>
      <c r="AI775" s="27">
        <v>223930000</v>
      </c>
      <c r="AJ775" s="226">
        <v>92.681693207698828</v>
      </c>
      <c r="AK775" s="27">
        <v>3741479420.4472179</v>
      </c>
      <c r="AL775" s="226">
        <v>5.5470601940446471</v>
      </c>
      <c r="AM775" s="27" t="s">
        <v>2842</v>
      </c>
      <c r="AN775" s="271" t="s">
        <v>2842</v>
      </c>
      <c r="AO775" s="27">
        <v>16321581</v>
      </c>
      <c r="AP775" s="27">
        <v>6.5</v>
      </c>
      <c r="AQ775" s="27">
        <v>68.295365853658538</v>
      </c>
      <c r="AR775" s="27">
        <v>19.3</v>
      </c>
      <c r="AS775" s="29">
        <v>97.410539999999997</v>
      </c>
      <c r="AT775" s="270">
        <v>29</v>
      </c>
      <c r="AU775" s="464">
        <v>57.363105318322219</v>
      </c>
      <c r="AV775" s="29">
        <v>-1.1020684613614</v>
      </c>
      <c r="AW775" s="29">
        <v>0.45235036310351401</v>
      </c>
      <c r="AX775" s="29">
        <v>-0.42554743484187901</v>
      </c>
      <c r="AY775" s="29">
        <v>-0.336527196038655</v>
      </c>
      <c r="AZ775" s="60">
        <v>-0.97534524891083396</v>
      </c>
    </row>
    <row r="776" spans="1:52" s="29" customFormat="1" ht="15" customHeight="1">
      <c r="A776" s="59" t="s">
        <v>268</v>
      </c>
      <c r="B776" s="27">
        <v>2010</v>
      </c>
      <c r="C776" s="27" t="s">
        <v>273</v>
      </c>
      <c r="D776" s="69" t="s">
        <v>34</v>
      </c>
      <c r="E776" s="27" t="s">
        <v>19</v>
      </c>
      <c r="F776" s="29" t="s">
        <v>1322</v>
      </c>
      <c r="G776" s="18">
        <v>500</v>
      </c>
      <c r="H776" s="18"/>
      <c r="I776" s="18"/>
      <c r="J776" s="18"/>
      <c r="K776" s="29" t="s">
        <v>567</v>
      </c>
      <c r="L776" s="44">
        <v>21808.852416666701</v>
      </c>
      <c r="M776" s="27" t="s">
        <v>568</v>
      </c>
      <c r="N776" s="27" t="s">
        <v>1323</v>
      </c>
      <c r="O776" s="18">
        <f>G776*L776</f>
        <v>10904426.208333351</v>
      </c>
      <c r="P776" s="244"/>
      <c r="Q776" s="244"/>
      <c r="W776" s="72"/>
      <c r="AB776" s="27"/>
      <c r="AC776" s="273">
        <v>20754211560</v>
      </c>
      <c r="AD776" s="27">
        <v>148047348240.64334</v>
      </c>
      <c r="AE776" s="228">
        <v>0.14018631070828164</v>
      </c>
      <c r="AF776" s="27">
        <v>41577617279.902275</v>
      </c>
      <c r="AG776" s="226">
        <v>0.49916789171158538</v>
      </c>
      <c r="AH776" s="226">
        <v>0.77019375904808951</v>
      </c>
      <c r="AI776" s="27">
        <v>223930000</v>
      </c>
      <c r="AJ776" s="226">
        <v>92.681693207698828</v>
      </c>
      <c r="AK776" s="27">
        <v>3741479420.4472179</v>
      </c>
      <c r="AL776" s="226">
        <v>5.5470601940446471</v>
      </c>
      <c r="AM776" s="27" t="s">
        <v>2842</v>
      </c>
      <c r="AN776" s="271" t="s">
        <v>2842</v>
      </c>
      <c r="AO776" s="27">
        <v>16321581</v>
      </c>
      <c r="AP776" s="27">
        <v>6.5</v>
      </c>
      <c r="AQ776" s="27">
        <v>68.295365853658538</v>
      </c>
      <c r="AR776" s="27">
        <v>19.3</v>
      </c>
      <c r="AS776" s="29">
        <v>97.410539999999997</v>
      </c>
      <c r="AT776" s="270">
        <v>29</v>
      </c>
      <c r="AU776" s="464">
        <v>57.363105318322219</v>
      </c>
      <c r="AV776" s="29">
        <v>-1.1020684613614</v>
      </c>
      <c r="AW776" s="29">
        <v>0.45235036310351401</v>
      </c>
      <c r="AX776" s="29">
        <v>-0.42554743484187901</v>
      </c>
      <c r="AY776" s="29">
        <v>-0.336527196038655</v>
      </c>
      <c r="AZ776" s="60">
        <v>-0.97534524891083396</v>
      </c>
    </row>
    <row r="777" spans="1:52" s="29" customFormat="1" ht="15" customHeight="1">
      <c r="A777" s="59" t="s">
        <v>268</v>
      </c>
      <c r="B777" s="27">
        <v>2010</v>
      </c>
      <c r="C777" s="27" t="s">
        <v>273</v>
      </c>
      <c r="D777" s="69" t="s">
        <v>34</v>
      </c>
      <c r="E777" s="27" t="s">
        <v>19</v>
      </c>
      <c r="F777" s="29" t="s">
        <v>1324</v>
      </c>
      <c r="G777" s="18">
        <v>1600000</v>
      </c>
      <c r="H777" s="18"/>
      <c r="I777" s="18"/>
      <c r="J777" s="18"/>
      <c r="K777" s="29" t="s">
        <v>567</v>
      </c>
      <c r="L777" s="28">
        <v>123.02083333333</v>
      </c>
      <c r="M777" s="29" t="s">
        <v>568</v>
      </c>
      <c r="N777" s="27" t="s">
        <v>1325</v>
      </c>
      <c r="O777" s="18">
        <f>G777*L777</f>
        <v>196833333.33332801</v>
      </c>
      <c r="P777" s="244"/>
      <c r="Q777" s="244"/>
      <c r="W777" s="72"/>
      <c r="AB777" s="27"/>
      <c r="AC777" s="273">
        <v>20754211560</v>
      </c>
      <c r="AD777" s="27">
        <v>148047348240.64334</v>
      </c>
      <c r="AE777" s="228">
        <v>0.14018631070828164</v>
      </c>
      <c r="AF777" s="27">
        <v>41577617279.902275</v>
      </c>
      <c r="AG777" s="226">
        <v>0.49916789171158538</v>
      </c>
      <c r="AH777" s="226">
        <v>0.77019375904808951</v>
      </c>
      <c r="AI777" s="27">
        <v>223930000</v>
      </c>
      <c r="AJ777" s="226">
        <v>92.681693207698828</v>
      </c>
      <c r="AK777" s="27">
        <v>3741479420.4472179</v>
      </c>
      <c r="AL777" s="226">
        <v>5.5470601940446471</v>
      </c>
      <c r="AM777" s="27" t="s">
        <v>2842</v>
      </c>
      <c r="AN777" s="271" t="s">
        <v>2842</v>
      </c>
      <c r="AO777" s="27">
        <v>16321581</v>
      </c>
      <c r="AP777" s="27">
        <v>6.5</v>
      </c>
      <c r="AQ777" s="27">
        <v>68.295365853658538</v>
      </c>
      <c r="AR777" s="27">
        <v>19.3</v>
      </c>
      <c r="AS777" s="29">
        <v>97.410539999999997</v>
      </c>
      <c r="AT777" s="270">
        <v>29</v>
      </c>
      <c r="AU777" s="464">
        <v>57.363105318322219</v>
      </c>
      <c r="AV777" s="29">
        <v>-1.1020684613614</v>
      </c>
      <c r="AW777" s="29">
        <v>0.45235036310351401</v>
      </c>
      <c r="AX777" s="29">
        <v>-0.42554743484187901</v>
      </c>
      <c r="AY777" s="29">
        <v>-0.336527196038655</v>
      </c>
      <c r="AZ777" s="60">
        <v>-0.97534524891083396</v>
      </c>
    </row>
    <row r="778" spans="1:52" s="29" customFormat="1" ht="15" customHeight="1">
      <c r="A778" s="59" t="s">
        <v>268</v>
      </c>
      <c r="B778" s="27">
        <v>2010</v>
      </c>
      <c r="C778" s="27" t="s">
        <v>273</v>
      </c>
      <c r="D778" s="69" t="s">
        <v>34</v>
      </c>
      <c r="E778" s="27" t="s">
        <v>19</v>
      </c>
      <c r="F778" s="29" t="s">
        <v>1326</v>
      </c>
      <c r="G778" s="18">
        <v>2984000</v>
      </c>
      <c r="H778" s="18"/>
      <c r="I778" s="18"/>
      <c r="J778" s="18"/>
      <c r="K778" s="29" t="s">
        <v>567</v>
      </c>
      <c r="L778" s="28"/>
      <c r="N778" s="27" t="s">
        <v>788</v>
      </c>
      <c r="O778" s="18"/>
      <c r="P778" s="244"/>
      <c r="Q778" s="244"/>
      <c r="W778" s="72"/>
      <c r="AB778" s="27"/>
      <c r="AC778" s="273">
        <v>20754211560</v>
      </c>
      <c r="AD778" s="27">
        <v>148047348240.64334</v>
      </c>
      <c r="AE778" s="228">
        <v>0.14018631070828164</v>
      </c>
      <c r="AF778" s="27">
        <v>41577617279.902275</v>
      </c>
      <c r="AG778" s="226">
        <v>0.49916789171158538</v>
      </c>
      <c r="AH778" s="226">
        <v>0.77019375904808951</v>
      </c>
      <c r="AI778" s="27">
        <v>223930000</v>
      </c>
      <c r="AJ778" s="226">
        <v>92.681693207698828</v>
      </c>
      <c r="AK778" s="27">
        <v>3741479420.4472179</v>
      </c>
      <c r="AL778" s="226">
        <v>5.5470601940446471</v>
      </c>
      <c r="AM778" s="27" t="s">
        <v>2842</v>
      </c>
      <c r="AN778" s="271" t="s">
        <v>2842</v>
      </c>
      <c r="AO778" s="27">
        <v>16321581</v>
      </c>
      <c r="AP778" s="27">
        <v>6.5</v>
      </c>
      <c r="AQ778" s="27">
        <v>68.295365853658538</v>
      </c>
      <c r="AR778" s="27">
        <v>19.3</v>
      </c>
      <c r="AS778" s="29">
        <v>97.410539999999997</v>
      </c>
      <c r="AT778" s="270">
        <v>29</v>
      </c>
      <c r="AU778" s="464">
        <v>57.363105318322219</v>
      </c>
      <c r="AV778" s="29">
        <v>-1.1020684613614</v>
      </c>
      <c r="AW778" s="29">
        <v>0.45235036310351401</v>
      </c>
      <c r="AX778" s="29">
        <v>-0.42554743484187901</v>
      </c>
      <c r="AY778" s="29">
        <v>-0.336527196038655</v>
      </c>
      <c r="AZ778" s="60">
        <v>-0.97534524891083396</v>
      </c>
    </row>
    <row r="779" spans="1:52" s="29" customFormat="1" ht="15" customHeight="1">
      <c r="A779" s="59" t="s">
        <v>268</v>
      </c>
      <c r="B779" s="27">
        <v>2010</v>
      </c>
      <c r="C779" s="27" t="s">
        <v>273</v>
      </c>
      <c r="D779" s="69" t="s">
        <v>34</v>
      </c>
      <c r="E779" s="27" t="s">
        <v>19</v>
      </c>
      <c r="F779" s="29" t="s">
        <v>1341</v>
      </c>
      <c r="G779" s="18">
        <v>1500</v>
      </c>
      <c r="H779" s="18"/>
      <c r="I779" s="18"/>
      <c r="J779" s="18"/>
      <c r="K779" s="29" t="s">
        <v>567</v>
      </c>
      <c r="L779" s="28">
        <f>1.4/0.000453592</f>
        <v>3086.4741882572885</v>
      </c>
      <c r="M779" s="29" t="s">
        <v>568</v>
      </c>
      <c r="N779" s="27" t="s">
        <v>1342</v>
      </c>
      <c r="O779" s="18">
        <f>G779*L779</f>
        <v>4629711.2823859323</v>
      </c>
      <c r="P779" s="244"/>
      <c r="Q779" s="244"/>
      <c r="W779" s="72"/>
      <c r="AB779" s="27"/>
      <c r="AC779" s="273">
        <v>20754211560</v>
      </c>
      <c r="AD779" s="27">
        <v>148047348240.64334</v>
      </c>
      <c r="AE779" s="228">
        <v>0.14018631070828164</v>
      </c>
      <c r="AF779" s="27">
        <v>41577617279.902275</v>
      </c>
      <c r="AG779" s="226">
        <v>0.49916789171158538</v>
      </c>
      <c r="AH779" s="226">
        <v>0.77019375904808951</v>
      </c>
      <c r="AI779" s="27">
        <v>223930000</v>
      </c>
      <c r="AJ779" s="226">
        <v>92.681693207698828</v>
      </c>
      <c r="AK779" s="27">
        <v>3741479420.4472179</v>
      </c>
      <c r="AL779" s="226">
        <v>5.5470601940446471</v>
      </c>
      <c r="AM779" s="27" t="s">
        <v>2842</v>
      </c>
      <c r="AN779" s="271" t="s">
        <v>2842</v>
      </c>
      <c r="AO779" s="27">
        <v>16321581</v>
      </c>
      <c r="AP779" s="27">
        <v>6.5</v>
      </c>
      <c r="AQ779" s="27">
        <v>68.295365853658538</v>
      </c>
      <c r="AR779" s="27">
        <v>19.3</v>
      </c>
      <c r="AS779" s="29">
        <v>97.410539999999997</v>
      </c>
      <c r="AT779" s="270">
        <v>29</v>
      </c>
      <c r="AU779" s="464">
        <v>57.363105318322219</v>
      </c>
      <c r="AV779" s="29">
        <v>-1.1020684613614</v>
      </c>
      <c r="AW779" s="29">
        <v>0.45235036310351401</v>
      </c>
      <c r="AX779" s="29">
        <v>-0.42554743484187901</v>
      </c>
      <c r="AY779" s="29">
        <v>-0.336527196038655</v>
      </c>
      <c r="AZ779" s="60">
        <v>-0.97534524891083396</v>
      </c>
    </row>
    <row r="780" spans="1:52" s="29" customFormat="1" ht="15" customHeight="1">
      <c r="A780" s="59" t="s">
        <v>268</v>
      </c>
      <c r="B780" s="27">
        <v>2010</v>
      </c>
      <c r="C780" s="27" t="s">
        <v>273</v>
      </c>
      <c r="D780" s="69" t="s">
        <v>34</v>
      </c>
      <c r="E780" s="27" t="s">
        <v>19</v>
      </c>
      <c r="F780" s="29" t="s">
        <v>1327</v>
      </c>
      <c r="G780" s="18">
        <v>14500</v>
      </c>
      <c r="H780" s="18"/>
      <c r="I780" s="18"/>
      <c r="J780" s="18"/>
      <c r="K780" s="29" t="s">
        <v>567</v>
      </c>
      <c r="L780" s="28">
        <v>10740</v>
      </c>
      <c r="M780" s="29" t="s">
        <v>568</v>
      </c>
      <c r="N780" s="27" t="s">
        <v>1328</v>
      </c>
      <c r="O780" s="18">
        <f>G780*L780</f>
        <v>155730000</v>
      </c>
      <c r="P780" s="244"/>
      <c r="Q780" s="244"/>
      <c r="W780" s="72"/>
      <c r="AB780" s="27"/>
      <c r="AC780" s="273">
        <v>20754211560</v>
      </c>
      <c r="AD780" s="27">
        <v>148047348240.64334</v>
      </c>
      <c r="AE780" s="228">
        <v>0.14018631070828164</v>
      </c>
      <c r="AF780" s="27">
        <v>41577617279.902275</v>
      </c>
      <c r="AG780" s="226">
        <v>0.49916789171158538</v>
      </c>
      <c r="AH780" s="226">
        <v>0.77019375904808951</v>
      </c>
      <c r="AI780" s="27">
        <v>223930000</v>
      </c>
      <c r="AJ780" s="226">
        <v>92.681693207698828</v>
      </c>
      <c r="AK780" s="27">
        <v>3741479420.4472179</v>
      </c>
      <c r="AL780" s="226">
        <v>5.5470601940446471</v>
      </c>
      <c r="AM780" s="27" t="s">
        <v>2842</v>
      </c>
      <c r="AN780" s="271" t="s">
        <v>2842</v>
      </c>
      <c r="AO780" s="27">
        <v>16321581</v>
      </c>
      <c r="AP780" s="27">
        <v>6.5</v>
      </c>
      <c r="AQ780" s="27">
        <v>68.295365853658538</v>
      </c>
      <c r="AR780" s="27">
        <v>19.3</v>
      </c>
      <c r="AS780" s="29">
        <v>97.410539999999997</v>
      </c>
      <c r="AT780" s="270">
        <v>29</v>
      </c>
      <c r="AU780" s="464">
        <v>57.363105318322219</v>
      </c>
      <c r="AV780" s="29">
        <v>-1.1020684613614</v>
      </c>
      <c r="AW780" s="29">
        <v>0.45235036310351401</v>
      </c>
      <c r="AX780" s="29">
        <v>-0.42554743484187901</v>
      </c>
      <c r="AY780" s="29">
        <v>-0.336527196038655</v>
      </c>
      <c r="AZ780" s="60">
        <v>-0.97534524891083396</v>
      </c>
    </row>
    <row r="781" spans="1:52" s="29" customFormat="1" ht="15" customHeight="1">
      <c r="A781" s="59" t="s">
        <v>268</v>
      </c>
      <c r="B781" s="27">
        <v>2010</v>
      </c>
      <c r="C781" s="27" t="s">
        <v>273</v>
      </c>
      <c r="D781" s="69" t="s">
        <v>34</v>
      </c>
      <c r="E781" s="27" t="s">
        <v>19</v>
      </c>
      <c r="F781" s="29" t="s">
        <v>1343</v>
      </c>
      <c r="G781" s="18">
        <v>17803</v>
      </c>
      <c r="H781" s="18"/>
      <c r="I781" s="18"/>
      <c r="J781" s="18"/>
      <c r="K781" s="29" t="s">
        <v>567</v>
      </c>
      <c r="L781" s="28"/>
      <c r="N781" s="27" t="s">
        <v>788</v>
      </c>
      <c r="O781" s="18"/>
      <c r="P781" s="244"/>
      <c r="Q781" s="244"/>
      <c r="W781" s="72"/>
      <c r="AB781" s="27"/>
      <c r="AC781" s="273">
        <v>20754211560</v>
      </c>
      <c r="AD781" s="27">
        <v>148047348240.64334</v>
      </c>
      <c r="AE781" s="228">
        <v>0.14018631070828164</v>
      </c>
      <c r="AF781" s="27">
        <v>41577617279.902275</v>
      </c>
      <c r="AG781" s="226">
        <v>0.49916789171158538</v>
      </c>
      <c r="AH781" s="226">
        <v>0.77019375904808951</v>
      </c>
      <c r="AI781" s="27">
        <v>223930000</v>
      </c>
      <c r="AJ781" s="226">
        <v>92.681693207698828</v>
      </c>
      <c r="AK781" s="27">
        <v>3741479420.4472179</v>
      </c>
      <c r="AL781" s="226">
        <v>5.5470601940446471</v>
      </c>
      <c r="AM781" s="27" t="s">
        <v>2842</v>
      </c>
      <c r="AN781" s="271" t="s">
        <v>2842</v>
      </c>
      <c r="AO781" s="27">
        <v>16321581</v>
      </c>
      <c r="AP781" s="27">
        <v>6.5</v>
      </c>
      <c r="AQ781" s="27">
        <v>68.295365853658538</v>
      </c>
      <c r="AR781" s="27">
        <v>19.3</v>
      </c>
      <c r="AS781" s="29">
        <v>97.410539999999997</v>
      </c>
      <c r="AT781" s="270">
        <v>29</v>
      </c>
      <c r="AU781" s="464">
        <v>57.363105318322219</v>
      </c>
      <c r="AV781" s="29">
        <v>-1.1020684613614</v>
      </c>
      <c r="AW781" s="29">
        <v>0.45235036310351401</v>
      </c>
      <c r="AX781" s="29">
        <v>-0.42554743484187901</v>
      </c>
      <c r="AY781" s="29">
        <v>-0.336527196038655</v>
      </c>
      <c r="AZ781" s="60">
        <v>-0.97534524891083396</v>
      </c>
    </row>
    <row r="782" spans="1:52" s="29" customFormat="1" ht="15" customHeight="1">
      <c r="A782" s="59" t="s">
        <v>268</v>
      </c>
      <c r="B782" s="27">
        <v>2010</v>
      </c>
      <c r="C782" s="27" t="s">
        <v>273</v>
      </c>
      <c r="D782" s="69" t="s">
        <v>34</v>
      </c>
      <c r="E782" s="27" t="s">
        <v>19</v>
      </c>
      <c r="F782" s="29" t="s">
        <v>1344</v>
      </c>
      <c r="G782" s="18">
        <v>20995</v>
      </c>
      <c r="H782" s="18"/>
      <c r="I782" s="18"/>
      <c r="J782" s="18"/>
      <c r="K782" s="29" t="s">
        <v>567</v>
      </c>
      <c r="L782" s="28"/>
      <c r="N782" s="27" t="s">
        <v>788</v>
      </c>
      <c r="O782" s="18"/>
      <c r="P782" s="244"/>
      <c r="Q782" s="244"/>
      <c r="W782" s="72"/>
      <c r="AB782" s="27"/>
      <c r="AC782" s="273">
        <v>20754211560</v>
      </c>
      <c r="AD782" s="27">
        <v>148047348240.64334</v>
      </c>
      <c r="AE782" s="228">
        <v>0.14018631070828164</v>
      </c>
      <c r="AF782" s="27">
        <v>41577617279.902275</v>
      </c>
      <c r="AG782" s="226">
        <v>0.49916789171158538</v>
      </c>
      <c r="AH782" s="226">
        <v>0.77019375904808951</v>
      </c>
      <c r="AI782" s="27">
        <v>223930000</v>
      </c>
      <c r="AJ782" s="226">
        <v>92.681693207698828</v>
      </c>
      <c r="AK782" s="27">
        <v>3741479420.4472179</v>
      </c>
      <c r="AL782" s="226">
        <v>5.5470601940446471</v>
      </c>
      <c r="AM782" s="27" t="s">
        <v>2842</v>
      </c>
      <c r="AN782" s="271" t="s">
        <v>2842</v>
      </c>
      <c r="AO782" s="27">
        <v>16321581</v>
      </c>
      <c r="AP782" s="27">
        <v>6.5</v>
      </c>
      <c r="AQ782" s="27">
        <v>68.295365853658538</v>
      </c>
      <c r="AR782" s="27">
        <v>19.3</v>
      </c>
      <c r="AS782" s="29">
        <v>97.410539999999997</v>
      </c>
      <c r="AT782" s="270">
        <v>29</v>
      </c>
      <c r="AU782" s="464">
        <v>57.363105318322219</v>
      </c>
      <c r="AV782" s="29">
        <v>-1.1020684613614</v>
      </c>
      <c r="AW782" s="29">
        <v>0.45235036310351401</v>
      </c>
      <c r="AX782" s="29">
        <v>-0.42554743484187901</v>
      </c>
      <c r="AY782" s="29">
        <v>-0.336527196038655</v>
      </c>
      <c r="AZ782" s="60">
        <v>-0.97534524891083396</v>
      </c>
    </row>
    <row r="783" spans="1:52" s="29" customFormat="1" ht="15" customHeight="1">
      <c r="A783" s="59" t="s">
        <v>268</v>
      </c>
      <c r="B783" s="27">
        <v>2010</v>
      </c>
      <c r="C783" s="27" t="s">
        <v>273</v>
      </c>
      <c r="D783" s="69" t="s">
        <v>34</v>
      </c>
      <c r="E783" s="27" t="s">
        <v>19</v>
      </c>
      <c r="F783" s="29" t="s">
        <v>790</v>
      </c>
      <c r="G783" s="18"/>
      <c r="H783" s="18"/>
      <c r="I783" s="18"/>
      <c r="J783" s="18"/>
      <c r="L783" s="44">
        <f>2160.74325</f>
        <v>2160.74325</v>
      </c>
      <c r="M783" s="27" t="s">
        <v>568</v>
      </c>
      <c r="N783" s="27" t="s">
        <v>1329</v>
      </c>
      <c r="O783" s="18">
        <f>G785*L783</f>
        <v>688970271.20850003</v>
      </c>
      <c r="P783" s="244"/>
      <c r="Q783" s="244"/>
      <c r="W783" s="72"/>
      <c r="AB783" s="27"/>
      <c r="AC783" s="273">
        <v>20754211560</v>
      </c>
      <c r="AD783" s="27">
        <v>148047348240.64334</v>
      </c>
      <c r="AE783" s="228">
        <v>0.14018631070828164</v>
      </c>
      <c r="AF783" s="27">
        <v>41577617279.902275</v>
      </c>
      <c r="AG783" s="226">
        <v>0.49916789171158538</v>
      </c>
      <c r="AH783" s="226">
        <v>0.77019375904808951</v>
      </c>
      <c r="AI783" s="27">
        <v>223930000</v>
      </c>
      <c r="AJ783" s="226">
        <v>92.681693207698828</v>
      </c>
      <c r="AK783" s="27">
        <v>3741479420.4472179</v>
      </c>
      <c r="AL783" s="226">
        <v>5.5470601940446471</v>
      </c>
      <c r="AM783" s="27" t="s">
        <v>2842</v>
      </c>
      <c r="AN783" s="271" t="s">
        <v>2842</v>
      </c>
      <c r="AO783" s="27">
        <v>16321581</v>
      </c>
      <c r="AP783" s="27">
        <v>6.5</v>
      </c>
      <c r="AQ783" s="27">
        <v>68.295365853658538</v>
      </c>
      <c r="AR783" s="27">
        <v>19.3</v>
      </c>
      <c r="AS783" s="29">
        <v>97.410539999999997</v>
      </c>
      <c r="AT783" s="270">
        <v>29</v>
      </c>
      <c r="AU783" s="464">
        <v>57.363105318322219</v>
      </c>
      <c r="AV783" s="29">
        <v>-1.1020684613614</v>
      </c>
      <c r="AW783" s="29">
        <v>0.45235036310351401</v>
      </c>
      <c r="AX783" s="29">
        <v>-0.42554743484187901</v>
      </c>
      <c r="AY783" s="29">
        <v>-0.336527196038655</v>
      </c>
      <c r="AZ783" s="60">
        <v>-0.97534524891083396</v>
      </c>
    </row>
    <row r="784" spans="1:52" s="29" customFormat="1" ht="15" customHeight="1">
      <c r="A784" s="59" t="s">
        <v>268</v>
      </c>
      <c r="B784" s="27">
        <v>2010</v>
      </c>
      <c r="C784" s="27" t="s">
        <v>273</v>
      </c>
      <c r="D784" s="69" t="s">
        <v>34</v>
      </c>
      <c r="E784" s="27" t="s">
        <v>19</v>
      </c>
      <c r="F784" s="29" t="s">
        <v>1330</v>
      </c>
      <c r="G784" s="18">
        <v>440000</v>
      </c>
      <c r="H784" s="18"/>
      <c r="I784" s="18"/>
      <c r="J784" s="18"/>
      <c r="K784" s="18" t="s">
        <v>567</v>
      </c>
      <c r="L784" s="28"/>
      <c r="N784" s="27" t="s">
        <v>788</v>
      </c>
      <c r="O784" s="18"/>
      <c r="P784" s="244"/>
      <c r="Q784" s="244"/>
      <c r="W784" s="72"/>
      <c r="AB784" s="27"/>
      <c r="AC784" s="273">
        <v>20754211560</v>
      </c>
      <c r="AD784" s="27">
        <v>148047348240.64334</v>
      </c>
      <c r="AE784" s="228">
        <v>0.14018631070828164</v>
      </c>
      <c r="AF784" s="27">
        <v>41577617279.902275</v>
      </c>
      <c r="AG784" s="226">
        <v>0.49916789171158538</v>
      </c>
      <c r="AH784" s="226">
        <v>0.77019375904808951</v>
      </c>
      <c r="AI784" s="27">
        <v>223930000</v>
      </c>
      <c r="AJ784" s="226">
        <v>92.681693207698828</v>
      </c>
      <c r="AK784" s="27">
        <v>3741479420.4472179</v>
      </c>
      <c r="AL784" s="226">
        <v>5.5470601940446471</v>
      </c>
      <c r="AM784" s="27" t="s">
        <v>2842</v>
      </c>
      <c r="AN784" s="271" t="s">
        <v>2842</v>
      </c>
      <c r="AO784" s="27">
        <v>16321581</v>
      </c>
      <c r="AP784" s="27">
        <v>6.5</v>
      </c>
      <c r="AQ784" s="27">
        <v>68.295365853658538</v>
      </c>
      <c r="AR784" s="27">
        <v>19.3</v>
      </c>
      <c r="AS784" s="29">
        <v>97.410539999999997</v>
      </c>
      <c r="AT784" s="270">
        <v>29</v>
      </c>
      <c r="AU784" s="464">
        <v>57.363105318322219</v>
      </c>
      <c r="AV784" s="29">
        <v>-1.1020684613614</v>
      </c>
      <c r="AW784" s="29">
        <v>0.45235036310351401</v>
      </c>
      <c r="AX784" s="29">
        <v>-0.42554743484187901</v>
      </c>
      <c r="AY784" s="29">
        <v>-0.336527196038655</v>
      </c>
      <c r="AZ784" s="60">
        <v>-0.97534524891083396</v>
      </c>
    </row>
    <row r="785" spans="1:52" s="287" customFormat="1" ht="15" customHeight="1">
      <c r="A785" s="344" t="s">
        <v>268</v>
      </c>
      <c r="B785" s="284">
        <v>2010</v>
      </c>
      <c r="C785" s="284" t="s">
        <v>273</v>
      </c>
      <c r="D785" s="369" t="s">
        <v>34</v>
      </c>
      <c r="E785" s="284" t="s">
        <v>19</v>
      </c>
      <c r="F785" s="287" t="s">
        <v>1331</v>
      </c>
      <c r="G785" s="305">
        <v>318858</v>
      </c>
      <c r="H785" s="305"/>
      <c r="I785" s="305"/>
      <c r="J785" s="305"/>
      <c r="K785" s="305" t="s">
        <v>567</v>
      </c>
      <c r="L785" s="304"/>
      <c r="N785" s="284" t="s">
        <v>788</v>
      </c>
      <c r="O785" s="305"/>
      <c r="P785" s="374"/>
      <c r="Q785" s="374"/>
      <c r="W785" s="397"/>
      <c r="AB785" s="284"/>
      <c r="AC785" s="308">
        <v>20754211560</v>
      </c>
      <c r="AD785" s="284">
        <v>148047348240.64334</v>
      </c>
      <c r="AE785" s="309">
        <v>0.14018631070828164</v>
      </c>
      <c r="AF785" s="284">
        <v>41577617279.902275</v>
      </c>
      <c r="AG785" s="310">
        <v>0.49916789171158538</v>
      </c>
      <c r="AH785" s="310">
        <v>0.77019375904808951</v>
      </c>
      <c r="AI785" s="284">
        <v>223930000</v>
      </c>
      <c r="AJ785" s="310">
        <v>92.681693207698828</v>
      </c>
      <c r="AK785" s="284">
        <v>3741479420.4472179</v>
      </c>
      <c r="AL785" s="310">
        <v>5.5470601940446471</v>
      </c>
      <c r="AM785" s="284" t="s">
        <v>2842</v>
      </c>
      <c r="AN785" s="311" t="s">
        <v>2842</v>
      </c>
      <c r="AO785" s="284">
        <v>16321581</v>
      </c>
      <c r="AP785" s="284">
        <v>6.5</v>
      </c>
      <c r="AQ785" s="284">
        <v>68.295365853658538</v>
      </c>
      <c r="AR785" s="284">
        <v>19.3</v>
      </c>
      <c r="AS785" s="287">
        <v>97.410539999999997</v>
      </c>
      <c r="AT785" s="312">
        <v>29</v>
      </c>
      <c r="AU785" s="465">
        <v>57.363105318322219</v>
      </c>
      <c r="AV785" s="287">
        <v>-1.1020684613614</v>
      </c>
      <c r="AW785" s="287">
        <v>0.45235036310351401</v>
      </c>
      <c r="AX785" s="287">
        <v>-0.42554743484187901</v>
      </c>
      <c r="AY785" s="287">
        <v>-0.336527196038655</v>
      </c>
      <c r="AZ785" s="313">
        <v>-0.97534524891083396</v>
      </c>
    </row>
    <row r="786" spans="1:52" ht="15" customHeight="1">
      <c r="A786" s="59" t="s">
        <v>270</v>
      </c>
      <c r="B786" s="27">
        <v>2011</v>
      </c>
      <c r="C786" s="27" t="s">
        <v>273</v>
      </c>
      <c r="D786" s="69" t="s">
        <v>34</v>
      </c>
      <c r="E786" s="27" t="s">
        <v>30</v>
      </c>
      <c r="F786" s="27" t="s">
        <v>659</v>
      </c>
      <c r="G786" s="43"/>
      <c r="H786" s="43"/>
      <c r="I786" s="43"/>
      <c r="J786" s="43"/>
      <c r="K786" s="27"/>
      <c r="L786" s="28"/>
      <c r="M786" s="27"/>
      <c r="N786" s="27"/>
      <c r="O786" s="18">
        <f>O787+O790</f>
        <v>102282921711.10046</v>
      </c>
      <c r="P786" s="213">
        <v>28779202170</v>
      </c>
      <c r="Q786" s="213">
        <v>28858076750</v>
      </c>
      <c r="R786" s="27" t="s">
        <v>619</v>
      </c>
      <c r="S786" s="27"/>
      <c r="T786" s="18"/>
      <c r="U786" s="27" t="s">
        <v>1345</v>
      </c>
      <c r="V786" s="27" t="s">
        <v>1284</v>
      </c>
      <c r="W786" s="30">
        <v>144.54</v>
      </c>
      <c r="X786" s="27">
        <v>170</v>
      </c>
      <c r="Y786" s="27" t="s">
        <v>1346</v>
      </c>
      <c r="Z786" s="27">
        <v>167</v>
      </c>
      <c r="AA786" s="54" t="s">
        <v>1347</v>
      </c>
      <c r="AB786" s="27" t="s">
        <v>1348</v>
      </c>
      <c r="AC786" s="273">
        <v>28779202170</v>
      </c>
      <c r="AD786" s="27">
        <v>188048960311.22461</v>
      </c>
      <c r="AE786" s="228">
        <v>0.15304100656749112</v>
      </c>
      <c r="AF786" s="27">
        <v>51623200584.637375</v>
      </c>
      <c r="AG786" s="226">
        <v>0.55748581730836044</v>
      </c>
      <c r="AH786" s="226">
        <v>0.80769926698063443</v>
      </c>
      <c r="AI786" s="27">
        <v>215510000</v>
      </c>
      <c r="AJ786" s="226">
        <v>133.53998501229643</v>
      </c>
      <c r="AK786" s="27">
        <v>4271631310.1551666</v>
      </c>
      <c r="AL786" s="226">
        <v>6.7372860812172011</v>
      </c>
      <c r="AM786" s="27" t="s">
        <v>2842</v>
      </c>
      <c r="AN786" s="271" t="s">
        <v>2842</v>
      </c>
      <c r="AO786" s="27">
        <v>16556600</v>
      </c>
      <c r="AP786" s="27">
        <v>5.5</v>
      </c>
      <c r="AQ786" s="27">
        <v>68.98</v>
      </c>
      <c r="AR786" s="27">
        <v>17.600000000000001</v>
      </c>
      <c r="AS786" s="29">
        <v>98.239959999999996</v>
      </c>
      <c r="AT786" s="270">
        <v>29</v>
      </c>
      <c r="AU786" s="464">
        <v>57.363105318322219</v>
      </c>
      <c r="AV786" s="29">
        <v>-1.0947582948953301</v>
      </c>
      <c r="AW786" s="29">
        <v>-0.32042900556192899</v>
      </c>
      <c r="AX786" s="29">
        <v>-0.42630117376099602</v>
      </c>
      <c r="AY786" s="29">
        <v>-0.25995175471842702</v>
      </c>
      <c r="AZ786" s="60">
        <v>-0.97820473728264901</v>
      </c>
    </row>
    <row r="787" spans="1:52" ht="15" customHeight="1">
      <c r="A787" s="59" t="s">
        <v>270</v>
      </c>
      <c r="B787" s="27">
        <v>2011</v>
      </c>
      <c r="C787" s="27" t="s">
        <v>273</v>
      </c>
      <c r="D787" s="69" t="s">
        <v>34</v>
      </c>
      <c r="E787" s="27" t="s">
        <v>50</v>
      </c>
      <c r="F787" s="27" t="s">
        <v>597</v>
      </c>
      <c r="G787" s="43"/>
      <c r="H787" s="43"/>
      <c r="I787" s="43"/>
      <c r="J787" s="43"/>
      <c r="K787" s="27"/>
      <c r="L787" s="28"/>
      <c r="M787" s="27"/>
      <c r="N787" s="27"/>
      <c r="O787" s="18">
        <f>SUM(O788:O789)</f>
        <v>71798662764.0578</v>
      </c>
      <c r="P787" s="213">
        <v>25903971390</v>
      </c>
      <c r="Q787" s="213">
        <v>25932111930</v>
      </c>
      <c r="R787" s="27"/>
      <c r="S787" s="27"/>
      <c r="T787" s="18"/>
      <c r="U787" s="27"/>
      <c r="V787" s="27"/>
      <c r="W787" s="30"/>
      <c r="X787" s="27">
        <v>62</v>
      </c>
      <c r="Y787" s="27" t="s">
        <v>1349</v>
      </c>
      <c r="Z787" s="27">
        <v>62</v>
      </c>
      <c r="AA787" s="54" t="s">
        <v>1350</v>
      </c>
      <c r="AB787" s="27"/>
      <c r="AC787" s="273">
        <v>28779202170</v>
      </c>
      <c r="AD787" s="27">
        <v>188048960311.22461</v>
      </c>
      <c r="AE787" s="228">
        <v>0.15304100656749112</v>
      </c>
      <c r="AF787" s="27">
        <v>51623200584.637375</v>
      </c>
      <c r="AG787" s="226">
        <v>0.55748581730836044</v>
      </c>
      <c r="AH787" s="226">
        <v>0.80769926698063443</v>
      </c>
      <c r="AI787" s="27">
        <v>215510000</v>
      </c>
      <c r="AJ787" s="226">
        <v>133.53998501229643</v>
      </c>
      <c r="AK787" s="27">
        <v>4271631310.1551666</v>
      </c>
      <c r="AL787" s="226">
        <v>6.7372860812172011</v>
      </c>
      <c r="AM787" s="27" t="s">
        <v>2842</v>
      </c>
      <c r="AN787" s="271" t="s">
        <v>2842</v>
      </c>
      <c r="AO787" s="27">
        <v>16556600</v>
      </c>
      <c r="AP787" s="27">
        <v>5.5</v>
      </c>
      <c r="AQ787" s="27">
        <v>68.98</v>
      </c>
      <c r="AR787" s="27">
        <v>17.600000000000001</v>
      </c>
      <c r="AS787" s="29">
        <v>98.239959999999996</v>
      </c>
      <c r="AT787" s="270">
        <v>29</v>
      </c>
      <c r="AU787" s="464">
        <v>57.363105318322219</v>
      </c>
      <c r="AV787" s="29">
        <v>-1.0947582948953301</v>
      </c>
      <c r="AW787" s="29">
        <v>-0.32042900556192899</v>
      </c>
      <c r="AX787" s="29">
        <v>-0.42630117376099602</v>
      </c>
      <c r="AY787" s="29">
        <v>-0.25995175471842702</v>
      </c>
      <c r="AZ787" s="60">
        <v>-0.97820473728264901</v>
      </c>
    </row>
    <row r="788" spans="1:52" ht="15" customHeight="1">
      <c r="A788" s="59" t="s">
        <v>270</v>
      </c>
      <c r="B788" s="27">
        <v>2011</v>
      </c>
      <c r="C788" s="27" t="s">
        <v>273</v>
      </c>
      <c r="D788" s="69" t="s">
        <v>34</v>
      </c>
      <c r="E788" s="27" t="s">
        <v>552</v>
      </c>
      <c r="F788" s="27" t="s">
        <v>552</v>
      </c>
      <c r="G788" s="43">
        <v>17500000000</v>
      </c>
      <c r="H788" s="43"/>
      <c r="I788" s="43"/>
      <c r="J788" s="43"/>
      <c r="K788" s="27" t="s">
        <v>599</v>
      </c>
      <c r="L788" s="28">
        <v>0.19666043794616025</v>
      </c>
      <c r="M788" s="27" t="s">
        <v>600</v>
      </c>
      <c r="N788" s="27" t="s">
        <v>685</v>
      </c>
      <c r="O788" s="18">
        <f>G788*L788</f>
        <v>3441557664.0578046</v>
      </c>
      <c r="P788" s="213"/>
      <c r="Q788" s="213"/>
      <c r="R788" s="27"/>
      <c r="S788" s="27"/>
      <c r="T788" s="18"/>
      <c r="U788" s="27"/>
      <c r="V788" s="27"/>
      <c r="W788" s="30"/>
      <c r="X788" s="27"/>
      <c r="Y788" s="27"/>
      <c r="Z788" s="27"/>
      <c r="AA788" s="54"/>
      <c r="AB788" s="27"/>
      <c r="AC788" s="273">
        <v>28779202170</v>
      </c>
      <c r="AD788" s="27">
        <v>188048960311.22461</v>
      </c>
      <c r="AE788" s="228">
        <v>0.15304100656749112</v>
      </c>
      <c r="AF788" s="27">
        <v>51623200584.637375</v>
      </c>
      <c r="AG788" s="226">
        <v>0.55748581730836044</v>
      </c>
      <c r="AH788" s="226">
        <v>0.80769926698063443</v>
      </c>
      <c r="AI788" s="27">
        <v>215510000</v>
      </c>
      <c r="AJ788" s="226">
        <v>133.53998501229643</v>
      </c>
      <c r="AK788" s="27">
        <v>4271631310.1551666</v>
      </c>
      <c r="AL788" s="226">
        <v>6.7372860812172011</v>
      </c>
      <c r="AM788" s="27" t="s">
        <v>2842</v>
      </c>
      <c r="AN788" s="271" t="s">
        <v>2842</v>
      </c>
      <c r="AO788" s="27">
        <v>16556600</v>
      </c>
      <c r="AP788" s="27">
        <v>5.5</v>
      </c>
      <c r="AQ788" s="27">
        <v>68.98</v>
      </c>
      <c r="AR788" s="27">
        <v>17.600000000000001</v>
      </c>
      <c r="AS788" s="29">
        <v>98.239959999999996</v>
      </c>
      <c r="AT788" s="270">
        <v>29</v>
      </c>
      <c r="AU788" s="464">
        <v>57.363105318322219</v>
      </c>
      <c r="AV788" s="29">
        <v>-1.0947582948953301</v>
      </c>
      <c r="AW788" s="29">
        <v>-0.32042900556192899</v>
      </c>
      <c r="AX788" s="29">
        <v>-0.42630117376099602</v>
      </c>
      <c r="AY788" s="29">
        <v>-0.25995175471842702</v>
      </c>
      <c r="AZ788" s="60">
        <v>-0.97820473728264901</v>
      </c>
    </row>
    <row r="789" spans="1:52" ht="15" customHeight="1">
      <c r="A789" s="59" t="s">
        <v>270</v>
      </c>
      <c r="B789" s="27">
        <v>2011</v>
      </c>
      <c r="C789" s="27" t="s">
        <v>273</v>
      </c>
      <c r="D789" s="69" t="s">
        <v>34</v>
      </c>
      <c r="E789" s="27" t="s">
        <v>98</v>
      </c>
      <c r="F789" s="27" t="s">
        <v>98</v>
      </c>
      <c r="G789" s="43">
        <v>641670000</v>
      </c>
      <c r="H789" s="43"/>
      <c r="I789" s="43"/>
      <c r="J789" s="43"/>
      <c r="K789" s="27" t="s">
        <v>603</v>
      </c>
      <c r="L789" s="28">
        <v>106.53</v>
      </c>
      <c r="M789" s="27" t="s">
        <v>626</v>
      </c>
      <c r="N789" s="27" t="s">
        <v>687</v>
      </c>
      <c r="O789" s="18">
        <f>G789*L789</f>
        <v>68357105100</v>
      </c>
      <c r="P789" s="213"/>
      <c r="Q789" s="213"/>
      <c r="R789" s="27"/>
      <c r="S789" s="27"/>
      <c r="T789" s="18"/>
      <c r="U789" s="27"/>
      <c r="V789" s="27"/>
      <c r="W789" s="30"/>
      <c r="X789" s="27"/>
      <c r="Y789" s="27"/>
      <c r="Z789" s="27"/>
      <c r="AA789" s="54"/>
      <c r="AB789" s="27"/>
      <c r="AC789" s="273">
        <v>28779202170</v>
      </c>
      <c r="AD789" s="27">
        <v>188048960311.22461</v>
      </c>
      <c r="AE789" s="228">
        <v>0.15304100656749112</v>
      </c>
      <c r="AF789" s="27">
        <v>51623200584.637375</v>
      </c>
      <c r="AG789" s="226">
        <v>0.55748581730836044</v>
      </c>
      <c r="AH789" s="226">
        <v>0.80769926698063443</v>
      </c>
      <c r="AI789" s="27">
        <v>215510000</v>
      </c>
      <c r="AJ789" s="226">
        <v>133.53998501229643</v>
      </c>
      <c r="AK789" s="27">
        <v>4271631310.1551666</v>
      </c>
      <c r="AL789" s="226">
        <v>6.7372860812172011</v>
      </c>
      <c r="AM789" s="27" t="s">
        <v>2842</v>
      </c>
      <c r="AN789" s="271" t="s">
        <v>2842</v>
      </c>
      <c r="AO789" s="27">
        <v>16556600</v>
      </c>
      <c r="AP789" s="27">
        <v>5.5</v>
      </c>
      <c r="AQ789" s="27">
        <v>68.98</v>
      </c>
      <c r="AR789" s="27">
        <v>17.600000000000001</v>
      </c>
      <c r="AS789" s="29">
        <v>98.239959999999996</v>
      </c>
      <c r="AT789" s="270">
        <v>29</v>
      </c>
      <c r="AU789" s="464">
        <v>57.363105318322219</v>
      </c>
      <c r="AV789" s="29">
        <v>-1.0947582948953301</v>
      </c>
      <c r="AW789" s="29">
        <v>-0.32042900556192899</v>
      </c>
      <c r="AX789" s="29">
        <v>-0.42630117376099602</v>
      </c>
      <c r="AY789" s="29">
        <v>-0.25995175471842702</v>
      </c>
      <c r="AZ789" s="60">
        <v>-0.97820473728264901</v>
      </c>
    </row>
    <row r="790" spans="1:52" ht="15" customHeight="1">
      <c r="A790" s="59" t="s">
        <v>270</v>
      </c>
      <c r="B790" s="27">
        <v>2011</v>
      </c>
      <c r="C790" s="27" t="s">
        <v>273</v>
      </c>
      <c r="D790" s="69" t="s">
        <v>34</v>
      </c>
      <c r="E790" s="27" t="s">
        <v>19</v>
      </c>
      <c r="F790" s="29" t="s">
        <v>559</v>
      </c>
      <c r="G790" s="18"/>
      <c r="H790" s="18"/>
      <c r="I790" s="18"/>
      <c r="J790" s="18"/>
      <c r="K790" s="29"/>
      <c r="L790" s="28"/>
      <c r="M790" s="29"/>
      <c r="N790" s="29"/>
      <c r="O790" s="18">
        <f>SUM(O791:O823)</f>
        <v>30484258947.04266</v>
      </c>
      <c r="P790" s="213">
        <v>2875230773</v>
      </c>
      <c r="Q790" s="213">
        <v>2925964833</v>
      </c>
      <c r="R790" s="29"/>
      <c r="S790" s="29"/>
      <c r="T790" s="29"/>
      <c r="U790" s="29"/>
      <c r="V790" s="29"/>
      <c r="W790" s="72"/>
      <c r="X790" s="27">
        <v>108</v>
      </c>
      <c r="Y790" s="27" t="s">
        <v>1351</v>
      </c>
      <c r="Z790" s="27">
        <v>105</v>
      </c>
      <c r="AA790" s="54">
        <v>31</v>
      </c>
      <c r="AB790" s="29"/>
      <c r="AC790" s="273">
        <v>28779202170</v>
      </c>
      <c r="AD790" s="27">
        <v>188048960311.22461</v>
      </c>
      <c r="AE790" s="228">
        <v>0.15304100656749112</v>
      </c>
      <c r="AF790" s="27">
        <v>51623200584.637375</v>
      </c>
      <c r="AG790" s="226">
        <v>0.55748581730836044</v>
      </c>
      <c r="AH790" s="226">
        <v>0.80769926698063443</v>
      </c>
      <c r="AI790" s="27">
        <v>215510000</v>
      </c>
      <c r="AJ790" s="226">
        <v>133.53998501229643</v>
      </c>
      <c r="AK790" s="27">
        <v>4271631310.1551666</v>
      </c>
      <c r="AL790" s="226">
        <v>6.7372860812172011</v>
      </c>
      <c r="AM790" s="27" t="s">
        <v>2842</v>
      </c>
      <c r="AN790" s="271" t="s">
        <v>2842</v>
      </c>
      <c r="AO790" s="27">
        <v>16556600</v>
      </c>
      <c r="AP790" s="27">
        <v>5.5</v>
      </c>
      <c r="AQ790" s="27">
        <v>68.98</v>
      </c>
      <c r="AR790" s="27">
        <v>17.600000000000001</v>
      </c>
      <c r="AS790" s="29">
        <v>98.239959999999996</v>
      </c>
      <c r="AT790" s="270">
        <v>29</v>
      </c>
      <c r="AU790" s="464">
        <v>57.363105318322219</v>
      </c>
      <c r="AV790" s="29">
        <v>-1.0947582948953301</v>
      </c>
      <c r="AW790" s="29">
        <v>-0.32042900556192899</v>
      </c>
      <c r="AX790" s="29">
        <v>-0.42630117376099602</v>
      </c>
      <c r="AY790" s="29">
        <v>-0.25995175471842702</v>
      </c>
      <c r="AZ790" s="60">
        <v>-0.97820473728264901</v>
      </c>
    </row>
    <row r="791" spans="1:52" ht="15" customHeight="1">
      <c r="A791" s="59" t="s">
        <v>270</v>
      </c>
      <c r="B791" s="27">
        <v>2011</v>
      </c>
      <c r="C791" s="27" t="s">
        <v>273</v>
      </c>
      <c r="D791" s="69" t="s">
        <v>34</v>
      </c>
      <c r="E791" s="27" t="s">
        <v>19</v>
      </c>
      <c r="F791" s="29" t="s">
        <v>1299</v>
      </c>
      <c r="G791" s="18">
        <v>223100</v>
      </c>
      <c r="H791" s="18"/>
      <c r="I791" s="18"/>
      <c r="J791" s="18"/>
      <c r="K791" s="29" t="s">
        <v>567</v>
      </c>
      <c r="L791" s="28">
        <v>931</v>
      </c>
      <c r="M791" s="27" t="s">
        <v>568</v>
      </c>
      <c r="N791" s="27" t="s">
        <v>1300</v>
      </c>
      <c r="O791" s="18">
        <f>G791*L791</f>
        <v>207706100</v>
      </c>
      <c r="P791" s="244"/>
      <c r="Q791" s="244"/>
      <c r="R791" s="29"/>
      <c r="S791" s="29"/>
      <c r="T791" s="29"/>
      <c r="U791" s="29"/>
      <c r="V791" s="29"/>
      <c r="W791" s="72"/>
      <c r="X791" s="29"/>
      <c r="Y791" s="29"/>
      <c r="Z791" s="29"/>
      <c r="AA791" s="29"/>
      <c r="AB791" s="27"/>
      <c r="AC791" s="273">
        <v>28779202170</v>
      </c>
      <c r="AD791" s="27">
        <v>188048960311.22461</v>
      </c>
      <c r="AE791" s="228">
        <v>0.15304100656749112</v>
      </c>
      <c r="AF791" s="27">
        <v>51623200584.637375</v>
      </c>
      <c r="AG791" s="226">
        <v>0.55748581730836044</v>
      </c>
      <c r="AH791" s="226">
        <v>0.80769926698063443</v>
      </c>
      <c r="AI791" s="27">
        <v>215510000</v>
      </c>
      <c r="AJ791" s="226">
        <v>133.53998501229643</v>
      </c>
      <c r="AK791" s="27">
        <v>4271631310.1551666</v>
      </c>
      <c r="AL791" s="226">
        <v>6.7372860812172011</v>
      </c>
      <c r="AM791" s="27" t="s">
        <v>2842</v>
      </c>
      <c r="AN791" s="271" t="s">
        <v>2842</v>
      </c>
      <c r="AO791" s="27">
        <v>16556600</v>
      </c>
      <c r="AP791" s="27">
        <v>5.5</v>
      </c>
      <c r="AQ791" s="27">
        <v>68.98</v>
      </c>
      <c r="AR791" s="27">
        <v>17.600000000000001</v>
      </c>
      <c r="AS791" s="29">
        <v>98.239959999999996</v>
      </c>
      <c r="AT791" s="270">
        <v>29</v>
      </c>
      <c r="AU791" s="464">
        <v>57.363105318322219</v>
      </c>
      <c r="AV791" s="29">
        <v>-1.0947582948953301</v>
      </c>
      <c r="AW791" s="29">
        <v>-0.32042900556192899</v>
      </c>
      <c r="AX791" s="29">
        <v>-0.42630117376099602</v>
      </c>
      <c r="AY791" s="29">
        <v>-0.25995175471842702</v>
      </c>
      <c r="AZ791" s="60">
        <v>-0.97820473728264901</v>
      </c>
    </row>
    <row r="792" spans="1:52" ht="15" customHeight="1">
      <c r="A792" s="59" t="s">
        <v>270</v>
      </c>
      <c r="B792" s="27">
        <v>2011</v>
      </c>
      <c r="C792" s="27" t="s">
        <v>273</v>
      </c>
      <c r="D792" s="69" t="s">
        <v>34</v>
      </c>
      <c r="E792" s="27" t="s">
        <v>19</v>
      </c>
      <c r="F792" s="29" t="s">
        <v>1302</v>
      </c>
      <c r="G792" s="18"/>
      <c r="H792" s="18"/>
      <c r="I792" s="18"/>
      <c r="J792" s="18"/>
      <c r="K792" s="29"/>
      <c r="L792" s="28">
        <v>86</v>
      </c>
      <c r="M792" s="27" t="s">
        <v>568</v>
      </c>
      <c r="N792" s="27" t="s">
        <v>1303</v>
      </c>
      <c r="O792" s="18">
        <f>G794*L792</f>
        <v>17200000</v>
      </c>
      <c r="P792" s="244"/>
      <c r="Q792" s="244"/>
      <c r="R792" s="29"/>
      <c r="S792" s="29"/>
      <c r="T792" s="29"/>
      <c r="U792" s="29"/>
      <c r="V792" s="29"/>
      <c r="W792" s="72"/>
      <c r="X792" s="29"/>
      <c r="Y792" s="29"/>
      <c r="Z792" s="29"/>
      <c r="AA792" s="29"/>
      <c r="AB792" s="27"/>
      <c r="AC792" s="273">
        <v>28779202170</v>
      </c>
      <c r="AD792" s="27">
        <v>188048960311.22461</v>
      </c>
      <c r="AE792" s="228">
        <v>0.15304100656749112</v>
      </c>
      <c r="AF792" s="27">
        <v>51623200584.637375</v>
      </c>
      <c r="AG792" s="226">
        <v>0.55748581730836044</v>
      </c>
      <c r="AH792" s="226">
        <v>0.80769926698063443</v>
      </c>
      <c r="AI792" s="27">
        <v>215510000</v>
      </c>
      <c r="AJ792" s="226">
        <v>133.53998501229643</v>
      </c>
      <c r="AK792" s="27">
        <v>4271631310.1551666</v>
      </c>
      <c r="AL792" s="226">
        <v>6.7372860812172011</v>
      </c>
      <c r="AM792" s="27" t="s">
        <v>2842</v>
      </c>
      <c r="AN792" s="271" t="s">
        <v>2842</v>
      </c>
      <c r="AO792" s="27">
        <v>16556600</v>
      </c>
      <c r="AP792" s="27">
        <v>5.5</v>
      </c>
      <c r="AQ792" s="27">
        <v>68.98</v>
      </c>
      <c r="AR792" s="27">
        <v>17.600000000000001</v>
      </c>
      <c r="AS792" s="29">
        <v>98.239959999999996</v>
      </c>
      <c r="AT792" s="270">
        <v>29</v>
      </c>
      <c r="AU792" s="464">
        <v>57.363105318322219</v>
      </c>
      <c r="AV792" s="29">
        <v>-1.0947582948953301</v>
      </c>
      <c r="AW792" s="29">
        <v>-0.32042900556192899</v>
      </c>
      <c r="AX792" s="29">
        <v>-0.42630117376099602</v>
      </c>
      <c r="AY792" s="29">
        <v>-0.25995175471842702</v>
      </c>
      <c r="AZ792" s="60">
        <v>-0.97820473728264901</v>
      </c>
    </row>
    <row r="793" spans="1:52" ht="15" customHeight="1">
      <c r="A793" s="59" t="s">
        <v>270</v>
      </c>
      <c r="B793" s="27">
        <v>2011</v>
      </c>
      <c r="C793" s="27" t="s">
        <v>273</v>
      </c>
      <c r="D793" s="69" t="s">
        <v>34</v>
      </c>
      <c r="E793" s="27" t="s">
        <v>19</v>
      </c>
      <c r="F793" s="29" t="s">
        <v>1304</v>
      </c>
      <c r="G793" s="18">
        <v>466000</v>
      </c>
      <c r="H793" s="18"/>
      <c r="I793" s="18"/>
      <c r="J793" s="18"/>
      <c r="K793" s="29" t="s">
        <v>567</v>
      </c>
      <c r="L793" s="28"/>
      <c r="M793" s="29"/>
      <c r="N793" s="27" t="s">
        <v>788</v>
      </c>
      <c r="O793" s="18"/>
      <c r="P793" s="244"/>
      <c r="Q793" s="244"/>
      <c r="R793" s="29"/>
      <c r="S793" s="29"/>
      <c r="T793" s="29"/>
      <c r="U793" s="29"/>
      <c r="V793" s="29"/>
      <c r="W793" s="72"/>
      <c r="X793" s="29"/>
      <c r="Y793" s="29"/>
      <c r="Z793" s="29"/>
      <c r="AA793" s="29"/>
      <c r="AB793" s="27"/>
      <c r="AC793" s="273">
        <v>28779202170</v>
      </c>
      <c r="AD793" s="27">
        <v>188048960311.22461</v>
      </c>
      <c r="AE793" s="228">
        <v>0.15304100656749112</v>
      </c>
      <c r="AF793" s="27">
        <v>51623200584.637375</v>
      </c>
      <c r="AG793" s="226">
        <v>0.55748581730836044</v>
      </c>
      <c r="AH793" s="226">
        <v>0.80769926698063443</v>
      </c>
      <c r="AI793" s="27">
        <v>215510000</v>
      </c>
      <c r="AJ793" s="226">
        <v>133.53998501229643</v>
      </c>
      <c r="AK793" s="27">
        <v>4271631310.1551666</v>
      </c>
      <c r="AL793" s="226">
        <v>6.7372860812172011</v>
      </c>
      <c r="AM793" s="27" t="s">
        <v>2842</v>
      </c>
      <c r="AN793" s="271" t="s">
        <v>2842</v>
      </c>
      <c r="AO793" s="27">
        <v>16556600</v>
      </c>
      <c r="AP793" s="27">
        <v>5.5</v>
      </c>
      <c r="AQ793" s="27">
        <v>68.98</v>
      </c>
      <c r="AR793" s="27">
        <v>17.600000000000001</v>
      </c>
      <c r="AS793" s="29">
        <v>98.239959999999996</v>
      </c>
      <c r="AT793" s="270">
        <v>29</v>
      </c>
      <c r="AU793" s="464">
        <v>57.363105318322219</v>
      </c>
      <c r="AV793" s="29">
        <v>-1.0947582948953301</v>
      </c>
      <c r="AW793" s="29">
        <v>-0.32042900556192899</v>
      </c>
      <c r="AX793" s="29">
        <v>-0.42630117376099602</v>
      </c>
      <c r="AY793" s="29">
        <v>-0.25995175471842702</v>
      </c>
      <c r="AZ793" s="60">
        <v>-0.97820473728264901</v>
      </c>
    </row>
    <row r="794" spans="1:52" ht="15" customHeight="1">
      <c r="A794" s="59" t="s">
        <v>270</v>
      </c>
      <c r="B794" s="27">
        <v>2011</v>
      </c>
      <c r="C794" s="27" t="s">
        <v>273</v>
      </c>
      <c r="D794" s="69" t="s">
        <v>34</v>
      </c>
      <c r="E794" s="27" t="s">
        <v>19</v>
      </c>
      <c r="F794" s="29" t="s">
        <v>1305</v>
      </c>
      <c r="G794" s="18">
        <v>200000</v>
      </c>
      <c r="H794" s="18"/>
      <c r="I794" s="18"/>
      <c r="J794" s="18"/>
      <c r="K794" s="29" t="s">
        <v>567</v>
      </c>
      <c r="L794" s="28"/>
      <c r="M794" s="29"/>
      <c r="N794" s="27" t="s">
        <v>788</v>
      </c>
      <c r="O794" s="18"/>
      <c r="P794" s="244"/>
      <c r="Q794" s="244"/>
      <c r="R794" s="29"/>
      <c r="S794" s="29"/>
      <c r="T794" s="29"/>
      <c r="U794" s="29"/>
      <c r="V794" s="29"/>
      <c r="W794" s="72"/>
      <c r="X794" s="29"/>
      <c r="Y794" s="29"/>
      <c r="Z794" s="29"/>
      <c r="AA794" s="29"/>
      <c r="AB794" s="27"/>
      <c r="AC794" s="273">
        <v>28779202170</v>
      </c>
      <c r="AD794" s="27">
        <v>188048960311.22461</v>
      </c>
      <c r="AE794" s="228">
        <v>0.15304100656749112</v>
      </c>
      <c r="AF794" s="27">
        <v>51623200584.637375</v>
      </c>
      <c r="AG794" s="226">
        <v>0.55748581730836044</v>
      </c>
      <c r="AH794" s="226">
        <v>0.80769926698063443</v>
      </c>
      <c r="AI794" s="27">
        <v>215510000</v>
      </c>
      <c r="AJ794" s="226">
        <v>133.53998501229643</v>
      </c>
      <c r="AK794" s="27">
        <v>4271631310.1551666</v>
      </c>
      <c r="AL794" s="226">
        <v>6.7372860812172011</v>
      </c>
      <c r="AM794" s="27" t="s">
        <v>2842</v>
      </c>
      <c r="AN794" s="271" t="s">
        <v>2842</v>
      </c>
      <c r="AO794" s="27">
        <v>16556600</v>
      </c>
      <c r="AP794" s="27">
        <v>5.5</v>
      </c>
      <c r="AQ794" s="27">
        <v>68.98</v>
      </c>
      <c r="AR794" s="27">
        <v>17.600000000000001</v>
      </c>
      <c r="AS794" s="29">
        <v>98.239959999999996</v>
      </c>
      <c r="AT794" s="270">
        <v>29</v>
      </c>
      <c r="AU794" s="464">
        <v>57.363105318322219</v>
      </c>
      <c r="AV794" s="29">
        <v>-1.0947582948953301</v>
      </c>
      <c r="AW794" s="29">
        <v>-0.32042900556192899</v>
      </c>
      <c r="AX794" s="29">
        <v>-0.42630117376099602</v>
      </c>
      <c r="AY794" s="29">
        <v>-0.25995175471842702</v>
      </c>
      <c r="AZ794" s="60">
        <v>-0.97820473728264901</v>
      </c>
    </row>
    <row r="795" spans="1:52" ht="15" customHeight="1">
      <c r="A795" s="59" t="s">
        <v>270</v>
      </c>
      <c r="B795" s="27">
        <v>2011</v>
      </c>
      <c r="C795" s="27" t="s">
        <v>273</v>
      </c>
      <c r="D795" s="69" t="s">
        <v>34</v>
      </c>
      <c r="E795" s="27" t="s">
        <v>19</v>
      </c>
      <c r="F795" s="29" t="s">
        <v>1049</v>
      </c>
      <c r="G795" s="18">
        <v>5495000</v>
      </c>
      <c r="H795" s="18"/>
      <c r="I795" s="18"/>
      <c r="J795" s="18"/>
      <c r="K795" s="29" t="s">
        <v>567</v>
      </c>
      <c r="L795" s="28">
        <v>30.49</v>
      </c>
      <c r="M795" s="27" t="s">
        <v>568</v>
      </c>
      <c r="N795" s="27" t="s">
        <v>1105</v>
      </c>
      <c r="O795" s="18">
        <f>G795*L795</f>
        <v>167542550</v>
      </c>
      <c r="P795" s="244"/>
      <c r="Q795" s="244"/>
      <c r="R795" s="29"/>
      <c r="S795" s="29"/>
      <c r="T795" s="29"/>
      <c r="U795" s="29"/>
      <c r="V795" s="29"/>
      <c r="W795" s="72"/>
      <c r="X795" s="29"/>
      <c r="Y795" s="29"/>
      <c r="Z795" s="29"/>
      <c r="AA795" s="29"/>
      <c r="AB795" s="27"/>
      <c r="AC795" s="273">
        <v>28779202170</v>
      </c>
      <c r="AD795" s="27">
        <v>188048960311.22461</v>
      </c>
      <c r="AE795" s="228">
        <v>0.15304100656749112</v>
      </c>
      <c r="AF795" s="27">
        <v>51623200584.637375</v>
      </c>
      <c r="AG795" s="226">
        <v>0.55748581730836044</v>
      </c>
      <c r="AH795" s="226">
        <v>0.80769926698063443</v>
      </c>
      <c r="AI795" s="27">
        <v>215510000</v>
      </c>
      <c r="AJ795" s="226">
        <v>133.53998501229643</v>
      </c>
      <c r="AK795" s="27">
        <v>4271631310.1551666</v>
      </c>
      <c r="AL795" s="226">
        <v>6.7372860812172011</v>
      </c>
      <c r="AM795" s="27" t="s">
        <v>2842</v>
      </c>
      <c r="AN795" s="271" t="s">
        <v>2842</v>
      </c>
      <c r="AO795" s="27">
        <v>16556600</v>
      </c>
      <c r="AP795" s="27">
        <v>5.5</v>
      </c>
      <c r="AQ795" s="27">
        <v>68.98</v>
      </c>
      <c r="AR795" s="27">
        <v>17.600000000000001</v>
      </c>
      <c r="AS795" s="29">
        <v>98.239959999999996</v>
      </c>
      <c r="AT795" s="270">
        <v>29</v>
      </c>
      <c r="AU795" s="464">
        <v>57.363105318322219</v>
      </c>
      <c r="AV795" s="29">
        <v>-1.0947582948953301</v>
      </c>
      <c r="AW795" s="29">
        <v>-0.32042900556192899</v>
      </c>
      <c r="AX795" s="29">
        <v>-0.42630117376099602</v>
      </c>
      <c r="AY795" s="29">
        <v>-0.25995175471842702</v>
      </c>
      <c r="AZ795" s="60">
        <v>-0.97820473728264901</v>
      </c>
    </row>
    <row r="796" spans="1:52" ht="15" customHeight="1">
      <c r="A796" s="59" t="s">
        <v>270</v>
      </c>
      <c r="B796" s="27">
        <v>2011</v>
      </c>
      <c r="C796" s="27" t="s">
        <v>273</v>
      </c>
      <c r="D796" s="69" t="s">
        <v>34</v>
      </c>
      <c r="E796" s="27" t="s">
        <v>19</v>
      </c>
      <c r="F796" s="29" t="s">
        <v>1306</v>
      </c>
      <c r="G796" s="18">
        <v>30000</v>
      </c>
      <c r="H796" s="18"/>
      <c r="I796" s="18"/>
      <c r="J796" s="18"/>
      <c r="K796" s="29" t="s">
        <v>567</v>
      </c>
      <c r="L796" s="28">
        <v>361</v>
      </c>
      <c r="M796" s="27" t="s">
        <v>568</v>
      </c>
      <c r="N796" s="27" t="s">
        <v>1307</v>
      </c>
      <c r="O796" s="18">
        <f>G796*L796</f>
        <v>10830000</v>
      </c>
      <c r="P796" s="244"/>
      <c r="Q796" s="244"/>
      <c r="R796" s="29"/>
      <c r="S796" s="29"/>
      <c r="T796" s="29"/>
      <c r="U796" s="29"/>
      <c r="V796" s="29"/>
      <c r="W796" s="72"/>
      <c r="X796" s="29"/>
      <c r="Y796" s="29"/>
      <c r="Z796" s="29"/>
      <c r="AA796" s="29"/>
      <c r="AB796" s="27"/>
      <c r="AC796" s="273">
        <v>28779202170</v>
      </c>
      <c r="AD796" s="27">
        <v>188048960311.22461</v>
      </c>
      <c r="AE796" s="228">
        <v>0.15304100656749112</v>
      </c>
      <c r="AF796" s="27">
        <v>51623200584.637375</v>
      </c>
      <c r="AG796" s="226">
        <v>0.55748581730836044</v>
      </c>
      <c r="AH796" s="226">
        <v>0.80769926698063443</v>
      </c>
      <c r="AI796" s="27">
        <v>215510000</v>
      </c>
      <c r="AJ796" s="226">
        <v>133.53998501229643</v>
      </c>
      <c r="AK796" s="27">
        <v>4271631310.1551666</v>
      </c>
      <c r="AL796" s="226">
        <v>6.7372860812172011</v>
      </c>
      <c r="AM796" s="27" t="s">
        <v>2842</v>
      </c>
      <c r="AN796" s="271" t="s">
        <v>2842</v>
      </c>
      <c r="AO796" s="27">
        <v>16556600</v>
      </c>
      <c r="AP796" s="27">
        <v>5.5</v>
      </c>
      <c r="AQ796" s="27">
        <v>68.98</v>
      </c>
      <c r="AR796" s="27">
        <v>17.600000000000001</v>
      </c>
      <c r="AS796" s="29">
        <v>98.239959999999996</v>
      </c>
      <c r="AT796" s="270">
        <v>29</v>
      </c>
      <c r="AU796" s="464">
        <v>57.363105318322219</v>
      </c>
      <c r="AV796" s="29">
        <v>-1.0947582948953301</v>
      </c>
      <c r="AW796" s="29">
        <v>-0.32042900556192899</v>
      </c>
      <c r="AX796" s="29">
        <v>-0.42630117376099602</v>
      </c>
      <c r="AY796" s="29">
        <v>-0.25995175471842702</v>
      </c>
      <c r="AZ796" s="60">
        <v>-0.97820473728264901</v>
      </c>
    </row>
    <row r="797" spans="1:52" ht="15" customHeight="1">
      <c r="A797" s="59" t="s">
        <v>270</v>
      </c>
      <c r="B797" s="27">
        <v>2011</v>
      </c>
      <c r="C797" s="27" t="s">
        <v>273</v>
      </c>
      <c r="D797" s="69" t="s">
        <v>34</v>
      </c>
      <c r="E797" s="27" t="s">
        <v>19</v>
      </c>
      <c r="F797" s="29" t="s">
        <v>1337</v>
      </c>
      <c r="G797" s="18">
        <v>3800000</v>
      </c>
      <c r="H797" s="18"/>
      <c r="I797" s="18"/>
      <c r="J797" s="18"/>
      <c r="K797" s="29" t="s">
        <v>567</v>
      </c>
      <c r="L797" s="28">
        <v>355</v>
      </c>
      <c r="M797" s="27" t="s">
        <v>568</v>
      </c>
      <c r="N797" s="27" t="s">
        <v>1338</v>
      </c>
      <c r="O797" s="18">
        <f>G797*L797</f>
        <v>1349000000</v>
      </c>
      <c r="P797" s="244"/>
      <c r="Q797" s="244"/>
      <c r="R797" s="29"/>
      <c r="S797" s="29"/>
      <c r="T797" s="29"/>
      <c r="U797" s="29"/>
      <c r="V797" s="29"/>
      <c r="W797" s="72"/>
      <c r="X797" s="29"/>
      <c r="Y797" s="29"/>
      <c r="Z797" s="29"/>
      <c r="AA797" s="29"/>
      <c r="AB797" s="27"/>
      <c r="AC797" s="273">
        <v>28779202170</v>
      </c>
      <c r="AD797" s="27">
        <v>188048960311.22461</v>
      </c>
      <c r="AE797" s="228">
        <v>0.15304100656749112</v>
      </c>
      <c r="AF797" s="27">
        <v>51623200584.637375</v>
      </c>
      <c r="AG797" s="226">
        <v>0.55748581730836044</v>
      </c>
      <c r="AH797" s="226">
        <v>0.80769926698063443</v>
      </c>
      <c r="AI797" s="27">
        <v>215510000</v>
      </c>
      <c r="AJ797" s="226">
        <v>133.53998501229643</v>
      </c>
      <c r="AK797" s="27">
        <v>4271631310.1551666</v>
      </c>
      <c r="AL797" s="226">
        <v>6.7372860812172011</v>
      </c>
      <c r="AM797" s="27" t="s">
        <v>2842</v>
      </c>
      <c r="AN797" s="271" t="s">
        <v>2842</v>
      </c>
      <c r="AO797" s="27">
        <v>16556600</v>
      </c>
      <c r="AP797" s="27">
        <v>5.5</v>
      </c>
      <c r="AQ797" s="27">
        <v>68.98</v>
      </c>
      <c r="AR797" s="27">
        <v>17.600000000000001</v>
      </c>
      <c r="AS797" s="29">
        <v>98.239959999999996</v>
      </c>
      <c r="AT797" s="270">
        <v>29</v>
      </c>
      <c r="AU797" s="464">
        <v>57.363105318322219</v>
      </c>
      <c r="AV797" s="29">
        <v>-1.0947582948953301</v>
      </c>
      <c r="AW797" s="29">
        <v>-0.32042900556192899</v>
      </c>
      <c r="AX797" s="29">
        <v>-0.42630117376099602</v>
      </c>
      <c r="AY797" s="29">
        <v>-0.25995175471842702</v>
      </c>
      <c r="AZ797" s="60">
        <v>-0.97820473728264901</v>
      </c>
    </row>
    <row r="798" spans="1:52" ht="15" customHeight="1">
      <c r="A798" s="59" t="s">
        <v>270</v>
      </c>
      <c r="B798" s="27">
        <v>2011</v>
      </c>
      <c r="C798" s="27" t="s">
        <v>273</v>
      </c>
      <c r="D798" s="69" t="s">
        <v>34</v>
      </c>
      <c r="E798" s="27" t="s">
        <v>19</v>
      </c>
      <c r="F798" s="29" t="s">
        <v>573</v>
      </c>
      <c r="G798" s="43">
        <v>111400000</v>
      </c>
      <c r="H798" s="43"/>
      <c r="I798" s="43"/>
      <c r="J798" s="43"/>
      <c r="K798" s="29" t="s">
        <v>567</v>
      </c>
      <c r="L798" s="28">
        <v>111.54662184722224</v>
      </c>
      <c r="M798" s="27" t="s">
        <v>568</v>
      </c>
      <c r="N798" s="27" t="s">
        <v>1223</v>
      </c>
      <c r="O798" s="18">
        <f>G798*L798</f>
        <v>12426293673.780558</v>
      </c>
      <c r="P798" s="213"/>
      <c r="Q798" s="213"/>
      <c r="R798" s="29"/>
      <c r="S798" s="29"/>
      <c r="T798" s="29"/>
      <c r="U798" s="29"/>
      <c r="V798" s="29"/>
      <c r="W798" s="72"/>
      <c r="X798" s="29"/>
      <c r="Y798" s="29"/>
      <c r="Z798" s="29"/>
      <c r="AA798" s="29"/>
      <c r="AB798" s="27"/>
      <c r="AC798" s="273">
        <v>28779202170</v>
      </c>
      <c r="AD798" s="27">
        <v>188048960311.22461</v>
      </c>
      <c r="AE798" s="228">
        <v>0.15304100656749112</v>
      </c>
      <c r="AF798" s="27">
        <v>51623200584.637375</v>
      </c>
      <c r="AG798" s="226">
        <v>0.55748581730836044</v>
      </c>
      <c r="AH798" s="226">
        <v>0.80769926698063443</v>
      </c>
      <c r="AI798" s="27">
        <v>215510000</v>
      </c>
      <c r="AJ798" s="226">
        <v>133.53998501229643</v>
      </c>
      <c r="AK798" s="27">
        <v>4271631310.1551666</v>
      </c>
      <c r="AL798" s="226">
        <v>6.7372860812172011</v>
      </c>
      <c r="AM798" s="27" t="s">
        <v>2842</v>
      </c>
      <c r="AN798" s="271" t="s">
        <v>2842</v>
      </c>
      <c r="AO798" s="27">
        <v>16556600</v>
      </c>
      <c r="AP798" s="27">
        <v>5.5</v>
      </c>
      <c r="AQ798" s="27">
        <v>68.98</v>
      </c>
      <c r="AR798" s="27">
        <v>17.600000000000001</v>
      </c>
      <c r="AS798" s="29">
        <v>98.239959999999996</v>
      </c>
      <c r="AT798" s="270">
        <v>29</v>
      </c>
      <c r="AU798" s="464">
        <v>57.363105318322219</v>
      </c>
      <c r="AV798" s="29">
        <v>-1.0947582948953301</v>
      </c>
      <c r="AW798" s="29">
        <v>-0.32042900556192899</v>
      </c>
      <c r="AX798" s="29">
        <v>-0.42630117376099602</v>
      </c>
      <c r="AY798" s="29">
        <v>-0.25995175471842702</v>
      </c>
      <c r="AZ798" s="60">
        <v>-0.97820473728264901</v>
      </c>
    </row>
    <row r="799" spans="1:52" ht="15" customHeight="1">
      <c r="A799" s="59" t="s">
        <v>270</v>
      </c>
      <c r="B799" s="27">
        <v>2011</v>
      </c>
      <c r="C799" s="27" t="s">
        <v>273</v>
      </c>
      <c r="D799" s="69" t="s">
        <v>34</v>
      </c>
      <c r="E799" s="27" t="s">
        <v>19</v>
      </c>
      <c r="F799" s="29" t="s">
        <v>576</v>
      </c>
      <c r="G799" s="18"/>
      <c r="H799" s="18"/>
      <c r="I799" s="18"/>
      <c r="J799" s="18"/>
      <c r="K799" s="29"/>
      <c r="L799" s="44">
        <v>8828.1875</v>
      </c>
      <c r="M799" s="27" t="s">
        <v>568</v>
      </c>
      <c r="N799" s="27" t="s">
        <v>1308</v>
      </c>
      <c r="O799" s="18">
        <f>SUM(G801:G802)*L799</f>
        <v>5661702035.6875</v>
      </c>
      <c r="P799" s="244"/>
      <c r="Q799" s="244"/>
      <c r="R799" s="29"/>
      <c r="S799" s="29"/>
      <c r="T799" s="29"/>
      <c r="U799" s="29"/>
      <c r="V799" s="29"/>
      <c r="W799" s="72"/>
      <c r="X799" s="29"/>
      <c r="Y799" s="29"/>
      <c r="Z799" s="29"/>
      <c r="AA799" s="29"/>
      <c r="AB799" s="27"/>
      <c r="AC799" s="273">
        <v>28779202170</v>
      </c>
      <c r="AD799" s="27">
        <v>188048960311.22461</v>
      </c>
      <c r="AE799" s="228">
        <v>0.15304100656749112</v>
      </c>
      <c r="AF799" s="27">
        <v>51623200584.637375</v>
      </c>
      <c r="AG799" s="226">
        <v>0.55748581730836044</v>
      </c>
      <c r="AH799" s="226">
        <v>0.80769926698063443</v>
      </c>
      <c r="AI799" s="27">
        <v>215510000</v>
      </c>
      <c r="AJ799" s="226">
        <v>133.53998501229643</v>
      </c>
      <c r="AK799" s="27">
        <v>4271631310.1551666</v>
      </c>
      <c r="AL799" s="226">
        <v>6.7372860812172011</v>
      </c>
      <c r="AM799" s="27" t="s">
        <v>2842</v>
      </c>
      <c r="AN799" s="271" t="s">
        <v>2842</v>
      </c>
      <c r="AO799" s="27">
        <v>16556600</v>
      </c>
      <c r="AP799" s="27">
        <v>5.5</v>
      </c>
      <c r="AQ799" s="27">
        <v>68.98</v>
      </c>
      <c r="AR799" s="27">
        <v>17.600000000000001</v>
      </c>
      <c r="AS799" s="29">
        <v>98.239959999999996</v>
      </c>
      <c r="AT799" s="270">
        <v>29</v>
      </c>
      <c r="AU799" s="464">
        <v>57.363105318322219</v>
      </c>
      <c r="AV799" s="29">
        <v>-1.0947582948953301</v>
      </c>
      <c r="AW799" s="29">
        <v>-0.32042900556192899</v>
      </c>
      <c r="AX799" s="29">
        <v>-0.42630117376099602</v>
      </c>
      <c r="AY799" s="29">
        <v>-0.25995175471842702</v>
      </c>
      <c r="AZ799" s="60">
        <v>-0.97820473728264901</v>
      </c>
    </row>
    <row r="800" spans="1:52" ht="15" customHeight="1">
      <c r="A800" s="59" t="s">
        <v>270</v>
      </c>
      <c r="B800" s="27">
        <v>2011</v>
      </c>
      <c r="C800" s="27" t="s">
        <v>273</v>
      </c>
      <c r="D800" s="69" t="s">
        <v>34</v>
      </c>
      <c r="E800" s="27" t="s">
        <v>19</v>
      </c>
      <c r="F800" s="29" t="s">
        <v>988</v>
      </c>
      <c r="G800" s="18">
        <v>417000</v>
      </c>
      <c r="H800" s="18"/>
      <c r="I800" s="18"/>
      <c r="J800" s="18"/>
      <c r="K800" s="29" t="s">
        <v>567</v>
      </c>
      <c r="L800" s="28"/>
      <c r="M800" s="29"/>
      <c r="N800" s="27" t="s">
        <v>788</v>
      </c>
      <c r="O800" s="18"/>
      <c r="P800" s="244"/>
      <c r="Q800" s="244"/>
      <c r="R800" s="29"/>
      <c r="S800" s="29"/>
      <c r="T800" s="29"/>
      <c r="U800" s="29"/>
      <c r="V800" s="29"/>
      <c r="W800" s="72"/>
      <c r="X800" s="29"/>
      <c r="Y800" s="29"/>
      <c r="Z800" s="29"/>
      <c r="AA800" s="29"/>
      <c r="AB800" s="27"/>
      <c r="AC800" s="273">
        <v>28779202170</v>
      </c>
      <c r="AD800" s="27">
        <v>188048960311.22461</v>
      </c>
      <c r="AE800" s="228">
        <v>0.15304100656749112</v>
      </c>
      <c r="AF800" s="27">
        <v>51623200584.637375</v>
      </c>
      <c r="AG800" s="226">
        <v>0.55748581730836044</v>
      </c>
      <c r="AH800" s="226">
        <v>0.80769926698063443</v>
      </c>
      <c r="AI800" s="27">
        <v>215510000</v>
      </c>
      <c r="AJ800" s="226">
        <v>133.53998501229643</v>
      </c>
      <c r="AK800" s="27">
        <v>4271631310.1551666</v>
      </c>
      <c r="AL800" s="226">
        <v>6.7372860812172011</v>
      </c>
      <c r="AM800" s="27" t="s">
        <v>2842</v>
      </c>
      <c r="AN800" s="271" t="s">
        <v>2842</v>
      </c>
      <c r="AO800" s="27">
        <v>16556600</v>
      </c>
      <c r="AP800" s="27">
        <v>5.5</v>
      </c>
      <c r="AQ800" s="27">
        <v>68.98</v>
      </c>
      <c r="AR800" s="27">
        <v>17.600000000000001</v>
      </c>
      <c r="AS800" s="29">
        <v>98.239959999999996</v>
      </c>
      <c r="AT800" s="270">
        <v>29</v>
      </c>
      <c r="AU800" s="464">
        <v>57.363105318322219</v>
      </c>
      <c r="AV800" s="29">
        <v>-1.0947582948953301</v>
      </c>
      <c r="AW800" s="29">
        <v>-0.32042900556192899</v>
      </c>
      <c r="AX800" s="29">
        <v>-0.42630117376099602</v>
      </c>
      <c r="AY800" s="29">
        <v>-0.25995175471842702</v>
      </c>
      <c r="AZ800" s="60">
        <v>-0.97820473728264901</v>
      </c>
    </row>
    <row r="801" spans="1:52" ht="15" customHeight="1">
      <c r="A801" s="59" t="s">
        <v>270</v>
      </c>
      <c r="B801" s="27">
        <v>2011</v>
      </c>
      <c r="C801" s="27" t="s">
        <v>273</v>
      </c>
      <c r="D801" s="69" t="s">
        <v>34</v>
      </c>
      <c r="E801" s="27" t="s">
        <v>19</v>
      </c>
      <c r="F801" s="29" t="s">
        <v>1310</v>
      </c>
      <c r="G801" s="18">
        <v>302975</v>
      </c>
      <c r="H801" s="18"/>
      <c r="I801" s="18"/>
      <c r="J801" s="18"/>
      <c r="K801" s="29" t="s">
        <v>567</v>
      </c>
      <c r="L801" s="28"/>
      <c r="M801" s="29"/>
      <c r="N801" s="27" t="s">
        <v>788</v>
      </c>
      <c r="O801" s="18"/>
      <c r="P801" s="244"/>
      <c r="Q801" s="244"/>
      <c r="R801" s="29"/>
      <c r="S801" s="29"/>
      <c r="T801" s="29"/>
      <c r="U801" s="29"/>
      <c r="V801" s="29"/>
      <c r="W801" s="72"/>
      <c r="X801" s="29"/>
      <c r="Y801" s="29"/>
      <c r="Z801" s="29"/>
      <c r="AA801" s="29"/>
      <c r="AB801" s="27"/>
      <c r="AC801" s="273">
        <v>28779202170</v>
      </c>
      <c r="AD801" s="27">
        <v>188048960311.22461</v>
      </c>
      <c r="AE801" s="228">
        <v>0.15304100656749112</v>
      </c>
      <c r="AF801" s="27">
        <v>51623200584.637375</v>
      </c>
      <c r="AG801" s="226">
        <v>0.55748581730836044</v>
      </c>
      <c r="AH801" s="226">
        <v>0.80769926698063443</v>
      </c>
      <c r="AI801" s="27">
        <v>215510000</v>
      </c>
      <c r="AJ801" s="226">
        <v>133.53998501229643</v>
      </c>
      <c r="AK801" s="27">
        <v>4271631310.1551666</v>
      </c>
      <c r="AL801" s="226">
        <v>6.7372860812172011</v>
      </c>
      <c r="AM801" s="27" t="s">
        <v>2842</v>
      </c>
      <c r="AN801" s="271" t="s">
        <v>2842</v>
      </c>
      <c r="AO801" s="27">
        <v>16556600</v>
      </c>
      <c r="AP801" s="27">
        <v>5.5</v>
      </c>
      <c r="AQ801" s="27">
        <v>68.98</v>
      </c>
      <c r="AR801" s="27">
        <v>17.600000000000001</v>
      </c>
      <c r="AS801" s="29">
        <v>98.239959999999996</v>
      </c>
      <c r="AT801" s="270">
        <v>29</v>
      </c>
      <c r="AU801" s="464">
        <v>57.363105318322219</v>
      </c>
      <c r="AV801" s="29">
        <v>-1.0947582948953301</v>
      </c>
      <c r="AW801" s="29">
        <v>-0.32042900556192899</v>
      </c>
      <c r="AX801" s="29">
        <v>-0.42630117376099602</v>
      </c>
      <c r="AY801" s="29">
        <v>-0.25995175471842702</v>
      </c>
      <c r="AZ801" s="60">
        <v>-0.97820473728264901</v>
      </c>
    </row>
    <row r="802" spans="1:52" ht="15" customHeight="1">
      <c r="A802" s="59" t="s">
        <v>270</v>
      </c>
      <c r="B802" s="27">
        <v>2011</v>
      </c>
      <c r="C802" s="27" t="s">
        <v>273</v>
      </c>
      <c r="D802" s="69" t="s">
        <v>34</v>
      </c>
      <c r="E802" s="27" t="s">
        <v>19</v>
      </c>
      <c r="F802" s="29" t="s">
        <v>1339</v>
      </c>
      <c r="G802" s="18">
        <v>338346</v>
      </c>
      <c r="H802" s="18"/>
      <c r="I802" s="18"/>
      <c r="J802" s="18"/>
      <c r="K802" s="29" t="s">
        <v>567</v>
      </c>
      <c r="L802" s="28"/>
      <c r="M802" s="29"/>
      <c r="N802" s="27" t="s">
        <v>788</v>
      </c>
      <c r="O802" s="18"/>
      <c r="P802" s="244"/>
      <c r="Q802" s="244"/>
      <c r="R802" s="29"/>
      <c r="S802" s="29"/>
      <c r="T802" s="29"/>
      <c r="U802" s="29"/>
      <c r="V802" s="29"/>
      <c r="W802" s="72"/>
      <c r="X802" s="29"/>
      <c r="Y802" s="29"/>
      <c r="Z802" s="29"/>
      <c r="AA802" s="29"/>
      <c r="AB802" s="27"/>
      <c r="AC802" s="273">
        <v>28779202170</v>
      </c>
      <c r="AD802" s="27">
        <v>188048960311.22461</v>
      </c>
      <c r="AE802" s="228">
        <v>0.15304100656749112</v>
      </c>
      <c r="AF802" s="27">
        <v>51623200584.637375</v>
      </c>
      <c r="AG802" s="226">
        <v>0.55748581730836044</v>
      </c>
      <c r="AH802" s="226">
        <v>0.80769926698063443</v>
      </c>
      <c r="AI802" s="27">
        <v>215510000</v>
      </c>
      <c r="AJ802" s="226">
        <v>133.53998501229643</v>
      </c>
      <c r="AK802" s="27">
        <v>4271631310.1551666</v>
      </c>
      <c r="AL802" s="226">
        <v>6.7372860812172011</v>
      </c>
      <c r="AM802" s="27" t="s">
        <v>2842</v>
      </c>
      <c r="AN802" s="271" t="s">
        <v>2842</v>
      </c>
      <c r="AO802" s="27">
        <v>16556600</v>
      </c>
      <c r="AP802" s="27">
        <v>5.5</v>
      </c>
      <c r="AQ802" s="27">
        <v>68.98</v>
      </c>
      <c r="AR802" s="27">
        <v>17.600000000000001</v>
      </c>
      <c r="AS802" s="29">
        <v>98.239959999999996</v>
      </c>
      <c r="AT802" s="270">
        <v>29</v>
      </c>
      <c r="AU802" s="464">
        <v>57.363105318322219</v>
      </c>
      <c r="AV802" s="29">
        <v>-1.0947582948953301</v>
      </c>
      <c r="AW802" s="29">
        <v>-0.32042900556192899</v>
      </c>
      <c r="AX802" s="29">
        <v>-0.42630117376099602</v>
      </c>
      <c r="AY802" s="29">
        <v>-0.25995175471842702</v>
      </c>
      <c r="AZ802" s="60">
        <v>-0.97820473728264901</v>
      </c>
    </row>
    <row r="803" spans="1:52" ht="15" customHeight="1">
      <c r="A803" s="59" t="s">
        <v>270</v>
      </c>
      <c r="B803" s="27">
        <v>2011</v>
      </c>
      <c r="C803" s="27" t="s">
        <v>273</v>
      </c>
      <c r="D803" s="69" t="s">
        <v>34</v>
      </c>
      <c r="E803" s="27" t="s">
        <v>19</v>
      </c>
      <c r="F803" s="29" t="s">
        <v>1312</v>
      </c>
      <c r="G803" s="18">
        <v>1289917</v>
      </c>
      <c r="H803" s="18"/>
      <c r="I803" s="18"/>
      <c r="J803" s="18"/>
      <c r="K803" s="29" t="s">
        <v>567</v>
      </c>
      <c r="L803" s="28">
        <f>1.186/0.000453592</f>
        <v>2614.68456233796</v>
      </c>
      <c r="M803" s="29" t="s">
        <v>568</v>
      </c>
      <c r="N803" s="27" t="s">
        <v>1352</v>
      </c>
      <c r="O803" s="18">
        <f>G803*L803</f>
        <v>3372726066.5972943</v>
      </c>
      <c r="P803" s="244"/>
      <c r="Q803" s="244"/>
      <c r="R803" s="29"/>
      <c r="S803" s="29"/>
      <c r="T803" s="29"/>
      <c r="U803" s="29"/>
      <c r="V803" s="29"/>
      <c r="W803" s="72"/>
      <c r="X803" s="29"/>
      <c r="Y803" s="29"/>
      <c r="Z803" s="29"/>
      <c r="AA803" s="29"/>
      <c r="AB803" s="27"/>
      <c r="AC803" s="273">
        <v>28779202170</v>
      </c>
      <c r="AD803" s="27">
        <v>188048960311.22461</v>
      </c>
      <c r="AE803" s="228">
        <v>0.15304100656749112</v>
      </c>
      <c r="AF803" s="27">
        <v>51623200584.637375</v>
      </c>
      <c r="AG803" s="226">
        <v>0.55748581730836044</v>
      </c>
      <c r="AH803" s="226">
        <v>0.80769926698063443</v>
      </c>
      <c r="AI803" s="27">
        <v>215510000</v>
      </c>
      <c r="AJ803" s="226">
        <v>133.53998501229643</v>
      </c>
      <c r="AK803" s="27">
        <v>4271631310.1551666</v>
      </c>
      <c r="AL803" s="226">
        <v>6.7372860812172011</v>
      </c>
      <c r="AM803" s="27" t="s">
        <v>2842</v>
      </c>
      <c r="AN803" s="271" t="s">
        <v>2842</v>
      </c>
      <c r="AO803" s="27">
        <v>16556600</v>
      </c>
      <c r="AP803" s="27">
        <v>5.5</v>
      </c>
      <c r="AQ803" s="27">
        <v>68.98</v>
      </c>
      <c r="AR803" s="27">
        <v>17.600000000000001</v>
      </c>
      <c r="AS803" s="29">
        <v>98.239959999999996</v>
      </c>
      <c r="AT803" s="270">
        <v>29</v>
      </c>
      <c r="AU803" s="464">
        <v>57.363105318322219</v>
      </c>
      <c r="AV803" s="29">
        <v>-1.0947582948953301</v>
      </c>
      <c r="AW803" s="29">
        <v>-0.32042900556192899</v>
      </c>
      <c r="AX803" s="29">
        <v>-0.42630117376099602</v>
      </c>
      <c r="AY803" s="29">
        <v>-0.25995175471842702</v>
      </c>
      <c r="AZ803" s="60">
        <v>-0.97820473728264901</v>
      </c>
    </row>
    <row r="804" spans="1:52" ht="15" customHeight="1">
      <c r="A804" s="59" t="s">
        <v>270</v>
      </c>
      <c r="B804" s="27">
        <v>2011</v>
      </c>
      <c r="C804" s="27" t="s">
        <v>273</v>
      </c>
      <c r="D804" s="69" t="s">
        <v>34</v>
      </c>
      <c r="E804" s="27" t="s">
        <v>19</v>
      </c>
      <c r="F804" s="29" t="s">
        <v>1314</v>
      </c>
      <c r="G804" s="18">
        <v>143296</v>
      </c>
      <c r="H804" s="18"/>
      <c r="I804" s="18"/>
      <c r="J804" s="18"/>
      <c r="K804" s="29" t="s">
        <v>567</v>
      </c>
      <c r="L804" s="28"/>
      <c r="M804" s="29"/>
      <c r="N804" s="27" t="s">
        <v>788</v>
      </c>
      <c r="O804" s="18"/>
      <c r="P804" s="244"/>
      <c r="Q804" s="244"/>
      <c r="R804" s="29"/>
      <c r="S804" s="29"/>
      <c r="T804" s="29"/>
      <c r="U804" s="29"/>
      <c r="V804" s="29"/>
      <c r="W804" s="72"/>
      <c r="X804" s="29"/>
      <c r="Y804" s="29"/>
      <c r="Z804" s="29"/>
      <c r="AA804" s="29"/>
      <c r="AB804" s="27"/>
      <c r="AC804" s="273">
        <v>28779202170</v>
      </c>
      <c r="AD804" s="27">
        <v>188048960311.22461</v>
      </c>
      <c r="AE804" s="228">
        <v>0.15304100656749112</v>
      </c>
      <c r="AF804" s="27">
        <v>51623200584.637375</v>
      </c>
      <c r="AG804" s="226">
        <v>0.55748581730836044</v>
      </c>
      <c r="AH804" s="226">
        <v>0.80769926698063443</v>
      </c>
      <c r="AI804" s="27">
        <v>215510000</v>
      </c>
      <c r="AJ804" s="226">
        <v>133.53998501229643</v>
      </c>
      <c r="AK804" s="27">
        <v>4271631310.1551666</v>
      </c>
      <c r="AL804" s="226">
        <v>6.7372860812172011</v>
      </c>
      <c r="AM804" s="27" t="s">
        <v>2842</v>
      </c>
      <c r="AN804" s="271" t="s">
        <v>2842</v>
      </c>
      <c r="AO804" s="27">
        <v>16556600</v>
      </c>
      <c r="AP804" s="27">
        <v>5.5</v>
      </c>
      <c r="AQ804" s="27">
        <v>68.98</v>
      </c>
      <c r="AR804" s="27">
        <v>17.600000000000001</v>
      </c>
      <c r="AS804" s="29">
        <v>98.239959999999996</v>
      </c>
      <c r="AT804" s="270">
        <v>29</v>
      </c>
      <c r="AU804" s="464">
        <v>57.363105318322219</v>
      </c>
      <c r="AV804" s="29">
        <v>-1.0947582948953301</v>
      </c>
      <c r="AW804" s="29">
        <v>-0.32042900556192899</v>
      </c>
      <c r="AX804" s="29">
        <v>-0.42630117376099602</v>
      </c>
      <c r="AY804" s="29">
        <v>-0.25995175471842702</v>
      </c>
      <c r="AZ804" s="60">
        <v>-0.97820473728264901</v>
      </c>
    </row>
    <row r="805" spans="1:52" ht="15" customHeight="1">
      <c r="A805" s="59" t="s">
        <v>270</v>
      </c>
      <c r="B805" s="27">
        <v>2011</v>
      </c>
      <c r="C805" s="27" t="s">
        <v>273</v>
      </c>
      <c r="D805" s="69" t="s">
        <v>34</v>
      </c>
      <c r="E805" s="27" t="s">
        <v>19</v>
      </c>
      <c r="F805" s="29" t="s">
        <v>1315</v>
      </c>
      <c r="G805" s="18">
        <v>1683</v>
      </c>
      <c r="H805" s="18"/>
      <c r="I805" s="18"/>
      <c r="J805" s="18"/>
      <c r="K805" s="29" t="s">
        <v>567</v>
      </c>
      <c r="L805" s="28">
        <f>1.065/0.000453592</f>
        <v>2347.9250074957231</v>
      </c>
      <c r="M805" s="29" t="s">
        <v>568</v>
      </c>
      <c r="N805" s="27" t="s">
        <v>1316</v>
      </c>
      <c r="O805" s="18">
        <f>G805*L805</f>
        <v>3951557.787615302</v>
      </c>
      <c r="P805" s="244"/>
      <c r="Q805" s="244"/>
      <c r="R805" s="29"/>
      <c r="S805" s="29"/>
      <c r="T805" s="29"/>
      <c r="U805" s="29"/>
      <c r="V805" s="29"/>
      <c r="W805" s="72"/>
      <c r="X805" s="29"/>
      <c r="Y805" s="29"/>
      <c r="Z805" s="29"/>
      <c r="AA805" s="29"/>
      <c r="AB805" s="27"/>
      <c r="AC805" s="273">
        <v>28779202170</v>
      </c>
      <c r="AD805" s="27">
        <v>188048960311.22461</v>
      </c>
      <c r="AE805" s="228">
        <v>0.15304100656749112</v>
      </c>
      <c r="AF805" s="27">
        <v>51623200584.637375</v>
      </c>
      <c r="AG805" s="226">
        <v>0.55748581730836044</v>
      </c>
      <c r="AH805" s="226">
        <v>0.80769926698063443</v>
      </c>
      <c r="AI805" s="27">
        <v>215510000</v>
      </c>
      <c r="AJ805" s="226">
        <v>133.53998501229643</v>
      </c>
      <c r="AK805" s="27">
        <v>4271631310.1551666</v>
      </c>
      <c r="AL805" s="226">
        <v>6.7372860812172011</v>
      </c>
      <c r="AM805" s="27" t="s">
        <v>2842</v>
      </c>
      <c r="AN805" s="271" t="s">
        <v>2842</v>
      </c>
      <c r="AO805" s="27">
        <v>16556600</v>
      </c>
      <c r="AP805" s="27">
        <v>5.5</v>
      </c>
      <c r="AQ805" s="27">
        <v>68.98</v>
      </c>
      <c r="AR805" s="27">
        <v>17.600000000000001</v>
      </c>
      <c r="AS805" s="29">
        <v>98.239959999999996</v>
      </c>
      <c r="AT805" s="270">
        <v>29</v>
      </c>
      <c r="AU805" s="464">
        <v>57.363105318322219</v>
      </c>
      <c r="AV805" s="29">
        <v>-1.0947582948953301</v>
      </c>
      <c r="AW805" s="29">
        <v>-0.32042900556192899</v>
      </c>
      <c r="AX805" s="29">
        <v>-0.42630117376099602</v>
      </c>
      <c r="AY805" s="29">
        <v>-0.25995175471842702</v>
      </c>
      <c r="AZ805" s="60">
        <v>-0.97820473728264901</v>
      </c>
    </row>
    <row r="806" spans="1:52" ht="15" customHeight="1">
      <c r="A806" s="59" t="s">
        <v>270</v>
      </c>
      <c r="B806" s="27">
        <v>2011</v>
      </c>
      <c r="C806" s="27" t="s">
        <v>273</v>
      </c>
      <c r="D806" s="69" t="s">
        <v>34</v>
      </c>
      <c r="E806" s="27" t="s">
        <v>19</v>
      </c>
      <c r="F806" s="29" t="s">
        <v>1317</v>
      </c>
      <c r="G806" s="18">
        <v>65000</v>
      </c>
      <c r="H806" s="18"/>
      <c r="I806" s="18"/>
      <c r="J806" s="18"/>
      <c r="K806" s="29" t="s">
        <v>567</v>
      </c>
      <c r="L806" s="28"/>
      <c r="M806" s="29"/>
      <c r="N806" s="27" t="s">
        <v>788</v>
      </c>
      <c r="O806" s="18"/>
      <c r="P806" s="244"/>
      <c r="Q806" s="244"/>
      <c r="R806" s="29"/>
      <c r="S806" s="29"/>
      <c r="T806" s="29"/>
      <c r="U806" s="29"/>
      <c r="V806" s="29"/>
      <c r="W806" s="72"/>
      <c r="X806" s="29"/>
      <c r="Y806" s="29"/>
      <c r="Z806" s="29"/>
      <c r="AA806" s="29"/>
      <c r="AB806" s="27"/>
      <c r="AC806" s="273">
        <v>28779202170</v>
      </c>
      <c r="AD806" s="27">
        <v>188048960311.22461</v>
      </c>
      <c r="AE806" s="228">
        <v>0.15304100656749112</v>
      </c>
      <c r="AF806" s="27">
        <v>51623200584.637375</v>
      </c>
      <c r="AG806" s="226">
        <v>0.55748581730836044</v>
      </c>
      <c r="AH806" s="226">
        <v>0.80769926698063443</v>
      </c>
      <c r="AI806" s="27">
        <v>215510000</v>
      </c>
      <c r="AJ806" s="226">
        <v>133.53998501229643</v>
      </c>
      <c r="AK806" s="27">
        <v>4271631310.1551666</v>
      </c>
      <c r="AL806" s="226">
        <v>6.7372860812172011</v>
      </c>
      <c r="AM806" s="27" t="s">
        <v>2842</v>
      </c>
      <c r="AN806" s="271" t="s">
        <v>2842</v>
      </c>
      <c r="AO806" s="27">
        <v>16556600</v>
      </c>
      <c r="AP806" s="27">
        <v>5.5</v>
      </c>
      <c r="AQ806" s="27">
        <v>68.98</v>
      </c>
      <c r="AR806" s="27">
        <v>17.600000000000001</v>
      </c>
      <c r="AS806" s="29">
        <v>98.239959999999996</v>
      </c>
      <c r="AT806" s="270">
        <v>29</v>
      </c>
      <c r="AU806" s="464">
        <v>57.363105318322219</v>
      </c>
      <c r="AV806" s="29">
        <v>-1.0947582948953301</v>
      </c>
      <c r="AW806" s="29">
        <v>-0.32042900556192899</v>
      </c>
      <c r="AX806" s="29">
        <v>-0.42630117376099602</v>
      </c>
      <c r="AY806" s="29">
        <v>-0.25995175471842702</v>
      </c>
      <c r="AZ806" s="60">
        <v>-0.97820473728264901</v>
      </c>
    </row>
    <row r="807" spans="1:52" ht="15" customHeight="1">
      <c r="A807" s="59" t="s">
        <v>270</v>
      </c>
      <c r="B807" s="27">
        <v>2011</v>
      </c>
      <c r="C807" s="27" t="s">
        <v>273</v>
      </c>
      <c r="D807" s="69" t="s">
        <v>34</v>
      </c>
      <c r="E807" s="27" t="s">
        <v>19</v>
      </c>
      <c r="F807" s="29" t="s">
        <v>730</v>
      </c>
      <c r="G807" s="18">
        <f>36670*32.150743126506</f>
        <v>1178967.750448975</v>
      </c>
      <c r="H807" s="18"/>
      <c r="I807" s="18"/>
      <c r="J807" s="18"/>
      <c r="K807" s="29" t="s">
        <v>731</v>
      </c>
      <c r="L807" s="28">
        <v>1569.2108333333299</v>
      </c>
      <c r="M807" s="29" t="s">
        <v>732</v>
      </c>
      <c r="N807" s="27" t="s">
        <v>782</v>
      </c>
      <c r="O807" s="18">
        <f>G807*L807</f>
        <v>1850048966.1551573</v>
      </c>
      <c r="P807" s="244"/>
      <c r="Q807" s="244"/>
      <c r="R807" s="29"/>
      <c r="S807" s="29"/>
      <c r="T807" s="29"/>
      <c r="U807" s="29"/>
      <c r="V807" s="29"/>
      <c r="W807" s="72"/>
      <c r="X807" s="29"/>
      <c r="Y807" s="29"/>
      <c r="Z807" s="29"/>
      <c r="AA807" s="29"/>
      <c r="AB807" s="27"/>
      <c r="AC807" s="273">
        <v>28779202170</v>
      </c>
      <c r="AD807" s="27">
        <v>188048960311.22461</v>
      </c>
      <c r="AE807" s="228">
        <v>0.15304100656749112</v>
      </c>
      <c r="AF807" s="27">
        <v>51623200584.637375</v>
      </c>
      <c r="AG807" s="226">
        <v>0.55748581730836044</v>
      </c>
      <c r="AH807" s="226">
        <v>0.80769926698063443</v>
      </c>
      <c r="AI807" s="27">
        <v>215510000</v>
      </c>
      <c r="AJ807" s="226">
        <v>133.53998501229643</v>
      </c>
      <c r="AK807" s="27">
        <v>4271631310.1551666</v>
      </c>
      <c r="AL807" s="226">
        <v>6.7372860812172011</v>
      </c>
      <c r="AM807" s="27" t="s">
        <v>2842</v>
      </c>
      <c r="AN807" s="271" t="s">
        <v>2842</v>
      </c>
      <c r="AO807" s="27">
        <v>16556600</v>
      </c>
      <c r="AP807" s="27">
        <v>5.5</v>
      </c>
      <c r="AQ807" s="27">
        <v>68.98</v>
      </c>
      <c r="AR807" s="27">
        <v>17.600000000000001</v>
      </c>
      <c r="AS807" s="29">
        <v>98.239959999999996</v>
      </c>
      <c r="AT807" s="270">
        <v>29</v>
      </c>
      <c r="AU807" s="464">
        <v>57.363105318322219</v>
      </c>
      <c r="AV807" s="29">
        <v>-1.0947582948953301</v>
      </c>
      <c r="AW807" s="29">
        <v>-0.32042900556192899</v>
      </c>
      <c r="AX807" s="29">
        <v>-0.42630117376099602</v>
      </c>
      <c r="AY807" s="29">
        <v>-0.25995175471842702</v>
      </c>
      <c r="AZ807" s="60">
        <v>-0.97820473728264901</v>
      </c>
    </row>
    <row r="808" spans="1:52" ht="15" customHeight="1">
      <c r="A808" s="59" t="s">
        <v>270</v>
      </c>
      <c r="B808" s="27">
        <v>2011</v>
      </c>
      <c r="C808" s="27" t="s">
        <v>273</v>
      </c>
      <c r="D808" s="69" t="s">
        <v>34</v>
      </c>
      <c r="E808" s="27" t="s">
        <v>19</v>
      </c>
      <c r="F808" s="29" t="s">
        <v>1318</v>
      </c>
      <c r="G808" s="18">
        <v>25000</v>
      </c>
      <c r="H808" s="18"/>
      <c r="I808" s="18"/>
      <c r="J808" s="18"/>
      <c r="K808" s="29" t="s">
        <v>567</v>
      </c>
      <c r="L808" s="28">
        <v>195</v>
      </c>
      <c r="M808" s="27" t="s">
        <v>568</v>
      </c>
      <c r="N808" s="27" t="s">
        <v>1319</v>
      </c>
      <c r="O808" s="18">
        <f>G808*L808</f>
        <v>4875000</v>
      </c>
      <c r="P808" s="244"/>
      <c r="Q808" s="244"/>
      <c r="R808" s="29"/>
      <c r="S808" s="29"/>
      <c r="T808" s="29"/>
      <c r="U808" s="29"/>
      <c r="V808" s="29"/>
      <c r="W808" s="72"/>
      <c r="X808" s="29"/>
      <c r="Y808" s="29"/>
      <c r="Z808" s="29"/>
      <c r="AA808" s="29"/>
      <c r="AB808" s="27"/>
      <c r="AC808" s="273">
        <v>28779202170</v>
      </c>
      <c r="AD808" s="27">
        <v>188048960311.22461</v>
      </c>
      <c r="AE808" s="228">
        <v>0.15304100656749112</v>
      </c>
      <c r="AF808" s="27">
        <v>51623200584.637375</v>
      </c>
      <c r="AG808" s="226">
        <v>0.55748581730836044</v>
      </c>
      <c r="AH808" s="226">
        <v>0.80769926698063443</v>
      </c>
      <c r="AI808" s="27">
        <v>215510000</v>
      </c>
      <c r="AJ808" s="226">
        <v>133.53998501229643</v>
      </c>
      <c r="AK808" s="27">
        <v>4271631310.1551666</v>
      </c>
      <c r="AL808" s="226">
        <v>6.7372860812172011</v>
      </c>
      <c r="AM808" s="27" t="s">
        <v>2842</v>
      </c>
      <c r="AN808" s="271" t="s">
        <v>2842</v>
      </c>
      <c r="AO808" s="27">
        <v>16556600</v>
      </c>
      <c r="AP808" s="27">
        <v>5.5</v>
      </c>
      <c r="AQ808" s="27">
        <v>68.98</v>
      </c>
      <c r="AR808" s="27">
        <v>17.600000000000001</v>
      </c>
      <c r="AS808" s="29">
        <v>98.239959999999996</v>
      </c>
      <c r="AT808" s="270">
        <v>29</v>
      </c>
      <c r="AU808" s="464">
        <v>57.363105318322219</v>
      </c>
      <c r="AV808" s="29">
        <v>-1.0947582948953301</v>
      </c>
      <c r="AW808" s="29">
        <v>-0.32042900556192899</v>
      </c>
      <c r="AX808" s="29">
        <v>-0.42630117376099602</v>
      </c>
      <c r="AY808" s="29">
        <v>-0.25995175471842702</v>
      </c>
      <c r="AZ808" s="60">
        <v>-0.97820473728264901</v>
      </c>
    </row>
    <row r="809" spans="1:52" ht="15" customHeight="1">
      <c r="A809" s="59" t="s">
        <v>270</v>
      </c>
      <c r="B809" s="27">
        <v>2011</v>
      </c>
      <c r="C809" s="27" t="s">
        <v>273</v>
      </c>
      <c r="D809" s="69" t="s">
        <v>34</v>
      </c>
      <c r="E809" s="27" t="s">
        <v>19</v>
      </c>
      <c r="F809" s="29" t="s">
        <v>1133</v>
      </c>
      <c r="G809" s="18">
        <v>24812800</v>
      </c>
      <c r="H809" s="18"/>
      <c r="I809" s="18"/>
      <c r="J809" s="18"/>
      <c r="K809" s="29" t="s">
        <v>567</v>
      </c>
      <c r="L809" s="28">
        <v>167.75416666666999</v>
      </c>
      <c r="M809" s="29" t="s">
        <v>568</v>
      </c>
      <c r="N809" s="27" t="s">
        <v>1320</v>
      </c>
      <c r="O809" s="18">
        <f>G809*L809</f>
        <v>4162450586.666749</v>
      </c>
      <c r="P809" s="244"/>
      <c r="Q809" s="244"/>
      <c r="R809" s="29"/>
      <c r="S809" s="29"/>
      <c r="T809" s="29"/>
      <c r="U809" s="29"/>
      <c r="V809" s="29"/>
      <c r="W809" s="72"/>
      <c r="X809" s="29"/>
      <c r="Y809" s="29"/>
      <c r="Z809" s="29"/>
      <c r="AA809" s="29"/>
      <c r="AB809" s="27"/>
      <c r="AC809" s="273">
        <v>28779202170</v>
      </c>
      <c r="AD809" s="27">
        <v>188048960311.22461</v>
      </c>
      <c r="AE809" s="228">
        <v>0.15304100656749112</v>
      </c>
      <c r="AF809" s="27">
        <v>51623200584.637375</v>
      </c>
      <c r="AG809" s="226">
        <v>0.55748581730836044</v>
      </c>
      <c r="AH809" s="226">
        <v>0.80769926698063443</v>
      </c>
      <c r="AI809" s="27">
        <v>215510000</v>
      </c>
      <c r="AJ809" s="226">
        <v>133.53998501229643</v>
      </c>
      <c r="AK809" s="27">
        <v>4271631310.1551666</v>
      </c>
      <c r="AL809" s="226">
        <v>6.7372860812172011</v>
      </c>
      <c r="AM809" s="27" t="s">
        <v>2842</v>
      </c>
      <c r="AN809" s="271" t="s">
        <v>2842</v>
      </c>
      <c r="AO809" s="27">
        <v>16556600</v>
      </c>
      <c r="AP809" s="27">
        <v>5.5</v>
      </c>
      <c r="AQ809" s="27">
        <v>68.98</v>
      </c>
      <c r="AR809" s="27">
        <v>17.600000000000001</v>
      </c>
      <c r="AS809" s="29">
        <v>98.239959999999996</v>
      </c>
      <c r="AT809" s="270">
        <v>29</v>
      </c>
      <c r="AU809" s="464">
        <v>57.363105318322219</v>
      </c>
      <c r="AV809" s="29">
        <v>-1.0947582948953301</v>
      </c>
      <c r="AW809" s="29">
        <v>-0.32042900556192899</v>
      </c>
      <c r="AX809" s="29">
        <v>-0.42630117376099602</v>
      </c>
      <c r="AY809" s="29">
        <v>-0.25995175471842702</v>
      </c>
      <c r="AZ809" s="60">
        <v>-0.97820473728264901</v>
      </c>
    </row>
    <row r="810" spans="1:52" ht="15" customHeight="1">
      <c r="A810" s="59" t="s">
        <v>270</v>
      </c>
      <c r="B810" s="27">
        <v>2011</v>
      </c>
      <c r="C810" s="27" t="s">
        <v>273</v>
      </c>
      <c r="D810" s="69" t="s">
        <v>34</v>
      </c>
      <c r="E810" s="27" t="s">
        <v>19</v>
      </c>
      <c r="F810" s="29" t="s">
        <v>784</v>
      </c>
      <c r="G810" s="18"/>
      <c r="H810" s="18"/>
      <c r="I810" s="18"/>
      <c r="J810" s="18"/>
      <c r="K810" s="29"/>
      <c r="L810" s="28">
        <v>7.88</v>
      </c>
      <c r="M810" s="27" t="s">
        <v>568</v>
      </c>
      <c r="N810" s="27" t="s">
        <v>785</v>
      </c>
      <c r="O810" s="18">
        <f>G812*L810</f>
        <v>7722400</v>
      </c>
      <c r="P810" s="244"/>
      <c r="Q810" s="244"/>
      <c r="R810" s="29"/>
      <c r="S810" s="29"/>
      <c r="T810" s="29"/>
      <c r="U810" s="29"/>
      <c r="V810" s="29"/>
      <c r="W810" s="72"/>
      <c r="X810" s="29"/>
      <c r="Y810" s="29"/>
      <c r="Z810" s="29"/>
      <c r="AA810" s="29"/>
      <c r="AB810" s="27"/>
      <c r="AC810" s="273">
        <v>28779202170</v>
      </c>
      <c r="AD810" s="27">
        <v>188048960311.22461</v>
      </c>
      <c r="AE810" s="228">
        <v>0.15304100656749112</v>
      </c>
      <c r="AF810" s="27">
        <v>51623200584.637375</v>
      </c>
      <c r="AG810" s="226">
        <v>0.55748581730836044</v>
      </c>
      <c r="AH810" s="226">
        <v>0.80769926698063443</v>
      </c>
      <c r="AI810" s="27">
        <v>215510000</v>
      </c>
      <c r="AJ810" s="226">
        <v>133.53998501229643</v>
      </c>
      <c r="AK810" s="27">
        <v>4271631310.1551666</v>
      </c>
      <c r="AL810" s="226">
        <v>6.7372860812172011</v>
      </c>
      <c r="AM810" s="27" t="s">
        <v>2842</v>
      </c>
      <c r="AN810" s="271" t="s">
        <v>2842</v>
      </c>
      <c r="AO810" s="27">
        <v>16556600</v>
      </c>
      <c r="AP810" s="27">
        <v>5.5</v>
      </c>
      <c r="AQ810" s="27">
        <v>68.98</v>
      </c>
      <c r="AR810" s="27">
        <v>17.600000000000001</v>
      </c>
      <c r="AS810" s="29">
        <v>98.239959999999996</v>
      </c>
      <c r="AT810" s="270">
        <v>29</v>
      </c>
      <c r="AU810" s="464">
        <v>57.363105318322219</v>
      </c>
      <c r="AV810" s="29">
        <v>-1.0947582948953301</v>
      </c>
      <c r="AW810" s="29">
        <v>-0.32042900556192899</v>
      </c>
      <c r="AX810" s="29">
        <v>-0.42630117376099602</v>
      </c>
      <c r="AY810" s="29">
        <v>-0.25995175471842702</v>
      </c>
      <c r="AZ810" s="60">
        <v>-0.97820473728264901</v>
      </c>
    </row>
    <row r="811" spans="1:52" ht="15" customHeight="1">
      <c r="A811" s="59" t="s">
        <v>270</v>
      </c>
      <c r="B811" s="27">
        <v>2011</v>
      </c>
      <c r="C811" s="27" t="s">
        <v>273</v>
      </c>
      <c r="D811" s="69" t="s">
        <v>34</v>
      </c>
      <c r="E811" s="27" t="s">
        <v>19</v>
      </c>
      <c r="F811" s="29" t="s">
        <v>982</v>
      </c>
      <c r="G811" s="18">
        <v>4063000</v>
      </c>
      <c r="H811" s="18"/>
      <c r="I811" s="18"/>
      <c r="J811" s="18"/>
      <c r="K811" s="29" t="s">
        <v>567</v>
      </c>
      <c r="L811" s="28"/>
      <c r="M811" s="29"/>
      <c r="N811" s="27" t="s">
        <v>788</v>
      </c>
      <c r="O811" s="18"/>
      <c r="P811" s="244"/>
      <c r="Q811" s="244"/>
      <c r="R811" s="29"/>
      <c r="S811" s="29"/>
      <c r="T811" s="29"/>
      <c r="U811" s="29"/>
      <c r="V811" s="29"/>
      <c r="W811" s="72"/>
      <c r="X811" s="29"/>
      <c r="Y811" s="29"/>
      <c r="Z811" s="29"/>
      <c r="AA811" s="29"/>
      <c r="AB811" s="27"/>
      <c r="AC811" s="273">
        <v>28779202170</v>
      </c>
      <c r="AD811" s="27">
        <v>188048960311.22461</v>
      </c>
      <c r="AE811" s="228">
        <v>0.15304100656749112</v>
      </c>
      <c r="AF811" s="27">
        <v>51623200584.637375</v>
      </c>
      <c r="AG811" s="226">
        <v>0.55748581730836044</v>
      </c>
      <c r="AH811" s="226">
        <v>0.80769926698063443</v>
      </c>
      <c r="AI811" s="27">
        <v>215510000</v>
      </c>
      <c r="AJ811" s="226">
        <v>133.53998501229643</v>
      </c>
      <c r="AK811" s="27">
        <v>4271631310.1551666</v>
      </c>
      <c r="AL811" s="226">
        <v>6.7372860812172011</v>
      </c>
      <c r="AM811" s="27" t="s">
        <v>2842</v>
      </c>
      <c r="AN811" s="271" t="s">
        <v>2842</v>
      </c>
      <c r="AO811" s="27">
        <v>16556600</v>
      </c>
      <c r="AP811" s="27">
        <v>5.5</v>
      </c>
      <c r="AQ811" s="27">
        <v>68.98</v>
      </c>
      <c r="AR811" s="27">
        <v>17.600000000000001</v>
      </c>
      <c r="AS811" s="29">
        <v>98.239959999999996</v>
      </c>
      <c r="AT811" s="270">
        <v>29</v>
      </c>
      <c r="AU811" s="464">
        <v>57.363105318322219</v>
      </c>
      <c r="AV811" s="29">
        <v>-1.0947582948953301</v>
      </c>
      <c r="AW811" s="29">
        <v>-0.32042900556192899</v>
      </c>
      <c r="AX811" s="29">
        <v>-0.42630117376099602</v>
      </c>
      <c r="AY811" s="29">
        <v>-0.25995175471842702</v>
      </c>
      <c r="AZ811" s="60">
        <v>-0.97820473728264901</v>
      </c>
    </row>
    <row r="812" spans="1:52" ht="15" customHeight="1">
      <c r="A812" s="59" t="s">
        <v>270</v>
      </c>
      <c r="B812" s="27">
        <v>2011</v>
      </c>
      <c r="C812" s="27" t="s">
        <v>273</v>
      </c>
      <c r="D812" s="69" t="s">
        <v>34</v>
      </c>
      <c r="E812" s="27" t="s">
        <v>19</v>
      </c>
      <c r="F812" s="29" t="s">
        <v>1321</v>
      </c>
      <c r="G812" s="18">
        <v>980000</v>
      </c>
      <c r="H812" s="18"/>
      <c r="I812" s="18"/>
      <c r="J812" s="18"/>
      <c r="K812" s="29" t="s">
        <v>567</v>
      </c>
      <c r="L812" s="28"/>
      <c r="M812" s="29"/>
      <c r="N812" s="27" t="s">
        <v>788</v>
      </c>
      <c r="O812" s="18"/>
      <c r="P812" s="244"/>
      <c r="Q812" s="244"/>
      <c r="R812" s="29"/>
      <c r="S812" s="29"/>
      <c r="T812" s="29"/>
      <c r="U812" s="29"/>
      <c r="V812" s="29"/>
      <c r="W812" s="72"/>
      <c r="X812" s="29"/>
      <c r="Y812" s="29"/>
      <c r="Z812" s="29"/>
      <c r="AA812" s="29"/>
      <c r="AB812" s="27"/>
      <c r="AC812" s="273">
        <v>28779202170</v>
      </c>
      <c r="AD812" s="27">
        <v>188048960311.22461</v>
      </c>
      <c r="AE812" s="228">
        <v>0.15304100656749112</v>
      </c>
      <c r="AF812" s="27">
        <v>51623200584.637375</v>
      </c>
      <c r="AG812" s="226">
        <v>0.55748581730836044</v>
      </c>
      <c r="AH812" s="226">
        <v>0.80769926698063443</v>
      </c>
      <c r="AI812" s="27">
        <v>215510000</v>
      </c>
      <c r="AJ812" s="226">
        <v>133.53998501229643</v>
      </c>
      <c r="AK812" s="27">
        <v>4271631310.1551666</v>
      </c>
      <c r="AL812" s="226">
        <v>6.7372860812172011</v>
      </c>
      <c r="AM812" s="27" t="s">
        <v>2842</v>
      </c>
      <c r="AN812" s="271" t="s">
        <v>2842</v>
      </c>
      <c r="AO812" s="27">
        <v>16556600</v>
      </c>
      <c r="AP812" s="27">
        <v>5.5</v>
      </c>
      <c r="AQ812" s="27">
        <v>68.98</v>
      </c>
      <c r="AR812" s="27">
        <v>17.600000000000001</v>
      </c>
      <c r="AS812" s="29">
        <v>98.239959999999996</v>
      </c>
      <c r="AT812" s="270">
        <v>29</v>
      </c>
      <c r="AU812" s="464">
        <v>57.363105318322219</v>
      </c>
      <c r="AV812" s="29">
        <v>-1.0947582948953301</v>
      </c>
      <c r="AW812" s="29">
        <v>-0.32042900556192899</v>
      </c>
      <c r="AX812" s="29">
        <v>-0.42630117376099602</v>
      </c>
      <c r="AY812" s="29">
        <v>-0.25995175471842702</v>
      </c>
      <c r="AZ812" s="60">
        <v>-0.97820473728264901</v>
      </c>
    </row>
    <row r="813" spans="1:52" ht="15" customHeight="1">
      <c r="A813" s="59" t="s">
        <v>270</v>
      </c>
      <c r="B813" s="27">
        <v>2011</v>
      </c>
      <c r="C813" s="27" t="s">
        <v>273</v>
      </c>
      <c r="D813" s="69" t="s">
        <v>34</v>
      </c>
      <c r="E813" s="27" t="s">
        <v>19</v>
      </c>
      <c r="F813" s="29" t="s">
        <v>1322</v>
      </c>
      <c r="G813" s="18">
        <v>500</v>
      </c>
      <c r="H813" s="18"/>
      <c r="I813" s="18"/>
      <c r="J813" s="18"/>
      <c r="K813" s="29" t="s">
        <v>567</v>
      </c>
      <c r="L813" s="44">
        <v>22910.356666666699</v>
      </c>
      <c r="M813" s="27" t="s">
        <v>568</v>
      </c>
      <c r="N813" s="27" t="s">
        <v>1323</v>
      </c>
      <c r="O813" s="18">
        <f>G813*L813</f>
        <v>11455178.333333349</v>
      </c>
      <c r="P813" s="244"/>
      <c r="Q813" s="244"/>
      <c r="R813" s="29"/>
      <c r="S813" s="29"/>
      <c r="T813" s="29"/>
      <c r="U813" s="29"/>
      <c r="V813" s="29"/>
      <c r="W813" s="72"/>
      <c r="X813" s="29"/>
      <c r="Y813" s="29"/>
      <c r="Z813" s="29"/>
      <c r="AA813" s="29"/>
      <c r="AB813" s="27"/>
      <c r="AC813" s="273">
        <v>28779202170</v>
      </c>
      <c r="AD813" s="27">
        <v>188048960311.22461</v>
      </c>
      <c r="AE813" s="228">
        <v>0.15304100656749112</v>
      </c>
      <c r="AF813" s="27">
        <v>51623200584.637375</v>
      </c>
      <c r="AG813" s="226">
        <v>0.55748581730836044</v>
      </c>
      <c r="AH813" s="226">
        <v>0.80769926698063443</v>
      </c>
      <c r="AI813" s="27">
        <v>215510000</v>
      </c>
      <c r="AJ813" s="226">
        <v>133.53998501229643</v>
      </c>
      <c r="AK813" s="27">
        <v>4271631310.1551666</v>
      </c>
      <c r="AL813" s="226">
        <v>6.7372860812172011</v>
      </c>
      <c r="AM813" s="27" t="s">
        <v>2842</v>
      </c>
      <c r="AN813" s="271" t="s">
        <v>2842</v>
      </c>
      <c r="AO813" s="27">
        <v>16556600</v>
      </c>
      <c r="AP813" s="27">
        <v>5.5</v>
      </c>
      <c r="AQ813" s="27">
        <v>68.98</v>
      </c>
      <c r="AR813" s="27">
        <v>17.600000000000001</v>
      </c>
      <c r="AS813" s="29">
        <v>98.239959999999996</v>
      </c>
      <c r="AT813" s="270">
        <v>29</v>
      </c>
      <c r="AU813" s="464">
        <v>57.363105318322219</v>
      </c>
      <c r="AV813" s="29">
        <v>-1.0947582948953301</v>
      </c>
      <c r="AW813" s="29">
        <v>-0.32042900556192899</v>
      </c>
      <c r="AX813" s="29">
        <v>-0.42630117376099602</v>
      </c>
      <c r="AY813" s="29">
        <v>-0.25995175471842702</v>
      </c>
      <c r="AZ813" s="60">
        <v>-0.97820473728264901</v>
      </c>
    </row>
    <row r="814" spans="1:52" ht="15" customHeight="1">
      <c r="A814" s="59" t="s">
        <v>270</v>
      </c>
      <c r="B814" s="27">
        <v>2011</v>
      </c>
      <c r="C814" s="27" t="s">
        <v>273</v>
      </c>
      <c r="D814" s="69" t="s">
        <v>34</v>
      </c>
      <c r="E814" s="27" t="s">
        <v>19</v>
      </c>
      <c r="F814" s="29" t="s">
        <v>1324</v>
      </c>
      <c r="G814" s="18">
        <v>1600000</v>
      </c>
      <c r="H814" s="18"/>
      <c r="I814" s="18"/>
      <c r="J814" s="18"/>
      <c r="K814" s="29" t="s">
        <v>567</v>
      </c>
      <c r="L814" s="28">
        <v>184.89583333332999</v>
      </c>
      <c r="M814" s="29" t="s">
        <v>568</v>
      </c>
      <c r="N814" s="27" t="s">
        <v>1325</v>
      </c>
      <c r="O814" s="18">
        <f>G814*L814</f>
        <v>295833333.33332801</v>
      </c>
      <c r="P814" s="244"/>
      <c r="Q814" s="244"/>
      <c r="R814" s="29"/>
      <c r="S814" s="29"/>
      <c r="T814" s="29"/>
      <c r="U814" s="29"/>
      <c r="V814" s="29"/>
      <c r="W814" s="72"/>
      <c r="X814" s="29"/>
      <c r="Y814" s="29"/>
      <c r="Z814" s="29"/>
      <c r="AA814" s="29"/>
      <c r="AB814" s="27"/>
      <c r="AC814" s="273">
        <v>28779202170</v>
      </c>
      <c r="AD814" s="27">
        <v>188048960311.22461</v>
      </c>
      <c r="AE814" s="228">
        <v>0.15304100656749112</v>
      </c>
      <c r="AF814" s="27">
        <v>51623200584.637375</v>
      </c>
      <c r="AG814" s="226">
        <v>0.55748581730836044</v>
      </c>
      <c r="AH814" s="226">
        <v>0.80769926698063443</v>
      </c>
      <c r="AI814" s="27">
        <v>215510000</v>
      </c>
      <c r="AJ814" s="226">
        <v>133.53998501229643</v>
      </c>
      <c r="AK814" s="27">
        <v>4271631310.1551666</v>
      </c>
      <c r="AL814" s="226">
        <v>6.7372860812172011</v>
      </c>
      <c r="AM814" s="27" t="s">
        <v>2842</v>
      </c>
      <c r="AN814" s="271" t="s">
        <v>2842</v>
      </c>
      <c r="AO814" s="27">
        <v>16556600</v>
      </c>
      <c r="AP814" s="27">
        <v>5.5</v>
      </c>
      <c r="AQ814" s="27">
        <v>68.98</v>
      </c>
      <c r="AR814" s="27">
        <v>17.600000000000001</v>
      </c>
      <c r="AS814" s="29">
        <v>98.239959999999996</v>
      </c>
      <c r="AT814" s="270">
        <v>29</v>
      </c>
      <c r="AU814" s="464">
        <v>57.363105318322219</v>
      </c>
      <c r="AV814" s="29">
        <v>-1.0947582948953301</v>
      </c>
      <c r="AW814" s="29">
        <v>-0.32042900556192899</v>
      </c>
      <c r="AX814" s="29">
        <v>-0.42630117376099602</v>
      </c>
      <c r="AY814" s="29">
        <v>-0.25995175471842702</v>
      </c>
      <c r="AZ814" s="60">
        <v>-0.97820473728264901</v>
      </c>
    </row>
    <row r="815" spans="1:52" ht="15" customHeight="1">
      <c r="A815" s="59" t="s">
        <v>270</v>
      </c>
      <c r="B815" s="27">
        <v>2011</v>
      </c>
      <c r="C815" s="27" t="s">
        <v>273</v>
      </c>
      <c r="D815" s="69" t="s">
        <v>34</v>
      </c>
      <c r="E815" s="27" t="s">
        <v>19</v>
      </c>
      <c r="F815" s="29" t="s">
        <v>1326</v>
      </c>
      <c r="G815" s="18">
        <v>3141200</v>
      </c>
      <c r="H815" s="18"/>
      <c r="I815" s="18"/>
      <c r="J815" s="18"/>
      <c r="K815" s="29" t="s">
        <v>567</v>
      </c>
      <c r="L815" s="28"/>
      <c r="M815" s="29"/>
      <c r="N815" s="27" t="s">
        <v>788</v>
      </c>
      <c r="O815" s="18"/>
      <c r="P815" s="244"/>
      <c r="Q815" s="244"/>
      <c r="R815" s="29"/>
      <c r="S815" s="29"/>
      <c r="T815" s="29"/>
      <c r="U815" s="29"/>
      <c r="V815" s="29"/>
      <c r="W815" s="72"/>
      <c r="X815" s="29"/>
      <c r="Y815" s="29"/>
      <c r="Z815" s="29"/>
      <c r="AA815" s="29"/>
      <c r="AB815" s="27"/>
      <c r="AC815" s="273">
        <v>28779202170</v>
      </c>
      <c r="AD815" s="27">
        <v>188048960311.22461</v>
      </c>
      <c r="AE815" s="228">
        <v>0.15304100656749112</v>
      </c>
      <c r="AF815" s="27">
        <v>51623200584.637375</v>
      </c>
      <c r="AG815" s="226">
        <v>0.55748581730836044</v>
      </c>
      <c r="AH815" s="226">
        <v>0.80769926698063443</v>
      </c>
      <c r="AI815" s="27">
        <v>215510000</v>
      </c>
      <c r="AJ815" s="226">
        <v>133.53998501229643</v>
      </c>
      <c r="AK815" s="27">
        <v>4271631310.1551666</v>
      </c>
      <c r="AL815" s="226">
        <v>6.7372860812172011</v>
      </c>
      <c r="AM815" s="27" t="s">
        <v>2842</v>
      </c>
      <c r="AN815" s="271" t="s">
        <v>2842</v>
      </c>
      <c r="AO815" s="27">
        <v>16556600</v>
      </c>
      <c r="AP815" s="27">
        <v>5.5</v>
      </c>
      <c r="AQ815" s="27">
        <v>68.98</v>
      </c>
      <c r="AR815" s="27">
        <v>17.600000000000001</v>
      </c>
      <c r="AS815" s="29">
        <v>98.239959999999996</v>
      </c>
      <c r="AT815" s="270">
        <v>29</v>
      </c>
      <c r="AU815" s="464">
        <v>57.363105318322219</v>
      </c>
      <c r="AV815" s="29">
        <v>-1.0947582948953301</v>
      </c>
      <c r="AW815" s="29">
        <v>-0.32042900556192899</v>
      </c>
      <c r="AX815" s="29">
        <v>-0.42630117376099602</v>
      </c>
      <c r="AY815" s="29">
        <v>-0.25995175471842702</v>
      </c>
      <c r="AZ815" s="60">
        <v>-0.97820473728264901</v>
      </c>
    </row>
    <row r="816" spans="1:52" ht="15" customHeight="1">
      <c r="A816" s="59" t="s">
        <v>270</v>
      </c>
      <c r="B816" s="27">
        <v>2011</v>
      </c>
      <c r="C816" s="27" t="s">
        <v>273</v>
      </c>
      <c r="D816" s="69" t="s">
        <v>34</v>
      </c>
      <c r="E816" s="27" t="s">
        <v>19</v>
      </c>
      <c r="F816" s="29" t="s">
        <v>1341</v>
      </c>
      <c r="G816" s="18">
        <v>8000</v>
      </c>
      <c r="H816" s="18"/>
      <c r="I816" s="18"/>
      <c r="J816" s="18"/>
      <c r="K816" s="29" t="s">
        <v>567</v>
      </c>
      <c r="L816" s="28">
        <f>1.58/0.000453592</f>
        <v>3483.3065838903685</v>
      </c>
      <c r="M816" s="29" t="s">
        <v>568</v>
      </c>
      <c r="N816" s="27" t="s">
        <v>1342</v>
      </c>
      <c r="O816" s="18">
        <f>G816*L816</f>
        <v>27866452.67112295</v>
      </c>
      <c r="P816" s="244"/>
      <c r="Q816" s="244"/>
      <c r="R816" s="29"/>
      <c r="S816" s="29"/>
      <c r="T816" s="29"/>
      <c r="U816" s="29"/>
      <c r="V816" s="29"/>
      <c r="W816" s="72"/>
      <c r="X816" s="29"/>
      <c r="Y816" s="29"/>
      <c r="Z816" s="29"/>
      <c r="AA816" s="29"/>
      <c r="AB816" s="27"/>
      <c r="AC816" s="273">
        <v>28779202170</v>
      </c>
      <c r="AD816" s="27">
        <v>188048960311.22461</v>
      </c>
      <c r="AE816" s="228">
        <v>0.15304100656749112</v>
      </c>
      <c r="AF816" s="27">
        <v>51623200584.637375</v>
      </c>
      <c r="AG816" s="226">
        <v>0.55748581730836044</v>
      </c>
      <c r="AH816" s="226">
        <v>0.80769926698063443</v>
      </c>
      <c r="AI816" s="27">
        <v>215510000</v>
      </c>
      <c r="AJ816" s="226">
        <v>133.53998501229643</v>
      </c>
      <c r="AK816" s="27">
        <v>4271631310.1551666</v>
      </c>
      <c r="AL816" s="226">
        <v>6.7372860812172011</v>
      </c>
      <c r="AM816" s="27" t="s">
        <v>2842</v>
      </c>
      <c r="AN816" s="271" t="s">
        <v>2842</v>
      </c>
      <c r="AO816" s="27">
        <v>16556600</v>
      </c>
      <c r="AP816" s="27">
        <v>5.5</v>
      </c>
      <c r="AQ816" s="27">
        <v>68.98</v>
      </c>
      <c r="AR816" s="27">
        <v>17.600000000000001</v>
      </c>
      <c r="AS816" s="29">
        <v>98.239959999999996</v>
      </c>
      <c r="AT816" s="270">
        <v>29</v>
      </c>
      <c r="AU816" s="464">
        <v>57.363105318322219</v>
      </c>
      <c r="AV816" s="29">
        <v>-1.0947582948953301</v>
      </c>
      <c r="AW816" s="29">
        <v>-0.32042900556192899</v>
      </c>
      <c r="AX816" s="29">
        <v>-0.42630117376099602</v>
      </c>
      <c r="AY816" s="29">
        <v>-0.25995175471842702</v>
      </c>
      <c r="AZ816" s="60">
        <v>-0.97820473728264901</v>
      </c>
    </row>
    <row r="817" spans="1:52" ht="15" customHeight="1">
      <c r="A817" s="59" t="s">
        <v>270</v>
      </c>
      <c r="B817" s="27">
        <v>2011</v>
      </c>
      <c r="C817" s="27" t="s">
        <v>273</v>
      </c>
      <c r="D817" s="69" t="s">
        <v>34</v>
      </c>
      <c r="E817" s="27" t="s">
        <v>19</v>
      </c>
      <c r="F817" s="29" t="s">
        <v>1327</v>
      </c>
      <c r="G817" s="18">
        <v>20700</v>
      </c>
      <c r="H817" s="18"/>
      <c r="I817" s="18"/>
      <c r="J817" s="18"/>
      <c r="K817" s="29" t="s">
        <v>567</v>
      </c>
      <c r="L817" s="28">
        <v>9930</v>
      </c>
      <c r="M817" s="29" t="s">
        <v>568</v>
      </c>
      <c r="N817" s="27" t="s">
        <v>1328</v>
      </c>
      <c r="O817" s="18">
        <f>G817*L817</f>
        <v>205551000</v>
      </c>
      <c r="P817" s="244"/>
      <c r="Q817" s="244"/>
      <c r="R817" s="29"/>
      <c r="S817" s="29"/>
      <c r="T817" s="29"/>
      <c r="U817" s="29"/>
      <c r="V817" s="29"/>
      <c r="W817" s="72"/>
      <c r="X817" s="29"/>
      <c r="Y817" s="29"/>
      <c r="Z817" s="29"/>
      <c r="AA817" s="29"/>
      <c r="AB817" s="27"/>
      <c r="AC817" s="273">
        <v>28779202170</v>
      </c>
      <c r="AD817" s="27">
        <v>188048960311.22461</v>
      </c>
      <c r="AE817" s="228">
        <v>0.15304100656749112</v>
      </c>
      <c r="AF817" s="27">
        <v>51623200584.637375</v>
      </c>
      <c r="AG817" s="226">
        <v>0.55748581730836044</v>
      </c>
      <c r="AH817" s="226">
        <v>0.80769926698063443</v>
      </c>
      <c r="AI817" s="27">
        <v>215510000</v>
      </c>
      <c r="AJ817" s="226">
        <v>133.53998501229643</v>
      </c>
      <c r="AK817" s="27">
        <v>4271631310.1551666</v>
      </c>
      <c r="AL817" s="226">
        <v>6.7372860812172011</v>
      </c>
      <c r="AM817" s="27" t="s">
        <v>2842</v>
      </c>
      <c r="AN817" s="271" t="s">
        <v>2842</v>
      </c>
      <c r="AO817" s="27">
        <v>16556600</v>
      </c>
      <c r="AP817" s="27">
        <v>5.5</v>
      </c>
      <c r="AQ817" s="27">
        <v>68.98</v>
      </c>
      <c r="AR817" s="27">
        <v>17.600000000000001</v>
      </c>
      <c r="AS817" s="29">
        <v>98.239959999999996</v>
      </c>
      <c r="AT817" s="270">
        <v>29</v>
      </c>
      <c r="AU817" s="464">
        <v>57.363105318322219</v>
      </c>
      <c r="AV817" s="29">
        <v>-1.0947582948953301</v>
      </c>
      <c r="AW817" s="29">
        <v>-0.32042900556192899</v>
      </c>
      <c r="AX817" s="29">
        <v>-0.42630117376099602</v>
      </c>
      <c r="AY817" s="29">
        <v>-0.25995175471842702</v>
      </c>
      <c r="AZ817" s="60">
        <v>-0.97820473728264901</v>
      </c>
    </row>
    <row r="818" spans="1:52" ht="15" customHeight="1">
      <c r="A818" s="59" t="s">
        <v>270</v>
      </c>
      <c r="B818" s="27">
        <v>2011</v>
      </c>
      <c r="C818" s="27" t="s">
        <v>273</v>
      </c>
      <c r="D818" s="69" t="s">
        <v>34</v>
      </c>
      <c r="E818" s="27" t="s">
        <v>19</v>
      </c>
      <c r="F818" s="29" t="s">
        <v>1353</v>
      </c>
      <c r="G818" s="18"/>
      <c r="H818" s="18"/>
      <c r="I818" s="18"/>
      <c r="J818" s="18"/>
      <c r="K818" s="29"/>
      <c r="L818" s="28"/>
      <c r="M818" s="29"/>
      <c r="N818" s="27"/>
      <c r="O818" s="18"/>
      <c r="P818" s="244"/>
      <c r="Q818" s="244"/>
      <c r="R818" s="29"/>
      <c r="S818" s="29"/>
      <c r="T818" s="29"/>
      <c r="U818" s="29"/>
      <c r="V818" s="29"/>
      <c r="W818" s="72"/>
      <c r="X818" s="29"/>
      <c r="Y818" s="29"/>
      <c r="Z818" s="29"/>
      <c r="AA818" s="29"/>
      <c r="AB818" s="27"/>
      <c r="AC818" s="273">
        <v>28779202170</v>
      </c>
      <c r="AD818" s="27">
        <v>188048960311.22461</v>
      </c>
      <c r="AE818" s="228">
        <v>0.15304100656749112</v>
      </c>
      <c r="AF818" s="27">
        <v>51623200584.637375</v>
      </c>
      <c r="AG818" s="226">
        <v>0.55748581730836044</v>
      </c>
      <c r="AH818" s="226">
        <v>0.80769926698063443</v>
      </c>
      <c r="AI818" s="27">
        <v>215510000</v>
      </c>
      <c r="AJ818" s="226">
        <v>133.53998501229643</v>
      </c>
      <c r="AK818" s="27">
        <v>4271631310.1551666</v>
      </c>
      <c r="AL818" s="226">
        <v>6.7372860812172011</v>
      </c>
      <c r="AM818" s="27" t="s">
        <v>2842</v>
      </c>
      <c r="AN818" s="271" t="s">
        <v>2842</v>
      </c>
      <c r="AO818" s="27">
        <v>16556600</v>
      </c>
      <c r="AP818" s="27">
        <v>5.5</v>
      </c>
      <c r="AQ818" s="27">
        <v>68.98</v>
      </c>
      <c r="AR818" s="27">
        <v>17.600000000000001</v>
      </c>
      <c r="AS818" s="29">
        <v>98.239959999999996</v>
      </c>
      <c r="AT818" s="270">
        <v>29</v>
      </c>
      <c r="AU818" s="464">
        <v>57.363105318322219</v>
      </c>
      <c r="AV818" s="29">
        <v>-1.0947582948953301</v>
      </c>
      <c r="AW818" s="29">
        <v>-0.32042900556192899</v>
      </c>
      <c r="AX818" s="29">
        <v>-0.42630117376099602</v>
      </c>
      <c r="AY818" s="29">
        <v>-0.25995175471842702</v>
      </c>
      <c r="AZ818" s="60">
        <v>-0.97820473728264901</v>
      </c>
    </row>
    <row r="819" spans="1:52" ht="15" customHeight="1">
      <c r="A819" s="59" t="s">
        <v>270</v>
      </c>
      <c r="B819" s="27">
        <v>2011</v>
      </c>
      <c r="C819" s="27" t="s">
        <v>273</v>
      </c>
      <c r="D819" s="69" t="s">
        <v>34</v>
      </c>
      <c r="E819" s="27" t="s">
        <v>19</v>
      </c>
      <c r="F819" s="29" t="s">
        <v>1343</v>
      </c>
      <c r="G819" s="18">
        <v>19451</v>
      </c>
      <c r="H819" s="18"/>
      <c r="I819" s="18"/>
      <c r="J819" s="18"/>
      <c r="K819" s="29" t="s">
        <v>567</v>
      </c>
      <c r="L819" s="28"/>
      <c r="M819" s="29"/>
      <c r="N819" s="27" t="s">
        <v>788</v>
      </c>
      <c r="O819" s="18"/>
      <c r="P819" s="244"/>
      <c r="Q819" s="244"/>
      <c r="R819" s="29"/>
      <c r="S819" s="29"/>
      <c r="T819" s="29"/>
      <c r="U819" s="29"/>
      <c r="V819" s="29"/>
      <c r="W819" s="72"/>
      <c r="X819" s="29"/>
      <c r="Y819" s="29"/>
      <c r="Z819" s="29"/>
      <c r="AA819" s="29"/>
      <c r="AB819" s="27"/>
      <c r="AC819" s="273">
        <v>28779202170</v>
      </c>
      <c r="AD819" s="27">
        <v>188048960311.22461</v>
      </c>
      <c r="AE819" s="228">
        <v>0.15304100656749112</v>
      </c>
      <c r="AF819" s="27">
        <v>51623200584.637375</v>
      </c>
      <c r="AG819" s="226">
        <v>0.55748581730836044</v>
      </c>
      <c r="AH819" s="226">
        <v>0.80769926698063443</v>
      </c>
      <c r="AI819" s="27">
        <v>215510000</v>
      </c>
      <c r="AJ819" s="226">
        <v>133.53998501229643</v>
      </c>
      <c r="AK819" s="27">
        <v>4271631310.1551666</v>
      </c>
      <c r="AL819" s="226">
        <v>6.7372860812172011</v>
      </c>
      <c r="AM819" s="27" t="s">
        <v>2842</v>
      </c>
      <c r="AN819" s="271" t="s">
        <v>2842</v>
      </c>
      <c r="AO819" s="27">
        <v>16556600</v>
      </c>
      <c r="AP819" s="27">
        <v>5.5</v>
      </c>
      <c r="AQ819" s="27">
        <v>68.98</v>
      </c>
      <c r="AR819" s="27">
        <v>17.600000000000001</v>
      </c>
      <c r="AS819" s="29">
        <v>98.239959999999996</v>
      </c>
      <c r="AT819" s="270">
        <v>29</v>
      </c>
      <c r="AU819" s="464">
        <v>57.363105318322219</v>
      </c>
      <c r="AV819" s="29">
        <v>-1.0947582948953301</v>
      </c>
      <c r="AW819" s="29">
        <v>-0.32042900556192899</v>
      </c>
      <c r="AX819" s="29">
        <v>-0.42630117376099602</v>
      </c>
      <c r="AY819" s="29">
        <v>-0.25995175471842702</v>
      </c>
      <c r="AZ819" s="60">
        <v>-0.97820473728264901</v>
      </c>
    </row>
    <row r="820" spans="1:52" ht="15" customHeight="1">
      <c r="A820" s="59" t="s">
        <v>270</v>
      </c>
      <c r="B820" s="27">
        <v>2011</v>
      </c>
      <c r="C820" s="27" t="s">
        <v>273</v>
      </c>
      <c r="D820" s="69" t="s">
        <v>34</v>
      </c>
      <c r="E820" s="27" t="s">
        <v>19</v>
      </c>
      <c r="F820" s="29" t="s">
        <v>1344</v>
      </c>
      <c r="G820" s="18">
        <v>22939</v>
      </c>
      <c r="H820" s="18"/>
      <c r="I820" s="18"/>
      <c r="J820" s="18"/>
      <c r="K820" s="29" t="s">
        <v>567</v>
      </c>
      <c r="L820" s="28"/>
      <c r="M820" s="29"/>
      <c r="N820" s="27" t="s">
        <v>788</v>
      </c>
      <c r="O820" s="18"/>
      <c r="P820" s="244"/>
      <c r="Q820" s="244"/>
      <c r="R820" s="29"/>
      <c r="S820" s="29"/>
      <c r="T820" s="29"/>
      <c r="U820" s="29"/>
      <c r="V820" s="29"/>
      <c r="W820" s="72"/>
      <c r="X820" s="29"/>
      <c r="Y820" s="29"/>
      <c r="Z820" s="29"/>
      <c r="AA820" s="29"/>
      <c r="AB820" s="27"/>
      <c r="AC820" s="273">
        <v>28779202170</v>
      </c>
      <c r="AD820" s="27">
        <v>188048960311.22461</v>
      </c>
      <c r="AE820" s="228">
        <v>0.15304100656749112</v>
      </c>
      <c r="AF820" s="27">
        <v>51623200584.637375</v>
      </c>
      <c r="AG820" s="226">
        <v>0.55748581730836044</v>
      </c>
      <c r="AH820" s="226">
        <v>0.80769926698063443</v>
      </c>
      <c r="AI820" s="27">
        <v>215510000</v>
      </c>
      <c r="AJ820" s="226">
        <v>133.53998501229643</v>
      </c>
      <c r="AK820" s="27">
        <v>4271631310.1551666</v>
      </c>
      <c r="AL820" s="226">
        <v>6.7372860812172011</v>
      </c>
      <c r="AM820" s="27" t="s">
        <v>2842</v>
      </c>
      <c r="AN820" s="271" t="s">
        <v>2842</v>
      </c>
      <c r="AO820" s="27">
        <v>16556600</v>
      </c>
      <c r="AP820" s="27">
        <v>5.5</v>
      </c>
      <c r="AQ820" s="27">
        <v>68.98</v>
      </c>
      <c r="AR820" s="27">
        <v>17.600000000000001</v>
      </c>
      <c r="AS820" s="29">
        <v>98.239959999999996</v>
      </c>
      <c r="AT820" s="270">
        <v>29</v>
      </c>
      <c r="AU820" s="464">
        <v>57.363105318322219</v>
      </c>
      <c r="AV820" s="29">
        <v>-1.0947582948953301</v>
      </c>
      <c r="AW820" s="29">
        <v>-0.32042900556192899</v>
      </c>
      <c r="AX820" s="29">
        <v>-0.42630117376099602</v>
      </c>
      <c r="AY820" s="29">
        <v>-0.25995175471842702</v>
      </c>
      <c r="AZ820" s="60">
        <v>-0.97820473728264901</v>
      </c>
    </row>
    <row r="821" spans="1:52" ht="15" customHeight="1">
      <c r="A821" s="59" t="s">
        <v>270</v>
      </c>
      <c r="B821" s="27">
        <v>2011</v>
      </c>
      <c r="C821" s="27" t="s">
        <v>273</v>
      </c>
      <c r="D821" s="69" t="s">
        <v>34</v>
      </c>
      <c r="E821" s="27" t="s">
        <v>19</v>
      </c>
      <c r="F821" s="29" t="s">
        <v>790</v>
      </c>
      <c r="G821" s="18"/>
      <c r="H821" s="18"/>
      <c r="I821" s="18"/>
      <c r="J821" s="18"/>
      <c r="K821" s="29"/>
      <c r="L821" s="44">
        <f>2193.90041666667</f>
        <v>2193.90041666667</v>
      </c>
      <c r="M821" s="27" t="s">
        <v>568</v>
      </c>
      <c r="N821" s="27" t="s">
        <v>1329</v>
      </c>
      <c r="O821" s="18">
        <f>G823*L821</f>
        <v>701504046.03000104</v>
      </c>
      <c r="P821" s="244"/>
      <c r="Q821" s="244"/>
      <c r="R821" s="29"/>
      <c r="S821" s="29"/>
      <c r="T821" s="29"/>
      <c r="U821" s="29"/>
      <c r="V821" s="29"/>
      <c r="W821" s="72"/>
      <c r="X821" s="29"/>
      <c r="Y821" s="29"/>
      <c r="Z821" s="29"/>
      <c r="AA821" s="29"/>
      <c r="AB821" s="27"/>
      <c r="AC821" s="273">
        <v>28779202170</v>
      </c>
      <c r="AD821" s="27">
        <v>188048960311.22461</v>
      </c>
      <c r="AE821" s="228">
        <v>0.15304100656749112</v>
      </c>
      <c r="AF821" s="27">
        <v>51623200584.637375</v>
      </c>
      <c r="AG821" s="226">
        <v>0.55748581730836044</v>
      </c>
      <c r="AH821" s="226">
        <v>0.80769926698063443</v>
      </c>
      <c r="AI821" s="27">
        <v>215510000</v>
      </c>
      <c r="AJ821" s="226">
        <v>133.53998501229643</v>
      </c>
      <c r="AK821" s="27">
        <v>4271631310.1551666</v>
      </c>
      <c r="AL821" s="226">
        <v>6.7372860812172011</v>
      </c>
      <c r="AM821" s="27" t="s">
        <v>2842</v>
      </c>
      <c r="AN821" s="271" t="s">
        <v>2842</v>
      </c>
      <c r="AO821" s="27">
        <v>16556600</v>
      </c>
      <c r="AP821" s="27">
        <v>5.5</v>
      </c>
      <c r="AQ821" s="27">
        <v>68.98</v>
      </c>
      <c r="AR821" s="27">
        <v>17.600000000000001</v>
      </c>
      <c r="AS821" s="29">
        <v>98.239959999999996</v>
      </c>
      <c r="AT821" s="270">
        <v>29</v>
      </c>
      <c r="AU821" s="464">
        <v>57.363105318322219</v>
      </c>
      <c r="AV821" s="29">
        <v>-1.0947582948953301</v>
      </c>
      <c r="AW821" s="29">
        <v>-0.32042900556192899</v>
      </c>
      <c r="AX821" s="29">
        <v>-0.42630117376099602</v>
      </c>
      <c r="AY821" s="29">
        <v>-0.25995175471842702</v>
      </c>
      <c r="AZ821" s="60">
        <v>-0.97820473728264901</v>
      </c>
    </row>
    <row r="822" spans="1:52" ht="15" customHeight="1">
      <c r="A822" s="59" t="s">
        <v>270</v>
      </c>
      <c r="B822" s="27">
        <v>2011</v>
      </c>
      <c r="C822" s="27" t="s">
        <v>273</v>
      </c>
      <c r="D822" s="69" t="s">
        <v>34</v>
      </c>
      <c r="E822" s="27" t="s">
        <v>19</v>
      </c>
      <c r="F822" s="29" t="s">
        <v>1330</v>
      </c>
      <c r="G822" s="18">
        <v>420000</v>
      </c>
      <c r="H822" s="18"/>
      <c r="I822" s="18"/>
      <c r="J822" s="18"/>
      <c r="K822" s="18" t="s">
        <v>567</v>
      </c>
      <c r="L822" s="28"/>
      <c r="M822" s="29"/>
      <c r="N822" s="27" t="s">
        <v>788</v>
      </c>
      <c r="O822" s="18"/>
      <c r="P822" s="244"/>
      <c r="Q822" s="244"/>
      <c r="R822" s="29"/>
      <c r="S822" s="29"/>
      <c r="T822" s="29"/>
      <c r="U822" s="29"/>
      <c r="V822" s="29"/>
      <c r="W822" s="72"/>
      <c r="X822" s="29"/>
      <c r="Y822" s="29"/>
      <c r="Z822" s="29"/>
      <c r="AA822" s="29"/>
      <c r="AB822" s="27"/>
      <c r="AC822" s="273">
        <v>28779202170</v>
      </c>
      <c r="AD822" s="27">
        <v>188048960311.22461</v>
      </c>
      <c r="AE822" s="228">
        <v>0.15304100656749112</v>
      </c>
      <c r="AF822" s="27">
        <v>51623200584.637375</v>
      </c>
      <c r="AG822" s="226">
        <v>0.55748581730836044</v>
      </c>
      <c r="AH822" s="226">
        <v>0.80769926698063443</v>
      </c>
      <c r="AI822" s="27">
        <v>215510000</v>
      </c>
      <c r="AJ822" s="226">
        <v>133.53998501229643</v>
      </c>
      <c r="AK822" s="27">
        <v>4271631310.1551666</v>
      </c>
      <c r="AL822" s="226">
        <v>6.7372860812172011</v>
      </c>
      <c r="AM822" s="27" t="s">
        <v>2842</v>
      </c>
      <c r="AN822" s="271" t="s">
        <v>2842</v>
      </c>
      <c r="AO822" s="27">
        <v>16556600</v>
      </c>
      <c r="AP822" s="27">
        <v>5.5</v>
      </c>
      <c r="AQ822" s="27">
        <v>68.98</v>
      </c>
      <c r="AR822" s="27">
        <v>17.600000000000001</v>
      </c>
      <c r="AS822" s="29">
        <v>98.239959999999996</v>
      </c>
      <c r="AT822" s="270">
        <v>29</v>
      </c>
      <c r="AU822" s="464">
        <v>57.363105318322219</v>
      </c>
      <c r="AV822" s="29">
        <v>-1.0947582948953301</v>
      </c>
      <c r="AW822" s="29">
        <v>-0.32042900556192899</v>
      </c>
      <c r="AX822" s="29">
        <v>-0.42630117376099602</v>
      </c>
      <c r="AY822" s="29">
        <v>-0.25995175471842702</v>
      </c>
      <c r="AZ822" s="60">
        <v>-0.97820473728264901</v>
      </c>
    </row>
    <row r="823" spans="1:52" s="287" customFormat="1" ht="15" customHeight="1">
      <c r="A823" s="344" t="s">
        <v>270</v>
      </c>
      <c r="B823" s="284">
        <v>2011</v>
      </c>
      <c r="C823" s="284" t="s">
        <v>273</v>
      </c>
      <c r="D823" s="369" t="s">
        <v>34</v>
      </c>
      <c r="E823" s="284" t="s">
        <v>19</v>
      </c>
      <c r="F823" s="287" t="s">
        <v>1331</v>
      </c>
      <c r="G823" s="305">
        <v>319752</v>
      </c>
      <c r="H823" s="305"/>
      <c r="I823" s="305"/>
      <c r="J823" s="305"/>
      <c r="K823" s="305" t="s">
        <v>567</v>
      </c>
      <c r="L823" s="304"/>
      <c r="N823" s="284" t="s">
        <v>788</v>
      </c>
      <c r="O823" s="305"/>
      <c r="P823" s="374"/>
      <c r="Q823" s="374"/>
      <c r="W823" s="397"/>
      <c r="AB823" s="284"/>
      <c r="AC823" s="308">
        <v>28779202170</v>
      </c>
      <c r="AD823" s="284">
        <v>188048960311.22461</v>
      </c>
      <c r="AE823" s="309">
        <v>0.15304100656749112</v>
      </c>
      <c r="AF823" s="284">
        <v>51623200584.637375</v>
      </c>
      <c r="AG823" s="310">
        <v>0.55748581730836044</v>
      </c>
      <c r="AH823" s="310">
        <v>0.80769926698063443</v>
      </c>
      <c r="AI823" s="284">
        <v>215510000</v>
      </c>
      <c r="AJ823" s="310">
        <v>133.53998501229643</v>
      </c>
      <c r="AK823" s="284">
        <v>4271631310.1551666</v>
      </c>
      <c r="AL823" s="310">
        <v>6.7372860812172011</v>
      </c>
      <c r="AM823" s="284" t="s">
        <v>2842</v>
      </c>
      <c r="AN823" s="311" t="s">
        <v>2842</v>
      </c>
      <c r="AO823" s="284">
        <v>16556600</v>
      </c>
      <c r="AP823" s="284">
        <v>5.5</v>
      </c>
      <c r="AQ823" s="284">
        <v>68.98</v>
      </c>
      <c r="AR823" s="284">
        <v>17.600000000000001</v>
      </c>
      <c r="AS823" s="287">
        <v>98.239959999999996</v>
      </c>
      <c r="AT823" s="312">
        <v>29</v>
      </c>
      <c r="AU823" s="465">
        <v>57.363105318322219</v>
      </c>
      <c r="AV823" s="287">
        <v>-1.0947582948953301</v>
      </c>
      <c r="AW823" s="287">
        <v>-0.32042900556192899</v>
      </c>
      <c r="AX823" s="287">
        <v>-0.42630117376099602</v>
      </c>
      <c r="AY823" s="287">
        <v>-0.25995175471842702</v>
      </c>
      <c r="AZ823" s="313">
        <v>-0.97820473728264901</v>
      </c>
    </row>
    <row r="824" spans="1:52" ht="15" customHeight="1">
      <c r="A824" s="59" t="s">
        <v>272</v>
      </c>
      <c r="B824" s="27">
        <v>2012</v>
      </c>
      <c r="C824" s="27" t="s">
        <v>273</v>
      </c>
      <c r="D824" s="27" t="s">
        <v>34</v>
      </c>
      <c r="E824" s="27" t="s">
        <v>30</v>
      </c>
      <c r="F824" s="27" t="s">
        <v>659</v>
      </c>
      <c r="G824" s="27"/>
      <c r="H824" s="176"/>
      <c r="I824" s="176"/>
      <c r="J824" s="176"/>
      <c r="K824" s="176"/>
      <c r="L824" s="27"/>
      <c r="M824" s="28"/>
      <c r="N824" s="27" t="s">
        <v>674</v>
      </c>
      <c r="O824" s="27"/>
      <c r="P824" s="214">
        <v>30672394366</v>
      </c>
      <c r="Q824" s="214">
        <v>30665150905</v>
      </c>
      <c r="R824" s="27" t="s">
        <v>619</v>
      </c>
      <c r="S824" s="29"/>
      <c r="T824" s="29"/>
      <c r="U824" s="27" t="s">
        <v>1355</v>
      </c>
      <c r="V824" s="27" t="s">
        <v>1356</v>
      </c>
      <c r="W824" s="30">
        <v>149.1</v>
      </c>
      <c r="X824" s="27"/>
      <c r="Y824" s="27"/>
      <c r="Z824" s="27">
        <v>158</v>
      </c>
      <c r="AA824" s="29"/>
      <c r="AB824" s="27" t="s">
        <v>1358</v>
      </c>
      <c r="AC824" s="273">
        <v>30672394366</v>
      </c>
      <c r="AD824" s="27">
        <v>203517198088.69141</v>
      </c>
      <c r="AE824" s="228">
        <v>0.15071155977999059</v>
      </c>
      <c r="AF824" s="27">
        <v>58692324756.797714</v>
      </c>
      <c r="AG824" s="226">
        <v>0.52259634446406111</v>
      </c>
      <c r="AH824" s="226">
        <v>0.78729305573753794</v>
      </c>
      <c r="AI824" s="27">
        <v>129639999.99999999</v>
      </c>
      <c r="AJ824" s="226">
        <v>236.59668594569581</v>
      </c>
      <c r="AK824" s="27">
        <v>4921958462.1766605</v>
      </c>
      <c r="AL824" s="226">
        <v>6.2317458795529141</v>
      </c>
      <c r="AM824" s="27" t="s">
        <v>2842</v>
      </c>
      <c r="AN824" s="271" t="s">
        <v>2842</v>
      </c>
      <c r="AO824" s="27">
        <v>16791425</v>
      </c>
      <c r="AP824" s="27">
        <v>3.8</v>
      </c>
      <c r="AQ824" s="27">
        <v>69.61</v>
      </c>
      <c r="AR824" s="27">
        <v>16</v>
      </c>
      <c r="AS824" s="29">
        <v>98.947940000000003</v>
      </c>
      <c r="AT824" s="270">
        <v>29</v>
      </c>
      <c r="AU824" s="464">
        <v>57.363105318322219</v>
      </c>
      <c r="AV824" s="29">
        <v>-1.1496385941857801</v>
      </c>
      <c r="AW824" s="29">
        <v>-0.37452632023538601</v>
      </c>
      <c r="AX824" s="29">
        <v>-0.44134623486097901</v>
      </c>
      <c r="AY824" s="29">
        <v>-0.38661082404664399</v>
      </c>
      <c r="AZ824" s="60">
        <v>-0.88344460269611702</v>
      </c>
    </row>
    <row r="825" spans="1:52" ht="15" customHeight="1">
      <c r="A825" s="59" t="s">
        <v>272</v>
      </c>
      <c r="B825" s="27">
        <v>2012</v>
      </c>
      <c r="C825" s="27" t="s">
        <v>273</v>
      </c>
      <c r="D825" s="27" t="s">
        <v>34</v>
      </c>
      <c r="E825" s="27" t="s">
        <v>98</v>
      </c>
      <c r="F825" s="27" t="s">
        <v>98</v>
      </c>
      <c r="G825" s="29"/>
      <c r="H825" s="176"/>
      <c r="I825" s="18">
        <v>79200000</v>
      </c>
      <c r="J825" s="176"/>
      <c r="K825" s="27" t="s">
        <v>567</v>
      </c>
      <c r="L825" s="29"/>
      <c r="M825" s="28"/>
      <c r="N825" s="27"/>
      <c r="O825" s="27"/>
      <c r="P825" s="244"/>
      <c r="Q825" s="244"/>
      <c r="R825" s="18"/>
      <c r="S825" s="30"/>
      <c r="T825" s="27"/>
      <c r="U825" s="28"/>
      <c r="V825" s="56"/>
      <c r="W825" s="57"/>
      <c r="X825" s="27"/>
      <c r="Y825" s="27"/>
      <c r="Z825" s="27"/>
      <c r="AA825" s="27"/>
      <c r="AB825" s="27"/>
      <c r="AC825" s="273">
        <v>30672394366</v>
      </c>
      <c r="AD825" s="27">
        <v>203517198088.69141</v>
      </c>
      <c r="AE825" s="228">
        <v>0.15071155977999059</v>
      </c>
      <c r="AF825" s="27">
        <v>58692324756.797714</v>
      </c>
      <c r="AG825" s="226">
        <v>0.52259634446406111</v>
      </c>
      <c r="AH825" s="226">
        <v>0.78729305573753794</v>
      </c>
      <c r="AI825" s="27">
        <v>129639999.99999999</v>
      </c>
      <c r="AJ825" s="226">
        <v>236.59668594569581</v>
      </c>
      <c r="AK825" s="27">
        <v>4921958462.1766605</v>
      </c>
      <c r="AL825" s="226">
        <v>6.2317458795529141</v>
      </c>
      <c r="AM825" s="27" t="s">
        <v>2842</v>
      </c>
      <c r="AN825" s="271" t="s">
        <v>2842</v>
      </c>
      <c r="AO825" s="27">
        <v>16791425</v>
      </c>
      <c r="AP825" s="27">
        <v>3.8</v>
      </c>
      <c r="AQ825" s="27">
        <v>69.61</v>
      </c>
      <c r="AR825" s="27">
        <v>16</v>
      </c>
      <c r="AS825" s="29">
        <v>98.947940000000003</v>
      </c>
      <c r="AT825" s="270">
        <v>29</v>
      </c>
      <c r="AU825" s="464">
        <v>57.363105318322219</v>
      </c>
      <c r="AV825" s="29">
        <v>-1.1496385941857801</v>
      </c>
      <c r="AW825" s="29">
        <v>-0.37452632023538601</v>
      </c>
      <c r="AX825" s="29">
        <v>-0.44134623486097901</v>
      </c>
      <c r="AY825" s="29">
        <v>-0.38661082404664399</v>
      </c>
      <c r="AZ825" s="60">
        <v>-0.88344460269611702</v>
      </c>
    </row>
    <row r="826" spans="1:52" ht="15" customHeight="1">
      <c r="A826" s="59" t="s">
        <v>272</v>
      </c>
      <c r="B826" s="27">
        <v>2012</v>
      </c>
      <c r="C826" s="27" t="s">
        <v>273</v>
      </c>
      <c r="D826" s="27" t="s">
        <v>34</v>
      </c>
      <c r="E826" s="27" t="s">
        <v>552</v>
      </c>
      <c r="F826" s="27" t="s">
        <v>552</v>
      </c>
      <c r="G826" s="29"/>
      <c r="H826" s="176"/>
      <c r="I826" s="18">
        <v>40300000000</v>
      </c>
      <c r="J826" s="176"/>
      <c r="K826" s="27" t="s">
        <v>599</v>
      </c>
      <c r="L826" s="29"/>
      <c r="M826" s="28"/>
      <c r="N826" s="27"/>
      <c r="O826" s="27"/>
      <c r="P826" s="244"/>
      <c r="Q826" s="244"/>
      <c r="R826" s="18"/>
      <c r="S826" s="30"/>
      <c r="T826" s="27"/>
      <c r="U826" s="27"/>
      <c r="V826" s="56"/>
      <c r="W826" s="57"/>
      <c r="X826" s="27"/>
      <c r="Y826" s="27"/>
      <c r="Z826" s="27"/>
      <c r="AA826" s="27"/>
      <c r="AB826" s="27"/>
      <c r="AC826" s="273">
        <v>30672394366</v>
      </c>
      <c r="AD826" s="27">
        <v>203517198088.69141</v>
      </c>
      <c r="AE826" s="228">
        <v>0.15071155977999059</v>
      </c>
      <c r="AF826" s="27">
        <v>58692324756.797714</v>
      </c>
      <c r="AG826" s="226">
        <v>0.52259634446406111</v>
      </c>
      <c r="AH826" s="226">
        <v>0.78729305573753794</v>
      </c>
      <c r="AI826" s="27">
        <v>129639999.99999999</v>
      </c>
      <c r="AJ826" s="226">
        <v>236.59668594569581</v>
      </c>
      <c r="AK826" s="27">
        <v>4921958462.1766605</v>
      </c>
      <c r="AL826" s="226">
        <v>6.2317458795529141</v>
      </c>
      <c r="AM826" s="27" t="s">
        <v>2842</v>
      </c>
      <c r="AN826" s="271" t="s">
        <v>2842</v>
      </c>
      <c r="AO826" s="27">
        <v>16791425</v>
      </c>
      <c r="AP826" s="27">
        <v>3.8</v>
      </c>
      <c r="AQ826" s="27">
        <v>69.61</v>
      </c>
      <c r="AR826" s="27">
        <v>16</v>
      </c>
      <c r="AS826" s="29">
        <v>98.947940000000003</v>
      </c>
      <c r="AT826" s="270">
        <v>29</v>
      </c>
      <c r="AU826" s="464">
        <v>57.363105318322219</v>
      </c>
      <c r="AV826" s="29">
        <v>-1.1496385941857801</v>
      </c>
      <c r="AW826" s="29">
        <v>-0.37452632023538601</v>
      </c>
      <c r="AX826" s="29">
        <v>-0.44134623486097901</v>
      </c>
      <c r="AY826" s="29">
        <v>-0.38661082404664399</v>
      </c>
      <c r="AZ826" s="60">
        <v>-0.88344460269611702</v>
      </c>
    </row>
    <row r="827" spans="1:52" ht="15" customHeight="1">
      <c r="A827" s="59" t="s">
        <v>272</v>
      </c>
      <c r="B827" s="27">
        <v>2012</v>
      </c>
      <c r="C827" s="27" t="s">
        <v>273</v>
      </c>
      <c r="D827" s="27" t="s">
        <v>34</v>
      </c>
      <c r="E827" s="177" t="s">
        <v>19</v>
      </c>
      <c r="F827" s="27" t="s">
        <v>659</v>
      </c>
      <c r="G827" s="29"/>
      <c r="H827" s="176"/>
      <c r="I827" s="27"/>
      <c r="J827" s="176"/>
      <c r="K827" s="27"/>
      <c r="L827" s="29"/>
      <c r="M827" s="28"/>
      <c r="N827" s="27"/>
      <c r="O827" s="27"/>
      <c r="P827" s="244"/>
      <c r="Q827" s="244"/>
      <c r="R827" s="18"/>
      <c r="S827" s="30"/>
      <c r="T827" s="27"/>
      <c r="U827" s="27"/>
      <c r="V827" s="56"/>
      <c r="W827" s="57"/>
      <c r="X827" s="27"/>
      <c r="Y827" s="27"/>
      <c r="Z827" s="27"/>
      <c r="AA827" s="27"/>
      <c r="AB827" s="27"/>
      <c r="AC827" s="273">
        <v>30672394366</v>
      </c>
      <c r="AD827" s="27">
        <v>203517198088.69141</v>
      </c>
      <c r="AE827" s="228">
        <v>0.15071155977999059</v>
      </c>
      <c r="AF827" s="27">
        <v>58692324756.797714</v>
      </c>
      <c r="AG827" s="226">
        <v>0.52259634446406111</v>
      </c>
      <c r="AH827" s="226">
        <v>0.78729305573753794</v>
      </c>
      <c r="AI827" s="27">
        <v>129639999.99999999</v>
      </c>
      <c r="AJ827" s="226">
        <v>236.59668594569581</v>
      </c>
      <c r="AK827" s="27">
        <v>4921958462.1766605</v>
      </c>
      <c r="AL827" s="226">
        <v>6.2317458795529141</v>
      </c>
      <c r="AM827" s="27" t="s">
        <v>2842</v>
      </c>
      <c r="AN827" s="271" t="s">
        <v>2842</v>
      </c>
      <c r="AO827" s="27">
        <v>16791425</v>
      </c>
      <c r="AP827" s="27">
        <v>3.8</v>
      </c>
      <c r="AQ827" s="27">
        <v>69.61</v>
      </c>
      <c r="AR827" s="27">
        <v>16</v>
      </c>
      <c r="AS827" s="29">
        <v>98.947940000000003</v>
      </c>
      <c r="AT827" s="270">
        <v>29</v>
      </c>
      <c r="AU827" s="464">
        <v>57.363105318322219</v>
      </c>
      <c r="AV827" s="29">
        <v>-1.1496385941857801</v>
      </c>
      <c r="AW827" s="29">
        <v>-0.37452632023538601</v>
      </c>
      <c r="AX827" s="29">
        <v>-0.44134623486097901</v>
      </c>
      <c r="AY827" s="29">
        <v>-0.38661082404664399</v>
      </c>
      <c r="AZ827" s="60">
        <v>-0.88344460269611702</v>
      </c>
    </row>
    <row r="828" spans="1:52" ht="15" customHeight="1">
      <c r="A828" s="59" t="s">
        <v>272</v>
      </c>
      <c r="B828" s="27">
        <v>2012</v>
      </c>
      <c r="C828" s="27" t="s">
        <v>273</v>
      </c>
      <c r="D828" s="27" t="s">
        <v>34</v>
      </c>
      <c r="E828" s="177" t="s">
        <v>19</v>
      </c>
      <c r="F828" s="27" t="s">
        <v>1353</v>
      </c>
      <c r="G828" s="29"/>
      <c r="H828" s="176"/>
      <c r="I828" s="18">
        <v>21200</v>
      </c>
      <c r="J828" s="176"/>
      <c r="K828" s="27" t="s">
        <v>567</v>
      </c>
      <c r="L828" s="29"/>
      <c r="M828" s="28"/>
      <c r="N828" s="27"/>
      <c r="O828" s="27"/>
      <c r="P828" s="244"/>
      <c r="Q828" s="244"/>
      <c r="R828" s="18"/>
      <c r="S828" s="30"/>
      <c r="T828" s="27"/>
      <c r="U828" s="27"/>
      <c r="V828" s="56"/>
      <c r="W828" s="57"/>
      <c r="X828" s="27"/>
      <c r="Y828" s="27"/>
      <c r="Z828" s="27"/>
      <c r="AA828" s="27"/>
      <c r="AB828" s="27"/>
      <c r="AC828" s="273">
        <v>30672394366</v>
      </c>
      <c r="AD828" s="27">
        <v>203517198088.69141</v>
      </c>
      <c r="AE828" s="228">
        <v>0.15071155977999059</v>
      </c>
      <c r="AF828" s="27">
        <v>58692324756.797714</v>
      </c>
      <c r="AG828" s="226">
        <v>0.52259634446406111</v>
      </c>
      <c r="AH828" s="226">
        <v>0.78729305573753794</v>
      </c>
      <c r="AI828" s="27">
        <v>129639999.99999999</v>
      </c>
      <c r="AJ828" s="226">
        <v>236.59668594569581</v>
      </c>
      <c r="AK828" s="27">
        <v>4921958462.1766605</v>
      </c>
      <c r="AL828" s="226">
        <v>6.2317458795529141</v>
      </c>
      <c r="AM828" s="27" t="s">
        <v>2842</v>
      </c>
      <c r="AN828" s="271" t="s">
        <v>2842</v>
      </c>
      <c r="AO828" s="27">
        <v>16791425</v>
      </c>
      <c r="AP828" s="27">
        <v>3.8</v>
      </c>
      <c r="AQ828" s="27">
        <v>69.61</v>
      </c>
      <c r="AR828" s="27">
        <v>16</v>
      </c>
      <c r="AS828" s="29">
        <v>98.947940000000003</v>
      </c>
      <c r="AT828" s="270">
        <v>29</v>
      </c>
      <c r="AU828" s="464">
        <v>57.363105318322219</v>
      </c>
      <c r="AV828" s="29">
        <v>-1.1496385941857801</v>
      </c>
      <c r="AW828" s="29">
        <v>-0.37452632023538601</v>
      </c>
      <c r="AX828" s="29">
        <v>-0.44134623486097901</v>
      </c>
      <c r="AY828" s="29">
        <v>-0.38661082404664399</v>
      </c>
      <c r="AZ828" s="60">
        <v>-0.88344460269611702</v>
      </c>
    </row>
    <row r="829" spans="1:52" ht="15" customHeight="1">
      <c r="A829" s="59" t="s">
        <v>272</v>
      </c>
      <c r="B829" s="27">
        <v>2012</v>
      </c>
      <c r="C829" s="27" t="s">
        <v>273</v>
      </c>
      <c r="D829" s="27" t="s">
        <v>34</v>
      </c>
      <c r="E829" s="177" t="s">
        <v>19</v>
      </c>
      <c r="F829" s="27" t="s">
        <v>573</v>
      </c>
      <c r="G829" s="29"/>
      <c r="H829" s="176"/>
      <c r="I829" s="18">
        <v>107900000</v>
      </c>
      <c r="J829" s="176"/>
      <c r="K829" s="27" t="s">
        <v>567</v>
      </c>
      <c r="L829" s="29"/>
      <c r="M829" s="28"/>
      <c r="N829" s="27"/>
      <c r="O829" s="27"/>
      <c r="P829" s="244"/>
      <c r="Q829" s="244"/>
      <c r="R829" s="18"/>
      <c r="S829" s="30"/>
      <c r="T829" s="27"/>
      <c r="U829" s="27"/>
      <c r="V829" s="56"/>
      <c r="W829" s="57"/>
      <c r="X829" s="27"/>
      <c r="Y829" s="27"/>
      <c r="Z829" s="27"/>
      <c r="AA829" s="27"/>
      <c r="AB829" s="27"/>
      <c r="AC829" s="273">
        <v>30672394366</v>
      </c>
      <c r="AD829" s="27">
        <v>203517198088.69141</v>
      </c>
      <c r="AE829" s="228">
        <v>0.15071155977999059</v>
      </c>
      <c r="AF829" s="27">
        <v>58692324756.797714</v>
      </c>
      <c r="AG829" s="226">
        <v>0.52259634446406111</v>
      </c>
      <c r="AH829" s="226">
        <v>0.78729305573753794</v>
      </c>
      <c r="AI829" s="27">
        <v>129639999.99999999</v>
      </c>
      <c r="AJ829" s="226">
        <v>236.59668594569581</v>
      </c>
      <c r="AK829" s="27">
        <v>4921958462.1766605</v>
      </c>
      <c r="AL829" s="226">
        <v>6.2317458795529141</v>
      </c>
      <c r="AM829" s="27" t="s">
        <v>2842</v>
      </c>
      <c r="AN829" s="271" t="s">
        <v>2842</v>
      </c>
      <c r="AO829" s="27">
        <v>16791425</v>
      </c>
      <c r="AP829" s="27">
        <v>3.8</v>
      </c>
      <c r="AQ829" s="27">
        <v>69.61</v>
      </c>
      <c r="AR829" s="27">
        <v>16</v>
      </c>
      <c r="AS829" s="29">
        <v>98.947940000000003</v>
      </c>
      <c r="AT829" s="270">
        <v>29</v>
      </c>
      <c r="AU829" s="464">
        <v>57.363105318322219</v>
      </c>
      <c r="AV829" s="29">
        <v>-1.1496385941857801</v>
      </c>
      <c r="AW829" s="29">
        <v>-0.37452632023538601</v>
      </c>
      <c r="AX829" s="29">
        <v>-0.44134623486097901</v>
      </c>
      <c r="AY829" s="29">
        <v>-0.38661082404664399</v>
      </c>
      <c r="AZ829" s="60">
        <v>-0.88344460269611702</v>
      </c>
    </row>
    <row r="830" spans="1:52" ht="15" customHeight="1">
      <c r="A830" s="59" t="s">
        <v>272</v>
      </c>
      <c r="B830" s="27">
        <v>2012</v>
      </c>
      <c r="C830" s="27" t="s">
        <v>273</v>
      </c>
      <c r="D830" s="27" t="s">
        <v>34</v>
      </c>
      <c r="E830" s="177" t="s">
        <v>19</v>
      </c>
      <c r="F830" s="27" t="s">
        <v>730</v>
      </c>
      <c r="G830" s="29"/>
      <c r="H830" s="176"/>
      <c r="I830" s="27">
        <v>39.9</v>
      </c>
      <c r="J830" s="176"/>
      <c r="K830" s="27" t="s">
        <v>567</v>
      </c>
      <c r="L830" s="29"/>
      <c r="M830" s="28"/>
      <c r="N830" s="27"/>
      <c r="O830" s="27"/>
      <c r="P830" s="244"/>
      <c r="Q830" s="244"/>
      <c r="R830" s="18"/>
      <c r="S830" s="30"/>
      <c r="T830" s="27"/>
      <c r="U830" s="27"/>
      <c r="V830" s="56"/>
      <c r="W830" s="57"/>
      <c r="X830" s="27"/>
      <c r="Y830" s="27"/>
      <c r="Z830" s="27"/>
      <c r="AA830" s="27"/>
      <c r="AB830" s="27"/>
      <c r="AC830" s="273">
        <v>30672394366</v>
      </c>
      <c r="AD830" s="27">
        <v>203517198088.69141</v>
      </c>
      <c r="AE830" s="228">
        <v>0.15071155977999059</v>
      </c>
      <c r="AF830" s="27">
        <v>58692324756.797714</v>
      </c>
      <c r="AG830" s="226">
        <v>0.52259634446406111</v>
      </c>
      <c r="AH830" s="226">
        <v>0.78729305573753794</v>
      </c>
      <c r="AI830" s="27">
        <v>129639999.99999999</v>
      </c>
      <c r="AJ830" s="226">
        <v>236.59668594569581</v>
      </c>
      <c r="AK830" s="27">
        <v>4921958462.1766605</v>
      </c>
      <c r="AL830" s="226">
        <v>6.2317458795529141</v>
      </c>
      <c r="AM830" s="27" t="s">
        <v>2842</v>
      </c>
      <c r="AN830" s="271" t="s">
        <v>2842</v>
      </c>
      <c r="AO830" s="27">
        <v>16791425</v>
      </c>
      <c r="AP830" s="27">
        <v>3.8</v>
      </c>
      <c r="AQ830" s="27">
        <v>69.61</v>
      </c>
      <c r="AR830" s="27">
        <v>16</v>
      </c>
      <c r="AS830" s="29">
        <v>98.947940000000003</v>
      </c>
      <c r="AT830" s="270">
        <v>29</v>
      </c>
      <c r="AU830" s="464">
        <v>57.363105318322219</v>
      </c>
      <c r="AV830" s="29">
        <v>-1.1496385941857801</v>
      </c>
      <c r="AW830" s="29">
        <v>-0.37452632023538601</v>
      </c>
      <c r="AX830" s="29">
        <v>-0.44134623486097901</v>
      </c>
      <c r="AY830" s="29">
        <v>-0.38661082404664399</v>
      </c>
      <c r="AZ830" s="60">
        <v>-0.88344460269611702</v>
      </c>
    </row>
    <row r="831" spans="1:52" ht="15" customHeight="1">
      <c r="A831" s="59" t="s">
        <v>272</v>
      </c>
      <c r="B831" s="27">
        <v>2012</v>
      </c>
      <c r="C831" s="27" t="s">
        <v>273</v>
      </c>
      <c r="D831" s="27" t="s">
        <v>34</v>
      </c>
      <c r="E831" s="177" t="s">
        <v>19</v>
      </c>
      <c r="F831" s="27" t="s">
        <v>735</v>
      </c>
      <c r="G831" s="29"/>
      <c r="H831" s="176"/>
      <c r="I831" s="27">
        <v>963.5</v>
      </c>
      <c r="J831" s="176"/>
      <c r="K831" s="27" t="s">
        <v>567</v>
      </c>
      <c r="L831" s="29"/>
      <c r="M831" s="28"/>
      <c r="N831" s="27"/>
      <c r="O831" s="27"/>
      <c r="P831" s="244"/>
      <c r="Q831" s="244"/>
      <c r="R831" s="18"/>
      <c r="S831" s="30"/>
      <c r="T831" s="27"/>
      <c r="U831" s="27"/>
      <c r="V831" s="56"/>
      <c r="W831" s="57"/>
      <c r="X831" s="27"/>
      <c r="Y831" s="27"/>
      <c r="Z831" s="27"/>
      <c r="AA831" s="27"/>
      <c r="AB831" s="27"/>
      <c r="AC831" s="273">
        <v>30672394366</v>
      </c>
      <c r="AD831" s="27">
        <v>203517198088.69141</v>
      </c>
      <c r="AE831" s="228">
        <v>0.15071155977999059</v>
      </c>
      <c r="AF831" s="27">
        <v>58692324756.797714</v>
      </c>
      <c r="AG831" s="226">
        <v>0.52259634446406111</v>
      </c>
      <c r="AH831" s="226">
        <v>0.78729305573753794</v>
      </c>
      <c r="AI831" s="27">
        <v>129639999.99999999</v>
      </c>
      <c r="AJ831" s="226">
        <v>236.59668594569581</v>
      </c>
      <c r="AK831" s="27">
        <v>4921958462.1766605</v>
      </c>
      <c r="AL831" s="226">
        <v>6.2317458795529141</v>
      </c>
      <c r="AM831" s="27" t="s">
        <v>2842</v>
      </c>
      <c r="AN831" s="271" t="s">
        <v>2842</v>
      </c>
      <c r="AO831" s="27">
        <v>16791425</v>
      </c>
      <c r="AP831" s="27">
        <v>3.8</v>
      </c>
      <c r="AQ831" s="27">
        <v>69.61</v>
      </c>
      <c r="AR831" s="27">
        <v>16</v>
      </c>
      <c r="AS831" s="29">
        <v>98.947940000000003</v>
      </c>
      <c r="AT831" s="270">
        <v>29</v>
      </c>
      <c r="AU831" s="464">
        <v>57.363105318322219</v>
      </c>
      <c r="AV831" s="29">
        <v>-1.1496385941857801</v>
      </c>
      <c r="AW831" s="29">
        <v>-0.37452632023538601</v>
      </c>
      <c r="AX831" s="29">
        <v>-0.44134623486097901</v>
      </c>
      <c r="AY831" s="29">
        <v>-0.38661082404664399</v>
      </c>
      <c r="AZ831" s="60">
        <v>-0.88344460269611702</v>
      </c>
    </row>
    <row r="832" spans="1:52" ht="15" customHeight="1">
      <c r="A832" s="59" t="s">
        <v>272</v>
      </c>
      <c r="B832" s="27">
        <v>2012</v>
      </c>
      <c r="C832" s="27" t="s">
        <v>273</v>
      </c>
      <c r="D832" s="27" t="s">
        <v>34</v>
      </c>
      <c r="E832" s="177" t="s">
        <v>19</v>
      </c>
      <c r="F832" s="27" t="s">
        <v>576</v>
      </c>
      <c r="G832" s="29"/>
      <c r="H832" s="176"/>
      <c r="I832" s="18">
        <v>367100</v>
      </c>
      <c r="J832" s="176"/>
      <c r="K832" s="27" t="s">
        <v>567</v>
      </c>
      <c r="L832" s="29"/>
      <c r="M832" s="28"/>
      <c r="N832" s="27"/>
      <c r="O832" s="27"/>
      <c r="P832" s="244"/>
      <c r="Q832" s="244"/>
      <c r="R832" s="18"/>
      <c r="S832" s="30"/>
      <c r="T832" s="27"/>
      <c r="U832" s="27"/>
      <c r="V832" s="56"/>
      <c r="W832" s="57"/>
      <c r="X832" s="27"/>
      <c r="Y832" s="27"/>
      <c r="Z832" s="27"/>
      <c r="AA832" s="27"/>
      <c r="AB832" s="27"/>
      <c r="AC832" s="273">
        <v>30672394366</v>
      </c>
      <c r="AD832" s="27">
        <v>203517198088.69141</v>
      </c>
      <c r="AE832" s="228">
        <v>0.15071155977999059</v>
      </c>
      <c r="AF832" s="27">
        <v>58692324756.797714</v>
      </c>
      <c r="AG832" s="226">
        <v>0.52259634446406111</v>
      </c>
      <c r="AH832" s="226">
        <v>0.78729305573753794</v>
      </c>
      <c r="AI832" s="27">
        <v>129639999.99999999</v>
      </c>
      <c r="AJ832" s="226">
        <v>236.59668594569581</v>
      </c>
      <c r="AK832" s="27">
        <v>4921958462.1766605</v>
      </c>
      <c r="AL832" s="226">
        <v>6.2317458795529141</v>
      </c>
      <c r="AM832" s="27" t="s">
        <v>2842</v>
      </c>
      <c r="AN832" s="271" t="s">
        <v>2842</v>
      </c>
      <c r="AO832" s="27">
        <v>16791425</v>
      </c>
      <c r="AP832" s="27">
        <v>3.8</v>
      </c>
      <c r="AQ832" s="27">
        <v>69.61</v>
      </c>
      <c r="AR832" s="27">
        <v>16</v>
      </c>
      <c r="AS832" s="29">
        <v>98.947940000000003</v>
      </c>
      <c r="AT832" s="270">
        <v>29</v>
      </c>
      <c r="AU832" s="464">
        <v>57.363105318322219</v>
      </c>
      <c r="AV832" s="29">
        <v>-1.1496385941857801</v>
      </c>
      <c r="AW832" s="29">
        <v>-0.37452632023538601</v>
      </c>
      <c r="AX832" s="29">
        <v>-0.44134623486097901</v>
      </c>
      <c r="AY832" s="29">
        <v>-0.38661082404664399</v>
      </c>
      <c r="AZ832" s="60">
        <v>-0.88344460269611702</v>
      </c>
    </row>
    <row r="833" spans="1:52" ht="15" customHeight="1">
      <c r="A833" s="59" t="s">
        <v>272</v>
      </c>
      <c r="B833" s="27">
        <v>2012</v>
      </c>
      <c r="C833" s="27" t="s">
        <v>273</v>
      </c>
      <c r="D833" s="27" t="s">
        <v>34</v>
      </c>
      <c r="E833" s="177" t="s">
        <v>19</v>
      </c>
      <c r="F833" s="27" t="s">
        <v>1360</v>
      </c>
      <c r="G833" s="29"/>
      <c r="H833" s="176"/>
      <c r="I833" s="18">
        <v>88100</v>
      </c>
      <c r="J833" s="176"/>
      <c r="K833" s="27" t="s">
        <v>567</v>
      </c>
      <c r="L833" s="29"/>
      <c r="M833" s="28"/>
      <c r="N833" s="27"/>
      <c r="O833" s="27"/>
      <c r="P833" s="244"/>
      <c r="Q833" s="244"/>
      <c r="R833" s="18"/>
      <c r="S833" s="30"/>
      <c r="T833" s="27"/>
      <c r="U833" s="27"/>
      <c r="V833" s="56"/>
      <c r="W833" s="57"/>
      <c r="X833" s="27"/>
      <c r="Y833" s="27"/>
      <c r="Z833" s="27"/>
      <c r="AA833" s="27"/>
      <c r="AB833" s="27"/>
      <c r="AC833" s="273">
        <v>30672394366</v>
      </c>
      <c r="AD833" s="27">
        <v>203517198088.69141</v>
      </c>
      <c r="AE833" s="228">
        <v>0.15071155977999059</v>
      </c>
      <c r="AF833" s="27">
        <v>58692324756.797714</v>
      </c>
      <c r="AG833" s="226">
        <v>0.52259634446406111</v>
      </c>
      <c r="AH833" s="226">
        <v>0.78729305573753794</v>
      </c>
      <c r="AI833" s="27">
        <v>129639999.99999999</v>
      </c>
      <c r="AJ833" s="226">
        <v>236.59668594569581</v>
      </c>
      <c r="AK833" s="27">
        <v>4921958462.1766605</v>
      </c>
      <c r="AL833" s="226">
        <v>6.2317458795529141</v>
      </c>
      <c r="AM833" s="27" t="s">
        <v>2842</v>
      </c>
      <c r="AN833" s="271" t="s">
        <v>2842</v>
      </c>
      <c r="AO833" s="27">
        <v>16791425</v>
      </c>
      <c r="AP833" s="27">
        <v>3.8</v>
      </c>
      <c r="AQ833" s="27">
        <v>69.61</v>
      </c>
      <c r="AR833" s="27">
        <v>16</v>
      </c>
      <c r="AS833" s="29">
        <v>98.947940000000003</v>
      </c>
      <c r="AT833" s="270">
        <v>29</v>
      </c>
      <c r="AU833" s="464">
        <v>57.363105318322219</v>
      </c>
      <c r="AV833" s="29">
        <v>-1.1496385941857801</v>
      </c>
      <c r="AW833" s="29">
        <v>-0.37452632023538601</v>
      </c>
      <c r="AX833" s="29">
        <v>-0.44134623486097901</v>
      </c>
      <c r="AY833" s="29">
        <v>-0.38661082404664399</v>
      </c>
      <c r="AZ833" s="60">
        <v>-0.88344460269611702</v>
      </c>
    </row>
    <row r="834" spans="1:52" ht="15" customHeight="1">
      <c r="A834" s="59" t="s">
        <v>272</v>
      </c>
      <c r="B834" s="27">
        <v>2012</v>
      </c>
      <c r="C834" s="27" t="s">
        <v>273</v>
      </c>
      <c r="D834" s="27" t="s">
        <v>34</v>
      </c>
      <c r="E834" s="177" t="s">
        <v>19</v>
      </c>
      <c r="F834" s="27" t="s">
        <v>790</v>
      </c>
      <c r="G834" s="29"/>
      <c r="H834" s="176"/>
      <c r="I834" s="18">
        <v>319800</v>
      </c>
      <c r="J834" s="176"/>
      <c r="K834" s="27" t="s">
        <v>567</v>
      </c>
      <c r="L834" s="29"/>
      <c r="M834" s="28"/>
      <c r="N834" s="27"/>
      <c r="O834" s="27"/>
      <c r="P834" s="244"/>
      <c r="Q834" s="244"/>
      <c r="R834" s="18"/>
      <c r="S834" s="30"/>
      <c r="T834" s="27"/>
      <c r="U834" s="27"/>
      <c r="V834" s="56"/>
      <c r="W834" s="57"/>
      <c r="X834" s="27"/>
      <c r="Y834" s="27"/>
      <c r="Z834" s="27"/>
      <c r="AA834" s="27"/>
      <c r="AB834" s="27"/>
      <c r="AC834" s="273">
        <v>30672394366</v>
      </c>
      <c r="AD834" s="27">
        <v>203517198088.69141</v>
      </c>
      <c r="AE834" s="228">
        <v>0.15071155977999059</v>
      </c>
      <c r="AF834" s="27">
        <v>58692324756.797714</v>
      </c>
      <c r="AG834" s="226">
        <v>0.52259634446406111</v>
      </c>
      <c r="AH834" s="226">
        <v>0.78729305573753794</v>
      </c>
      <c r="AI834" s="27">
        <v>129639999.99999999</v>
      </c>
      <c r="AJ834" s="226">
        <v>236.59668594569581</v>
      </c>
      <c r="AK834" s="27">
        <v>4921958462.1766605</v>
      </c>
      <c r="AL834" s="226">
        <v>6.2317458795529141</v>
      </c>
      <c r="AM834" s="27" t="s">
        <v>2842</v>
      </c>
      <c r="AN834" s="271" t="s">
        <v>2842</v>
      </c>
      <c r="AO834" s="27">
        <v>16791425</v>
      </c>
      <c r="AP834" s="27">
        <v>3.8</v>
      </c>
      <c r="AQ834" s="27">
        <v>69.61</v>
      </c>
      <c r="AR834" s="27">
        <v>16</v>
      </c>
      <c r="AS834" s="29">
        <v>98.947940000000003</v>
      </c>
      <c r="AT834" s="270">
        <v>29</v>
      </c>
      <c r="AU834" s="464">
        <v>57.363105318322219</v>
      </c>
      <c r="AV834" s="29">
        <v>-1.1496385941857801</v>
      </c>
      <c r="AW834" s="29">
        <v>-0.37452632023538601</v>
      </c>
      <c r="AX834" s="29">
        <v>-0.44134623486097901</v>
      </c>
      <c r="AY834" s="29">
        <v>-0.38661082404664399</v>
      </c>
      <c r="AZ834" s="60">
        <v>-0.88344460269611702</v>
      </c>
    </row>
    <row r="835" spans="1:52" ht="15" customHeight="1">
      <c r="A835" s="59" t="s">
        <v>272</v>
      </c>
      <c r="B835" s="27">
        <v>2012</v>
      </c>
      <c r="C835" s="27" t="s">
        <v>273</v>
      </c>
      <c r="D835" s="27" t="s">
        <v>34</v>
      </c>
      <c r="E835" s="177" t="s">
        <v>19</v>
      </c>
      <c r="F835" s="27" t="s">
        <v>1361</v>
      </c>
      <c r="G835" s="29"/>
      <c r="H835" s="176"/>
      <c r="I835" s="18">
        <v>52600000</v>
      </c>
      <c r="J835" s="176"/>
      <c r="K835" s="27" t="s">
        <v>567</v>
      </c>
      <c r="L835" s="29"/>
      <c r="M835" s="28"/>
      <c r="N835" s="27"/>
      <c r="O835" s="27"/>
      <c r="P835" s="244"/>
      <c r="Q835" s="244"/>
      <c r="R835" s="18"/>
      <c r="S835" s="30"/>
      <c r="T835" s="27"/>
      <c r="U835" s="27"/>
      <c r="V835" s="56"/>
      <c r="W835" s="57"/>
      <c r="X835" s="27"/>
      <c r="Y835" s="27"/>
      <c r="Z835" s="27"/>
      <c r="AA835" s="27"/>
      <c r="AB835" s="27"/>
      <c r="AC835" s="273">
        <v>30672394366</v>
      </c>
      <c r="AD835" s="27">
        <v>203517198088.69141</v>
      </c>
      <c r="AE835" s="228">
        <v>0.15071155977999059</v>
      </c>
      <c r="AF835" s="27">
        <v>58692324756.797714</v>
      </c>
      <c r="AG835" s="226">
        <v>0.52259634446406111</v>
      </c>
      <c r="AH835" s="226">
        <v>0.78729305573753794</v>
      </c>
      <c r="AI835" s="27">
        <v>129639999.99999999</v>
      </c>
      <c r="AJ835" s="226">
        <v>236.59668594569581</v>
      </c>
      <c r="AK835" s="27">
        <v>4921958462.1766605</v>
      </c>
      <c r="AL835" s="226">
        <v>6.2317458795529141</v>
      </c>
      <c r="AM835" s="27" t="s">
        <v>2842</v>
      </c>
      <c r="AN835" s="271" t="s">
        <v>2842</v>
      </c>
      <c r="AO835" s="27">
        <v>16791425</v>
      </c>
      <c r="AP835" s="27">
        <v>3.8</v>
      </c>
      <c r="AQ835" s="27">
        <v>69.61</v>
      </c>
      <c r="AR835" s="27">
        <v>16</v>
      </c>
      <c r="AS835" s="29">
        <v>98.947940000000003</v>
      </c>
      <c r="AT835" s="270">
        <v>29</v>
      </c>
      <c r="AU835" s="464">
        <v>57.363105318322219</v>
      </c>
      <c r="AV835" s="29">
        <v>-1.1496385941857801</v>
      </c>
      <c r="AW835" s="29">
        <v>-0.37452632023538601</v>
      </c>
      <c r="AX835" s="29">
        <v>-0.44134623486097901</v>
      </c>
      <c r="AY835" s="29">
        <v>-0.38661082404664399</v>
      </c>
      <c r="AZ835" s="60">
        <v>-0.88344460269611702</v>
      </c>
    </row>
    <row r="836" spans="1:52" ht="15" customHeight="1">
      <c r="A836" s="59" t="s">
        <v>272</v>
      </c>
      <c r="B836" s="27">
        <v>2012</v>
      </c>
      <c r="C836" s="27" t="s">
        <v>273</v>
      </c>
      <c r="D836" s="27" t="s">
        <v>34</v>
      </c>
      <c r="E836" s="177" t="s">
        <v>19</v>
      </c>
      <c r="F836" s="27" t="s">
        <v>1362</v>
      </c>
      <c r="G836" s="29"/>
      <c r="H836" s="176"/>
      <c r="I836" s="18">
        <v>3000000</v>
      </c>
      <c r="J836" s="176"/>
      <c r="K836" s="27" t="s">
        <v>567</v>
      </c>
      <c r="L836" s="29"/>
      <c r="M836" s="28"/>
      <c r="N836" s="27"/>
      <c r="O836" s="27"/>
      <c r="P836" s="244"/>
      <c r="Q836" s="244"/>
      <c r="R836" s="18"/>
      <c r="S836" s="30"/>
      <c r="T836" s="27"/>
      <c r="U836" s="27"/>
      <c r="V836" s="56"/>
      <c r="W836" s="57"/>
      <c r="X836" s="27"/>
      <c r="Y836" s="27"/>
      <c r="Z836" s="27"/>
      <c r="AA836" s="27"/>
      <c r="AB836" s="27"/>
      <c r="AC836" s="273">
        <v>30672394366</v>
      </c>
      <c r="AD836" s="27">
        <v>203517198088.69141</v>
      </c>
      <c r="AE836" s="228">
        <v>0.15071155977999059</v>
      </c>
      <c r="AF836" s="27">
        <v>58692324756.797714</v>
      </c>
      <c r="AG836" s="226">
        <v>0.52259634446406111</v>
      </c>
      <c r="AH836" s="226">
        <v>0.78729305573753794</v>
      </c>
      <c r="AI836" s="27">
        <v>129639999.99999999</v>
      </c>
      <c r="AJ836" s="226">
        <v>236.59668594569581</v>
      </c>
      <c r="AK836" s="27">
        <v>4921958462.1766605</v>
      </c>
      <c r="AL836" s="226">
        <v>6.2317458795529141</v>
      </c>
      <c r="AM836" s="27" t="s">
        <v>2842</v>
      </c>
      <c r="AN836" s="271" t="s">
        <v>2842</v>
      </c>
      <c r="AO836" s="27">
        <v>16791425</v>
      </c>
      <c r="AP836" s="27">
        <v>3.8</v>
      </c>
      <c r="AQ836" s="27">
        <v>69.61</v>
      </c>
      <c r="AR836" s="27">
        <v>16</v>
      </c>
      <c r="AS836" s="29">
        <v>98.947940000000003</v>
      </c>
      <c r="AT836" s="270">
        <v>29</v>
      </c>
      <c r="AU836" s="464">
        <v>57.363105318322219</v>
      </c>
      <c r="AV836" s="29">
        <v>-1.1496385941857801</v>
      </c>
      <c r="AW836" s="29">
        <v>-0.37452632023538601</v>
      </c>
      <c r="AX836" s="29">
        <v>-0.44134623486097901</v>
      </c>
      <c r="AY836" s="29">
        <v>-0.38661082404664399</v>
      </c>
      <c r="AZ836" s="60">
        <v>-0.88344460269611702</v>
      </c>
    </row>
    <row r="837" spans="1:52" ht="15" customHeight="1">
      <c r="A837" s="59" t="s">
        <v>272</v>
      </c>
      <c r="B837" s="27">
        <v>2012</v>
      </c>
      <c r="C837" s="27" t="s">
        <v>273</v>
      </c>
      <c r="D837" s="27" t="s">
        <v>34</v>
      </c>
      <c r="E837" s="177" t="s">
        <v>19</v>
      </c>
      <c r="F837" s="27" t="s">
        <v>1363</v>
      </c>
      <c r="G837" s="29"/>
      <c r="H837" s="176"/>
      <c r="I837" s="18">
        <v>5200000</v>
      </c>
      <c r="J837" s="176"/>
      <c r="K837" s="27" t="s">
        <v>567</v>
      </c>
      <c r="L837" s="29"/>
      <c r="M837" s="28"/>
      <c r="N837" s="27"/>
      <c r="O837" s="27"/>
      <c r="P837" s="244"/>
      <c r="Q837" s="244"/>
      <c r="R837" s="18"/>
      <c r="S837" s="30"/>
      <c r="T837" s="27"/>
      <c r="U837" s="28"/>
      <c r="V837" s="56"/>
      <c r="W837" s="57"/>
      <c r="X837" s="27"/>
      <c r="Y837" s="27"/>
      <c r="Z837" s="27"/>
      <c r="AA837" s="27"/>
      <c r="AB837" s="27"/>
      <c r="AC837" s="273">
        <v>30672394366</v>
      </c>
      <c r="AD837" s="27">
        <v>203517198088.69141</v>
      </c>
      <c r="AE837" s="228">
        <v>0.15071155977999059</v>
      </c>
      <c r="AF837" s="27">
        <v>58692324756.797714</v>
      </c>
      <c r="AG837" s="226">
        <v>0.52259634446406111</v>
      </c>
      <c r="AH837" s="226">
        <v>0.78729305573753794</v>
      </c>
      <c r="AI837" s="27">
        <v>129639999.99999999</v>
      </c>
      <c r="AJ837" s="226">
        <v>236.59668594569581</v>
      </c>
      <c r="AK837" s="27">
        <v>4921958462.1766605</v>
      </c>
      <c r="AL837" s="226">
        <v>6.2317458795529141</v>
      </c>
      <c r="AM837" s="27" t="s">
        <v>2842</v>
      </c>
      <c r="AN837" s="271" t="s">
        <v>2842</v>
      </c>
      <c r="AO837" s="27">
        <v>16791425</v>
      </c>
      <c r="AP837" s="27">
        <v>3.8</v>
      </c>
      <c r="AQ837" s="27">
        <v>69.61</v>
      </c>
      <c r="AR837" s="27">
        <v>16</v>
      </c>
      <c r="AS837" s="29">
        <v>98.947940000000003</v>
      </c>
      <c r="AT837" s="270">
        <v>29</v>
      </c>
      <c r="AU837" s="464">
        <v>57.363105318322219</v>
      </c>
      <c r="AV837" s="29">
        <v>-1.1496385941857801</v>
      </c>
      <c r="AW837" s="29">
        <v>-0.37452632023538601</v>
      </c>
      <c r="AX837" s="29">
        <v>-0.44134623486097901</v>
      </c>
      <c r="AY837" s="29">
        <v>-0.38661082404664399</v>
      </c>
      <c r="AZ837" s="60">
        <v>-0.88344460269611702</v>
      </c>
    </row>
    <row r="838" spans="1:52" s="287" customFormat="1" ht="15" customHeight="1">
      <c r="A838" s="344" t="s">
        <v>272</v>
      </c>
      <c r="B838" s="284">
        <v>2012</v>
      </c>
      <c r="C838" s="284" t="s">
        <v>273</v>
      </c>
      <c r="D838" s="284" t="s">
        <v>34</v>
      </c>
      <c r="E838" s="372" t="s">
        <v>19</v>
      </c>
      <c r="F838" s="284" t="s">
        <v>1364</v>
      </c>
      <c r="H838" s="373"/>
      <c r="I838" s="305">
        <v>5200000</v>
      </c>
      <c r="J838" s="373"/>
      <c r="K838" s="284" t="s">
        <v>567</v>
      </c>
      <c r="M838" s="304"/>
      <c r="N838" s="284"/>
      <c r="O838" s="284"/>
      <c r="P838" s="374"/>
      <c r="Q838" s="374"/>
      <c r="R838" s="305"/>
      <c r="S838" s="307"/>
      <c r="T838" s="284"/>
      <c r="U838" s="304"/>
      <c r="V838" s="398"/>
      <c r="W838" s="399"/>
      <c r="X838" s="284"/>
      <c r="Y838" s="284"/>
      <c r="Z838" s="284"/>
      <c r="AA838" s="284"/>
      <c r="AB838" s="284"/>
      <c r="AC838" s="308">
        <v>30672394366</v>
      </c>
      <c r="AD838" s="284">
        <v>203517198088.69141</v>
      </c>
      <c r="AE838" s="309">
        <v>0.15071155977999059</v>
      </c>
      <c r="AF838" s="284">
        <v>58692324756.797714</v>
      </c>
      <c r="AG838" s="310">
        <v>0.52259634446406111</v>
      </c>
      <c r="AH838" s="310">
        <v>0.78729305573753794</v>
      </c>
      <c r="AI838" s="284">
        <v>129639999.99999999</v>
      </c>
      <c r="AJ838" s="310">
        <v>236.59668594569581</v>
      </c>
      <c r="AK838" s="284">
        <v>4921958462.1766605</v>
      </c>
      <c r="AL838" s="310">
        <v>6.2317458795529141</v>
      </c>
      <c r="AM838" s="284" t="s">
        <v>2842</v>
      </c>
      <c r="AN838" s="311" t="s">
        <v>2842</v>
      </c>
      <c r="AO838" s="284">
        <v>16791425</v>
      </c>
      <c r="AP838" s="284">
        <v>3.8</v>
      </c>
      <c r="AQ838" s="284">
        <v>69.61</v>
      </c>
      <c r="AR838" s="284">
        <v>16</v>
      </c>
      <c r="AS838" s="287">
        <v>98.947940000000003</v>
      </c>
      <c r="AT838" s="312">
        <v>29</v>
      </c>
      <c r="AU838" s="465">
        <v>57.363105318322219</v>
      </c>
      <c r="AV838" s="287">
        <v>-1.1496385941857801</v>
      </c>
      <c r="AW838" s="287">
        <v>-0.37452632023538601</v>
      </c>
      <c r="AX838" s="287">
        <v>-0.44134623486097901</v>
      </c>
      <c r="AY838" s="287">
        <v>-0.38661082404664399</v>
      </c>
      <c r="AZ838" s="313">
        <v>-0.88344460269611702</v>
      </c>
    </row>
    <row r="839" spans="1:52" ht="15" customHeight="1">
      <c r="A839" s="59" t="s">
        <v>275</v>
      </c>
      <c r="B839" s="27">
        <v>2013</v>
      </c>
      <c r="C839" s="27" t="s">
        <v>273</v>
      </c>
      <c r="D839" s="27" t="s">
        <v>34</v>
      </c>
      <c r="E839" s="27" t="s">
        <v>30</v>
      </c>
      <c r="F839" s="27" t="s">
        <v>659</v>
      </c>
      <c r="G839" s="176"/>
      <c r="H839" s="176"/>
      <c r="I839" s="27"/>
      <c r="J839" s="176"/>
      <c r="K839" s="27"/>
      <c r="L839" s="28"/>
      <c r="M839" s="27"/>
      <c r="N839" s="27" t="s">
        <v>674</v>
      </c>
      <c r="O839" s="27"/>
      <c r="P839" s="250">
        <v>30773721236</v>
      </c>
      <c r="Q839" s="250">
        <v>31961400394</v>
      </c>
      <c r="R839" s="27" t="s">
        <v>619</v>
      </c>
      <c r="S839" s="27"/>
      <c r="T839" s="18"/>
      <c r="U839" s="27" t="s">
        <v>670</v>
      </c>
      <c r="V839" s="27" t="s">
        <v>1356</v>
      </c>
      <c r="W839" s="30">
        <v>152.1</v>
      </c>
      <c r="X839" s="27">
        <v>208</v>
      </c>
      <c r="Y839" s="27"/>
      <c r="Z839" s="27">
        <v>203</v>
      </c>
      <c r="AA839" s="27"/>
      <c r="AB839" s="27" t="s">
        <v>1365</v>
      </c>
      <c r="AC839" s="273">
        <v>30773721236</v>
      </c>
      <c r="AD839" s="27">
        <v>231876282133.87042</v>
      </c>
      <c r="AE839" s="228">
        <v>0.13271612323951804</v>
      </c>
      <c r="AF839" s="27">
        <v>65609394029.778633</v>
      </c>
      <c r="AG839" s="226">
        <v>0.46904443625912012</v>
      </c>
      <c r="AH839" s="226">
        <v>0.80363237941436827</v>
      </c>
      <c r="AI839" s="27" t="s">
        <v>2842</v>
      </c>
      <c r="AJ839" s="226" t="s">
        <v>2842</v>
      </c>
      <c r="AK839" s="27" t="s">
        <v>2842</v>
      </c>
      <c r="AL839" s="226" t="s">
        <v>2842</v>
      </c>
      <c r="AM839" s="27" t="s">
        <v>2842</v>
      </c>
      <c r="AN839" s="271" t="s">
        <v>2842</v>
      </c>
      <c r="AO839" s="27">
        <v>17037508</v>
      </c>
      <c r="AP839" s="27">
        <v>2.9</v>
      </c>
      <c r="AQ839" s="27" t="s">
        <v>2842</v>
      </c>
      <c r="AR839" s="27">
        <v>14.6</v>
      </c>
      <c r="AS839" s="29">
        <v>98.741479999999996</v>
      </c>
      <c r="AT839" s="270">
        <v>29</v>
      </c>
      <c r="AU839" s="464">
        <v>57.363105318322219</v>
      </c>
      <c r="AV839" s="29">
        <v>-1.2243735790252701</v>
      </c>
      <c r="AW839" s="29">
        <v>-0.38138318061828602</v>
      </c>
      <c r="AX839" s="29">
        <v>-0.53702217340469405</v>
      </c>
      <c r="AY839" s="29">
        <v>-0.38304501771926902</v>
      </c>
      <c r="AZ839" s="60">
        <v>-0.89843583106994596</v>
      </c>
    </row>
    <row r="840" spans="1:52" ht="15" customHeight="1">
      <c r="A840" s="59" t="s">
        <v>275</v>
      </c>
      <c r="B840" s="27">
        <v>2013</v>
      </c>
      <c r="C840" s="27" t="s">
        <v>273</v>
      </c>
      <c r="D840" s="27" t="s">
        <v>34</v>
      </c>
      <c r="E840" s="27" t="s">
        <v>98</v>
      </c>
      <c r="F840" s="27" t="s">
        <v>98</v>
      </c>
      <c r="G840" s="176"/>
      <c r="H840" s="176"/>
      <c r="I840" s="18">
        <v>81100000</v>
      </c>
      <c r="J840" s="176"/>
      <c r="K840" s="27" t="s">
        <v>567</v>
      </c>
      <c r="L840" s="28"/>
      <c r="M840" s="27"/>
      <c r="N840" s="18"/>
      <c r="O840" s="27"/>
      <c r="P840" s="244"/>
      <c r="Q840" s="244"/>
      <c r="R840" s="27"/>
      <c r="S840" s="27"/>
      <c r="T840" s="18"/>
      <c r="U840" s="27"/>
      <c r="V840" s="27"/>
      <c r="W840" s="30"/>
      <c r="X840" s="27"/>
      <c r="Y840" s="27"/>
      <c r="Z840" s="27"/>
      <c r="AA840" s="27"/>
      <c r="AB840" s="27"/>
      <c r="AC840" s="273">
        <v>30773721236</v>
      </c>
      <c r="AD840" s="27">
        <v>231876282133.87042</v>
      </c>
      <c r="AE840" s="228">
        <v>0.13271612323951804</v>
      </c>
      <c r="AF840" s="27">
        <v>65609394029.778633</v>
      </c>
      <c r="AG840" s="226">
        <v>0.46904443625912012</v>
      </c>
      <c r="AH840" s="226">
        <v>0.80363237941436827</v>
      </c>
      <c r="AI840" s="27" t="s">
        <v>2842</v>
      </c>
      <c r="AJ840" s="226" t="s">
        <v>2842</v>
      </c>
      <c r="AK840" s="27" t="s">
        <v>2842</v>
      </c>
      <c r="AL840" s="226" t="s">
        <v>2842</v>
      </c>
      <c r="AM840" s="27" t="s">
        <v>2842</v>
      </c>
      <c r="AN840" s="271" t="s">
        <v>2842</v>
      </c>
      <c r="AO840" s="27">
        <v>17037508</v>
      </c>
      <c r="AP840" s="27">
        <v>2.9</v>
      </c>
      <c r="AQ840" s="27" t="s">
        <v>2842</v>
      </c>
      <c r="AR840" s="27">
        <v>14.6</v>
      </c>
      <c r="AS840" s="29">
        <v>98.741479999999996</v>
      </c>
      <c r="AT840" s="270">
        <v>29</v>
      </c>
      <c r="AU840" s="464">
        <v>57.363105318322219</v>
      </c>
      <c r="AV840" s="29">
        <v>-1.2243735790252701</v>
      </c>
      <c r="AW840" s="29">
        <v>-0.38138318061828602</v>
      </c>
      <c r="AX840" s="29">
        <v>-0.53702217340469405</v>
      </c>
      <c r="AY840" s="29">
        <v>-0.38304501771926902</v>
      </c>
      <c r="AZ840" s="60">
        <v>-0.89843583106994596</v>
      </c>
    </row>
    <row r="841" spans="1:52" ht="15" customHeight="1">
      <c r="A841" s="59" t="s">
        <v>275</v>
      </c>
      <c r="B841" s="27">
        <v>2013</v>
      </c>
      <c r="C841" s="27" t="s">
        <v>273</v>
      </c>
      <c r="D841" s="27" t="s">
        <v>34</v>
      </c>
      <c r="E841" s="27" t="s">
        <v>552</v>
      </c>
      <c r="F841" s="27" t="s">
        <v>552</v>
      </c>
      <c r="G841" s="176"/>
      <c r="H841" s="176"/>
      <c r="I841" s="18">
        <v>42300000</v>
      </c>
      <c r="J841" s="176"/>
      <c r="K841" s="27" t="s">
        <v>599</v>
      </c>
      <c r="L841" s="28"/>
      <c r="M841" s="27"/>
      <c r="N841" s="27"/>
      <c r="O841" s="27"/>
      <c r="P841" s="244"/>
      <c r="Q841" s="244"/>
      <c r="R841" s="27"/>
      <c r="S841" s="27"/>
      <c r="T841" s="18"/>
      <c r="U841" s="27"/>
      <c r="V841" s="27"/>
      <c r="W841" s="30"/>
      <c r="X841" s="27"/>
      <c r="Y841" s="27"/>
      <c r="Z841" s="27"/>
      <c r="AA841" s="27"/>
      <c r="AB841" s="27"/>
      <c r="AC841" s="273">
        <v>30773721236</v>
      </c>
      <c r="AD841" s="27">
        <v>231876282133.87042</v>
      </c>
      <c r="AE841" s="228">
        <v>0.13271612323951804</v>
      </c>
      <c r="AF841" s="27">
        <v>65609394029.778633</v>
      </c>
      <c r="AG841" s="226">
        <v>0.46904443625912012</v>
      </c>
      <c r="AH841" s="226">
        <v>0.80363237941436827</v>
      </c>
      <c r="AI841" s="27" t="s">
        <v>2842</v>
      </c>
      <c r="AJ841" s="226" t="s">
        <v>2842</v>
      </c>
      <c r="AK841" s="27" t="s">
        <v>2842</v>
      </c>
      <c r="AL841" s="226" t="s">
        <v>2842</v>
      </c>
      <c r="AM841" s="27" t="s">
        <v>2842</v>
      </c>
      <c r="AN841" s="271" t="s">
        <v>2842</v>
      </c>
      <c r="AO841" s="27">
        <v>17037508</v>
      </c>
      <c r="AP841" s="27">
        <v>2.9</v>
      </c>
      <c r="AQ841" s="27" t="s">
        <v>2842</v>
      </c>
      <c r="AR841" s="27">
        <v>14.6</v>
      </c>
      <c r="AS841" s="29">
        <v>98.741479999999996</v>
      </c>
      <c r="AT841" s="270">
        <v>29</v>
      </c>
      <c r="AU841" s="464">
        <v>57.363105318322219</v>
      </c>
      <c r="AV841" s="29">
        <v>-1.2243735790252701</v>
      </c>
      <c r="AW841" s="29">
        <v>-0.38138318061828602</v>
      </c>
      <c r="AX841" s="29">
        <v>-0.53702217340469405</v>
      </c>
      <c r="AY841" s="29">
        <v>-0.38304501771926902</v>
      </c>
      <c r="AZ841" s="60">
        <v>-0.89843583106994596</v>
      </c>
    </row>
    <row r="842" spans="1:52" ht="15" customHeight="1">
      <c r="A842" s="171" t="s">
        <v>275</v>
      </c>
      <c r="B842" s="27">
        <v>2013</v>
      </c>
      <c r="C842" s="27" t="s">
        <v>273</v>
      </c>
      <c r="D842" s="27" t="s">
        <v>34</v>
      </c>
      <c r="E842" s="27" t="s">
        <v>19</v>
      </c>
      <c r="F842" s="27" t="s">
        <v>659</v>
      </c>
      <c r="G842" s="176"/>
      <c r="H842" s="176"/>
      <c r="I842" s="18"/>
      <c r="J842" s="176"/>
      <c r="K842" s="27"/>
      <c r="L842" s="28"/>
      <c r="M842" s="27"/>
      <c r="N842" s="27"/>
      <c r="O842" s="27"/>
      <c r="P842" s="244"/>
      <c r="Q842" s="244"/>
      <c r="R842" s="27"/>
      <c r="S842" s="27"/>
      <c r="T842" s="18"/>
      <c r="U842" s="27"/>
      <c r="V842" s="27"/>
      <c r="W842" s="30"/>
      <c r="X842" s="27"/>
      <c r="Y842" s="27"/>
      <c r="Z842" s="27"/>
      <c r="AA842" s="27"/>
      <c r="AB842" s="27"/>
      <c r="AC842" s="273">
        <v>30773721236</v>
      </c>
      <c r="AD842" s="27">
        <v>231876282133.87042</v>
      </c>
      <c r="AE842" s="228">
        <v>0.13271612323951804</v>
      </c>
      <c r="AF842" s="27">
        <v>65609394029.778633</v>
      </c>
      <c r="AG842" s="226">
        <v>0.46904443625912012</v>
      </c>
      <c r="AH842" s="226">
        <v>0.80363237941436827</v>
      </c>
      <c r="AI842" s="27" t="s">
        <v>2842</v>
      </c>
      <c r="AJ842" s="226" t="s">
        <v>2842</v>
      </c>
      <c r="AK842" s="27" t="s">
        <v>2842</v>
      </c>
      <c r="AL842" s="226" t="s">
        <v>2842</v>
      </c>
      <c r="AM842" s="27" t="s">
        <v>2842</v>
      </c>
      <c r="AN842" s="271" t="s">
        <v>2842</v>
      </c>
      <c r="AO842" s="27">
        <v>17037508</v>
      </c>
      <c r="AP842" s="27">
        <v>2.9</v>
      </c>
      <c r="AQ842" s="27" t="s">
        <v>2842</v>
      </c>
      <c r="AR842" s="27">
        <v>14.6</v>
      </c>
      <c r="AS842" s="29">
        <v>98.741479999999996</v>
      </c>
      <c r="AT842" s="270">
        <v>29</v>
      </c>
      <c r="AU842" s="464">
        <v>57.363105318322219</v>
      </c>
      <c r="AV842" s="29">
        <v>-1.2243735790252701</v>
      </c>
      <c r="AW842" s="29">
        <v>-0.38138318061828602</v>
      </c>
      <c r="AX842" s="29">
        <v>-0.53702217340469405</v>
      </c>
      <c r="AY842" s="29">
        <v>-0.38304501771926902</v>
      </c>
      <c r="AZ842" s="60">
        <v>-0.89843583106994596</v>
      </c>
    </row>
    <row r="843" spans="1:52" ht="15" customHeight="1">
      <c r="A843" s="171" t="s">
        <v>275</v>
      </c>
      <c r="B843" s="27">
        <v>2013</v>
      </c>
      <c r="C843" s="27" t="s">
        <v>273</v>
      </c>
      <c r="D843" s="27" t="s">
        <v>34</v>
      </c>
      <c r="E843" s="27" t="s">
        <v>19</v>
      </c>
      <c r="F843" s="27" t="s">
        <v>1353</v>
      </c>
      <c r="G843" s="176"/>
      <c r="H843" s="176"/>
      <c r="I843" s="18">
        <v>22500</v>
      </c>
      <c r="J843" s="176"/>
      <c r="K843" s="27" t="s">
        <v>567</v>
      </c>
      <c r="L843" s="28"/>
      <c r="M843" s="27"/>
      <c r="N843" s="27"/>
      <c r="O843" s="27"/>
      <c r="P843" s="244"/>
      <c r="Q843" s="244"/>
      <c r="R843" s="27"/>
      <c r="S843" s="27"/>
      <c r="T843" s="18"/>
      <c r="U843" s="27"/>
      <c r="V843" s="27"/>
      <c r="W843" s="30"/>
      <c r="X843" s="27"/>
      <c r="Y843" s="27"/>
      <c r="Z843" s="27"/>
      <c r="AA843" s="27"/>
      <c r="AB843" s="27"/>
      <c r="AC843" s="273">
        <v>30773721236</v>
      </c>
      <c r="AD843" s="27">
        <v>231876282133.87042</v>
      </c>
      <c r="AE843" s="228">
        <v>0.13271612323951804</v>
      </c>
      <c r="AF843" s="27">
        <v>65609394029.778633</v>
      </c>
      <c r="AG843" s="226">
        <v>0.46904443625912012</v>
      </c>
      <c r="AH843" s="226">
        <v>0.80363237941436827</v>
      </c>
      <c r="AI843" s="27" t="s">
        <v>2842</v>
      </c>
      <c r="AJ843" s="226" t="s">
        <v>2842</v>
      </c>
      <c r="AK843" s="27" t="s">
        <v>2842</v>
      </c>
      <c r="AL843" s="226" t="s">
        <v>2842</v>
      </c>
      <c r="AM843" s="27" t="s">
        <v>2842</v>
      </c>
      <c r="AN843" s="271" t="s">
        <v>2842</v>
      </c>
      <c r="AO843" s="27">
        <v>17037508</v>
      </c>
      <c r="AP843" s="27">
        <v>2.9</v>
      </c>
      <c r="AQ843" s="27" t="s">
        <v>2842</v>
      </c>
      <c r="AR843" s="27">
        <v>14.6</v>
      </c>
      <c r="AS843" s="29">
        <v>98.741479999999996</v>
      </c>
      <c r="AT843" s="270">
        <v>29</v>
      </c>
      <c r="AU843" s="464">
        <v>57.363105318322219</v>
      </c>
      <c r="AV843" s="29">
        <v>-1.2243735790252701</v>
      </c>
      <c r="AW843" s="29">
        <v>-0.38138318061828602</v>
      </c>
      <c r="AX843" s="29">
        <v>-0.53702217340469405</v>
      </c>
      <c r="AY843" s="29">
        <v>-0.38304501771926902</v>
      </c>
      <c r="AZ843" s="60">
        <v>-0.89843583106994596</v>
      </c>
    </row>
    <row r="844" spans="1:52" ht="15" customHeight="1">
      <c r="A844" s="171" t="s">
        <v>275</v>
      </c>
      <c r="B844" s="27">
        <v>2013</v>
      </c>
      <c r="C844" s="27" t="s">
        <v>273</v>
      </c>
      <c r="D844" s="27" t="s">
        <v>34</v>
      </c>
      <c r="E844" s="27" t="s">
        <v>19</v>
      </c>
      <c r="F844" s="27" t="s">
        <v>573</v>
      </c>
      <c r="G844" s="176"/>
      <c r="H844" s="176"/>
      <c r="I844" s="18">
        <v>114600000</v>
      </c>
      <c r="J844" s="176"/>
      <c r="K844" s="27" t="s">
        <v>567</v>
      </c>
      <c r="L844" s="28"/>
      <c r="M844" s="27"/>
      <c r="N844" s="27"/>
      <c r="O844" s="27"/>
      <c r="P844" s="244"/>
      <c r="Q844" s="244"/>
      <c r="R844" s="27"/>
      <c r="S844" s="27"/>
      <c r="T844" s="18"/>
      <c r="U844" s="27"/>
      <c r="V844" s="27"/>
      <c r="W844" s="30"/>
      <c r="X844" s="27"/>
      <c r="Y844" s="27"/>
      <c r="Z844" s="27"/>
      <c r="AA844" s="27"/>
      <c r="AB844" s="27"/>
      <c r="AC844" s="273">
        <v>30773721236</v>
      </c>
      <c r="AD844" s="27">
        <v>231876282133.87042</v>
      </c>
      <c r="AE844" s="228">
        <v>0.13271612323951804</v>
      </c>
      <c r="AF844" s="27">
        <v>65609394029.778633</v>
      </c>
      <c r="AG844" s="226">
        <v>0.46904443625912012</v>
      </c>
      <c r="AH844" s="226">
        <v>0.80363237941436827</v>
      </c>
      <c r="AI844" s="27" t="s">
        <v>2842</v>
      </c>
      <c r="AJ844" s="226" t="s">
        <v>2842</v>
      </c>
      <c r="AK844" s="27" t="s">
        <v>2842</v>
      </c>
      <c r="AL844" s="226" t="s">
        <v>2842</v>
      </c>
      <c r="AM844" s="27" t="s">
        <v>2842</v>
      </c>
      <c r="AN844" s="271" t="s">
        <v>2842</v>
      </c>
      <c r="AO844" s="27">
        <v>17037508</v>
      </c>
      <c r="AP844" s="27">
        <v>2.9</v>
      </c>
      <c r="AQ844" s="27" t="s">
        <v>2842</v>
      </c>
      <c r="AR844" s="27">
        <v>14.6</v>
      </c>
      <c r="AS844" s="29">
        <v>98.741479999999996</v>
      </c>
      <c r="AT844" s="270">
        <v>29</v>
      </c>
      <c r="AU844" s="464">
        <v>57.363105318322219</v>
      </c>
      <c r="AV844" s="29">
        <v>-1.2243735790252701</v>
      </c>
      <c r="AW844" s="29">
        <v>-0.38138318061828602</v>
      </c>
      <c r="AX844" s="29">
        <v>-0.53702217340469405</v>
      </c>
      <c r="AY844" s="29">
        <v>-0.38304501771926902</v>
      </c>
      <c r="AZ844" s="60">
        <v>-0.89843583106994596</v>
      </c>
    </row>
    <row r="845" spans="1:52" ht="15" customHeight="1">
      <c r="A845" s="171" t="s">
        <v>275</v>
      </c>
      <c r="B845" s="27">
        <v>2013</v>
      </c>
      <c r="C845" s="27" t="s">
        <v>273</v>
      </c>
      <c r="D845" s="27" t="s">
        <v>34</v>
      </c>
      <c r="E845" s="27" t="s">
        <v>19</v>
      </c>
      <c r="F845" s="27" t="s">
        <v>730</v>
      </c>
      <c r="G845" s="176"/>
      <c r="H845" s="176"/>
      <c r="I845" s="27">
        <v>42.3</v>
      </c>
      <c r="J845" s="176"/>
      <c r="K845" s="27" t="s">
        <v>567</v>
      </c>
      <c r="L845" s="28"/>
      <c r="M845" s="27"/>
      <c r="N845" s="27"/>
      <c r="O845" s="27"/>
      <c r="P845" s="244"/>
      <c r="Q845" s="244"/>
      <c r="R845" s="27"/>
      <c r="S845" s="27"/>
      <c r="T845" s="18"/>
      <c r="U845" s="27"/>
      <c r="V845" s="27"/>
      <c r="W845" s="30"/>
      <c r="X845" s="27"/>
      <c r="Y845" s="27"/>
      <c r="Z845" s="27"/>
      <c r="AA845" s="27"/>
      <c r="AB845" s="27"/>
      <c r="AC845" s="273">
        <v>30773721236</v>
      </c>
      <c r="AD845" s="27">
        <v>231876282133.87042</v>
      </c>
      <c r="AE845" s="228">
        <v>0.13271612323951804</v>
      </c>
      <c r="AF845" s="27">
        <v>65609394029.778633</v>
      </c>
      <c r="AG845" s="226">
        <v>0.46904443625912012</v>
      </c>
      <c r="AH845" s="226">
        <v>0.80363237941436827</v>
      </c>
      <c r="AI845" s="27" t="s">
        <v>2842</v>
      </c>
      <c r="AJ845" s="226" t="s">
        <v>2842</v>
      </c>
      <c r="AK845" s="27" t="s">
        <v>2842</v>
      </c>
      <c r="AL845" s="226" t="s">
        <v>2842</v>
      </c>
      <c r="AM845" s="27" t="s">
        <v>2842</v>
      </c>
      <c r="AN845" s="271" t="s">
        <v>2842</v>
      </c>
      <c r="AO845" s="27">
        <v>17037508</v>
      </c>
      <c r="AP845" s="27">
        <v>2.9</v>
      </c>
      <c r="AQ845" s="27" t="s">
        <v>2842</v>
      </c>
      <c r="AR845" s="27">
        <v>14.6</v>
      </c>
      <c r="AS845" s="29">
        <v>98.741479999999996</v>
      </c>
      <c r="AT845" s="270">
        <v>29</v>
      </c>
      <c r="AU845" s="464">
        <v>57.363105318322219</v>
      </c>
      <c r="AV845" s="29">
        <v>-1.2243735790252701</v>
      </c>
      <c r="AW845" s="29">
        <v>-0.38138318061828602</v>
      </c>
      <c r="AX845" s="29">
        <v>-0.53702217340469405</v>
      </c>
      <c r="AY845" s="29">
        <v>-0.38304501771926902</v>
      </c>
      <c r="AZ845" s="60">
        <v>-0.89843583106994596</v>
      </c>
    </row>
    <row r="846" spans="1:52" ht="15" customHeight="1">
      <c r="A846" s="171" t="s">
        <v>275</v>
      </c>
      <c r="B846" s="27">
        <v>2013</v>
      </c>
      <c r="C846" s="27" t="s">
        <v>273</v>
      </c>
      <c r="D846" s="27" t="s">
        <v>34</v>
      </c>
      <c r="E846" s="27" t="s">
        <v>19</v>
      </c>
      <c r="F846" s="27" t="s">
        <v>735</v>
      </c>
      <c r="G846" s="176"/>
      <c r="H846" s="176"/>
      <c r="I846" s="27">
        <v>963.5</v>
      </c>
      <c r="J846" s="176"/>
      <c r="K846" s="27" t="s">
        <v>567</v>
      </c>
      <c r="L846" s="28"/>
      <c r="M846" s="27"/>
      <c r="N846" s="27"/>
      <c r="O846" s="27"/>
      <c r="P846" s="244"/>
      <c r="Q846" s="244"/>
      <c r="R846" s="27"/>
      <c r="S846" s="27"/>
      <c r="T846" s="18"/>
      <c r="U846" s="27"/>
      <c r="V846" s="27"/>
      <c r="W846" s="30"/>
      <c r="X846" s="27"/>
      <c r="Y846" s="27"/>
      <c r="Z846" s="27"/>
      <c r="AA846" s="27"/>
      <c r="AB846" s="27"/>
      <c r="AC846" s="273">
        <v>30773721236</v>
      </c>
      <c r="AD846" s="27">
        <v>231876282133.87042</v>
      </c>
      <c r="AE846" s="228">
        <v>0.13271612323951804</v>
      </c>
      <c r="AF846" s="27">
        <v>65609394029.778633</v>
      </c>
      <c r="AG846" s="226">
        <v>0.46904443625912012</v>
      </c>
      <c r="AH846" s="226">
        <v>0.80363237941436827</v>
      </c>
      <c r="AI846" s="27" t="s">
        <v>2842</v>
      </c>
      <c r="AJ846" s="226" t="s">
        <v>2842</v>
      </c>
      <c r="AK846" s="27" t="s">
        <v>2842</v>
      </c>
      <c r="AL846" s="226" t="s">
        <v>2842</v>
      </c>
      <c r="AM846" s="27" t="s">
        <v>2842</v>
      </c>
      <c r="AN846" s="271" t="s">
        <v>2842</v>
      </c>
      <c r="AO846" s="27">
        <v>17037508</v>
      </c>
      <c r="AP846" s="27">
        <v>2.9</v>
      </c>
      <c r="AQ846" s="27" t="s">
        <v>2842</v>
      </c>
      <c r="AR846" s="27">
        <v>14.6</v>
      </c>
      <c r="AS846" s="29">
        <v>98.741479999999996</v>
      </c>
      <c r="AT846" s="270">
        <v>29</v>
      </c>
      <c r="AU846" s="464">
        <v>57.363105318322219</v>
      </c>
      <c r="AV846" s="29">
        <v>-1.2243735790252701</v>
      </c>
      <c r="AW846" s="29">
        <v>-0.38138318061828602</v>
      </c>
      <c r="AX846" s="29">
        <v>-0.53702217340469405</v>
      </c>
      <c r="AY846" s="29">
        <v>-0.38304501771926902</v>
      </c>
      <c r="AZ846" s="60">
        <v>-0.89843583106994596</v>
      </c>
    </row>
    <row r="847" spans="1:52" ht="15" customHeight="1">
      <c r="A847" s="171" t="s">
        <v>275</v>
      </c>
      <c r="B847" s="27">
        <v>2013</v>
      </c>
      <c r="C847" s="27" t="s">
        <v>273</v>
      </c>
      <c r="D847" s="27" t="s">
        <v>34</v>
      </c>
      <c r="E847" s="27" t="s">
        <v>19</v>
      </c>
      <c r="F847" s="27" t="s">
        <v>576</v>
      </c>
      <c r="G847" s="176"/>
      <c r="H847" s="176"/>
      <c r="I847" s="18">
        <v>350800</v>
      </c>
      <c r="J847" s="176"/>
      <c r="K847" s="27" t="s">
        <v>567</v>
      </c>
      <c r="L847" s="28"/>
      <c r="M847" s="27"/>
      <c r="N847" s="27"/>
      <c r="O847" s="27"/>
      <c r="P847" s="244"/>
      <c r="Q847" s="244"/>
      <c r="R847" s="27"/>
      <c r="S847" s="27"/>
      <c r="T847" s="18"/>
      <c r="U847" s="27"/>
      <c r="V847" s="27"/>
      <c r="W847" s="30"/>
      <c r="X847" s="27"/>
      <c r="Y847" s="27"/>
      <c r="Z847" s="27"/>
      <c r="AA847" s="27"/>
      <c r="AB847" s="27"/>
      <c r="AC847" s="273">
        <v>30773721236</v>
      </c>
      <c r="AD847" s="27">
        <v>231876282133.87042</v>
      </c>
      <c r="AE847" s="228">
        <v>0.13271612323951804</v>
      </c>
      <c r="AF847" s="27">
        <v>65609394029.778633</v>
      </c>
      <c r="AG847" s="226">
        <v>0.46904443625912012</v>
      </c>
      <c r="AH847" s="226">
        <v>0.80363237941436827</v>
      </c>
      <c r="AI847" s="27" t="s">
        <v>2842</v>
      </c>
      <c r="AJ847" s="226" t="s">
        <v>2842</v>
      </c>
      <c r="AK847" s="27" t="s">
        <v>2842</v>
      </c>
      <c r="AL847" s="226" t="s">
        <v>2842</v>
      </c>
      <c r="AM847" s="27" t="s">
        <v>2842</v>
      </c>
      <c r="AN847" s="271" t="s">
        <v>2842</v>
      </c>
      <c r="AO847" s="27">
        <v>17037508</v>
      </c>
      <c r="AP847" s="27">
        <v>2.9</v>
      </c>
      <c r="AQ847" s="27" t="s">
        <v>2842</v>
      </c>
      <c r="AR847" s="27">
        <v>14.6</v>
      </c>
      <c r="AS847" s="29">
        <v>98.741479999999996</v>
      </c>
      <c r="AT847" s="270">
        <v>29</v>
      </c>
      <c r="AU847" s="464">
        <v>57.363105318322219</v>
      </c>
      <c r="AV847" s="29">
        <v>-1.2243735790252701</v>
      </c>
      <c r="AW847" s="29">
        <v>-0.38138318061828602</v>
      </c>
      <c r="AX847" s="29">
        <v>-0.53702217340469405</v>
      </c>
      <c r="AY847" s="29">
        <v>-0.38304501771926902</v>
      </c>
      <c r="AZ847" s="60">
        <v>-0.89843583106994596</v>
      </c>
    </row>
    <row r="848" spans="1:52" ht="15" customHeight="1">
      <c r="A848" s="171" t="s">
        <v>275</v>
      </c>
      <c r="B848" s="27">
        <v>2013</v>
      </c>
      <c r="C848" s="27" t="s">
        <v>273</v>
      </c>
      <c r="D848" s="27" t="s">
        <v>34</v>
      </c>
      <c r="E848" s="27" t="s">
        <v>19</v>
      </c>
      <c r="F848" s="27" t="s">
        <v>1359</v>
      </c>
      <c r="G848" s="176"/>
      <c r="H848" s="176"/>
      <c r="I848" s="18">
        <v>91100</v>
      </c>
      <c r="J848" s="176"/>
      <c r="K848" s="27" t="s">
        <v>567</v>
      </c>
      <c r="L848" s="28"/>
      <c r="M848" s="27"/>
      <c r="N848" s="27"/>
      <c r="O848" s="27"/>
      <c r="P848" s="244"/>
      <c r="Q848" s="244"/>
      <c r="R848" s="27"/>
      <c r="S848" s="27"/>
      <c r="T848" s="18"/>
      <c r="U848" s="27"/>
      <c r="V848" s="27"/>
      <c r="W848" s="30"/>
      <c r="X848" s="27"/>
      <c r="Y848" s="27"/>
      <c r="Z848" s="27"/>
      <c r="AA848" s="27"/>
      <c r="AB848" s="27"/>
      <c r="AC848" s="273">
        <v>30773721236</v>
      </c>
      <c r="AD848" s="27">
        <v>231876282133.87042</v>
      </c>
      <c r="AE848" s="228">
        <v>0.13271612323951804</v>
      </c>
      <c r="AF848" s="27">
        <v>65609394029.778633</v>
      </c>
      <c r="AG848" s="226">
        <v>0.46904443625912012</v>
      </c>
      <c r="AH848" s="226">
        <v>0.80363237941436827</v>
      </c>
      <c r="AI848" s="27" t="s">
        <v>2842</v>
      </c>
      <c r="AJ848" s="226" t="s">
        <v>2842</v>
      </c>
      <c r="AK848" s="27" t="s">
        <v>2842</v>
      </c>
      <c r="AL848" s="226" t="s">
        <v>2842</v>
      </c>
      <c r="AM848" s="27" t="s">
        <v>2842</v>
      </c>
      <c r="AN848" s="271" t="s">
        <v>2842</v>
      </c>
      <c r="AO848" s="27">
        <v>17037508</v>
      </c>
      <c r="AP848" s="27">
        <v>2.9</v>
      </c>
      <c r="AQ848" s="27" t="s">
        <v>2842</v>
      </c>
      <c r="AR848" s="27">
        <v>14.6</v>
      </c>
      <c r="AS848" s="29">
        <v>98.741479999999996</v>
      </c>
      <c r="AT848" s="270">
        <v>29</v>
      </c>
      <c r="AU848" s="464">
        <v>57.363105318322219</v>
      </c>
      <c r="AV848" s="29">
        <v>-1.2243735790252701</v>
      </c>
      <c r="AW848" s="29">
        <v>-0.38138318061828602</v>
      </c>
      <c r="AX848" s="29">
        <v>-0.53702217340469405</v>
      </c>
      <c r="AY848" s="29">
        <v>-0.38304501771926902</v>
      </c>
      <c r="AZ848" s="60">
        <v>-0.89843583106994596</v>
      </c>
    </row>
    <row r="849" spans="1:52" ht="15" customHeight="1">
      <c r="A849" s="171" t="s">
        <v>275</v>
      </c>
      <c r="B849" s="27">
        <v>2013</v>
      </c>
      <c r="C849" s="27" t="s">
        <v>273</v>
      </c>
      <c r="D849" s="27" t="s">
        <v>34</v>
      </c>
      <c r="E849" s="27" t="s">
        <v>19</v>
      </c>
      <c r="F849" s="27" t="s">
        <v>1361</v>
      </c>
      <c r="G849" s="176"/>
      <c r="H849" s="176"/>
      <c r="I849" s="18">
        <v>51700000</v>
      </c>
      <c r="J849" s="176"/>
      <c r="K849" s="27" t="s">
        <v>567</v>
      </c>
      <c r="L849" s="28"/>
      <c r="M849" s="27"/>
      <c r="N849" s="27"/>
      <c r="O849" s="27"/>
      <c r="P849" s="244"/>
      <c r="Q849" s="244"/>
      <c r="R849" s="27"/>
      <c r="S849" s="27"/>
      <c r="T849" s="18"/>
      <c r="U849" s="27"/>
      <c r="V849" s="27"/>
      <c r="W849" s="30"/>
      <c r="X849" s="27"/>
      <c r="Y849" s="27"/>
      <c r="Z849" s="27"/>
      <c r="AA849" s="27"/>
      <c r="AB849" s="27"/>
      <c r="AC849" s="273">
        <v>30773721236</v>
      </c>
      <c r="AD849" s="27">
        <v>231876282133.87042</v>
      </c>
      <c r="AE849" s="228">
        <v>0.13271612323951804</v>
      </c>
      <c r="AF849" s="27">
        <v>65609394029.778633</v>
      </c>
      <c r="AG849" s="226">
        <v>0.46904443625912012</v>
      </c>
      <c r="AH849" s="226">
        <v>0.80363237941436827</v>
      </c>
      <c r="AI849" s="27" t="s">
        <v>2842</v>
      </c>
      <c r="AJ849" s="226" t="s">
        <v>2842</v>
      </c>
      <c r="AK849" s="27" t="s">
        <v>2842</v>
      </c>
      <c r="AL849" s="226" t="s">
        <v>2842</v>
      </c>
      <c r="AM849" s="27" t="s">
        <v>2842</v>
      </c>
      <c r="AN849" s="271" t="s">
        <v>2842</v>
      </c>
      <c r="AO849" s="27">
        <v>17037508</v>
      </c>
      <c r="AP849" s="27">
        <v>2.9</v>
      </c>
      <c r="AQ849" s="27" t="s">
        <v>2842</v>
      </c>
      <c r="AR849" s="27">
        <v>14.6</v>
      </c>
      <c r="AS849" s="29">
        <v>98.741479999999996</v>
      </c>
      <c r="AT849" s="270">
        <v>29</v>
      </c>
      <c r="AU849" s="464">
        <v>57.363105318322219</v>
      </c>
      <c r="AV849" s="29">
        <v>-1.2243735790252701</v>
      </c>
      <c r="AW849" s="29">
        <v>-0.38138318061828602</v>
      </c>
      <c r="AX849" s="29">
        <v>-0.53702217340469405</v>
      </c>
      <c r="AY849" s="29">
        <v>-0.38304501771926902</v>
      </c>
      <c r="AZ849" s="60">
        <v>-0.89843583106994596</v>
      </c>
    </row>
    <row r="850" spans="1:52" ht="15" customHeight="1">
      <c r="A850" s="171" t="s">
        <v>275</v>
      </c>
      <c r="B850" s="27">
        <v>2013</v>
      </c>
      <c r="C850" s="27" t="s">
        <v>273</v>
      </c>
      <c r="D850" s="27" t="s">
        <v>34</v>
      </c>
      <c r="E850" s="27" t="s">
        <v>19</v>
      </c>
      <c r="F850" s="27" t="s">
        <v>1362</v>
      </c>
      <c r="G850" s="176"/>
      <c r="H850" s="176"/>
      <c r="I850" s="18">
        <v>2800000</v>
      </c>
      <c r="J850" s="176"/>
      <c r="K850" s="27" t="s">
        <v>567</v>
      </c>
      <c r="L850" s="28"/>
      <c r="M850" s="27"/>
      <c r="N850" s="27"/>
      <c r="O850" s="27"/>
      <c r="P850" s="244"/>
      <c r="Q850" s="244"/>
      <c r="R850" s="27"/>
      <c r="S850" s="27"/>
      <c r="T850" s="18"/>
      <c r="U850" s="27"/>
      <c r="V850" s="27"/>
      <c r="W850" s="30"/>
      <c r="X850" s="27"/>
      <c r="Y850" s="27"/>
      <c r="Z850" s="27"/>
      <c r="AA850" s="27"/>
      <c r="AB850" s="27"/>
      <c r="AC850" s="273">
        <v>30773721236</v>
      </c>
      <c r="AD850" s="27">
        <v>231876282133.87042</v>
      </c>
      <c r="AE850" s="228">
        <v>0.13271612323951804</v>
      </c>
      <c r="AF850" s="27">
        <v>65609394029.778633</v>
      </c>
      <c r="AG850" s="226">
        <v>0.46904443625912012</v>
      </c>
      <c r="AH850" s="226">
        <v>0.80363237941436827</v>
      </c>
      <c r="AI850" s="27" t="s">
        <v>2842</v>
      </c>
      <c r="AJ850" s="226" t="s">
        <v>2842</v>
      </c>
      <c r="AK850" s="27" t="s">
        <v>2842</v>
      </c>
      <c r="AL850" s="226" t="s">
        <v>2842</v>
      </c>
      <c r="AM850" s="27" t="s">
        <v>2842</v>
      </c>
      <c r="AN850" s="271" t="s">
        <v>2842</v>
      </c>
      <c r="AO850" s="27">
        <v>17037508</v>
      </c>
      <c r="AP850" s="27">
        <v>2.9</v>
      </c>
      <c r="AQ850" s="27" t="s">
        <v>2842</v>
      </c>
      <c r="AR850" s="27">
        <v>14.6</v>
      </c>
      <c r="AS850" s="29">
        <v>98.741479999999996</v>
      </c>
      <c r="AT850" s="270">
        <v>29</v>
      </c>
      <c r="AU850" s="464">
        <v>57.363105318322219</v>
      </c>
      <c r="AV850" s="29">
        <v>-1.2243735790252701</v>
      </c>
      <c r="AW850" s="29">
        <v>-0.38138318061828602</v>
      </c>
      <c r="AX850" s="29">
        <v>-0.53702217340469405</v>
      </c>
      <c r="AY850" s="29">
        <v>-0.38304501771926902</v>
      </c>
      <c r="AZ850" s="60">
        <v>-0.89843583106994596</v>
      </c>
    </row>
    <row r="851" spans="1:52" ht="15" customHeight="1">
      <c r="A851" s="171" t="s">
        <v>275</v>
      </c>
      <c r="B851" s="27">
        <v>2013</v>
      </c>
      <c r="C851" s="27" t="s">
        <v>273</v>
      </c>
      <c r="D851" s="27" t="s">
        <v>34</v>
      </c>
      <c r="E851" s="27" t="s">
        <v>19</v>
      </c>
      <c r="F851" s="27" t="s">
        <v>1363</v>
      </c>
      <c r="G851" s="176"/>
      <c r="H851" s="176"/>
      <c r="I851" s="18">
        <v>5200000</v>
      </c>
      <c r="J851" s="176"/>
      <c r="K851" s="27" t="s">
        <v>567</v>
      </c>
      <c r="L851" s="28"/>
      <c r="M851" s="27"/>
      <c r="N851" s="27"/>
      <c r="O851" s="27"/>
      <c r="P851" s="244"/>
      <c r="Q851" s="244"/>
      <c r="R851" s="27"/>
      <c r="S851" s="27"/>
      <c r="T851" s="18"/>
      <c r="U851" s="27"/>
      <c r="V851" s="27"/>
      <c r="W851" s="30"/>
      <c r="X851" s="27"/>
      <c r="Y851" s="27"/>
      <c r="Z851" s="27"/>
      <c r="AA851" s="27"/>
      <c r="AB851" s="27"/>
      <c r="AC851" s="273">
        <v>30773721236</v>
      </c>
      <c r="AD851" s="27">
        <v>231876282133.87042</v>
      </c>
      <c r="AE851" s="228">
        <v>0.13271612323951804</v>
      </c>
      <c r="AF851" s="27">
        <v>65609394029.778633</v>
      </c>
      <c r="AG851" s="226">
        <v>0.46904443625912012</v>
      </c>
      <c r="AH851" s="226">
        <v>0.80363237941436827</v>
      </c>
      <c r="AI851" s="27" t="s">
        <v>2842</v>
      </c>
      <c r="AJ851" s="226" t="s">
        <v>2842</v>
      </c>
      <c r="AK851" s="27" t="s">
        <v>2842</v>
      </c>
      <c r="AL851" s="226" t="s">
        <v>2842</v>
      </c>
      <c r="AM851" s="27" t="s">
        <v>2842</v>
      </c>
      <c r="AN851" s="271" t="s">
        <v>2842</v>
      </c>
      <c r="AO851" s="27">
        <v>17037508</v>
      </c>
      <c r="AP851" s="27">
        <v>2.9</v>
      </c>
      <c r="AQ851" s="27" t="s">
        <v>2842</v>
      </c>
      <c r="AR851" s="27">
        <v>14.6</v>
      </c>
      <c r="AS851" s="29">
        <v>98.741479999999996</v>
      </c>
      <c r="AT851" s="270">
        <v>29</v>
      </c>
      <c r="AU851" s="464">
        <v>57.363105318322219</v>
      </c>
      <c r="AV851" s="29">
        <v>-1.2243735790252701</v>
      </c>
      <c r="AW851" s="29">
        <v>-0.38138318061828602</v>
      </c>
      <c r="AX851" s="29">
        <v>-0.53702217340469405</v>
      </c>
      <c r="AY851" s="29">
        <v>-0.38304501771926902</v>
      </c>
      <c r="AZ851" s="60">
        <v>-0.89843583106994596</v>
      </c>
    </row>
    <row r="852" spans="1:52" s="232" customFormat="1" ht="15" customHeight="1" thickBot="1">
      <c r="A852" s="316" t="s">
        <v>275</v>
      </c>
      <c r="B852" s="230">
        <v>2013</v>
      </c>
      <c r="C852" s="230" t="s">
        <v>273</v>
      </c>
      <c r="D852" s="230" t="s">
        <v>34</v>
      </c>
      <c r="E852" s="230" t="s">
        <v>19</v>
      </c>
      <c r="F852" s="230" t="s">
        <v>1364</v>
      </c>
      <c r="G852" s="317"/>
      <c r="H852" s="317"/>
      <c r="I852" s="285">
        <v>5200000</v>
      </c>
      <c r="J852" s="317"/>
      <c r="K852" s="230" t="s">
        <v>567</v>
      </c>
      <c r="L852" s="298"/>
      <c r="M852" s="230"/>
      <c r="N852" s="230"/>
      <c r="O852" s="230"/>
      <c r="P852" s="318"/>
      <c r="Q852" s="318"/>
      <c r="R852" s="230"/>
      <c r="S852" s="230"/>
      <c r="T852" s="285"/>
      <c r="U852" s="230"/>
      <c r="V852" s="230"/>
      <c r="W852" s="300"/>
      <c r="X852" s="230"/>
      <c r="Y852" s="230"/>
      <c r="Z852" s="230"/>
      <c r="AA852" s="230"/>
      <c r="AB852" s="230"/>
      <c r="AC852" s="274">
        <v>30773721236</v>
      </c>
      <c r="AD852" s="230">
        <v>231876282133.87042</v>
      </c>
      <c r="AE852" s="229">
        <v>0.13271612323951804</v>
      </c>
      <c r="AF852" s="230">
        <v>65609394029.778633</v>
      </c>
      <c r="AG852" s="231">
        <v>0.46904443625912012</v>
      </c>
      <c r="AH852" s="231">
        <v>0.80363237941436827</v>
      </c>
      <c r="AI852" s="230" t="s">
        <v>2842</v>
      </c>
      <c r="AJ852" s="231" t="s">
        <v>2842</v>
      </c>
      <c r="AK852" s="230" t="s">
        <v>2842</v>
      </c>
      <c r="AL852" s="231" t="s">
        <v>2842</v>
      </c>
      <c r="AM852" s="230" t="s">
        <v>2842</v>
      </c>
      <c r="AN852" s="275" t="s">
        <v>2842</v>
      </c>
      <c r="AO852" s="230">
        <v>17037508</v>
      </c>
      <c r="AP852" s="230">
        <v>2.9</v>
      </c>
      <c r="AQ852" s="230" t="s">
        <v>2842</v>
      </c>
      <c r="AR852" s="230">
        <v>14.6</v>
      </c>
      <c r="AS852" s="232">
        <v>98.741479999999996</v>
      </c>
      <c r="AT852" s="276">
        <v>29</v>
      </c>
      <c r="AU852" s="466">
        <v>57.363105318322219</v>
      </c>
      <c r="AV852" s="232">
        <v>-1.2243735790252701</v>
      </c>
      <c r="AW852" s="232">
        <v>-0.38138318061828602</v>
      </c>
      <c r="AX852" s="232">
        <v>-0.53702217340469405</v>
      </c>
      <c r="AY852" s="232">
        <v>-0.38304501771926902</v>
      </c>
      <c r="AZ852" s="293">
        <v>-0.89843583106994596</v>
      </c>
    </row>
    <row r="853" spans="1:52" s="29" customFormat="1" ht="15" customHeight="1">
      <c r="A853" s="347" t="s">
        <v>277</v>
      </c>
      <c r="B853" s="27">
        <v>2004</v>
      </c>
      <c r="C853" s="27" t="s">
        <v>278</v>
      </c>
      <c r="D853" s="69" t="s">
        <v>34</v>
      </c>
      <c r="E853" s="27" t="s">
        <v>19</v>
      </c>
      <c r="F853" s="27" t="s">
        <v>659</v>
      </c>
      <c r="G853" s="43"/>
      <c r="H853" s="43"/>
      <c r="I853" s="43"/>
      <c r="J853" s="43"/>
      <c r="K853" s="27"/>
      <c r="L853" s="28"/>
      <c r="M853" s="27"/>
      <c r="N853" s="27"/>
      <c r="O853" s="18">
        <f>SUM(O854:O863)</f>
        <v>384220160.45371902</v>
      </c>
      <c r="P853" s="213">
        <v>30473246</v>
      </c>
      <c r="Q853" s="213">
        <v>120576226</v>
      </c>
      <c r="R853" s="27" t="s">
        <v>619</v>
      </c>
      <c r="S853" s="27"/>
      <c r="T853" s="18"/>
      <c r="U853" s="27" t="s">
        <v>590</v>
      </c>
      <c r="V853" s="27" t="s">
        <v>1366</v>
      </c>
      <c r="W853" s="30">
        <v>42.61</v>
      </c>
      <c r="X853" s="27">
        <v>2</v>
      </c>
      <c r="Y853" s="27" t="s">
        <v>871</v>
      </c>
      <c r="Z853" s="27">
        <v>2</v>
      </c>
      <c r="AA853" s="27" t="s">
        <v>1368</v>
      </c>
      <c r="AB853" s="27" t="s">
        <v>1369</v>
      </c>
      <c r="AC853" s="273">
        <v>30473246</v>
      </c>
      <c r="AD853" s="27">
        <v>2211535311.6283431</v>
      </c>
      <c r="AE853" s="228">
        <v>1.3779226512807833E-2</v>
      </c>
      <c r="AF853" s="27" t="s">
        <v>2842</v>
      </c>
      <c r="AG853" s="226" t="s">
        <v>2842</v>
      </c>
      <c r="AH853" s="226" t="s">
        <v>2842</v>
      </c>
      <c r="AI853" s="27">
        <v>261370000</v>
      </c>
      <c r="AJ853" s="226">
        <v>0.11659045031947048</v>
      </c>
      <c r="AK853" s="27">
        <v>50316370.620220914</v>
      </c>
      <c r="AL853" s="226">
        <v>0.60563283131064205</v>
      </c>
      <c r="AM853" s="27">
        <v>102226671.70530201</v>
      </c>
      <c r="AN853" s="271">
        <v>0.2980948659646081</v>
      </c>
      <c r="AO853" s="27">
        <v>5104700</v>
      </c>
      <c r="AP853" s="27" t="s">
        <v>2842</v>
      </c>
      <c r="AQ853" s="27">
        <v>68.153658536585368</v>
      </c>
      <c r="AR853" s="27">
        <v>35.700000000000003</v>
      </c>
      <c r="AS853" s="29">
        <v>97.889880000000005</v>
      </c>
      <c r="AT853" s="270" t="s">
        <v>2842</v>
      </c>
      <c r="AU853" s="464" t="s">
        <v>2842</v>
      </c>
      <c r="AV853" s="29">
        <v>-0.99783876931018101</v>
      </c>
      <c r="AW853" s="29">
        <v>-1.17479806695392</v>
      </c>
      <c r="AX853" s="29">
        <v>-0.71639153301617997</v>
      </c>
      <c r="AY853" s="29">
        <v>-0.32531996502788701</v>
      </c>
      <c r="AZ853" s="60">
        <v>-1.0272392511419</v>
      </c>
    </row>
    <row r="854" spans="1:52" s="29" customFormat="1" ht="15" customHeight="1">
      <c r="A854" s="63" t="s">
        <v>277</v>
      </c>
      <c r="B854" s="27">
        <v>2004</v>
      </c>
      <c r="C854" s="27" t="s">
        <v>278</v>
      </c>
      <c r="D854" s="69" t="s">
        <v>34</v>
      </c>
      <c r="E854" s="27" t="s">
        <v>19</v>
      </c>
      <c r="F854" s="27" t="s">
        <v>573</v>
      </c>
      <c r="G854" s="43">
        <v>453592</v>
      </c>
      <c r="H854" s="43"/>
      <c r="I854" s="43"/>
      <c r="J854" s="43"/>
      <c r="K854" s="27" t="s">
        <v>567</v>
      </c>
      <c r="L854" s="28">
        <v>69.798891942663829</v>
      </c>
      <c r="M854" s="27" t="s">
        <v>568</v>
      </c>
      <c r="N854" s="27" t="s">
        <v>1370</v>
      </c>
      <c r="O854" s="18">
        <f t="shared" ref="O854:O863" si="9">G854*L854</f>
        <v>31660218.994056772</v>
      </c>
      <c r="P854" s="213"/>
      <c r="Q854" s="213"/>
      <c r="R854" s="27"/>
      <c r="S854" s="27"/>
      <c r="T854" s="18"/>
      <c r="U854" s="27"/>
      <c r="V854" s="27"/>
      <c r="W854" s="30"/>
      <c r="X854" s="27"/>
      <c r="Y854" s="27"/>
      <c r="Z854" s="27"/>
      <c r="AA854" s="27"/>
      <c r="AB854" s="27" t="s">
        <v>1371</v>
      </c>
      <c r="AC854" s="273">
        <v>30473246</v>
      </c>
      <c r="AD854" s="27">
        <v>2211535311.6283431</v>
      </c>
      <c r="AE854" s="228">
        <v>1.3779226512807833E-2</v>
      </c>
      <c r="AF854" s="27" t="s">
        <v>2842</v>
      </c>
      <c r="AG854" s="226" t="s">
        <v>2842</v>
      </c>
      <c r="AH854" s="226" t="s">
        <v>2842</v>
      </c>
      <c r="AI854" s="27">
        <v>261370000</v>
      </c>
      <c r="AJ854" s="226">
        <v>0.11659045031947048</v>
      </c>
      <c r="AK854" s="27">
        <v>50316370.620220914</v>
      </c>
      <c r="AL854" s="226">
        <v>0.60563283131064205</v>
      </c>
      <c r="AM854" s="27">
        <v>102226671.70530201</v>
      </c>
      <c r="AN854" s="271">
        <v>0.2980948659646081</v>
      </c>
      <c r="AO854" s="27">
        <v>5104700</v>
      </c>
      <c r="AP854" s="27" t="s">
        <v>2842</v>
      </c>
      <c r="AQ854" s="27">
        <v>68.153658536585368</v>
      </c>
      <c r="AR854" s="27">
        <v>35.700000000000003</v>
      </c>
      <c r="AS854" s="29">
        <v>97.889880000000005</v>
      </c>
      <c r="AT854" s="270" t="s">
        <v>2842</v>
      </c>
      <c r="AU854" s="464" t="s">
        <v>2842</v>
      </c>
      <c r="AV854" s="29">
        <v>-0.99783876931018101</v>
      </c>
      <c r="AW854" s="29">
        <v>-1.17479806695392</v>
      </c>
      <c r="AX854" s="29">
        <v>-0.71639153301617997</v>
      </c>
      <c r="AY854" s="29">
        <v>-0.32531996502788701</v>
      </c>
      <c r="AZ854" s="60">
        <v>-1.0272392511419</v>
      </c>
    </row>
    <row r="855" spans="1:52" s="29" customFormat="1" ht="15" customHeight="1">
      <c r="A855" s="63" t="s">
        <v>277</v>
      </c>
      <c r="B855" s="27">
        <v>2004</v>
      </c>
      <c r="C855" s="27" t="s">
        <v>278</v>
      </c>
      <c r="D855" s="69" t="s">
        <v>34</v>
      </c>
      <c r="E855" s="27" t="s">
        <v>19</v>
      </c>
      <c r="F855" s="27" t="s">
        <v>730</v>
      </c>
      <c r="G855" s="43">
        <f>20445*32.150743126506</f>
        <v>657321.94322141516</v>
      </c>
      <c r="H855" s="43"/>
      <c r="I855" s="43"/>
      <c r="J855" s="43"/>
      <c r="K855" s="27" t="s">
        <v>731</v>
      </c>
      <c r="L855" s="28">
        <v>409.21158333333</v>
      </c>
      <c r="M855" s="27" t="s">
        <v>732</v>
      </c>
      <c r="N855" s="27" t="s">
        <v>1037</v>
      </c>
      <c r="O855" s="18">
        <f t="shared" si="9"/>
        <v>268983753.14537656</v>
      </c>
      <c r="P855" s="213"/>
      <c r="Q855" s="213"/>
      <c r="R855" s="27"/>
      <c r="S855" s="27"/>
      <c r="T855" s="18"/>
      <c r="U855" s="27"/>
      <c r="V855" s="27"/>
      <c r="W855" s="30"/>
      <c r="X855" s="27"/>
      <c r="Y855" s="27"/>
      <c r="Z855" s="27"/>
      <c r="AA855" s="27"/>
      <c r="AB855" s="27" t="s">
        <v>1371</v>
      </c>
      <c r="AC855" s="273">
        <v>30473246</v>
      </c>
      <c r="AD855" s="27">
        <v>2211535311.6283431</v>
      </c>
      <c r="AE855" s="228">
        <v>1.3779226512807833E-2</v>
      </c>
      <c r="AF855" s="27" t="s">
        <v>2842</v>
      </c>
      <c r="AG855" s="226" t="s">
        <v>2842</v>
      </c>
      <c r="AH855" s="226" t="s">
        <v>2842</v>
      </c>
      <c r="AI855" s="27">
        <v>261370000</v>
      </c>
      <c r="AJ855" s="226">
        <v>0.11659045031947048</v>
      </c>
      <c r="AK855" s="27">
        <v>50316370.620220914</v>
      </c>
      <c r="AL855" s="226">
        <v>0.60563283131064205</v>
      </c>
      <c r="AM855" s="27">
        <v>102226671.70530201</v>
      </c>
      <c r="AN855" s="271">
        <v>0.2980948659646081</v>
      </c>
      <c r="AO855" s="27">
        <v>5104700</v>
      </c>
      <c r="AP855" s="27" t="s">
        <v>2842</v>
      </c>
      <c r="AQ855" s="27">
        <v>68.153658536585368</v>
      </c>
      <c r="AR855" s="27">
        <v>35.700000000000003</v>
      </c>
      <c r="AS855" s="29">
        <v>97.889880000000005</v>
      </c>
      <c r="AT855" s="270" t="s">
        <v>2842</v>
      </c>
      <c r="AU855" s="464" t="s">
        <v>2842</v>
      </c>
      <c r="AV855" s="29">
        <v>-0.99783876931018101</v>
      </c>
      <c r="AW855" s="29">
        <v>-1.17479806695392</v>
      </c>
      <c r="AX855" s="29">
        <v>-0.71639153301617997</v>
      </c>
      <c r="AY855" s="29">
        <v>-0.32531996502788701</v>
      </c>
      <c r="AZ855" s="60">
        <v>-1.0272392511419</v>
      </c>
    </row>
    <row r="856" spans="1:52" s="29" customFormat="1" ht="15" customHeight="1">
      <c r="A856" s="63" t="s">
        <v>277</v>
      </c>
      <c r="B856" s="27">
        <v>2004</v>
      </c>
      <c r="C856" s="27" t="s">
        <v>278</v>
      </c>
      <c r="D856" s="69" t="s">
        <v>34</v>
      </c>
      <c r="E856" s="27" t="s">
        <v>19</v>
      </c>
      <c r="F856" s="27" t="s">
        <v>579</v>
      </c>
      <c r="G856" s="43">
        <v>14000</v>
      </c>
      <c r="H856" s="43"/>
      <c r="I856" s="43"/>
      <c r="J856" s="43"/>
      <c r="K856" s="27" t="s">
        <v>567</v>
      </c>
      <c r="L856" s="28">
        <v>14.14</v>
      </c>
      <c r="M856" s="27" t="s">
        <v>568</v>
      </c>
      <c r="N856" s="27" t="s">
        <v>1372</v>
      </c>
      <c r="O856" s="18">
        <f t="shared" si="9"/>
        <v>197960</v>
      </c>
      <c r="P856" s="213"/>
      <c r="Q856" s="213"/>
      <c r="R856" s="27"/>
      <c r="S856" s="27"/>
      <c r="T856" s="18"/>
      <c r="U856" s="27"/>
      <c r="V856" s="27"/>
      <c r="W856" s="30"/>
      <c r="X856" s="27"/>
      <c r="Y856" s="27"/>
      <c r="Z856" s="27"/>
      <c r="AA856" s="27"/>
      <c r="AB856" s="27" t="s">
        <v>1371</v>
      </c>
      <c r="AC856" s="273">
        <v>30473246</v>
      </c>
      <c r="AD856" s="27">
        <v>2211535311.6283431</v>
      </c>
      <c r="AE856" s="228">
        <v>1.3779226512807833E-2</v>
      </c>
      <c r="AF856" s="27" t="s">
        <v>2842</v>
      </c>
      <c r="AG856" s="226" t="s">
        <v>2842</v>
      </c>
      <c r="AH856" s="226" t="s">
        <v>2842</v>
      </c>
      <c r="AI856" s="27">
        <v>261370000</v>
      </c>
      <c r="AJ856" s="226">
        <v>0.11659045031947048</v>
      </c>
      <c r="AK856" s="27">
        <v>50316370.620220914</v>
      </c>
      <c r="AL856" s="226">
        <v>0.60563283131064205</v>
      </c>
      <c r="AM856" s="27">
        <v>102226671.70530201</v>
      </c>
      <c r="AN856" s="271">
        <v>0.2980948659646081</v>
      </c>
      <c r="AO856" s="27">
        <v>5104700</v>
      </c>
      <c r="AP856" s="27" t="s">
        <v>2842</v>
      </c>
      <c r="AQ856" s="27">
        <v>68.153658536585368</v>
      </c>
      <c r="AR856" s="27">
        <v>35.700000000000003</v>
      </c>
      <c r="AS856" s="29">
        <v>97.889880000000005</v>
      </c>
      <c r="AT856" s="270" t="s">
        <v>2842</v>
      </c>
      <c r="AU856" s="464" t="s">
        <v>2842</v>
      </c>
      <c r="AV856" s="29">
        <v>-0.99783876931018101</v>
      </c>
      <c r="AW856" s="29">
        <v>-1.17479806695392</v>
      </c>
      <c r="AX856" s="29">
        <v>-0.71639153301617997</v>
      </c>
      <c r="AY856" s="29">
        <v>-0.32531996502788701</v>
      </c>
      <c r="AZ856" s="60">
        <v>-1.0272392511419</v>
      </c>
    </row>
    <row r="857" spans="1:52" s="29" customFormat="1" ht="15" customHeight="1">
      <c r="A857" s="63" t="s">
        <v>277</v>
      </c>
      <c r="B857" s="27">
        <v>2004</v>
      </c>
      <c r="C857" s="27" t="s">
        <v>278</v>
      </c>
      <c r="D857" s="69" t="s">
        <v>34</v>
      </c>
      <c r="E857" s="27" t="s">
        <v>19</v>
      </c>
      <c r="F857" s="27" t="s">
        <v>1135</v>
      </c>
      <c r="G857" s="43">
        <v>400000</v>
      </c>
      <c r="H857" s="43"/>
      <c r="I857" s="43"/>
      <c r="J857" s="43"/>
      <c r="K857" s="27" t="s">
        <v>567</v>
      </c>
      <c r="L857" s="28">
        <v>121</v>
      </c>
      <c r="M857" s="27" t="s">
        <v>568</v>
      </c>
      <c r="N857" s="27" t="s">
        <v>1373</v>
      </c>
      <c r="O857" s="18">
        <f t="shared" si="9"/>
        <v>48400000</v>
      </c>
      <c r="P857" s="213"/>
      <c r="Q857" s="213"/>
      <c r="R857" s="27"/>
      <c r="S857" s="27"/>
      <c r="T857" s="18"/>
      <c r="U857" s="27"/>
      <c r="V857" s="27"/>
      <c r="W857" s="30"/>
      <c r="X857" s="27"/>
      <c r="Y857" s="27"/>
      <c r="Z857" s="27"/>
      <c r="AA857" s="27"/>
      <c r="AB857" s="27" t="s">
        <v>1371</v>
      </c>
      <c r="AC857" s="273">
        <v>30473246</v>
      </c>
      <c r="AD857" s="27">
        <v>2211535311.6283431</v>
      </c>
      <c r="AE857" s="228">
        <v>1.3779226512807833E-2</v>
      </c>
      <c r="AF857" s="27" t="s">
        <v>2842</v>
      </c>
      <c r="AG857" s="226" t="s">
        <v>2842</v>
      </c>
      <c r="AH857" s="226" t="s">
        <v>2842</v>
      </c>
      <c r="AI857" s="27">
        <v>261370000</v>
      </c>
      <c r="AJ857" s="226">
        <v>0.11659045031947048</v>
      </c>
      <c r="AK857" s="27">
        <v>50316370.620220914</v>
      </c>
      <c r="AL857" s="226">
        <v>0.60563283131064205</v>
      </c>
      <c r="AM857" s="27">
        <v>102226671.70530201</v>
      </c>
      <c r="AN857" s="271">
        <v>0.2980948659646081</v>
      </c>
      <c r="AO857" s="27">
        <v>5104700</v>
      </c>
      <c r="AP857" s="27" t="s">
        <v>2842</v>
      </c>
      <c r="AQ857" s="27">
        <v>68.153658536585368</v>
      </c>
      <c r="AR857" s="27">
        <v>35.700000000000003</v>
      </c>
      <c r="AS857" s="29">
        <v>97.889880000000005</v>
      </c>
      <c r="AT857" s="270" t="s">
        <v>2842</v>
      </c>
      <c r="AU857" s="464" t="s">
        <v>2842</v>
      </c>
      <c r="AV857" s="29">
        <v>-0.99783876931018101</v>
      </c>
      <c r="AW857" s="29">
        <v>-1.17479806695392</v>
      </c>
      <c r="AX857" s="29">
        <v>-0.71639153301617997</v>
      </c>
      <c r="AY857" s="29">
        <v>-0.32531996502788701</v>
      </c>
      <c r="AZ857" s="60">
        <v>-1.0272392511419</v>
      </c>
    </row>
    <row r="858" spans="1:52" s="29" customFormat="1" ht="15" customHeight="1">
      <c r="A858" s="63" t="s">
        <v>277</v>
      </c>
      <c r="B858" s="27">
        <v>2004</v>
      </c>
      <c r="C858" s="27" t="s">
        <v>278</v>
      </c>
      <c r="D858" s="69" t="s">
        <v>34</v>
      </c>
      <c r="E858" s="27" t="s">
        <v>19</v>
      </c>
      <c r="F858" s="27" t="s">
        <v>1374</v>
      </c>
      <c r="G858" s="43">
        <v>11200</v>
      </c>
      <c r="H858" s="43"/>
      <c r="I858" s="43"/>
      <c r="J858" s="43"/>
      <c r="K858" s="27" t="s">
        <v>567</v>
      </c>
      <c r="L858" s="28">
        <v>77.3</v>
      </c>
      <c r="M858" s="27" t="s">
        <v>568</v>
      </c>
      <c r="N858" s="27" t="s">
        <v>1375</v>
      </c>
      <c r="O858" s="18">
        <f t="shared" si="9"/>
        <v>865760</v>
      </c>
      <c r="P858" s="213"/>
      <c r="Q858" s="213"/>
      <c r="R858" s="27"/>
      <c r="S858" s="27"/>
      <c r="T858" s="18"/>
      <c r="U858" s="27"/>
      <c r="V858" s="27"/>
      <c r="W858" s="30"/>
      <c r="X858" s="27"/>
      <c r="Y858" s="27"/>
      <c r="Z858" s="27"/>
      <c r="AA858" s="27"/>
      <c r="AB858" s="27" t="s">
        <v>1371</v>
      </c>
      <c r="AC858" s="273">
        <v>30473246</v>
      </c>
      <c r="AD858" s="27">
        <v>2211535311.6283431</v>
      </c>
      <c r="AE858" s="228">
        <v>1.3779226512807833E-2</v>
      </c>
      <c r="AF858" s="27" t="s">
        <v>2842</v>
      </c>
      <c r="AG858" s="226" t="s">
        <v>2842</v>
      </c>
      <c r="AH858" s="226" t="s">
        <v>2842</v>
      </c>
      <c r="AI858" s="27">
        <v>261370000</v>
      </c>
      <c r="AJ858" s="226">
        <v>0.11659045031947048</v>
      </c>
      <c r="AK858" s="27">
        <v>50316370.620220914</v>
      </c>
      <c r="AL858" s="226">
        <v>0.60563283131064205</v>
      </c>
      <c r="AM858" s="27">
        <v>102226671.70530201</v>
      </c>
      <c r="AN858" s="271">
        <v>0.2980948659646081</v>
      </c>
      <c r="AO858" s="27">
        <v>5104700</v>
      </c>
      <c r="AP858" s="27" t="s">
        <v>2842</v>
      </c>
      <c r="AQ858" s="27">
        <v>68.153658536585368</v>
      </c>
      <c r="AR858" s="27">
        <v>35.700000000000003</v>
      </c>
      <c r="AS858" s="29">
        <v>97.889880000000005</v>
      </c>
      <c r="AT858" s="270" t="s">
        <v>2842</v>
      </c>
      <c r="AU858" s="464" t="s">
        <v>2842</v>
      </c>
      <c r="AV858" s="29">
        <v>-0.99783876931018101</v>
      </c>
      <c r="AW858" s="29">
        <v>-1.17479806695392</v>
      </c>
      <c r="AX858" s="29">
        <v>-0.71639153301617997</v>
      </c>
      <c r="AY858" s="29">
        <v>-0.32531996502788701</v>
      </c>
      <c r="AZ858" s="60">
        <v>-1.0272392511419</v>
      </c>
    </row>
    <row r="859" spans="1:52" s="29" customFormat="1" ht="15" customHeight="1">
      <c r="A859" s="63" t="s">
        <v>277</v>
      </c>
      <c r="B859" s="27">
        <v>2004</v>
      </c>
      <c r="C859" s="27" t="s">
        <v>278</v>
      </c>
      <c r="D859" s="69" t="s">
        <v>34</v>
      </c>
      <c r="E859" s="27" t="s">
        <v>19</v>
      </c>
      <c r="F859" s="27" t="s">
        <v>1137</v>
      </c>
      <c r="G859" s="43">
        <v>445050</v>
      </c>
      <c r="H859" s="43"/>
      <c r="I859" s="43"/>
      <c r="J859" s="43"/>
      <c r="K859" s="27" t="s">
        <v>567</v>
      </c>
      <c r="L859" s="28">
        <v>5.68</v>
      </c>
      <c r="M859" s="27" t="s">
        <v>568</v>
      </c>
      <c r="N859" s="27" t="s">
        <v>1376</v>
      </c>
      <c r="O859" s="18">
        <f t="shared" si="9"/>
        <v>2527884</v>
      </c>
      <c r="P859" s="213"/>
      <c r="Q859" s="213"/>
      <c r="R859" s="27"/>
      <c r="S859" s="27"/>
      <c r="T859" s="18"/>
      <c r="U859" s="27"/>
      <c r="V859" s="27"/>
      <c r="W859" s="30"/>
      <c r="X859" s="27"/>
      <c r="Y859" s="27"/>
      <c r="Z859" s="27"/>
      <c r="AA859" s="27"/>
      <c r="AB859" s="27" t="s">
        <v>1371</v>
      </c>
      <c r="AC859" s="273">
        <v>30473246</v>
      </c>
      <c r="AD859" s="27">
        <v>2211535311.6283431</v>
      </c>
      <c r="AE859" s="228">
        <v>1.3779226512807833E-2</v>
      </c>
      <c r="AF859" s="27" t="s">
        <v>2842</v>
      </c>
      <c r="AG859" s="226" t="s">
        <v>2842</v>
      </c>
      <c r="AH859" s="226" t="s">
        <v>2842</v>
      </c>
      <c r="AI859" s="27">
        <v>261370000</v>
      </c>
      <c r="AJ859" s="226">
        <v>0.11659045031947048</v>
      </c>
      <c r="AK859" s="27">
        <v>50316370.620220914</v>
      </c>
      <c r="AL859" s="226">
        <v>0.60563283131064205</v>
      </c>
      <c r="AM859" s="27">
        <v>102226671.70530201</v>
      </c>
      <c r="AN859" s="271">
        <v>0.2980948659646081</v>
      </c>
      <c r="AO859" s="27">
        <v>5104700</v>
      </c>
      <c r="AP859" s="27" t="s">
        <v>2842</v>
      </c>
      <c r="AQ859" s="27">
        <v>68.153658536585368</v>
      </c>
      <c r="AR859" s="27">
        <v>35.700000000000003</v>
      </c>
      <c r="AS859" s="29">
        <v>97.889880000000005</v>
      </c>
      <c r="AT859" s="270" t="s">
        <v>2842</v>
      </c>
      <c r="AU859" s="464" t="s">
        <v>2842</v>
      </c>
      <c r="AV859" s="29">
        <v>-0.99783876931018101</v>
      </c>
      <c r="AW859" s="29">
        <v>-1.17479806695392</v>
      </c>
      <c r="AX859" s="29">
        <v>-0.71639153301617997</v>
      </c>
      <c r="AY859" s="29">
        <v>-0.32531996502788701</v>
      </c>
      <c r="AZ859" s="60">
        <v>-1.0272392511419</v>
      </c>
    </row>
    <row r="860" spans="1:52" s="29" customFormat="1" ht="15" customHeight="1">
      <c r="A860" s="63" t="s">
        <v>277</v>
      </c>
      <c r="B860" s="27">
        <v>2004</v>
      </c>
      <c r="C860" s="27" t="s">
        <v>278</v>
      </c>
      <c r="D860" s="69" t="s">
        <v>34</v>
      </c>
      <c r="E860" s="27" t="s">
        <v>19</v>
      </c>
      <c r="F860" s="27" t="s">
        <v>1377</v>
      </c>
      <c r="G860" s="43">
        <v>500</v>
      </c>
      <c r="H860" s="43"/>
      <c r="I860" s="43"/>
      <c r="J860" s="43"/>
      <c r="K860" s="27" t="s">
        <v>567</v>
      </c>
      <c r="L860" s="28">
        <f>365/0.035</f>
        <v>10428.571428571428</v>
      </c>
      <c r="M860" s="27" t="s">
        <v>568</v>
      </c>
      <c r="N860" s="27" t="s">
        <v>1378</v>
      </c>
      <c r="O860" s="18">
        <f t="shared" si="9"/>
        <v>5214285.7142857136</v>
      </c>
      <c r="P860" s="213"/>
      <c r="Q860" s="213"/>
      <c r="R860" s="27"/>
      <c r="S860" s="27"/>
      <c r="T860" s="18"/>
      <c r="U860" s="27"/>
      <c r="V860" s="27"/>
      <c r="W860" s="30"/>
      <c r="X860" s="27"/>
      <c r="Y860" s="27"/>
      <c r="Z860" s="27"/>
      <c r="AA860" s="27"/>
      <c r="AB860" s="27" t="s">
        <v>1371</v>
      </c>
      <c r="AC860" s="273">
        <v>30473246</v>
      </c>
      <c r="AD860" s="27">
        <v>2211535311.6283431</v>
      </c>
      <c r="AE860" s="228">
        <v>1.3779226512807833E-2</v>
      </c>
      <c r="AF860" s="27" t="s">
        <v>2842</v>
      </c>
      <c r="AG860" s="226" t="s">
        <v>2842</v>
      </c>
      <c r="AH860" s="226" t="s">
        <v>2842</v>
      </c>
      <c r="AI860" s="27">
        <v>261370000</v>
      </c>
      <c r="AJ860" s="226">
        <v>0.11659045031947048</v>
      </c>
      <c r="AK860" s="27">
        <v>50316370.620220914</v>
      </c>
      <c r="AL860" s="226">
        <v>0.60563283131064205</v>
      </c>
      <c r="AM860" s="27">
        <v>102226671.70530201</v>
      </c>
      <c r="AN860" s="271">
        <v>0.2980948659646081</v>
      </c>
      <c r="AO860" s="27">
        <v>5104700</v>
      </c>
      <c r="AP860" s="27" t="s">
        <v>2842</v>
      </c>
      <c r="AQ860" s="27">
        <v>68.153658536585368</v>
      </c>
      <c r="AR860" s="27">
        <v>35.700000000000003</v>
      </c>
      <c r="AS860" s="29">
        <v>97.889880000000005</v>
      </c>
      <c r="AT860" s="270" t="s">
        <v>2842</v>
      </c>
      <c r="AU860" s="464" t="s">
        <v>2842</v>
      </c>
      <c r="AV860" s="29">
        <v>-0.99783876931018101</v>
      </c>
      <c r="AW860" s="29">
        <v>-1.17479806695392</v>
      </c>
      <c r="AX860" s="29">
        <v>-0.71639153301617997</v>
      </c>
      <c r="AY860" s="29">
        <v>-0.32531996502788701</v>
      </c>
      <c r="AZ860" s="60">
        <v>-1.0272392511419</v>
      </c>
    </row>
    <row r="861" spans="1:52" s="29" customFormat="1" ht="15" customHeight="1">
      <c r="A861" s="63" t="s">
        <v>277</v>
      </c>
      <c r="B861" s="27">
        <v>2004</v>
      </c>
      <c r="C861" s="27" t="s">
        <v>278</v>
      </c>
      <c r="D861" s="69" t="s">
        <v>34</v>
      </c>
      <c r="E861" s="27" t="s">
        <v>19</v>
      </c>
      <c r="F861" s="27" t="s">
        <v>1379</v>
      </c>
      <c r="G861" s="43">
        <v>488</v>
      </c>
      <c r="H861" s="43"/>
      <c r="I861" s="43"/>
      <c r="J861" s="43"/>
      <c r="K861" s="27" t="s">
        <v>567</v>
      </c>
      <c r="L861" s="28">
        <v>36730</v>
      </c>
      <c r="M861" s="27" t="s">
        <v>568</v>
      </c>
      <c r="N861" s="27" t="s">
        <v>1378</v>
      </c>
      <c r="O861" s="18">
        <f t="shared" si="9"/>
        <v>17924240</v>
      </c>
      <c r="P861" s="213"/>
      <c r="Q861" s="213"/>
      <c r="R861" s="27"/>
      <c r="S861" s="27"/>
      <c r="T861" s="18"/>
      <c r="U861" s="27"/>
      <c r="V861" s="27"/>
      <c r="W861" s="30"/>
      <c r="X861" s="27"/>
      <c r="Y861" s="27"/>
      <c r="Z861" s="27"/>
      <c r="AA861" s="27"/>
      <c r="AB861" s="27" t="s">
        <v>1371</v>
      </c>
      <c r="AC861" s="273">
        <v>30473246</v>
      </c>
      <c r="AD861" s="27">
        <v>2211535311.6283431</v>
      </c>
      <c r="AE861" s="228">
        <v>1.3779226512807833E-2</v>
      </c>
      <c r="AF861" s="27" t="s">
        <v>2842</v>
      </c>
      <c r="AG861" s="226" t="s">
        <v>2842</v>
      </c>
      <c r="AH861" s="226" t="s">
        <v>2842</v>
      </c>
      <c r="AI861" s="27">
        <v>261370000</v>
      </c>
      <c r="AJ861" s="226">
        <v>0.11659045031947048</v>
      </c>
      <c r="AK861" s="27">
        <v>50316370.620220914</v>
      </c>
      <c r="AL861" s="226">
        <v>0.60563283131064205</v>
      </c>
      <c r="AM861" s="27">
        <v>102226671.70530201</v>
      </c>
      <c r="AN861" s="271">
        <v>0.2980948659646081</v>
      </c>
      <c r="AO861" s="27">
        <v>5104700</v>
      </c>
      <c r="AP861" s="27" t="s">
        <v>2842</v>
      </c>
      <c r="AQ861" s="27">
        <v>68.153658536585368</v>
      </c>
      <c r="AR861" s="27">
        <v>35.700000000000003</v>
      </c>
      <c r="AS861" s="29">
        <v>97.889880000000005</v>
      </c>
      <c r="AT861" s="270" t="s">
        <v>2842</v>
      </c>
      <c r="AU861" s="464" t="s">
        <v>2842</v>
      </c>
      <c r="AV861" s="29">
        <v>-0.99783876931018101</v>
      </c>
      <c r="AW861" s="29">
        <v>-1.17479806695392</v>
      </c>
      <c r="AX861" s="29">
        <v>-0.71639153301617997</v>
      </c>
      <c r="AY861" s="29">
        <v>-0.32531996502788701</v>
      </c>
      <c r="AZ861" s="60">
        <v>-1.0272392511419</v>
      </c>
    </row>
    <row r="862" spans="1:52" s="29" customFormat="1" ht="15" customHeight="1">
      <c r="A862" s="63" t="s">
        <v>277</v>
      </c>
      <c r="B862" s="27">
        <v>2004</v>
      </c>
      <c r="C862" s="27" t="s">
        <v>278</v>
      </c>
      <c r="D862" s="69" t="s">
        <v>34</v>
      </c>
      <c r="E862" s="27" t="s">
        <v>19</v>
      </c>
      <c r="F862" s="27" t="s">
        <v>1380</v>
      </c>
      <c r="G862" s="43">
        <f>491300*1.65</f>
        <v>810645</v>
      </c>
      <c r="H862" s="43"/>
      <c r="I862" s="43"/>
      <c r="J862" s="43"/>
      <c r="K862" s="27" t="s">
        <v>567</v>
      </c>
      <c r="L862" s="28">
        <v>5.32</v>
      </c>
      <c r="M862" s="27" t="s">
        <v>568</v>
      </c>
      <c r="N862" s="27" t="s">
        <v>1381</v>
      </c>
      <c r="O862" s="18">
        <f t="shared" si="9"/>
        <v>4312631.4000000004</v>
      </c>
      <c r="P862" s="213"/>
      <c r="Q862" s="213"/>
      <c r="R862" s="27"/>
      <c r="S862" s="27"/>
      <c r="T862" s="18"/>
      <c r="U862" s="27"/>
      <c r="V862" s="27"/>
      <c r="W862" s="30"/>
      <c r="X862" s="27"/>
      <c r="Y862" s="27"/>
      <c r="Z862" s="27"/>
      <c r="AA862" s="27"/>
      <c r="AB862" s="27" t="s">
        <v>1371</v>
      </c>
      <c r="AC862" s="273">
        <v>30473246</v>
      </c>
      <c r="AD862" s="27">
        <v>2211535311.6283431</v>
      </c>
      <c r="AE862" s="228">
        <v>1.3779226512807833E-2</v>
      </c>
      <c r="AF862" s="27" t="s">
        <v>2842</v>
      </c>
      <c r="AG862" s="226" t="s">
        <v>2842</v>
      </c>
      <c r="AH862" s="226" t="s">
        <v>2842</v>
      </c>
      <c r="AI862" s="27">
        <v>261370000</v>
      </c>
      <c r="AJ862" s="226">
        <v>0.11659045031947048</v>
      </c>
      <c r="AK862" s="27">
        <v>50316370.620220914</v>
      </c>
      <c r="AL862" s="226">
        <v>0.60563283131064205</v>
      </c>
      <c r="AM862" s="27">
        <v>102226671.70530201</v>
      </c>
      <c r="AN862" s="271">
        <v>0.2980948659646081</v>
      </c>
      <c r="AO862" s="27">
        <v>5104700</v>
      </c>
      <c r="AP862" s="27" t="s">
        <v>2842</v>
      </c>
      <c r="AQ862" s="27">
        <v>68.153658536585368</v>
      </c>
      <c r="AR862" s="27">
        <v>35.700000000000003</v>
      </c>
      <c r="AS862" s="29">
        <v>97.889880000000005</v>
      </c>
      <c r="AT862" s="270" t="s">
        <v>2842</v>
      </c>
      <c r="AU862" s="464" t="s">
        <v>2842</v>
      </c>
      <c r="AV862" s="29">
        <v>-0.99783876931018101</v>
      </c>
      <c r="AW862" s="29">
        <v>-1.17479806695392</v>
      </c>
      <c r="AX862" s="29">
        <v>-0.71639153301617997</v>
      </c>
      <c r="AY862" s="29">
        <v>-0.32531996502788701</v>
      </c>
      <c r="AZ862" s="60">
        <v>-1.0272392511419</v>
      </c>
    </row>
    <row r="863" spans="1:52" s="287" customFormat="1" ht="15" customHeight="1">
      <c r="A863" s="359" t="s">
        <v>277</v>
      </c>
      <c r="B863" s="284">
        <v>2004</v>
      </c>
      <c r="C863" s="284" t="s">
        <v>278</v>
      </c>
      <c r="D863" s="369" t="s">
        <v>34</v>
      </c>
      <c r="E863" s="284" t="s">
        <v>19</v>
      </c>
      <c r="F863" s="284" t="s">
        <v>1382</v>
      </c>
      <c r="G863" s="303">
        <f>485600*1.6</f>
        <v>776960</v>
      </c>
      <c r="H863" s="303"/>
      <c r="I863" s="303"/>
      <c r="J863" s="303"/>
      <c r="K863" s="284" t="s">
        <v>567</v>
      </c>
      <c r="L863" s="304">
        <v>5.32</v>
      </c>
      <c r="M863" s="284" t="s">
        <v>568</v>
      </c>
      <c r="N863" s="284" t="s">
        <v>1381</v>
      </c>
      <c r="O863" s="305">
        <f t="shared" si="9"/>
        <v>4133427.2000000002</v>
      </c>
      <c r="P863" s="306"/>
      <c r="Q863" s="306"/>
      <c r="R863" s="284"/>
      <c r="S863" s="284"/>
      <c r="T863" s="305"/>
      <c r="U863" s="284"/>
      <c r="V863" s="284"/>
      <c r="W863" s="307"/>
      <c r="X863" s="284"/>
      <c r="Y863" s="284"/>
      <c r="Z863" s="284"/>
      <c r="AA863" s="284"/>
      <c r="AB863" s="284" t="s">
        <v>1371</v>
      </c>
      <c r="AC863" s="308">
        <v>30473246</v>
      </c>
      <c r="AD863" s="284">
        <v>2211535311.6283431</v>
      </c>
      <c r="AE863" s="309">
        <v>1.3779226512807833E-2</v>
      </c>
      <c r="AF863" s="284" t="s">
        <v>2842</v>
      </c>
      <c r="AG863" s="310" t="s">
        <v>2842</v>
      </c>
      <c r="AH863" s="310" t="s">
        <v>2842</v>
      </c>
      <c r="AI863" s="284">
        <v>261370000</v>
      </c>
      <c r="AJ863" s="310">
        <v>0.11659045031947048</v>
      </c>
      <c r="AK863" s="284">
        <v>50316370.620220914</v>
      </c>
      <c r="AL863" s="310">
        <v>0.60563283131064205</v>
      </c>
      <c r="AM863" s="284">
        <v>102226671.70530201</v>
      </c>
      <c r="AN863" s="311">
        <v>0.2980948659646081</v>
      </c>
      <c r="AO863" s="284">
        <v>5104700</v>
      </c>
      <c r="AP863" s="284" t="s">
        <v>2842</v>
      </c>
      <c r="AQ863" s="284">
        <v>68.153658536585368</v>
      </c>
      <c r="AR863" s="284">
        <v>35.700000000000003</v>
      </c>
      <c r="AS863" s="287">
        <v>97.889880000000005</v>
      </c>
      <c r="AT863" s="312" t="s">
        <v>2842</v>
      </c>
      <c r="AU863" s="465" t="s">
        <v>2842</v>
      </c>
      <c r="AV863" s="287">
        <v>-0.99783876931018101</v>
      </c>
      <c r="AW863" s="287">
        <v>-1.17479806695392</v>
      </c>
      <c r="AX863" s="287">
        <v>-0.71639153301617997</v>
      </c>
      <c r="AY863" s="287">
        <v>-0.32531996502788701</v>
      </c>
      <c r="AZ863" s="313">
        <v>-1.0272392511419</v>
      </c>
    </row>
    <row r="864" spans="1:52" ht="15" customHeight="1">
      <c r="A864" s="63" t="s">
        <v>280</v>
      </c>
      <c r="B864" s="27">
        <v>2005</v>
      </c>
      <c r="C864" s="27" t="s">
        <v>278</v>
      </c>
      <c r="D864" s="69" t="s">
        <v>34</v>
      </c>
      <c r="E864" s="27" t="s">
        <v>19</v>
      </c>
      <c r="F864" s="27" t="s">
        <v>659</v>
      </c>
      <c r="G864" s="43"/>
      <c r="H864" s="43"/>
      <c r="I864" s="43"/>
      <c r="J864" s="43"/>
      <c r="K864" s="27"/>
      <c r="L864" s="28"/>
      <c r="M864" s="27"/>
      <c r="N864" s="27"/>
      <c r="O864" s="18">
        <f>SUM(O865:O871)</f>
        <v>330132578.999942</v>
      </c>
      <c r="P864" s="213">
        <v>29106335</v>
      </c>
      <c r="Q864" s="213">
        <v>38337987</v>
      </c>
      <c r="R864" s="27" t="s">
        <v>619</v>
      </c>
      <c r="S864" s="27"/>
      <c r="T864" s="18"/>
      <c r="U864" s="27" t="s">
        <v>590</v>
      </c>
      <c r="V864" s="27" t="s">
        <v>1366</v>
      </c>
      <c r="W864" s="30">
        <v>41.04</v>
      </c>
      <c r="X864" s="27">
        <v>6</v>
      </c>
      <c r="Y864" s="27" t="s">
        <v>871</v>
      </c>
      <c r="Z864" s="27">
        <v>6</v>
      </c>
      <c r="AA864" s="27" t="s">
        <v>1368</v>
      </c>
      <c r="AB864" s="27" t="s">
        <v>1383</v>
      </c>
      <c r="AC864" s="273">
        <v>29106335</v>
      </c>
      <c r="AD864" s="27">
        <v>2459876151.9332976</v>
      </c>
      <c r="AE864" s="228">
        <v>1.1832439197040214E-2</v>
      </c>
      <c r="AF864" s="27">
        <v>455765853.43020141</v>
      </c>
      <c r="AG864" s="226">
        <v>6.386247407728958E-2</v>
      </c>
      <c r="AH864" s="226" t="s">
        <v>2842</v>
      </c>
      <c r="AI864" s="27">
        <v>267880000</v>
      </c>
      <c r="AJ864" s="226">
        <v>0.10865437882634016</v>
      </c>
      <c r="AK864" s="27">
        <v>58559772.811859176</v>
      </c>
      <c r="AL864" s="226">
        <v>0.4970363374446965</v>
      </c>
      <c r="AM864" s="27">
        <v>119890427.84338583</v>
      </c>
      <c r="AN864" s="271">
        <v>0.24277446935148086</v>
      </c>
      <c r="AO864" s="27">
        <v>5162600</v>
      </c>
      <c r="AP864" s="27" t="s">
        <v>2842</v>
      </c>
      <c r="AQ864" s="27">
        <v>67.956097560975621</v>
      </c>
      <c r="AR864" s="27">
        <v>34.4</v>
      </c>
      <c r="AS864" s="29">
        <v>95.451449999999994</v>
      </c>
      <c r="AT864" s="270" t="s">
        <v>2842</v>
      </c>
      <c r="AU864" s="464" t="s">
        <v>2842</v>
      </c>
      <c r="AV864" s="29">
        <v>-0.80955538455482101</v>
      </c>
      <c r="AW864" s="29">
        <v>-1.13361994914459</v>
      </c>
      <c r="AX864" s="29">
        <v>-0.83027922470362103</v>
      </c>
      <c r="AY864" s="29">
        <v>-0.879417721672345</v>
      </c>
      <c r="AZ864" s="60">
        <v>-1.1703095305947999</v>
      </c>
    </row>
    <row r="865" spans="1:52" ht="15" customHeight="1">
      <c r="A865" s="63" t="s">
        <v>280</v>
      </c>
      <c r="B865" s="27">
        <v>2005</v>
      </c>
      <c r="C865" s="27" t="s">
        <v>278</v>
      </c>
      <c r="D865" s="69" t="s">
        <v>34</v>
      </c>
      <c r="E865" s="27" t="s">
        <v>19</v>
      </c>
      <c r="F865" s="27" t="s">
        <v>573</v>
      </c>
      <c r="G865" s="43">
        <v>335500</v>
      </c>
      <c r="H865" s="43"/>
      <c r="I865" s="43"/>
      <c r="J865" s="43"/>
      <c r="K865" s="27" t="s">
        <v>567</v>
      </c>
      <c r="L865" s="28">
        <v>64.167195325854706</v>
      </c>
      <c r="M865" s="27" t="s">
        <v>568</v>
      </c>
      <c r="N865" s="27" t="s">
        <v>1384</v>
      </c>
      <c r="O865" s="18">
        <f t="shared" ref="O865:O871" si="10">G865*L865</f>
        <v>21528094.031824253</v>
      </c>
      <c r="P865" s="213"/>
      <c r="Q865" s="213"/>
      <c r="R865" s="27"/>
      <c r="S865" s="27"/>
      <c r="T865" s="18"/>
      <c r="U865" s="27"/>
      <c r="V865" s="27"/>
      <c r="W865" s="30"/>
      <c r="X865" s="27"/>
      <c r="Y865" s="27"/>
      <c r="Z865" s="27"/>
      <c r="AA865" s="27"/>
      <c r="AB865" s="27" t="s">
        <v>1385</v>
      </c>
      <c r="AC865" s="273">
        <v>29106335</v>
      </c>
      <c r="AD865" s="27">
        <v>2459876151.9332976</v>
      </c>
      <c r="AE865" s="228">
        <v>1.1832439197040214E-2</v>
      </c>
      <c r="AF865" s="27">
        <v>455765853.43020141</v>
      </c>
      <c r="AG865" s="226">
        <v>6.386247407728958E-2</v>
      </c>
      <c r="AH865" s="226" t="s">
        <v>2842</v>
      </c>
      <c r="AI865" s="27">
        <v>267880000</v>
      </c>
      <c r="AJ865" s="226">
        <v>0.10865437882634016</v>
      </c>
      <c r="AK865" s="27">
        <v>58559772.811859176</v>
      </c>
      <c r="AL865" s="226">
        <v>0.4970363374446965</v>
      </c>
      <c r="AM865" s="27">
        <v>119890427.84338583</v>
      </c>
      <c r="AN865" s="271">
        <v>0.24277446935148086</v>
      </c>
      <c r="AO865" s="27">
        <v>5162600</v>
      </c>
      <c r="AP865" s="27" t="s">
        <v>2842</v>
      </c>
      <c r="AQ865" s="27">
        <v>67.956097560975621</v>
      </c>
      <c r="AR865" s="27">
        <v>34.4</v>
      </c>
      <c r="AS865" s="29">
        <v>95.451449999999994</v>
      </c>
      <c r="AT865" s="270" t="s">
        <v>2842</v>
      </c>
      <c r="AU865" s="464" t="s">
        <v>2842</v>
      </c>
      <c r="AV865" s="29">
        <v>-0.80955538455482101</v>
      </c>
      <c r="AW865" s="29">
        <v>-1.13361994914459</v>
      </c>
      <c r="AX865" s="29">
        <v>-0.83027922470362103</v>
      </c>
      <c r="AY865" s="29">
        <v>-0.879417721672345</v>
      </c>
      <c r="AZ865" s="60">
        <v>-1.1703095305947999</v>
      </c>
    </row>
    <row r="866" spans="1:52" ht="15" customHeight="1">
      <c r="A866" s="63" t="s">
        <v>280</v>
      </c>
      <c r="B866" s="27">
        <v>2005</v>
      </c>
      <c r="C866" s="27" t="s">
        <v>278</v>
      </c>
      <c r="D866" s="69" t="s">
        <v>34</v>
      </c>
      <c r="E866" s="27" t="s">
        <v>19</v>
      </c>
      <c r="F866" s="27" t="s">
        <v>730</v>
      </c>
      <c r="G866" s="43">
        <f>16751*32.150743126506</f>
        <v>538557.09811210202</v>
      </c>
      <c r="H866" s="43"/>
      <c r="I866" s="43"/>
      <c r="J866" s="43"/>
      <c r="K866" s="27" t="s">
        <v>731</v>
      </c>
      <c r="L866" s="28">
        <v>444.84258333333003</v>
      </c>
      <c r="M866" s="27" t="s">
        <v>732</v>
      </c>
      <c r="N866" s="27" t="s">
        <v>1386</v>
      </c>
      <c r="O866" s="18">
        <f t="shared" si="10"/>
        <v>239573130.79668912</v>
      </c>
      <c r="P866" s="213"/>
      <c r="Q866" s="213"/>
      <c r="R866" s="27"/>
      <c r="S866" s="27"/>
      <c r="T866" s="18"/>
      <c r="U866" s="27"/>
      <c r="V866" s="27"/>
      <c r="W866" s="30"/>
      <c r="X866" s="27"/>
      <c r="Y866" s="27"/>
      <c r="Z866" s="27"/>
      <c r="AA866" s="27"/>
      <c r="AB866" s="27" t="s">
        <v>1385</v>
      </c>
      <c r="AC866" s="273">
        <v>29106335</v>
      </c>
      <c r="AD866" s="27">
        <v>2459876151.9332976</v>
      </c>
      <c r="AE866" s="228">
        <v>1.1832439197040214E-2</v>
      </c>
      <c r="AF866" s="27">
        <v>455765853.43020141</v>
      </c>
      <c r="AG866" s="226">
        <v>6.386247407728958E-2</v>
      </c>
      <c r="AH866" s="226" t="s">
        <v>2842</v>
      </c>
      <c r="AI866" s="27">
        <v>267880000</v>
      </c>
      <c r="AJ866" s="226">
        <v>0.10865437882634016</v>
      </c>
      <c r="AK866" s="27">
        <v>58559772.811859176</v>
      </c>
      <c r="AL866" s="226">
        <v>0.4970363374446965</v>
      </c>
      <c r="AM866" s="27">
        <v>119890427.84338583</v>
      </c>
      <c r="AN866" s="271">
        <v>0.24277446935148086</v>
      </c>
      <c r="AO866" s="27">
        <v>5162600</v>
      </c>
      <c r="AP866" s="27" t="s">
        <v>2842</v>
      </c>
      <c r="AQ866" s="27">
        <v>67.956097560975621</v>
      </c>
      <c r="AR866" s="27">
        <v>34.4</v>
      </c>
      <c r="AS866" s="29">
        <v>95.451449999999994</v>
      </c>
      <c r="AT866" s="270" t="s">
        <v>2842</v>
      </c>
      <c r="AU866" s="464" t="s">
        <v>2842</v>
      </c>
      <c r="AV866" s="29">
        <v>-0.80955538455482101</v>
      </c>
      <c r="AW866" s="29">
        <v>-1.13361994914459</v>
      </c>
      <c r="AX866" s="29">
        <v>-0.83027922470362103</v>
      </c>
      <c r="AY866" s="29">
        <v>-0.879417721672345</v>
      </c>
      <c r="AZ866" s="60">
        <v>-1.1703095305947999</v>
      </c>
    </row>
    <row r="867" spans="1:52" ht="15" customHeight="1">
      <c r="A867" s="63" t="s">
        <v>280</v>
      </c>
      <c r="B867" s="27">
        <v>2005</v>
      </c>
      <c r="C867" s="27" t="s">
        <v>278</v>
      </c>
      <c r="D867" s="69" t="s">
        <v>34</v>
      </c>
      <c r="E867" s="27" t="s">
        <v>19</v>
      </c>
      <c r="F867" s="27" t="s">
        <v>1135</v>
      </c>
      <c r="G867" s="43">
        <v>400000</v>
      </c>
      <c r="H867" s="43"/>
      <c r="I867" s="43"/>
      <c r="J867" s="43"/>
      <c r="K867" s="27" t="s">
        <v>567</v>
      </c>
      <c r="L867" s="28">
        <v>110</v>
      </c>
      <c r="M867" s="27" t="s">
        <v>568</v>
      </c>
      <c r="N867" s="27" t="s">
        <v>1387</v>
      </c>
      <c r="O867" s="18">
        <f t="shared" si="10"/>
        <v>44000000</v>
      </c>
      <c r="P867" s="213"/>
      <c r="Q867" s="213"/>
      <c r="R867" s="27"/>
      <c r="S867" s="27"/>
      <c r="T867" s="18"/>
      <c r="U867" s="27"/>
      <c r="V867" s="27"/>
      <c r="W867" s="30"/>
      <c r="X867" s="27"/>
      <c r="Y867" s="27"/>
      <c r="Z867" s="27"/>
      <c r="AA867" s="27"/>
      <c r="AB867" s="27" t="s">
        <v>1385</v>
      </c>
      <c r="AC867" s="273">
        <v>29106335</v>
      </c>
      <c r="AD867" s="27">
        <v>2459876151.9332976</v>
      </c>
      <c r="AE867" s="228">
        <v>1.1832439197040214E-2</v>
      </c>
      <c r="AF867" s="27">
        <v>455765853.43020141</v>
      </c>
      <c r="AG867" s="226">
        <v>6.386247407728958E-2</v>
      </c>
      <c r="AH867" s="226" t="s">
        <v>2842</v>
      </c>
      <c r="AI867" s="27">
        <v>267880000</v>
      </c>
      <c r="AJ867" s="226">
        <v>0.10865437882634016</v>
      </c>
      <c r="AK867" s="27">
        <v>58559772.811859176</v>
      </c>
      <c r="AL867" s="226">
        <v>0.4970363374446965</v>
      </c>
      <c r="AM867" s="27">
        <v>119890427.84338583</v>
      </c>
      <c r="AN867" s="271">
        <v>0.24277446935148086</v>
      </c>
      <c r="AO867" s="27">
        <v>5162600</v>
      </c>
      <c r="AP867" s="27" t="s">
        <v>2842</v>
      </c>
      <c r="AQ867" s="27">
        <v>67.956097560975621</v>
      </c>
      <c r="AR867" s="27">
        <v>34.4</v>
      </c>
      <c r="AS867" s="29">
        <v>95.451449999999994</v>
      </c>
      <c r="AT867" s="270" t="s">
        <v>2842</v>
      </c>
      <c r="AU867" s="464" t="s">
        <v>2842</v>
      </c>
      <c r="AV867" s="29">
        <v>-0.80955538455482101</v>
      </c>
      <c r="AW867" s="29">
        <v>-1.13361994914459</v>
      </c>
      <c r="AX867" s="29">
        <v>-0.83027922470362103</v>
      </c>
      <c r="AY867" s="29">
        <v>-0.879417721672345</v>
      </c>
      <c r="AZ867" s="60">
        <v>-1.1703095305947999</v>
      </c>
    </row>
    <row r="868" spans="1:52" ht="15" customHeight="1">
      <c r="A868" s="63" t="s">
        <v>280</v>
      </c>
      <c r="B868" s="27">
        <v>2005</v>
      </c>
      <c r="C868" s="27" t="s">
        <v>278</v>
      </c>
      <c r="D868" s="69" t="s">
        <v>34</v>
      </c>
      <c r="E868" s="27" t="s">
        <v>19</v>
      </c>
      <c r="F868" s="27" t="s">
        <v>1374</v>
      </c>
      <c r="G868" s="43">
        <v>8500</v>
      </c>
      <c r="H868" s="43"/>
      <c r="I868" s="43"/>
      <c r="J868" s="43"/>
      <c r="K868" s="27" t="s">
        <v>567</v>
      </c>
      <c r="L868" s="28">
        <v>81.599999999999994</v>
      </c>
      <c r="M868" s="27" t="s">
        <v>568</v>
      </c>
      <c r="N868" s="27" t="s">
        <v>1388</v>
      </c>
      <c r="O868" s="18">
        <f t="shared" si="10"/>
        <v>693600</v>
      </c>
      <c r="P868" s="213"/>
      <c r="Q868" s="213"/>
      <c r="R868" s="27"/>
      <c r="S868" s="27"/>
      <c r="T868" s="18"/>
      <c r="U868" s="27"/>
      <c r="V868" s="27"/>
      <c r="W868" s="30"/>
      <c r="X868" s="27"/>
      <c r="Y868" s="27"/>
      <c r="Z868" s="27"/>
      <c r="AA868" s="27"/>
      <c r="AB868" s="27" t="s">
        <v>1385</v>
      </c>
      <c r="AC868" s="273">
        <v>29106335</v>
      </c>
      <c r="AD868" s="27">
        <v>2459876151.9332976</v>
      </c>
      <c r="AE868" s="228">
        <v>1.1832439197040214E-2</v>
      </c>
      <c r="AF868" s="27">
        <v>455765853.43020141</v>
      </c>
      <c r="AG868" s="226">
        <v>6.386247407728958E-2</v>
      </c>
      <c r="AH868" s="226" t="s">
        <v>2842</v>
      </c>
      <c r="AI868" s="27">
        <v>267880000</v>
      </c>
      <c r="AJ868" s="226">
        <v>0.10865437882634016</v>
      </c>
      <c r="AK868" s="27">
        <v>58559772.811859176</v>
      </c>
      <c r="AL868" s="226">
        <v>0.4970363374446965</v>
      </c>
      <c r="AM868" s="27">
        <v>119890427.84338583</v>
      </c>
      <c r="AN868" s="271">
        <v>0.24277446935148086</v>
      </c>
      <c r="AO868" s="27">
        <v>5162600</v>
      </c>
      <c r="AP868" s="27" t="s">
        <v>2842</v>
      </c>
      <c r="AQ868" s="27">
        <v>67.956097560975621</v>
      </c>
      <c r="AR868" s="27">
        <v>34.4</v>
      </c>
      <c r="AS868" s="29">
        <v>95.451449999999994</v>
      </c>
      <c r="AT868" s="270" t="s">
        <v>2842</v>
      </c>
      <c r="AU868" s="464" t="s">
        <v>2842</v>
      </c>
      <c r="AV868" s="29">
        <v>-0.80955538455482101</v>
      </c>
      <c r="AW868" s="29">
        <v>-1.13361994914459</v>
      </c>
      <c r="AX868" s="29">
        <v>-0.83027922470362103</v>
      </c>
      <c r="AY868" s="29">
        <v>-0.879417721672345</v>
      </c>
      <c r="AZ868" s="60">
        <v>-1.1703095305947999</v>
      </c>
    </row>
    <row r="869" spans="1:52" ht="15" customHeight="1">
      <c r="A869" s="63" t="s">
        <v>280</v>
      </c>
      <c r="B869" s="27">
        <v>2005</v>
      </c>
      <c r="C869" s="27" t="s">
        <v>278</v>
      </c>
      <c r="D869" s="69" t="s">
        <v>34</v>
      </c>
      <c r="E869" s="27" t="s">
        <v>19</v>
      </c>
      <c r="F869" s="27" t="s">
        <v>1377</v>
      </c>
      <c r="G869" s="43">
        <v>200</v>
      </c>
      <c r="H869" s="43"/>
      <c r="I869" s="43"/>
      <c r="J869" s="43"/>
      <c r="K869" s="27" t="s">
        <v>567</v>
      </c>
      <c r="L869" s="28">
        <f>555/0.035</f>
        <v>15857.142857142855</v>
      </c>
      <c r="M869" s="27" t="s">
        <v>568</v>
      </c>
      <c r="N869" s="27" t="s">
        <v>1389</v>
      </c>
      <c r="O869" s="18">
        <f t="shared" si="10"/>
        <v>3171428.5714285709</v>
      </c>
      <c r="P869" s="213"/>
      <c r="Q869" s="213"/>
      <c r="R869" s="27"/>
      <c r="S869" s="27"/>
      <c r="T869" s="18"/>
      <c r="U869" s="27"/>
      <c r="V869" s="27"/>
      <c r="W869" s="30"/>
      <c r="X869" s="27"/>
      <c r="Y869" s="27"/>
      <c r="Z869" s="27"/>
      <c r="AA869" s="27"/>
      <c r="AB869" s="27" t="s">
        <v>1385</v>
      </c>
      <c r="AC869" s="273">
        <v>29106335</v>
      </c>
      <c r="AD869" s="27">
        <v>2459876151.9332976</v>
      </c>
      <c r="AE869" s="228">
        <v>1.1832439197040214E-2</v>
      </c>
      <c r="AF869" s="27">
        <v>455765853.43020141</v>
      </c>
      <c r="AG869" s="226">
        <v>6.386247407728958E-2</v>
      </c>
      <c r="AH869" s="226" t="s">
        <v>2842</v>
      </c>
      <c r="AI869" s="27">
        <v>267880000</v>
      </c>
      <c r="AJ869" s="226">
        <v>0.10865437882634016</v>
      </c>
      <c r="AK869" s="27">
        <v>58559772.811859176</v>
      </c>
      <c r="AL869" s="226">
        <v>0.4970363374446965</v>
      </c>
      <c r="AM869" s="27">
        <v>119890427.84338583</v>
      </c>
      <c r="AN869" s="271">
        <v>0.24277446935148086</v>
      </c>
      <c r="AO869" s="27">
        <v>5162600</v>
      </c>
      <c r="AP869" s="27" t="s">
        <v>2842</v>
      </c>
      <c r="AQ869" s="27">
        <v>67.956097560975621</v>
      </c>
      <c r="AR869" s="27">
        <v>34.4</v>
      </c>
      <c r="AS869" s="29">
        <v>95.451449999999994</v>
      </c>
      <c r="AT869" s="270" t="s">
        <v>2842</v>
      </c>
      <c r="AU869" s="464" t="s">
        <v>2842</v>
      </c>
      <c r="AV869" s="29">
        <v>-0.80955538455482101</v>
      </c>
      <c r="AW869" s="29">
        <v>-1.13361994914459</v>
      </c>
      <c r="AX869" s="29">
        <v>-0.83027922470362103</v>
      </c>
      <c r="AY869" s="29">
        <v>-0.879417721672345</v>
      </c>
      <c r="AZ869" s="60">
        <v>-1.1703095305947999</v>
      </c>
    </row>
    <row r="870" spans="1:52" ht="15" customHeight="1">
      <c r="A870" s="63" t="s">
        <v>280</v>
      </c>
      <c r="B870" s="27">
        <v>2005</v>
      </c>
      <c r="C870" s="27" t="s">
        <v>278</v>
      </c>
      <c r="D870" s="69" t="s">
        <v>34</v>
      </c>
      <c r="E870" s="27" t="s">
        <v>19</v>
      </c>
      <c r="F870" s="27" t="s">
        <v>1379</v>
      </c>
      <c r="G870" s="43">
        <v>250</v>
      </c>
      <c r="H870" s="43"/>
      <c r="I870" s="43"/>
      <c r="J870" s="43"/>
      <c r="K870" s="27" t="s">
        <v>567</v>
      </c>
      <c r="L870" s="28">
        <v>70110</v>
      </c>
      <c r="M870" s="27" t="s">
        <v>568</v>
      </c>
      <c r="N870" s="27" t="s">
        <v>1389</v>
      </c>
      <c r="O870" s="18">
        <f t="shared" si="10"/>
        <v>17527500</v>
      </c>
      <c r="P870" s="213"/>
      <c r="Q870" s="213"/>
      <c r="R870" s="27"/>
      <c r="S870" s="27"/>
      <c r="T870" s="18"/>
      <c r="U870" s="27"/>
      <c r="V870" s="27"/>
      <c r="W870" s="30"/>
      <c r="X870" s="27"/>
      <c r="Y870" s="27"/>
      <c r="Z870" s="27"/>
      <c r="AA870" s="27"/>
      <c r="AB870" s="27" t="s">
        <v>1385</v>
      </c>
      <c r="AC870" s="273">
        <v>29106335</v>
      </c>
      <c r="AD870" s="27">
        <v>2459876151.9332976</v>
      </c>
      <c r="AE870" s="228">
        <v>1.1832439197040214E-2</v>
      </c>
      <c r="AF870" s="27">
        <v>455765853.43020141</v>
      </c>
      <c r="AG870" s="226">
        <v>6.386247407728958E-2</v>
      </c>
      <c r="AH870" s="226" t="s">
        <v>2842</v>
      </c>
      <c r="AI870" s="27">
        <v>267880000</v>
      </c>
      <c r="AJ870" s="226">
        <v>0.10865437882634016</v>
      </c>
      <c r="AK870" s="27">
        <v>58559772.811859176</v>
      </c>
      <c r="AL870" s="226">
        <v>0.4970363374446965</v>
      </c>
      <c r="AM870" s="27">
        <v>119890427.84338583</v>
      </c>
      <c r="AN870" s="271">
        <v>0.24277446935148086</v>
      </c>
      <c r="AO870" s="27">
        <v>5162600</v>
      </c>
      <c r="AP870" s="27" t="s">
        <v>2842</v>
      </c>
      <c r="AQ870" s="27">
        <v>67.956097560975621</v>
      </c>
      <c r="AR870" s="27">
        <v>34.4</v>
      </c>
      <c r="AS870" s="29">
        <v>95.451449999999994</v>
      </c>
      <c r="AT870" s="270" t="s">
        <v>2842</v>
      </c>
      <c r="AU870" s="464" t="s">
        <v>2842</v>
      </c>
      <c r="AV870" s="29">
        <v>-0.80955538455482101</v>
      </c>
      <c r="AW870" s="29">
        <v>-1.13361994914459</v>
      </c>
      <c r="AX870" s="29">
        <v>-0.83027922470362103</v>
      </c>
      <c r="AY870" s="29">
        <v>-0.879417721672345</v>
      </c>
      <c r="AZ870" s="60">
        <v>-1.1703095305947999</v>
      </c>
    </row>
    <row r="871" spans="1:52" s="287" customFormat="1" ht="15" customHeight="1">
      <c r="A871" s="359" t="s">
        <v>280</v>
      </c>
      <c r="B871" s="284">
        <v>2005</v>
      </c>
      <c r="C871" s="284" t="s">
        <v>278</v>
      </c>
      <c r="D871" s="369" t="s">
        <v>34</v>
      </c>
      <c r="E871" s="284" t="s">
        <v>19</v>
      </c>
      <c r="F871" s="284" t="s">
        <v>1382</v>
      </c>
      <c r="G871" s="303">
        <f>388100*1.6</f>
        <v>620960</v>
      </c>
      <c r="H871" s="303"/>
      <c r="I871" s="303"/>
      <c r="J871" s="303"/>
      <c r="K871" s="284" t="s">
        <v>567</v>
      </c>
      <c r="L871" s="304">
        <v>5.86</v>
      </c>
      <c r="M871" s="284" t="s">
        <v>568</v>
      </c>
      <c r="N871" s="284" t="s">
        <v>1390</v>
      </c>
      <c r="O871" s="305">
        <f t="shared" si="10"/>
        <v>3638825.6</v>
      </c>
      <c r="P871" s="306"/>
      <c r="Q871" s="306"/>
      <c r="R871" s="284"/>
      <c r="S871" s="284"/>
      <c r="T871" s="305"/>
      <c r="U871" s="284"/>
      <c r="V871" s="284"/>
      <c r="W871" s="307"/>
      <c r="X871" s="284"/>
      <c r="Y871" s="284"/>
      <c r="Z871" s="284"/>
      <c r="AA871" s="284"/>
      <c r="AB871" s="284" t="s">
        <v>1385</v>
      </c>
      <c r="AC871" s="308">
        <v>29106335</v>
      </c>
      <c r="AD871" s="284">
        <v>2459876151.9332976</v>
      </c>
      <c r="AE871" s="309">
        <v>1.1832439197040214E-2</v>
      </c>
      <c r="AF871" s="284">
        <v>455765853.43020141</v>
      </c>
      <c r="AG871" s="310">
        <v>6.386247407728958E-2</v>
      </c>
      <c r="AH871" s="310" t="s">
        <v>2842</v>
      </c>
      <c r="AI871" s="284">
        <v>267880000</v>
      </c>
      <c r="AJ871" s="310">
        <v>0.10865437882634016</v>
      </c>
      <c r="AK871" s="284">
        <v>58559772.811859176</v>
      </c>
      <c r="AL871" s="310">
        <v>0.4970363374446965</v>
      </c>
      <c r="AM871" s="284">
        <v>119890427.84338583</v>
      </c>
      <c r="AN871" s="311">
        <v>0.24277446935148086</v>
      </c>
      <c r="AO871" s="284">
        <v>5162600</v>
      </c>
      <c r="AP871" s="284" t="s">
        <v>2842</v>
      </c>
      <c r="AQ871" s="284">
        <v>67.956097560975621</v>
      </c>
      <c r="AR871" s="284">
        <v>34.4</v>
      </c>
      <c r="AS871" s="287">
        <v>95.451449999999994</v>
      </c>
      <c r="AT871" s="312" t="s">
        <v>2842</v>
      </c>
      <c r="AU871" s="465" t="s">
        <v>2842</v>
      </c>
      <c r="AV871" s="287">
        <v>-0.80955538455482101</v>
      </c>
      <c r="AW871" s="287">
        <v>-1.13361994914459</v>
      </c>
      <c r="AX871" s="287">
        <v>-0.83027922470362103</v>
      </c>
      <c r="AY871" s="287">
        <v>-0.879417721672345</v>
      </c>
      <c r="AZ871" s="313">
        <v>-1.1703095305947999</v>
      </c>
    </row>
    <row r="872" spans="1:52" s="29" customFormat="1" ht="15" customHeight="1">
      <c r="A872" s="347" t="s">
        <v>281</v>
      </c>
      <c r="B872" s="27">
        <v>2006</v>
      </c>
      <c r="C872" s="27" t="s">
        <v>278</v>
      </c>
      <c r="D872" s="69" t="s">
        <v>34</v>
      </c>
      <c r="E872" s="27" t="s">
        <v>19</v>
      </c>
      <c r="F872" s="27" t="s">
        <v>659</v>
      </c>
      <c r="G872" s="43"/>
      <c r="H872" s="43"/>
      <c r="I872" s="43"/>
      <c r="J872" s="43"/>
      <c r="K872" s="27"/>
      <c r="L872" s="28"/>
      <c r="M872" s="27"/>
      <c r="N872" s="27"/>
      <c r="O872" s="18">
        <f>SUM(O873:O879)</f>
        <v>305007447.71433735</v>
      </c>
      <c r="P872" s="213">
        <v>26120301</v>
      </c>
      <c r="Q872" s="213">
        <v>33994038</v>
      </c>
      <c r="R872" s="27" t="s">
        <v>619</v>
      </c>
      <c r="S872" s="27"/>
      <c r="T872" s="18"/>
      <c r="U872" s="27" t="s">
        <v>590</v>
      </c>
      <c r="V872" s="27" t="s">
        <v>1366</v>
      </c>
      <c r="W872" s="30">
        <v>40.590000000000003</v>
      </c>
      <c r="X872" s="27">
        <v>6</v>
      </c>
      <c r="Y872" s="27" t="s">
        <v>871</v>
      </c>
      <c r="Z872" s="27">
        <v>6</v>
      </c>
      <c r="AA872" s="27" t="s">
        <v>1368</v>
      </c>
      <c r="AB872" s="27" t="s">
        <v>1391</v>
      </c>
      <c r="AC872" s="273">
        <v>26120301</v>
      </c>
      <c r="AD872" s="27">
        <v>2834168889.4201913</v>
      </c>
      <c r="AE872" s="228">
        <v>9.216211884022071E-3</v>
      </c>
      <c r="AF872" s="27">
        <v>577376886.15268135</v>
      </c>
      <c r="AG872" s="226">
        <v>4.5239602807883715E-2</v>
      </c>
      <c r="AH872" s="226" t="s">
        <v>2842</v>
      </c>
      <c r="AI872" s="27">
        <v>310550000</v>
      </c>
      <c r="AJ872" s="226">
        <v>8.4109808404443723E-2</v>
      </c>
      <c r="AK872" s="27">
        <v>92875636.180630356</v>
      </c>
      <c r="AL872" s="226">
        <v>0.28123953788267575</v>
      </c>
      <c r="AM872" s="27">
        <v>157292405.52637541</v>
      </c>
      <c r="AN872" s="271">
        <v>0.16606206073706492</v>
      </c>
      <c r="AO872" s="27">
        <v>5218400</v>
      </c>
      <c r="AP872" s="27">
        <v>39.9</v>
      </c>
      <c r="AQ872" s="27">
        <v>67.695121951219505</v>
      </c>
      <c r="AR872" s="27">
        <v>33.1</v>
      </c>
      <c r="AS872" s="29">
        <v>96.313199999999995</v>
      </c>
      <c r="AT872" s="270" t="s">
        <v>2842</v>
      </c>
      <c r="AU872" s="464" t="s">
        <v>2842</v>
      </c>
      <c r="AV872" s="29">
        <v>-0.73458801683765396</v>
      </c>
      <c r="AW872" s="29">
        <v>-1.3758674382674601</v>
      </c>
      <c r="AX872" s="29">
        <v>-0.77730986159114102</v>
      </c>
      <c r="AY872" s="29">
        <v>-0.63413667060158896</v>
      </c>
      <c r="AZ872" s="60">
        <v>-1.2613129733617701</v>
      </c>
    </row>
    <row r="873" spans="1:52" s="29" customFormat="1" ht="15" customHeight="1">
      <c r="A873" s="63" t="s">
        <v>281</v>
      </c>
      <c r="B873" s="27">
        <v>2006</v>
      </c>
      <c r="C873" s="27" t="s">
        <v>278</v>
      </c>
      <c r="D873" s="69" t="s">
        <v>34</v>
      </c>
      <c r="E873" s="27" t="s">
        <v>19</v>
      </c>
      <c r="F873" s="27" t="s">
        <v>573</v>
      </c>
      <c r="G873" s="43">
        <v>321300</v>
      </c>
      <c r="H873" s="43"/>
      <c r="I873" s="43"/>
      <c r="J873" s="43"/>
      <c r="K873" s="27" t="s">
        <v>567</v>
      </c>
      <c r="L873" s="28">
        <v>61.17946892471906</v>
      </c>
      <c r="M873" s="27" t="s">
        <v>568</v>
      </c>
      <c r="N873" s="27" t="s">
        <v>1384</v>
      </c>
      <c r="O873" s="18">
        <f t="shared" ref="O873:O879" si="11">G873*L873</f>
        <v>19656963.365512233</v>
      </c>
      <c r="P873" s="213"/>
      <c r="Q873" s="213"/>
      <c r="R873" s="27"/>
      <c r="S873" s="27"/>
      <c r="T873" s="18"/>
      <c r="U873" s="27"/>
      <c r="V873" s="27"/>
      <c r="W873" s="30"/>
      <c r="X873" s="27"/>
      <c r="Y873" s="27"/>
      <c r="Z873" s="27"/>
      <c r="AA873" s="27"/>
      <c r="AB873" s="27" t="s">
        <v>1385</v>
      </c>
      <c r="AC873" s="273">
        <v>26120301</v>
      </c>
      <c r="AD873" s="27">
        <v>2834168889.4201913</v>
      </c>
      <c r="AE873" s="228">
        <v>9.216211884022071E-3</v>
      </c>
      <c r="AF873" s="27">
        <v>577376886.15268135</v>
      </c>
      <c r="AG873" s="226">
        <v>4.5239602807883715E-2</v>
      </c>
      <c r="AH873" s="226" t="s">
        <v>2842</v>
      </c>
      <c r="AI873" s="27">
        <v>310550000</v>
      </c>
      <c r="AJ873" s="226">
        <v>8.4109808404443723E-2</v>
      </c>
      <c r="AK873" s="27">
        <v>92875636.180630356</v>
      </c>
      <c r="AL873" s="226">
        <v>0.28123953788267575</v>
      </c>
      <c r="AM873" s="27">
        <v>157292405.52637541</v>
      </c>
      <c r="AN873" s="271">
        <v>0.16606206073706492</v>
      </c>
      <c r="AO873" s="27">
        <v>5218400</v>
      </c>
      <c r="AP873" s="27">
        <v>39.9</v>
      </c>
      <c r="AQ873" s="27">
        <v>67.695121951219505</v>
      </c>
      <c r="AR873" s="27">
        <v>33.1</v>
      </c>
      <c r="AS873" s="29">
        <v>96.313199999999995</v>
      </c>
      <c r="AT873" s="270" t="s">
        <v>2842</v>
      </c>
      <c r="AU873" s="464" t="s">
        <v>2842</v>
      </c>
      <c r="AV873" s="29">
        <v>-0.73458801683765396</v>
      </c>
      <c r="AW873" s="29">
        <v>-1.3758674382674601</v>
      </c>
      <c r="AX873" s="29">
        <v>-0.77730986159114102</v>
      </c>
      <c r="AY873" s="29">
        <v>-0.63413667060158896</v>
      </c>
      <c r="AZ873" s="60">
        <v>-1.2613129733617701</v>
      </c>
    </row>
    <row r="874" spans="1:52" s="29" customFormat="1" ht="15" customHeight="1">
      <c r="A874" s="63" t="s">
        <v>281</v>
      </c>
      <c r="B874" s="27">
        <v>2006</v>
      </c>
      <c r="C874" s="27" t="s">
        <v>278</v>
      </c>
      <c r="D874" s="69" t="s">
        <v>34</v>
      </c>
      <c r="E874" s="27" t="s">
        <v>19</v>
      </c>
      <c r="F874" s="27" t="s">
        <v>730</v>
      </c>
      <c r="G874" s="43">
        <f>10721*32.150743126506</f>
        <v>344688.11705927085</v>
      </c>
      <c r="H874" s="43"/>
      <c r="I874" s="43"/>
      <c r="J874" s="43"/>
      <c r="K874" s="27" t="s">
        <v>731</v>
      </c>
      <c r="L874" s="28">
        <v>604.33583333333002</v>
      </c>
      <c r="M874" s="27" t="s">
        <v>732</v>
      </c>
      <c r="N874" s="27" t="s">
        <v>1386</v>
      </c>
      <c r="O874" s="18">
        <f t="shared" si="11"/>
        <v>208307380.46311086</v>
      </c>
      <c r="P874" s="213"/>
      <c r="Q874" s="213"/>
      <c r="R874" s="27"/>
      <c r="S874" s="27"/>
      <c r="T874" s="18"/>
      <c r="U874" s="27"/>
      <c r="V874" s="27"/>
      <c r="W874" s="30"/>
      <c r="X874" s="27"/>
      <c r="Y874" s="27"/>
      <c r="Z874" s="27"/>
      <c r="AA874" s="27"/>
      <c r="AB874" s="27" t="s">
        <v>1385</v>
      </c>
      <c r="AC874" s="273">
        <v>26120301</v>
      </c>
      <c r="AD874" s="27">
        <v>2834168889.4201913</v>
      </c>
      <c r="AE874" s="228">
        <v>9.216211884022071E-3</v>
      </c>
      <c r="AF874" s="27">
        <v>577376886.15268135</v>
      </c>
      <c r="AG874" s="226">
        <v>4.5239602807883715E-2</v>
      </c>
      <c r="AH874" s="226" t="s">
        <v>2842</v>
      </c>
      <c r="AI874" s="27">
        <v>310550000</v>
      </c>
      <c r="AJ874" s="226">
        <v>8.4109808404443723E-2</v>
      </c>
      <c r="AK874" s="27">
        <v>92875636.180630356</v>
      </c>
      <c r="AL874" s="226">
        <v>0.28123953788267575</v>
      </c>
      <c r="AM874" s="27">
        <v>157292405.52637541</v>
      </c>
      <c r="AN874" s="271">
        <v>0.16606206073706492</v>
      </c>
      <c r="AO874" s="27">
        <v>5218400</v>
      </c>
      <c r="AP874" s="27">
        <v>39.9</v>
      </c>
      <c r="AQ874" s="27">
        <v>67.695121951219505</v>
      </c>
      <c r="AR874" s="27">
        <v>33.1</v>
      </c>
      <c r="AS874" s="29">
        <v>96.313199999999995</v>
      </c>
      <c r="AT874" s="270" t="s">
        <v>2842</v>
      </c>
      <c r="AU874" s="464" t="s">
        <v>2842</v>
      </c>
      <c r="AV874" s="29">
        <v>-0.73458801683765396</v>
      </c>
      <c r="AW874" s="29">
        <v>-1.3758674382674601</v>
      </c>
      <c r="AX874" s="29">
        <v>-0.77730986159114102</v>
      </c>
      <c r="AY874" s="29">
        <v>-0.63413667060158896</v>
      </c>
      <c r="AZ874" s="60">
        <v>-1.2613129733617701</v>
      </c>
    </row>
    <row r="875" spans="1:52" s="29" customFormat="1" ht="15" customHeight="1">
      <c r="A875" s="63" t="s">
        <v>281</v>
      </c>
      <c r="B875" s="27">
        <v>2006</v>
      </c>
      <c r="C875" s="27" t="s">
        <v>278</v>
      </c>
      <c r="D875" s="69" t="s">
        <v>34</v>
      </c>
      <c r="E875" s="27" t="s">
        <v>19</v>
      </c>
      <c r="F875" s="27" t="s">
        <v>1135</v>
      </c>
      <c r="G875" s="43">
        <v>400000</v>
      </c>
      <c r="H875" s="43"/>
      <c r="I875" s="43"/>
      <c r="J875" s="43"/>
      <c r="K875" s="27" t="s">
        <v>567</v>
      </c>
      <c r="L875" s="28">
        <v>131</v>
      </c>
      <c r="M875" s="27" t="s">
        <v>568</v>
      </c>
      <c r="N875" s="27" t="s">
        <v>1387</v>
      </c>
      <c r="O875" s="18">
        <f t="shared" si="11"/>
        <v>52400000</v>
      </c>
      <c r="P875" s="213"/>
      <c r="Q875" s="213"/>
      <c r="R875" s="27"/>
      <c r="S875" s="27"/>
      <c r="T875" s="18"/>
      <c r="U875" s="27"/>
      <c r="V875" s="27"/>
      <c r="W875" s="30"/>
      <c r="X875" s="27"/>
      <c r="Y875" s="27"/>
      <c r="Z875" s="27"/>
      <c r="AA875" s="27"/>
      <c r="AB875" s="27" t="s">
        <v>1385</v>
      </c>
      <c r="AC875" s="273">
        <v>26120301</v>
      </c>
      <c r="AD875" s="27">
        <v>2834168889.4201913</v>
      </c>
      <c r="AE875" s="228">
        <v>9.216211884022071E-3</v>
      </c>
      <c r="AF875" s="27">
        <v>577376886.15268135</v>
      </c>
      <c r="AG875" s="226">
        <v>4.5239602807883715E-2</v>
      </c>
      <c r="AH875" s="226" t="s">
        <v>2842</v>
      </c>
      <c r="AI875" s="27">
        <v>310550000</v>
      </c>
      <c r="AJ875" s="226">
        <v>8.4109808404443723E-2</v>
      </c>
      <c r="AK875" s="27">
        <v>92875636.180630356</v>
      </c>
      <c r="AL875" s="226">
        <v>0.28123953788267575</v>
      </c>
      <c r="AM875" s="27">
        <v>157292405.52637541</v>
      </c>
      <c r="AN875" s="271">
        <v>0.16606206073706492</v>
      </c>
      <c r="AO875" s="27">
        <v>5218400</v>
      </c>
      <c r="AP875" s="27">
        <v>39.9</v>
      </c>
      <c r="AQ875" s="27">
        <v>67.695121951219505</v>
      </c>
      <c r="AR875" s="27">
        <v>33.1</v>
      </c>
      <c r="AS875" s="29">
        <v>96.313199999999995</v>
      </c>
      <c r="AT875" s="270" t="s">
        <v>2842</v>
      </c>
      <c r="AU875" s="464" t="s">
        <v>2842</v>
      </c>
      <c r="AV875" s="29">
        <v>-0.73458801683765396</v>
      </c>
      <c r="AW875" s="29">
        <v>-1.3758674382674601</v>
      </c>
      <c r="AX875" s="29">
        <v>-0.77730986159114102</v>
      </c>
      <c r="AY875" s="29">
        <v>-0.63413667060158896</v>
      </c>
      <c r="AZ875" s="60">
        <v>-1.2613129733617701</v>
      </c>
    </row>
    <row r="876" spans="1:52" s="29" customFormat="1" ht="15" customHeight="1">
      <c r="A876" s="63" t="s">
        <v>281</v>
      </c>
      <c r="B876" s="27">
        <v>2006</v>
      </c>
      <c r="C876" s="27" t="s">
        <v>278</v>
      </c>
      <c r="D876" s="69" t="s">
        <v>34</v>
      </c>
      <c r="E876" s="27" t="s">
        <v>19</v>
      </c>
      <c r="F876" s="27" t="s">
        <v>1374</v>
      </c>
      <c r="G876" s="43">
        <v>9900</v>
      </c>
      <c r="H876" s="43"/>
      <c r="I876" s="43"/>
      <c r="J876" s="43"/>
      <c r="K876" s="27" t="s">
        <v>567</v>
      </c>
      <c r="L876" s="28">
        <v>88.2</v>
      </c>
      <c r="M876" s="27" t="s">
        <v>568</v>
      </c>
      <c r="N876" s="27" t="s">
        <v>1388</v>
      </c>
      <c r="O876" s="18">
        <f t="shared" si="11"/>
        <v>873180</v>
      </c>
      <c r="P876" s="213"/>
      <c r="Q876" s="213"/>
      <c r="R876" s="27"/>
      <c r="S876" s="27"/>
      <c r="T876" s="18"/>
      <c r="U876" s="27"/>
      <c r="V876" s="27"/>
      <c r="W876" s="30"/>
      <c r="X876" s="27"/>
      <c r="Y876" s="27"/>
      <c r="Z876" s="27"/>
      <c r="AA876" s="27"/>
      <c r="AB876" s="27" t="s">
        <v>1385</v>
      </c>
      <c r="AC876" s="273">
        <v>26120301</v>
      </c>
      <c r="AD876" s="27">
        <v>2834168889.4201913</v>
      </c>
      <c r="AE876" s="228">
        <v>9.216211884022071E-3</v>
      </c>
      <c r="AF876" s="27">
        <v>577376886.15268135</v>
      </c>
      <c r="AG876" s="226">
        <v>4.5239602807883715E-2</v>
      </c>
      <c r="AH876" s="226" t="s">
        <v>2842</v>
      </c>
      <c r="AI876" s="27">
        <v>310550000</v>
      </c>
      <c r="AJ876" s="226">
        <v>8.4109808404443723E-2</v>
      </c>
      <c r="AK876" s="27">
        <v>92875636.180630356</v>
      </c>
      <c r="AL876" s="226">
        <v>0.28123953788267575</v>
      </c>
      <c r="AM876" s="27">
        <v>157292405.52637541</v>
      </c>
      <c r="AN876" s="271">
        <v>0.16606206073706492</v>
      </c>
      <c r="AO876" s="27">
        <v>5218400</v>
      </c>
      <c r="AP876" s="27">
        <v>39.9</v>
      </c>
      <c r="AQ876" s="27">
        <v>67.695121951219505</v>
      </c>
      <c r="AR876" s="27">
        <v>33.1</v>
      </c>
      <c r="AS876" s="29">
        <v>96.313199999999995</v>
      </c>
      <c r="AT876" s="270" t="s">
        <v>2842</v>
      </c>
      <c r="AU876" s="464" t="s">
        <v>2842</v>
      </c>
      <c r="AV876" s="29">
        <v>-0.73458801683765396</v>
      </c>
      <c r="AW876" s="29">
        <v>-1.3758674382674601</v>
      </c>
      <c r="AX876" s="29">
        <v>-0.77730986159114102</v>
      </c>
      <c r="AY876" s="29">
        <v>-0.63413667060158896</v>
      </c>
      <c r="AZ876" s="60">
        <v>-1.2613129733617701</v>
      </c>
    </row>
    <row r="877" spans="1:52" s="29" customFormat="1" ht="15" customHeight="1">
      <c r="A877" s="63" t="s">
        <v>281</v>
      </c>
      <c r="B877" s="27">
        <v>2006</v>
      </c>
      <c r="C877" s="27" t="s">
        <v>278</v>
      </c>
      <c r="D877" s="69" t="s">
        <v>34</v>
      </c>
      <c r="E877" s="27" t="s">
        <v>19</v>
      </c>
      <c r="F877" s="27" t="s">
        <v>1377</v>
      </c>
      <c r="G877" s="43">
        <v>250</v>
      </c>
      <c r="H877" s="43"/>
      <c r="I877" s="43"/>
      <c r="J877" s="43"/>
      <c r="K877" s="27" t="s">
        <v>567</v>
      </c>
      <c r="L877" s="28">
        <f>670/0.035</f>
        <v>19142.857142857141</v>
      </c>
      <c r="M877" s="27" t="s">
        <v>568</v>
      </c>
      <c r="N877" s="27" t="s">
        <v>1389</v>
      </c>
      <c r="O877" s="18">
        <f t="shared" si="11"/>
        <v>4785714.2857142854</v>
      </c>
      <c r="P877" s="213"/>
      <c r="Q877" s="213"/>
      <c r="R877" s="27"/>
      <c r="S877" s="27"/>
      <c r="T877" s="18"/>
      <c r="U877" s="27"/>
      <c r="V877" s="27"/>
      <c r="W877" s="30"/>
      <c r="X877" s="27"/>
      <c r="Y877" s="27"/>
      <c r="Z877" s="27"/>
      <c r="AA877" s="27"/>
      <c r="AB877" s="27" t="s">
        <v>1385</v>
      </c>
      <c r="AC877" s="273">
        <v>26120301</v>
      </c>
      <c r="AD877" s="27">
        <v>2834168889.4201913</v>
      </c>
      <c r="AE877" s="228">
        <v>9.216211884022071E-3</v>
      </c>
      <c r="AF877" s="27">
        <v>577376886.15268135</v>
      </c>
      <c r="AG877" s="226">
        <v>4.5239602807883715E-2</v>
      </c>
      <c r="AH877" s="226" t="s">
        <v>2842</v>
      </c>
      <c r="AI877" s="27">
        <v>310550000</v>
      </c>
      <c r="AJ877" s="226">
        <v>8.4109808404443723E-2</v>
      </c>
      <c r="AK877" s="27">
        <v>92875636.180630356</v>
      </c>
      <c r="AL877" s="226">
        <v>0.28123953788267575</v>
      </c>
      <c r="AM877" s="27">
        <v>157292405.52637541</v>
      </c>
      <c r="AN877" s="271">
        <v>0.16606206073706492</v>
      </c>
      <c r="AO877" s="27">
        <v>5218400</v>
      </c>
      <c r="AP877" s="27">
        <v>39.9</v>
      </c>
      <c r="AQ877" s="27">
        <v>67.695121951219505</v>
      </c>
      <c r="AR877" s="27">
        <v>33.1</v>
      </c>
      <c r="AS877" s="29">
        <v>96.313199999999995</v>
      </c>
      <c r="AT877" s="270" t="s">
        <v>2842</v>
      </c>
      <c r="AU877" s="464" t="s">
        <v>2842</v>
      </c>
      <c r="AV877" s="29">
        <v>-0.73458801683765396</v>
      </c>
      <c r="AW877" s="29">
        <v>-1.3758674382674601</v>
      </c>
      <c r="AX877" s="29">
        <v>-0.77730986159114102</v>
      </c>
      <c r="AY877" s="29">
        <v>-0.63413667060158896</v>
      </c>
      <c r="AZ877" s="60">
        <v>-1.2613129733617701</v>
      </c>
    </row>
    <row r="878" spans="1:52" s="29" customFormat="1" ht="15" customHeight="1">
      <c r="A878" s="63" t="s">
        <v>281</v>
      </c>
      <c r="B878" s="27">
        <v>2006</v>
      </c>
      <c r="C878" s="27" t="s">
        <v>278</v>
      </c>
      <c r="D878" s="69" t="s">
        <v>34</v>
      </c>
      <c r="E878" s="27" t="s">
        <v>19</v>
      </c>
      <c r="F878" s="27" t="s">
        <v>1379</v>
      </c>
      <c r="G878" s="43">
        <v>250</v>
      </c>
      <c r="H878" s="43"/>
      <c r="I878" s="43"/>
      <c r="J878" s="43"/>
      <c r="K878" s="27" t="s">
        <v>567</v>
      </c>
      <c r="L878" s="28">
        <v>54620</v>
      </c>
      <c r="M878" s="27" t="s">
        <v>568</v>
      </c>
      <c r="N878" s="27" t="s">
        <v>1389</v>
      </c>
      <c r="O878" s="18">
        <f t="shared" si="11"/>
        <v>13655000</v>
      </c>
      <c r="P878" s="213"/>
      <c r="Q878" s="213"/>
      <c r="R878" s="27"/>
      <c r="S878" s="27"/>
      <c r="T878" s="18"/>
      <c r="U878" s="27"/>
      <c r="V878" s="27"/>
      <c r="W878" s="30"/>
      <c r="X878" s="27"/>
      <c r="Y878" s="27"/>
      <c r="Z878" s="27"/>
      <c r="AA878" s="27"/>
      <c r="AB878" s="27" t="s">
        <v>1385</v>
      </c>
      <c r="AC878" s="273">
        <v>26120301</v>
      </c>
      <c r="AD878" s="27">
        <v>2834168889.4201913</v>
      </c>
      <c r="AE878" s="228">
        <v>9.216211884022071E-3</v>
      </c>
      <c r="AF878" s="27">
        <v>577376886.15268135</v>
      </c>
      <c r="AG878" s="226">
        <v>4.5239602807883715E-2</v>
      </c>
      <c r="AH878" s="226" t="s">
        <v>2842</v>
      </c>
      <c r="AI878" s="27">
        <v>310550000</v>
      </c>
      <c r="AJ878" s="226">
        <v>8.4109808404443723E-2</v>
      </c>
      <c r="AK878" s="27">
        <v>92875636.180630356</v>
      </c>
      <c r="AL878" s="226">
        <v>0.28123953788267575</v>
      </c>
      <c r="AM878" s="27">
        <v>157292405.52637541</v>
      </c>
      <c r="AN878" s="271">
        <v>0.16606206073706492</v>
      </c>
      <c r="AO878" s="27">
        <v>5218400</v>
      </c>
      <c r="AP878" s="27">
        <v>39.9</v>
      </c>
      <c r="AQ878" s="27">
        <v>67.695121951219505</v>
      </c>
      <c r="AR878" s="27">
        <v>33.1</v>
      </c>
      <c r="AS878" s="29">
        <v>96.313199999999995</v>
      </c>
      <c r="AT878" s="270" t="s">
        <v>2842</v>
      </c>
      <c r="AU878" s="464" t="s">
        <v>2842</v>
      </c>
      <c r="AV878" s="29">
        <v>-0.73458801683765396</v>
      </c>
      <c r="AW878" s="29">
        <v>-1.3758674382674601</v>
      </c>
      <c r="AX878" s="29">
        <v>-0.77730986159114102</v>
      </c>
      <c r="AY878" s="29">
        <v>-0.63413667060158896</v>
      </c>
      <c r="AZ878" s="60">
        <v>-1.2613129733617701</v>
      </c>
    </row>
    <row r="879" spans="1:52" s="287" customFormat="1" ht="15" customHeight="1">
      <c r="A879" s="359" t="s">
        <v>281</v>
      </c>
      <c r="B879" s="284">
        <v>2006</v>
      </c>
      <c r="C879" s="284" t="s">
        <v>278</v>
      </c>
      <c r="D879" s="369" t="s">
        <v>34</v>
      </c>
      <c r="E879" s="284" t="s">
        <v>19</v>
      </c>
      <c r="F879" s="284" t="s">
        <v>1382</v>
      </c>
      <c r="G879" s="303">
        <f>514800*1.6</f>
        <v>823680</v>
      </c>
      <c r="H879" s="303"/>
      <c r="I879" s="303"/>
      <c r="J879" s="303"/>
      <c r="K879" s="284" t="s">
        <v>567</v>
      </c>
      <c r="L879" s="304">
        <v>6.47</v>
      </c>
      <c r="M879" s="284" t="s">
        <v>568</v>
      </c>
      <c r="N879" s="284" t="s">
        <v>1392</v>
      </c>
      <c r="O879" s="305">
        <f t="shared" si="11"/>
        <v>5329209.5999999996</v>
      </c>
      <c r="P879" s="306"/>
      <c r="Q879" s="306"/>
      <c r="R879" s="284"/>
      <c r="S879" s="284"/>
      <c r="T879" s="305"/>
      <c r="U879" s="284"/>
      <c r="V879" s="284"/>
      <c r="W879" s="307"/>
      <c r="X879" s="284"/>
      <c r="Y879" s="284"/>
      <c r="Z879" s="284"/>
      <c r="AA879" s="284"/>
      <c r="AB879" s="284" t="s">
        <v>1385</v>
      </c>
      <c r="AC879" s="308">
        <v>26120301</v>
      </c>
      <c r="AD879" s="284">
        <v>2834168889.4201913</v>
      </c>
      <c r="AE879" s="309">
        <v>9.216211884022071E-3</v>
      </c>
      <c r="AF879" s="284">
        <v>577376886.15268135</v>
      </c>
      <c r="AG879" s="310">
        <v>4.5239602807883715E-2</v>
      </c>
      <c r="AH879" s="310" t="s">
        <v>2842</v>
      </c>
      <c r="AI879" s="284">
        <v>310550000</v>
      </c>
      <c r="AJ879" s="310">
        <v>8.4109808404443723E-2</v>
      </c>
      <c r="AK879" s="284">
        <v>92875636.180630356</v>
      </c>
      <c r="AL879" s="310">
        <v>0.28123953788267575</v>
      </c>
      <c r="AM879" s="284">
        <v>157292405.52637541</v>
      </c>
      <c r="AN879" s="311">
        <v>0.16606206073706492</v>
      </c>
      <c r="AO879" s="284">
        <v>5218400</v>
      </c>
      <c r="AP879" s="284">
        <v>39.9</v>
      </c>
      <c r="AQ879" s="284">
        <v>67.695121951219505</v>
      </c>
      <c r="AR879" s="284">
        <v>33.1</v>
      </c>
      <c r="AS879" s="287">
        <v>96.313199999999995</v>
      </c>
      <c r="AT879" s="312" t="s">
        <v>2842</v>
      </c>
      <c r="AU879" s="465" t="s">
        <v>2842</v>
      </c>
      <c r="AV879" s="287">
        <v>-0.73458801683765396</v>
      </c>
      <c r="AW879" s="287">
        <v>-1.3758674382674601</v>
      </c>
      <c r="AX879" s="287">
        <v>-0.77730986159114102</v>
      </c>
      <c r="AY879" s="287">
        <v>-0.63413667060158896</v>
      </c>
      <c r="AZ879" s="313">
        <v>-1.2613129733617701</v>
      </c>
    </row>
    <row r="880" spans="1:52" s="29" customFormat="1" ht="15" customHeight="1">
      <c r="A880" s="63" t="s">
        <v>282</v>
      </c>
      <c r="B880" s="27">
        <v>2007</v>
      </c>
      <c r="C880" s="27" t="s">
        <v>278</v>
      </c>
      <c r="D880" s="69" t="s">
        <v>34</v>
      </c>
      <c r="E880" s="27" t="s">
        <v>19</v>
      </c>
      <c r="F880" s="27" t="s">
        <v>659</v>
      </c>
      <c r="G880" s="43"/>
      <c r="H880" s="43"/>
      <c r="I880" s="43"/>
      <c r="J880" s="43"/>
      <c r="K880" s="27"/>
      <c r="L880" s="28"/>
      <c r="M880" s="27"/>
      <c r="N880" s="27"/>
      <c r="O880" s="18">
        <f>SUM(O881:O888)</f>
        <v>348516282.12970024</v>
      </c>
      <c r="P880" s="213">
        <v>28210188</v>
      </c>
      <c r="Q880" s="213">
        <v>37580429</v>
      </c>
      <c r="R880" s="27" t="s">
        <v>619</v>
      </c>
      <c r="S880" s="27"/>
      <c r="T880" s="18"/>
      <c r="U880" s="27" t="s">
        <v>590</v>
      </c>
      <c r="V880" s="27" t="s">
        <v>1366</v>
      </c>
      <c r="W880" s="30">
        <v>37.299999999999997</v>
      </c>
      <c r="X880" s="27">
        <v>6</v>
      </c>
      <c r="Y880" s="27" t="s">
        <v>871</v>
      </c>
      <c r="Z880" s="27">
        <v>6</v>
      </c>
      <c r="AA880" s="27" t="s">
        <v>1368</v>
      </c>
      <c r="AB880" s="27" t="s">
        <v>1393</v>
      </c>
      <c r="AC880" s="273">
        <v>28210188</v>
      </c>
      <c r="AD880" s="27">
        <v>3802566170.8154349</v>
      </c>
      <c r="AE880" s="228">
        <v>7.4187237598946276E-3</v>
      </c>
      <c r="AF880" s="27">
        <v>866680881.65225399</v>
      </c>
      <c r="AG880" s="226">
        <v>3.2549683046220725E-2</v>
      </c>
      <c r="AH880" s="226" t="s">
        <v>2842</v>
      </c>
      <c r="AI880" s="27">
        <v>274450000</v>
      </c>
      <c r="AJ880" s="226">
        <v>0.10278807797413007</v>
      </c>
      <c r="AK880" s="27">
        <v>134230601.90851533</v>
      </c>
      <c r="AL880" s="226">
        <v>0.21016212099850831</v>
      </c>
      <c r="AM880" s="27">
        <v>245911954.26663414</v>
      </c>
      <c r="AN880" s="271">
        <v>0.11471661914171376</v>
      </c>
      <c r="AO880" s="27">
        <v>5268400</v>
      </c>
      <c r="AP880" s="27">
        <v>35</v>
      </c>
      <c r="AQ880" s="27">
        <v>67.846341463414646</v>
      </c>
      <c r="AR880" s="27">
        <v>31.7</v>
      </c>
      <c r="AS880" s="29">
        <v>94.921390000000002</v>
      </c>
      <c r="AT880" s="270" t="s">
        <v>2842</v>
      </c>
      <c r="AU880" s="464" t="s">
        <v>2842</v>
      </c>
      <c r="AV880" s="29">
        <v>-0.94869703075312295</v>
      </c>
      <c r="AW880" s="29">
        <v>-1.00640824404331</v>
      </c>
      <c r="AX880" s="29">
        <v>-0.74999233625046102</v>
      </c>
      <c r="AY880" s="29">
        <v>-0.40526827434856499</v>
      </c>
      <c r="AZ880" s="60">
        <v>-1.2406601372186701</v>
      </c>
    </row>
    <row r="881" spans="1:52" ht="15" customHeight="1">
      <c r="A881" s="63" t="s">
        <v>282</v>
      </c>
      <c r="B881" s="27">
        <v>2007</v>
      </c>
      <c r="C881" s="27" t="s">
        <v>278</v>
      </c>
      <c r="D881" s="69" t="s">
        <v>34</v>
      </c>
      <c r="E881" s="27" t="s">
        <v>19</v>
      </c>
      <c r="F881" s="27" t="s">
        <v>573</v>
      </c>
      <c r="G881" s="43">
        <v>395500</v>
      </c>
      <c r="H881" s="43"/>
      <c r="I881" s="43"/>
      <c r="J881" s="43"/>
      <c r="K881" s="27" t="s">
        <v>567</v>
      </c>
      <c r="L881" s="28">
        <v>74.838160071314121</v>
      </c>
      <c r="M881" s="27" t="s">
        <v>568</v>
      </c>
      <c r="N881" s="27" t="s">
        <v>1384</v>
      </c>
      <c r="O881" s="18">
        <f>G881*L881</f>
        <v>29598492.308204737</v>
      </c>
      <c r="P881" s="213"/>
      <c r="Q881" s="213"/>
      <c r="R881" s="27"/>
      <c r="S881" s="27"/>
      <c r="T881" s="18"/>
      <c r="U881" s="27"/>
      <c r="V881" s="27"/>
      <c r="W881" s="30"/>
      <c r="X881" s="27"/>
      <c r="Y881" s="27"/>
      <c r="Z881" s="27"/>
      <c r="AA881" s="27"/>
      <c r="AB881" s="27" t="s">
        <v>1385</v>
      </c>
      <c r="AC881" s="273">
        <v>28210188</v>
      </c>
      <c r="AD881" s="27">
        <v>3802566170.8154349</v>
      </c>
      <c r="AE881" s="228">
        <v>7.4187237598946276E-3</v>
      </c>
      <c r="AF881" s="27">
        <v>866680881.65225399</v>
      </c>
      <c r="AG881" s="226">
        <v>3.2549683046220725E-2</v>
      </c>
      <c r="AH881" s="226" t="s">
        <v>2842</v>
      </c>
      <c r="AI881" s="27">
        <v>274450000</v>
      </c>
      <c r="AJ881" s="226">
        <v>0.10278807797413007</v>
      </c>
      <c r="AK881" s="27">
        <v>134230601.90851533</v>
      </c>
      <c r="AL881" s="226">
        <v>0.21016212099850831</v>
      </c>
      <c r="AM881" s="27">
        <v>245911954.26663414</v>
      </c>
      <c r="AN881" s="271">
        <v>0.11471661914171376</v>
      </c>
      <c r="AO881" s="27">
        <v>5268400</v>
      </c>
      <c r="AP881" s="27">
        <v>35</v>
      </c>
      <c r="AQ881" s="27">
        <v>67.846341463414646</v>
      </c>
      <c r="AR881" s="27">
        <v>31.7</v>
      </c>
      <c r="AS881" s="29">
        <v>94.921390000000002</v>
      </c>
      <c r="AT881" s="270" t="s">
        <v>2842</v>
      </c>
      <c r="AU881" s="464" t="s">
        <v>2842</v>
      </c>
      <c r="AV881" s="29">
        <v>-0.94869703075312295</v>
      </c>
      <c r="AW881" s="29">
        <v>-1.00640824404331</v>
      </c>
      <c r="AX881" s="29">
        <v>-0.74999233625046102</v>
      </c>
      <c r="AY881" s="29">
        <v>-0.40526827434856499</v>
      </c>
      <c r="AZ881" s="60">
        <v>-1.2406601372186701</v>
      </c>
    </row>
    <row r="882" spans="1:52" ht="15" customHeight="1">
      <c r="A882" s="63" t="s">
        <v>282</v>
      </c>
      <c r="B882" s="27">
        <v>2007</v>
      </c>
      <c r="C882" s="27" t="s">
        <v>278</v>
      </c>
      <c r="D882" s="69" t="s">
        <v>34</v>
      </c>
      <c r="E882" s="27" t="s">
        <v>19</v>
      </c>
      <c r="F882" s="27" t="s">
        <v>730</v>
      </c>
      <c r="G882" s="43">
        <f>10559*32.150743126506</f>
        <v>339479.69667277689</v>
      </c>
      <c r="H882" s="43"/>
      <c r="I882" s="43"/>
      <c r="J882" s="43"/>
      <c r="K882" s="27" t="s">
        <v>731</v>
      </c>
      <c r="L882" s="28">
        <v>696.72024999999996</v>
      </c>
      <c r="M882" s="27" t="s">
        <v>732</v>
      </c>
      <c r="N882" s="27" t="s">
        <v>1386</v>
      </c>
      <c r="O882" s="18">
        <f>G882*L882</f>
        <v>236522379.13578126</v>
      </c>
      <c r="P882" s="213"/>
      <c r="Q882" s="213"/>
      <c r="R882" s="27"/>
      <c r="S882" s="27"/>
      <c r="T882" s="18"/>
      <c r="U882" s="27"/>
      <c r="V882" s="27"/>
      <c r="W882" s="30"/>
      <c r="X882" s="27"/>
      <c r="Y882" s="27"/>
      <c r="Z882" s="27"/>
      <c r="AA882" s="27"/>
      <c r="AB882" s="27" t="s">
        <v>1385</v>
      </c>
      <c r="AC882" s="273">
        <v>28210188</v>
      </c>
      <c r="AD882" s="27">
        <v>3802566170.8154349</v>
      </c>
      <c r="AE882" s="228">
        <v>7.4187237598946276E-3</v>
      </c>
      <c r="AF882" s="27">
        <v>866680881.65225399</v>
      </c>
      <c r="AG882" s="226">
        <v>3.2549683046220725E-2</v>
      </c>
      <c r="AH882" s="226" t="s">
        <v>2842</v>
      </c>
      <c r="AI882" s="27">
        <v>274450000</v>
      </c>
      <c r="AJ882" s="226">
        <v>0.10278807797413007</v>
      </c>
      <c r="AK882" s="27">
        <v>134230601.90851533</v>
      </c>
      <c r="AL882" s="226">
        <v>0.21016212099850831</v>
      </c>
      <c r="AM882" s="27">
        <v>245911954.26663414</v>
      </c>
      <c r="AN882" s="271">
        <v>0.11471661914171376</v>
      </c>
      <c r="AO882" s="27">
        <v>5268400</v>
      </c>
      <c r="AP882" s="27">
        <v>35</v>
      </c>
      <c r="AQ882" s="27">
        <v>67.846341463414646</v>
      </c>
      <c r="AR882" s="27">
        <v>31.7</v>
      </c>
      <c r="AS882" s="29">
        <v>94.921390000000002</v>
      </c>
      <c r="AT882" s="270" t="s">
        <v>2842</v>
      </c>
      <c r="AU882" s="464" t="s">
        <v>2842</v>
      </c>
      <c r="AV882" s="29">
        <v>-0.94869703075312295</v>
      </c>
      <c r="AW882" s="29">
        <v>-1.00640824404331</v>
      </c>
      <c r="AX882" s="29">
        <v>-0.74999233625046102</v>
      </c>
      <c r="AY882" s="29">
        <v>-0.40526827434856499</v>
      </c>
      <c r="AZ882" s="60">
        <v>-1.2406601372186701</v>
      </c>
    </row>
    <row r="883" spans="1:52" ht="15" customHeight="1">
      <c r="A883" s="63" t="s">
        <v>282</v>
      </c>
      <c r="B883" s="27">
        <v>2007</v>
      </c>
      <c r="C883" s="27" t="s">
        <v>278</v>
      </c>
      <c r="D883" s="69" t="s">
        <v>34</v>
      </c>
      <c r="E883" s="27" t="s">
        <v>19</v>
      </c>
      <c r="F883" s="27" t="s">
        <v>579</v>
      </c>
      <c r="G883" s="43"/>
      <c r="H883" s="43"/>
      <c r="I883" s="43"/>
      <c r="J883" s="43"/>
      <c r="K883" s="27"/>
      <c r="L883" s="28"/>
      <c r="M883" s="27"/>
      <c r="N883" s="27"/>
      <c r="O883" s="18"/>
      <c r="P883" s="213"/>
      <c r="Q883" s="213"/>
      <c r="R883" s="27"/>
      <c r="S883" s="27"/>
      <c r="T883" s="18"/>
      <c r="U883" s="27"/>
      <c r="V883" s="27"/>
      <c r="W883" s="30"/>
      <c r="X883" s="27"/>
      <c r="Y883" s="27"/>
      <c r="Z883" s="27"/>
      <c r="AA883" s="27"/>
      <c r="AB883" s="27" t="s">
        <v>1394</v>
      </c>
      <c r="AC883" s="273">
        <v>28210188</v>
      </c>
      <c r="AD883" s="27">
        <v>3802566170.8154349</v>
      </c>
      <c r="AE883" s="228">
        <v>7.4187237598946276E-3</v>
      </c>
      <c r="AF883" s="27">
        <v>866680881.65225399</v>
      </c>
      <c r="AG883" s="226">
        <v>3.2549683046220725E-2</v>
      </c>
      <c r="AH883" s="226" t="s">
        <v>2842</v>
      </c>
      <c r="AI883" s="27">
        <v>274450000</v>
      </c>
      <c r="AJ883" s="226">
        <v>0.10278807797413007</v>
      </c>
      <c r="AK883" s="27">
        <v>134230601.90851533</v>
      </c>
      <c r="AL883" s="226">
        <v>0.21016212099850831</v>
      </c>
      <c r="AM883" s="27">
        <v>245911954.26663414</v>
      </c>
      <c r="AN883" s="271">
        <v>0.11471661914171376</v>
      </c>
      <c r="AO883" s="27">
        <v>5268400</v>
      </c>
      <c r="AP883" s="27">
        <v>35</v>
      </c>
      <c r="AQ883" s="27">
        <v>67.846341463414646</v>
      </c>
      <c r="AR883" s="27">
        <v>31.7</v>
      </c>
      <c r="AS883" s="29">
        <v>94.921390000000002</v>
      </c>
      <c r="AT883" s="270" t="s">
        <v>2842</v>
      </c>
      <c r="AU883" s="464" t="s">
        <v>2842</v>
      </c>
      <c r="AV883" s="29">
        <v>-0.94869703075312295</v>
      </c>
      <c r="AW883" s="29">
        <v>-1.00640824404331</v>
      </c>
      <c r="AX883" s="29">
        <v>-0.74999233625046102</v>
      </c>
      <c r="AY883" s="29">
        <v>-0.40526827434856499</v>
      </c>
      <c r="AZ883" s="60">
        <v>-1.2406601372186701</v>
      </c>
    </row>
    <row r="884" spans="1:52" ht="15" customHeight="1">
      <c r="A884" s="63" t="s">
        <v>282</v>
      </c>
      <c r="B884" s="27">
        <v>2007</v>
      </c>
      <c r="C884" s="27" t="s">
        <v>278</v>
      </c>
      <c r="D884" s="69" t="s">
        <v>34</v>
      </c>
      <c r="E884" s="27" t="s">
        <v>19</v>
      </c>
      <c r="F884" s="27" t="s">
        <v>1135</v>
      </c>
      <c r="G884" s="43">
        <v>400000</v>
      </c>
      <c r="H884" s="43"/>
      <c r="I884" s="43"/>
      <c r="J884" s="43"/>
      <c r="K884" s="27" t="s">
        <v>567</v>
      </c>
      <c r="L884" s="28">
        <v>135</v>
      </c>
      <c r="M884" s="27" t="s">
        <v>568</v>
      </c>
      <c r="N884" s="27" t="s">
        <v>1387</v>
      </c>
      <c r="O884" s="18">
        <f>G884*L884</f>
        <v>54000000</v>
      </c>
      <c r="P884" s="213"/>
      <c r="Q884" s="213"/>
      <c r="R884" s="27"/>
      <c r="S884" s="27"/>
      <c r="T884" s="18"/>
      <c r="U884" s="27"/>
      <c r="V884" s="27"/>
      <c r="W884" s="30"/>
      <c r="X884" s="27"/>
      <c r="Y884" s="27"/>
      <c r="Z884" s="27"/>
      <c r="AA884" s="27"/>
      <c r="AB884" s="27" t="s">
        <v>1385</v>
      </c>
      <c r="AC884" s="273">
        <v>28210188</v>
      </c>
      <c r="AD884" s="27">
        <v>3802566170.8154349</v>
      </c>
      <c r="AE884" s="228">
        <v>7.4187237598946276E-3</v>
      </c>
      <c r="AF884" s="27">
        <v>866680881.65225399</v>
      </c>
      <c r="AG884" s="226">
        <v>3.2549683046220725E-2</v>
      </c>
      <c r="AH884" s="226" t="s">
        <v>2842</v>
      </c>
      <c r="AI884" s="27">
        <v>274450000</v>
      </c>
      <c r="AJ884" s="226">
        <v>0.10278807797413007</v>
      </c>
      <c r="AK884" s="27">
        <v>134230601.90851533</v>
      </c>
      <c r="AL884" s="226">
        <v>0.21016212099850831</v>
      </c>
      <c r="AM884" s="27">
        <v>245911954.26663414</v>
      </c>
      <c r="AN884" s="271">
        <v>0.11471661914171376</v>
      </c>
      <c r="AO884" s="27">
        <v>5268400</v>
      </c>
      <c r="AP884" s="27">
        <v>35</v>
      </c>
      <c r="AQ884" s="27">
        <v>67.846341463414646</v>
      </c>
      <c r="AR884" s="27">
        <v>31.7</v>
      </c>
      <c r="AS884" s="29">
        <v>94.921390000000002</v>
      </c>
      <c r="AT884" s="270" t="s">
        <v>2842</v>
      </c>
      <c r="AU884" s="464" t="s">
        <v>2842</v>
      </c>
      <c r="AV884" s="29">
        <v>-0.94869703075312295</v>
      </c>
      <c r="AW884" s="29">
        <v>-1.00640824404331</v>
      </c>
      <c r="AX884" s="29">
        <v>-0.74999233625046102</v>
      </c>
      <c r="AY884" s="29">
        <v>-0.40526827434856499</v>
      </c>
      <c r="AZ884" s="60">
        <v>-1.2406601372186701</v>
      </c>
    </row>
    <row r="885" spans="1:52" ht="15" customHeight="1">
      <c r="A885" s="63" t="s">
        <v>282</v>
      </c>
      <c r="B885" s="27">
        <v>2007</v>
      </c>
      <c r="C885" s="27" t="s">
        <v>278</v>
      </c>
      <c r="D885" s="69" t="s">
        <v>34</v>
      </c>
      <c r="E885" s="27" t="s">
        <v>19</v>
      </c>
      <c r="F885" s="27" t="s">
        <v>1374</v>
      </c>
      <c r="G885" s="43">
        <v>12900</v>
      </c>
      <c r="H885" s="43"/>
      <c r="I885" s="43"/>
      <c r="J885" s="43"/>
      <c r="K885" s="27" t="s">
        <v>567</v>
      </c>
      <c r="L885" s="28">
        <v>93.5</v>
      </c>
      <c r="M885" s="27" t="s">
        <v>568</v>
      </c>
      <c r="N885" s="27" t="s">
        <v>1388</v>
      </c>
      <c r="O885" s="18">
        <f>G885*L885</f>
        <v>1206150</v>
      </c>
      <c r="P885" s="213"/>
      <c r="Q885" s="213"/>
      <c r="R885" s="27"/>
      <c r="S885" s="27"/>
      <c r="T885" s="18"/>
      <c r="U885" s="27"/>
      <c r="V885" s="27"/>
      <c r="W885" s="30"/>
      <c r="X885" s="27"/>
      <c r="Y885" s="27"/>
      <c r="Z885" s="27"/>
      <c r="AA885" s="27"/>
      <c r="AB885" s="27" t="s">
        <v>1385</v>
      </c>
      <c r="AC885" s="273">
        <v>28210188</v>
      </c>
      <c r="AD885" s="27">
        <v>3802566170.8154349</v>
      </c>
      <c r="AE885" s="228">
        <v>7.4187237598946276E-3</v>
      </c>
      <c r="AF885" s="27">
        <v>866680881.65225399</v>
      </c>
      <c r="AG885" s="226">
        <v>3.2549683046220725E-2</v>
      </c>
      <c r="AH885" s="226" t="s">
        <v>2842</v>
      </c>
      <c r="AI885" s="27">
        <v>274450000</v>
      </c>
      <c r="AJ885" s="226">
        <v>0.10278807797413007</v>
      </c>
      <c r="AK885" s="27">
        <v>134230601.90851533</v>
      </c>
      <c r="AL885" s="226">
        <v>0.21016212099850831</v>
      </c>
      <c r="AM885" s="27">
        <v>245911954.26663414</v>
      </c>
      <c r="AN885" s="271">
        <v>0.11471661914171376</v>
      </c>
      <c r="AO885" s="27">
        <v>5268400</v>
      </c>
      <c r="AP885" s="27">
        <v>35</v>
      </c>
      <c r="AQ885" s="27">
        <v>67.846341463414646</v>
      </c>
      <c r="AR885" s="27">
        <v>31.7</v>
      </c>
      <c r="AS885" s="29">
        <v>94.921390000000002</v>
      </c>
      <c r="AT885" s="270" t="s">
        <v>2842</v>
      </c>
      <c r="AU885" s="464" t="s">
        <v>2842</v>
      </c>
      <c r="AV885" s="29">
        <v>-0.94869703075312295</v>
      </c>
      <c r="AW885" s="29">
        <v>-1.00640824404331</v>
      </c>
      <c r="AX885" s="29">
        <v>-0.74999233625046102</v>
      </c>
      <c r="AY885" s="29">
        <v>-0.40526827434856499</v>
      </c>
      <c r="AZ885" s="60">
        <v>-1.2406601372186701</v>
      </c>
    </row>
    <row r="886" spans="1:52" ht="15" customHeight="1">
      <c r="A886" s="63" t="s">
        <v>282</v>
      </c>
      <c r="B886" s="27">
        <v>2007</v>
      </c>
      <c r="C886" s="27" t="s">
        <v>278</v>
      </c>
      <c r="D886" s="69" t="s">
        <v>34</v>
      </c>
      <c r="E886" s="27" t="s">
        <v>19</v>
      </c>
      <c r="F886" s="27" t="s">
        <v>1377</v>
      </c>
      <c r="G886" s="43">
        <v>250</v>
      </c>
      <c r="H886" s="43"/>
      <c r="I886" s="43"/>
      <c r="J886" s="43"/>
      <c r="K886" s="27" t="s">
        <v>567</v>
      </c>
      <c r="L886" s="28">
        <f>530/0.035</f>
        <v>15142.857142857141</v>
      </c>
      <c r="M886" s="27" t="s">
        <v>568</v>
      </c>
      <c r="N886" s="27" t="s">
        <v>1389</v>
      </c>
      <c r="O886" s="18">
        <f>G886*L886</f>
        <v>3785714.2857142854</v>
      </c>
      <c r="P886" s="213"/>
      <c r="Q886" s="213"/>
      <c r="R886" s="27"/>
      <c r="S886" s="27"/>
      <c r="T886" s="18"/>
      <c r="U886" s="27"/>
      <c r="V886" s="27"/>
      <c r="W886" s="30"/>
      <c r="X886" s="27"/>
      <c r="Y886" s="27"/>
      <c r="Z886" s="27"/>
      <c r="AA886" s="27"/>
      <c r="AB886" s="27" t="s">
        <v>1385</v>
      </c>
      <c r="AC886" s="273">
        <v>28210188</v>
      </c>
      <c r="AD886" s="27">
        <v>3802566170.8154349</v>
      </c>
      <c r="AE886" s="228">
        <v>7.4187237598946276E-3</v>
      </c>
      <c r="AF886" s="27">
        <v>866680881.65225399</v>
      </c>
      <c r="AG886" s="226">
        <v>3.2549683046220725E-2</v>
      </c>
      <c r="AH886" s="226" t="s">
        <v>2842</v>
      </c>
      <c r="AI886" s="27">
        <v>274450000</v>
      </c>
      <c r="AJ886" s="226">
        <v>0.10278807797413007</v>
      </c>
      <c r="AK886" s="27">
        <v>134230601.90851533</v>
      </c>
      <c r="AL886" s="226">
        <v>0.21016212099850831</v>
      </c>
      <c r="AM886" s="27">
        <v>245911954.26663414</v>
      </c>
      <c r="AN886" s="271">
        <v>0.11471661914171376</v>
      </c>
      <c r="AO886" s="27">
        <v>5268400</v>
      </c>
      <c r="AP886" s="27">
        <v>35</v>
      </c>
      <c r="AQ886" s="27">
        <v>67.846341463414646</v>
      </c>
      <c r="AR886" s="27">
        <v>31.7</v>
      </c>
      <c r="AS886" s="29">
        <v>94.921390000000002</v>
      </c>
      <c r="AT886" s="270" t="s">
        <v>2842</v>
      </c>
      <c r="AU886" s="464" t="s">
        <v>2842</v>
      </c>
      <c r="AV886" s="29">
        <v>-0.94869703075312295</v>
      </c>
      <c r="AW886" s="29">
        <v>-1.00640824404331</v>
      </c>
      <c r="AX886" s="29">
        <v>-0.74999233625046102</v>
      </c>
      <c r="AY886" s="29">
        <v>-0.40526827434856499</v>
      </c>
      <c r="AZ886" s="60">
        <v>-1.2406601372186701</v>
      </c>
    </row>
    <row r="887" spans="1:52" ht="15" customHeight="1">
      <c r="A887" s="63" t="s">
        <v>282</v>
      </c>
      <c r="B887" s="27">
        <v>2007</v>
      </c>
      <c r="C887" s="27" t="s">
        <v>278</v>
      </c>
      <c r="D887" s="69" t="s">
        <v>34</v>
      </c>
      <c r="E887" s="27" t="s">
        <v>19</v>
      </c>
      <c r="F887" s="27" t="s">
        <v>1379</v>
      </c>
      <c r="G887" s="43">
        <v>250</v>
      </c>
      <c r="H887" s="43"/>
      <c r="I887" s="43"/>
      <c r="J887" s="43"/>
      <c r="K887" s="27" t="s">
        <v>567</v>
      </c>
      <c r="L887" s="28">
        <v>66790</v>
      </c>
      <c r="M887" s="27" t="s">
        <v>568</v>
      </c>
      <c r="N887" s="27" t="s">
        <v>1389</v>
      </c>
      <c r="O887" s="18">
        <f>G887*L887</f>
        <v>16697500</v>
      </c>
      <c r="P887" s="213"/>
      <c r="Q887" s="213"/>
      <c r="R887" s="27"/>
      <c r="S887" s="27"/>
      <c r="T887" s="18"/>
      <c r="U887" s="27"/>
      <c r="V887" s="27"/>
      <c r="W887" s="30"/>
      <c r="X887" s="27"/>
      <c r="Y887" s="27"/>
      <c r="Z887" s="27"/>
      <c r="AA887" s="27"/>
      <c r="AB887" s="27" t="s">
        <v>1385</v>
      </c>
      <c r="AC887" s="273">
        <v>28210188</v>
      </c>
      <c r="AD887" s="27">
        <v>3802566170.8154349</v>
      </c>
      <c r="AE887" s="228">
        <v>7.4187237598946276E-3</v>
      </c>
      <c r="AF887" s="27">
        <v>866680881.65225399</v>
      </c>
      <c r="AG887" s="226">
        <v>3.2549683046220725E-2</v>
      </c>
      <c r="AH887" s="226" t="s">
        <v>2842</v>
      </c>
      <c r="AI887" s="27">
        <v>274450000</v>
      </c>
      <c r="AJ887" s="226">
        <v>0.10278807797413007</v>
      </c>
      <c r="AK887" s="27">
        <v>134230601.90851533</v>
      </c>
      <c r="AL887" s="226">
        <v>0.21016212099850831</v>
      </c>
      <c r="AM887" s="27">
        <v>245911954.26663414</v>
      </c>
      <c r="AN887" s="271">
        <v>0.11471661914171376</v>
      </c>
      <c r="AO887" s="27">
        <v>5268400</v>
      </c>
      <c r="AP887" s="27">
        <v>35</v>
      </c>
      <c r="AQ887" s="27">
        <v>67.846341463414646</v>
      </c>
      <c r="AR887" s="27">
        <v>31.7</v>
      </c>
      <c r="AS887" s="29">
        <v>94.921390000000002</v>
      </c>
      <c r="AT887" s="270" t="s">
        <v>2842</v>
      </c>
      <c r="AU887" s="464" t="s">
        <v>2842</v>
      </c>
      <c r="AV887" s="29">
        <v>-0.94869703075312295</v>
      </c>
      <c r="AW887" s="29">
        <v>-1.00640824404331</v>
      </c>
      <c r="AX887" s="29">
        <v>-0.74999233625046102</v>
      </c>
      <c r="AY887" s="29">
        <v>-0.40526827434856499</v>
      </c>
      <c r="AZ887" s="60">
        <v>-1.2406601372186701</v>
      </c>
    </row>
    <row r="888" spans="1:52" s="287" customFormat="1" ht="15" customHeight="1">
      <c r="A888" s="359" t="s">
        <v>282</v>
      </c>
      <c r="B888" s="284">
        <v>2007</v>
      </c>
      <c r="C888" s="284" t="s">
        <v>278</v>
      </c>
      <c r="D888" s="369" t="s">
        <v>34</v>
      </c>
      <c r="E888" s="284" t="s">
        <v>19</v>
      </c>
      <c r="F888" s="284" t="s">
        <v>1382</v>
      </c>
      <c r="G888" s="303">
        <f>597900*1.6</f>
        <v>956640</v>
      </c>
      <c r="H888" s="303"/>
      <c r="I888" s="303"/>
      <c r="J888" s="303"/>
      <c r="K888" s="284" t="s">
        <v>567</v>
      </c>
      <c r="L888" s="304">
        <v>7.01</v>
      </c>
      <c r="M888" s="284" t="s">
        <v>568</v>
      </c>
      <c r="N888" s="284" t="s">
        <v>1392</v>
      </c>
      <c r="O888" s="305">
        <f>G888*L888</f>
        <v>6706046.3999999994</v>
      </c>
      <c r="P888" s="306"/>
      <c r="Q888" s="306"/>
      <c r="R888" s="284"/>
      <c r="S888" s="284"/>
      <c r="T888" s="305"/>
      <c r="U888" s="284"/>
      <c r="V888" s="284"/>
      <c r="W888" s="307"/>
      <c r="X888" s="284"/>
      <c r="Y888" s="284"/>
      <c r="Z888" s="284"/>
      <c r="AA888" s="284"/>
      <c r="AB888" s="284" t="s">
        <v>1385</v>
      </c>
      <c r="AC888" s="308">
        <v>28210188</v>
      </c>
      <c r="AD888" s="284">
        <v>3802566170.8154349</v>
      </c>
      <c r="AE888" s="309">
        <v>7.4187237598946276E-3</v>
      </c>
      <c r="AF888" s="284">
        <v>866680881.65225399</v>
      </c>
      <c r="AG888" s="310">
        <v>3.2549683046220725E-2</v>
      </c>
      <c r="AH888" s="310" t="s">
        <v>2842</v>
      </c>
      <c r="AI888" s="284">
        <v>274450000</v>
      </c>
      <c r="AJ888" s="310">
        <v>0.10278807797413007</v>
      </c>
      <c r="AK888" s="284">
        <v>134230601.90851533</v>
      </c>
      <c r="AL888" s="310">
        <v>0.21016212099850831</v>
      </c>
      <c r="AM888" s="284">
        <v>245911954.26663414</v>
      </c>
      <c r="AN888" s="311">
        <v>0.11471661914171376</v>
      </c>
      <c r="AO888" s="284">
        <v>5268400</v>
      </c>
      <c r="AP888" s="284">
        <v>35</v>
      </c>
      <c r="AQ888" s="284">
        <v>67.846341463414646</v>
      </c>
      <c r="AR888" s="284">
        <v>31.7</v>
      </c>
      <c r="AS888" s="287">
        <v>94.921390000000002</v>
      </c>
      <c r="AT888" s="312" t="s">
        <v>2842</v>
      </c>
      <c r="AU888" s="465" t="s">
        <v>2842</v>
      </c>
      <c r="AV888" s="287">
        <v>-0.94869703075312295</v>
      </c>
      <c r="AW888" s="287">
        <v>-1.00640824404331</v>
      </c>
      <c r="AX888" s="287">
        <v>-0.74999233625046102</v>
      </c>
      <c r="AY888" s="287">
        <v>-0.40526827434856499</v>
      </c>
      <c r="AZ888" s="313">
        <v>-1.2406601372186701</v>
      </c>
    </row>
    <row r="889" spans="1:52" s="29" customFormat="1" ht="15" customHeight="1">
      <c r="A889" s="347" t="s">
        <v>283</v>
      </c>
      <c r="B889" s="27">
        <v>2008</v>
      </c>
      <c r="C889" s="27" t="s">
        <v>278</v>
      </c>
      <c r="D889" s="69" t="s">
        <v>34</v>
      </c>
      <c r="E889" s="27" t="s">
        <v>30</v>
      </c>
      <c r="F889" s="27" t="s">
        <v>659</v>
      </c>
      <c r="G889" s="43"/>
      <c r="H889" s="43"/>
      <c r="I889" s="43"/>
      <c r="J889" s="43"/>
      <c r="K889" s="27"/>
      <c r="L889" s="28"/>
      <c r="M889" s="27"/>
      <c r="N889" s="27"/>
      <c r="O889" s="18">
        <f>O890+O893</f>
        <v>776090210.89612758</v>
      </c>
      <c r="P889" s="213">
        <v>72855334</v>
      </c>
      <c r="Q889" s="213">
        <v>74794639</v>
      </c>
      <c r="R889" s="27" t="s">
        <v>619</v>
      </c>
      <c r="S889" s="27"/>
      <c r="T889" s="18"/>
      <c r="U889" s="27" t="s">
        <v>590</v>
      </c>
      <c r="V889" s="27" t="s">
        <v>1366</v>
      </c>
      <c r="W889" s="30">
        <v>36.56</v>
      </c>
      <c r="X889" s="27">
        <v>27</v>
      </c>
      <c r="Y889" s="27" t="s">
        <v>1395</v>
      </c>
      <c r="Z889" s="27">
        <v>26</v>
      </c>
      <c r="AA889" s="27" t="s">
        <v>1396</v>
      </c>
      <c r="AB889" s="27" t="s">
        <v>1397</v>
      </c>
      <c r="AC889" s="273">
        <v>72855334</v>
      </c>
      <c r="AD889" s="27">
        <v>5139957784.91084</v>
      </c>
      <c r="AE889" s="228">
        <v>1.4174305908480098E-2</v>
      </c>
      <c r="AF889" s="27">
        <v>1156079304.9821463</v>
      </c>
      <c r="AG889" s="226">
        <v>6.3019322018851576E-2</v>
      </c>
      <c r="AH889" s="226" t="s">
        <v>2842</v>
      </c>
      <c r="AI889" s="27">
        <v>359830000</v>
      </c>
      <c r="AJ889" s="226">
        <v>0.20247153933802073</v>
      </c>
      <c r="AK889" s="27">
        <v>160794564.30625036</v>
      </c>
      <c r="AL889" s="226">
        <v>0.45309575180190331</v>
      </c>
      <c r="AM889" s="27">
        <v>303935469.74156928</v>
      </c>
      <c r="AN889" s="271">
        <v>0.23970658660520125</v>
      </c>
      <c r="AO889" s="27">
        <v>5318700</v>
      </c>
      <c r="AP889" s="27">
        <v>31.7</v>
      </c>
      <c r="AQ889" s="27">
        <v>68.451219512195124</v>
      </c>
      <c r="AR889" s="27">
        <v>30.2</v>
      </c>
      <c r="AS889" s="29">
        <v>94.302660000000003</v>
      </c>
      <c r="AT889" s="270" t="s">
        <v>2842</v>
      </c>
      <c r="AU889" s="464" t="s">
        <v>2842</v>
      </c>
      <c r="AV889" s="29">
        <v>-1.0786996552027499</v>
      </c>
      <c r="AW889" s="29">
        <v>-0.58212276375498595</v>
      </c>
      <c r="AX889" s="29">
        <v>-0.76679444361734395</v>
      </c>
      <c r="AY889" s="29">
        <v>-0.34593290142494398</v>
      </c>
      <c r="AZ889" s="60">
        <v>-1.1211356630628699</v>
      </c>
    </row>
    <row r="890" spans="1:52" s="29" customFormat="1" ht="15" customHeight="1">
      <c r="A890" s="63" t="s">
        <v>283</v>
      </c>
      <c r="B890" s="27">
        <v>2008</v>
      </c>
      <c r="C890" s="27" t="s">
        <v>278</v>
      </c>
      <c r="D890" s="69" t="s">
        <v>34</v>
      </c>
      <c r="E890" s="27" t="s">
        <v>50</v>
      </c>
      <c r="F890" s="27" t="s">
        <v>597</v>
      </c>
      <c r="G890" s="43"/>
      <c r="H890" s="43"/>
      <c r="I890" s="43"/>
      <c r="J890" s="43"/>
      <c r="K890" s="27"/>
      <c r="L890" s="28"/>
      <c r="M890" s="27"/>
      <c r="N890" s="27"/>
      <c r="O890" s="18">
        <f>SUM(O891:O892)</f>
        <v>57217500.600000001</v>
      </c>
      <c r="P890" s="213"/>
      <c r="Q890" s="213"/>
      <c r="R890" s="27"/>
      <c r="S890" s="27"/>
      <c r="T890" s="18"/>
      <c r="U890" s="27"/>
      <c r="V890" s="27"/>
      <c r="W890" s="30"/>
      <c r="X890" s="27">
        <v>1</v>
      </c>
      <c r="Y890" s="27" t="s">
        <v>1398</v>
      </c>
      <c r="Z890" s="27">
        <v>1</v>
      </c>
      <c r="AA890" s="27"/>
      <c r="AB890" s="27"/>
      <c r="AC890" s="273">
        <v>72855334</v>
      </c>
      <c r="AD890" s="27">
        <v>5139957784.91084</v>
      </c>
      <c r="AE890" s="228">
        <v>1.4174305908480098E-2</v>
      </c>
      <c r="AF890" s="27">
        <v>1156079304.9821463</v>
      </c>
      <c r="AG890" s="226">
        <v>6.3019322018851576E-2</v>
      </c>
      <c r="AH890" s="226" t="s">
        <v>2842</v>
      </c>
      <c r="AI890" s="27">
        <v>359830000</v>
      </c>
      <c r="AJ890" s="226">
        <v>0.20247153933802073</v>
      </c>
      <c r="AK890" s="27">
        <v>160794564.30625036</v>
      </c>
      <c r="AL890" s="226">
        <v>0.45309575180190331</v>
      </c>
      <c r="AM890" s="27">
        <v>303935469.74156928</v>
      </c>
      <c r="AN890" s="271">
        <v>0.23970658660520125</v>
      </c>
      <c r="AO890" s="27">
        <v>5318700</v>
      </c>
      <c r="AP890" s="27">
        <v>31.7</v>
      </c>
      <c r="AQ890" s="27">
        <v>68.451219512195124</v>
      </c>
      <c r="AR890" s="27">
        <v>30.2</v>
      </c>
      <c r="AS890" s="29">
        <v>94.302660000000003</v>
      </c>
      <c r="AT890" s="270" t="s">
        <v>2842</v>
      </c>
      <c r="AU890" s="464" t="s">
        <v>2842</v>
      </c>
      <c r="AV890" s="29">
        <v>-1.0786996552027499</v>
      </c>
      <c r="AW890" s="29">
        <v>-0.58212276375498595</v>
      </c>
      <c r="AX890" s="29">
        <v>-0.76679444361734395</v>
      </c>
      <c r="AY890" s="29">
        <v>-0.34593290142494398</v>
      </c>
      <c r="AZ890" s="60">
        <v>-1.1211356630628699</v>
      </c>
    </row>
    <row r="891" spans="1:52" s="29" customFormat="1" ht="15" customHeight="1">
      <c r="A891" s="63" t="s">
        <v>283</v>
      </c>
      <c r="B891" s="27">
        <v>2008</v>
      </c>
      <c r="C891" s="27" t="s">
        <v>278</v>
      </c>
      <c r="D891" s="69" t="s">
        <v>34</v>
      </c>
      <c r="E891" s="27" t="s">
        <v>552</v>
      </c>
      <c r="F891" s="27" t="s">
        <v>552</v>
      </c>
      <c r="G891" s="43">
        <v>19800000</v>
      </c>
      <c r="H891" s="43"/>
      <c r="I891" s="43"/>
      <c r="J891" s="43"/>
      <c r="K891" s="27" t="s">
        <v>599</v>
      </c>
      <c r="L891" s="28">
        <v>0.32879700000000006</v>
      </c>
      <c r="M891" s="27" t="s">
        <v>600</v>
      </c>
      <c r="N891" s="27" t="s">
        <v>1399</v>
      </c>
      <c r="O891" s="18">
        <f>G891*L891</f>
        <v>6510180.6000000015</v>
      </c>
      <c r="P891" s="213"/>
      <c r="Q891" s="213"/>
      <c r="R891" s="27"/>
      <c r="S891" s="27"/>
      <c r="T891" s="18"/>
      <c r="U891" s="27"/>
      <c r="V891" s="27"/>
      <c r="W891" s="30"/>
      <c r="X891" s="27"/>
      <c r="Y891" s="27"/>
      <c r="Z891" s="27"/>
      <c r="AA891" s="27"/>
      <c r="AB891" s="27"/>
      <c r="AC891" s="273">
        <v>72855334</v>
      </c>
      <c r="AD891" s="27">
        <v>5139957784.91084</v>
      </c>
      <c r="AE891" s="228">
        <v>1.4174305908480098E-2</v>
      </c>
      <c r="AF891" s="27">
        <v>1156079304.9821463</v>
      </c>
      <c r="AG891" s="226">
        <v>6.3019322018851576E-2</v>
      </c>
      <c r="AH891" s="226" t="s">
        <v>2842</v>
      </c>
      <c r="AI891" s="27">
        <v>359830000</v>
      </c>
      <c r="AJ891" s="226">
        <v>0.20247153933802073</v>
      </c>
      <c r="AK891" s="27">
        <v>160794564.30625036</v>
      </c>
      <c r="AL891" s="226">
        <v>0.45309575180190331</v>
      </c>
      <c r="AM891" s="27">
        <v>303935469.74156928</v>
      </c>
      <c r="AN891" s="271">
        <v>0.23970658660520125</v>
      </c>
      <c r="AO891" s="27">
        <v>5318700</v>
      </c>
      <c r="AP891" s="27">
        <v>31.7</v>
      </c>
      <c r="AQ891" s="27">
        <v>68.451219512195124</v>
      </c>
      <c r="AR891" s="27">
        <v>30.2</v>
      </c>
      <c r="AS891" s="29">
        <v>94.302660000000003</v>
      </c>
      <c r="AT891" s="270" t="s">
        <v>2842</v>
      </c>
      <c r="AU891" s="464" t="s">
        <v>2842</v>
      </c>
      <c r="AV891" s="29">
        <v>-1.0786996552027499</v>
      </c>
      <c r="AW891" s="29">
        <v>-0.58212276375498595</v>
      </c>
      <c r="AX891" s="29">
        <v>-0.76679444361734395</v>
      </c>
      <c r="AY891" s="29">
        <v>-0.34593290142494398</v>
      </c>
      <c r="AZ891" s="60">
        <v>-1.1211356630628699</v>
      </c>
    </row>
    <row r="892" spans="1:52" s="29" customFormat="1" ht="15" customHeight="1">
      <c r="A892" s="63" t="s">
        <v>283</v>
      </c>
      <c r="B892" s="27">
        <v>2008</v>
      </c>
      <c r="C892" s="27" t="s">
        <v>278</v>
      </c>
      <c r="D892" s="69" t="s">
        <v>34</v>
      </c>
      <c r="E892" s="27" t="s">
        <v>1400</v>
      </c>
      <c r="F892" s="27" t="s">
        <v>98</v>
      </c>
      <c r="G892" s="43">
        <v>516000</v>
      </c>
      <c r="H892" s="43"/>
      <c r="I892" s="43"/>
      <c r="J892" s="43"/>
      <c r="K892" s="27" t="s">
        <v>603</v>
      </c>
      <c r="L892" s="28">
        <v>98.27</v>
      </c>
      <c r="M892" s="27" t="s">
        <v>626</v>
      </c>
      <c r="N892" s="27" t="s">
        <v>1401</v>
      </c>
      <c r="O892" s="18">
        <f>G892*L892</f>
        <v>50707320</v>
      </c>
      <c r="P892" s="213"/>
      <c r="Q892" s="213"/>
      <c r="R892" s="27"/>
      <c r="S892" s="27"/>
      <c r="T892" s="18"/>
      <c r="U892" s="27"/>
      <c r="V892" s="27"/>
      <c r="W892" s="30"/>
      <c r="X892" s="27"/>
      <c r="Y892" s="27"/>
      <c r="Z892" s="27"/>
      <c r="AA892" s="27"/>
      <c r="AB892" s="27"/>
      <c r="AC892" s="273">
        <v>72855334</v>
      </c>
      <c r="AD892" s="27">
        <v>5139957784.91084</v>
      </c>
      <c r="AE892" s="228">
        <v>1.4174305908480098E-2</v>
      </c>
      <c r="AF892" s="27">
        <v>1156079304.9821463</v>
      </c>
      <c r="AG892" s="226">
        <v>6.3019322018851576E-2</v>
      </c>
      <c r="AH892" s="226" t="s">
        <v>2842</v>
      </c>
      <c r="AI892" s="27">
        <v>359830000</v>
      </c>
      <c r="AJ892" s="226">
        <v>0.20247153933802073</v>
      </c>
      <c r="AK892" s="27">
        <v>160794564.30625036</v>
      </c>
      <c r="AL892" s="226">
        <v>0.45309575180190331</v>
      </c>
      <c r="AM892" s="27">
        <v>303935469.74156928</v>
      </c>
      <c r="AN892" s="271">
        <v>0.23970658660520125</v>
      </c>
      <c r="AO892" s="27">
        <v>5318700</v>
      </c>
      <c r="AP892" s="27">
        <v>31.7</v>
      </c>
      <c r="AQ892" s="27">
        <v>68.451219512195124</v>
      </c>
      <c r="AR892" s="27">
        <v>30.2</v>
      </c>
      <c r="AS892" s="29">
        <v>94.302660000000003</v>
      </c>
      <c r="AT892" s="270" t="s">
        <v>2842</v>
      </c>
      <c r="AU892" s="464" t="s">
        <v>2842</v>
      </c>
      <c r="AV892" s="29">
        <v>-1.0786996552027499</v>
      </c>
      <c r="AW892" s="29">
        <v>-0.58212276375498595</v>
      </c>
      <c r="AX892" s="29">
        <v>-0.76679444361734395</v>
      </c>
      <c r="AY892" s="29">
        <v>-0.34593290142494398</v>
      </c>
      <c r="AZ892" s="60">
        <v>-1.1211356630628699</v>
      </c>
    </row>
    <row r="893" spans="1:52" s="29" customFormat="1" ht="15" customHeight="1">
      <c r="A893" s="63" t="s">
        <v>283</v>
      </c>
      <c r="B893" s="27">
        <v>2008</v>
      </c>
      <c r="C893" s="27" t="s">
        <v>278</v>
      </c>
      <c r="D893" s="69" t="s">
        <v>34</v>
      </c>
      <c r="E893" s="27" t="s">
        <v>19</v>
      </c>
      <c r="F893" s="27" t="s">
        <v>559</v>
      </c>
      <c r="G893" s="43"/>
      <c r="H893" s="43"/>
      <c r="I893" s="43"/>
      <c r="J893" s="43"/>
      <c r="K893" s="27"/>
      <c r="L893" s="28"/>
      <c r="M893" s="27"/>
      <c r="N893" s="27"/>
      <c r="O893" s="18">
        <f>SUM(O894:O910)</f>
        <v>718872710.29612756</v>
      </c>
      <c r="P893" s="213"/>
      <c r="Q893" s="213"/>
      <c r="R893" s="27"/>
      <c r="S893" s="27"/>
      <c r="T893" s="18"/>
      <c r="U893" s="27"/>
      <c r="V893" s="27"/>
      <c r="W893" s="30"/>
      <c r="X893" s="27">
        <v>26</v>
      </c>
      <c r="Y893" s="27" t="s">
        <v>1402</v>
      </c>
      <c r="Z893" s="27">
        <v>25</v>
      </c>
      <c r="AA893" s="27"/>
      <c r="AB893" s="27"/>
      <c r="AC893" s="273">
        <v>72855334</v>
      </c>
      <c r="AD893" s="27">
        <v>5139957784.91084</v>
      </c>
      <c r="AE893" s="228">
        <v>1.4174305908480098E-2</v>
      </c>
      <c r="AF893" s="27">
        <v>1156079304.9821463</v>
      </c>
      <c r="AG893" s="226">
        <v>6.3019322018851576E-2</v>
      </c>
      <c r="AH893" s="226" t="s">
        <v>2842</v>
      </c>
      <c r="AI893" s="27">
        <v>359830000</v>
      </c>
      <c r="AJ893" s="226">
        <v>0.20247153933802073</v>
      </c>
      <c r="AK893" s="27">
        <v>160794564.30625036</v>
      </c>
      <c r="AL893" s="226">
        <v>0.45309575180190331</v>
      </c>
      <c r="AM893" s="27">
        <v>303935469.74156928</v>
      </c>
      <c r="AN893" s="271">
        <v>0.23970658660520125</v>
      </c>
      <c r="AO893" s="27">
        <v>5318700</v>
      </c>
      <c r="AP893" s="27">
        <v>31.7</v>
      </c>
      <c r="AQ893" s="27">
        <v>68.451219512195124</v>
      </c>
      <c r="AR893" s="27">
        <v>30.2</v>
      </c>
      <c r="AS893" s="29">
        <v>94.302660000000003</v>
      </c>
      <c r="AT893" s="270" t="s">
        <v>2842</v>
      </c>
      <c r="AU893" s="464" t="s">
        <v>2842</v>
      </c>
      <c r="AV893" s="29">
        <v>-1.0786996552027499</v>
      </c>
      <c r="AW893" s="29">
        <v>-0.58212276375498595</v>
      </c>
      <c r="AX893" s="29">
        <v>-0.76679444361734395</v>
      </c>
      <c r="AY893" s="29">
        <v>-0.34593290142494398</v>
      </c>
      <c r="AZ893" s="60">
        <v>-1.1211356630628699</v>
      </c>
    </row>
    <row r="894" spans="1:52" s="29" customFormat="1" ht="15" customHeight="1">
      <c r="A894" s="63" t="s">
        <v>283</v>
      </c>
      <c r="B894" s="27">
        <v>2008</v>
      </c>
      <c r="C894" s="27" t="s">
        <v>278</v>
      </c>
      <c r="D894" s="69" t="s">
        <v>34</v>
      </c>
      <c r="E894" s="27" t="s">
        <v>19</v>
      </c>
      <c r="F894" s="27" t="s">
        <v>573</v>
      </c>
      <c r="G894" s="43">
        <v>492601</v>
      </c>
      <c r="H894" s="43"/>
      <c r="I894" s="43"/>
      <c r="J894" s="43"/>
      <c r="K894" s="27" t="s">
        <v>567</v>
      </c>
      <c r="L894" s="28">
        <v>138.17277433644946</v>
      </c>
      <c r="M894" s="27" t="s">
        <v>568</v>
      </c>
      <c r="N894" s="27" t="s">
        <v>1022</v>
      </c>
      <c r="O894" s="18">
        <f>G894*L894</f>
        <v>68064046.810909346</v>
      </c>
      <c r="P894" s="213"/>
      <c r="Q894" s="213"/>
      <c r="R894" s="27"/>
      <c r="S894" s="27"/>
      <c r="T894" s="18"/>
      <c r="U894" s="27"/>
      <c r="V894" s="27"/>
      <c r="W894" s="30"/>
      <c r="X894" s="27">
        <v>9</v>
      </c>
      <c r="Y894" s="27" t="s">
        <v>1403</v>
      </c>
      <c r="Z894" s="27">
        <v>9</v>
      </c>
      <c r="AA894" s="27"/>
      <c r="AB894" s="27"/>
      <c r="AC894" s="273">
        <v>72855334</v>
      </c>
      <c r="AD894" s="27">
        <v>5139957784.91084</v>
      </c>
      <c r="AE894" s="228">
        <v>1.4174305908480098E-2</v>
      </c>
      <c r="AF894" s="27">
        <v>1156079304.9821463</v>
      </c>
      <c r="AG894" s="226">
        <v>6.3019322018851576E-2</v>
      </c>
      <c r="AH894" s="226" t="s">
        <v>2842</v>
      </c>
      <c r="AI894" s="27">
        <v>359830000</v>
      </c>
      <c r="AJ894" s="226">
        <v>0.20247153933802073</v>
      </c>
      <c r="AK894" s="27">
        <v>160794564.30625036</v>
      </c>
      <c r="AL894" s="226">
        <v>0.45309575180190331</v>
      </c>
      <c r="AM894" s="27">
        <v>303935469.74156928</v>
      </c>
      <c r="AN894" s="271">
        <v>0.23970658660520125</v>
      </c>
      <c r="AO894" s="27">
        <v>5318700</v>
      </c>
      <c r="AP894" s="27">
        <v>31.7</v>
      </c>
      <c r="AQ894" s="27">
        <v>68.451219512195124</v>
      </c>
      <c r="AR894" s="27">
        <v>30.2</v>
      </c>
      <c r="AS894" s="29">
        <v>94.302660000000003</v>
      </c>
      <c r="AT894" s="270" t="s">
        <v>2842</v>
      </c>
      <c r="AU894" s="464" t="s">
        <v>2842</v>
      </c>
      <c r="AV894" s="29">
        <v>-1.0786996552027499</v>
      </c>
      <c r="AW894" s="29">
        <v>-0.58212276375498595</v>
      </c>
      <c r="AX894" s="29">
        <v>-0.76679444361734395</v>
      </c>
      <c r="AY894" s="29">
        <v>-0.34593290142494398</v>
      </c>
      <c r="AZ894" s="60">
        <v>-1.1211356630628699</v>
      </c>
    </row>
    <row r="895" spans="1:52" s="29" customFormat="1" ht="15" customHeight="1">
      <c r="A895" s="63" t="s">
        <v>283</v>
      </c>
      <c r="B895" s="27">
        <v>2008</v>
      </c>
      <c r="C895" s="27" t="s">
        <v>278</v>
      </c>
      <c r="D895" s="69" t="s">
        <v>34</v>
      </c>
      <c r="E895" s="27" t="s">
        <v>19</v>
      </c>
      <c r="F895" s="27" t="s">
        <v>1404</v>
      </c>
      <c r="G895" s="43"/>
      <c r="H895" s="43"/>
      <c r="I895" s="43"/>
      <c r="J895" s="43"/>
      <c r="K895" s="27"/>
      <c r="L895" s="28"/>
      <c r="M895" s="27"/>
      <c r="N895" s="27"/>
      <c r="O895" s="18"/>
      <c r="P895" s="213"/>
      <c r="Q895" s="213"/>
      <c r="R895" s="27"/>
      <c r="S895" s="27"/>
      <c r="T895" s="18"/>
      <c r="U895" s="27"/>
      <c r="V895" s="27"/>
      <c r="W895" s="30"/>
      <c r="X895" s="27">
        <v>5</v>
      </c>
      <c r="Y895" s="27" t="s">
        <v>1405</v>
      </c>
      <c r="Z895" s="27">
        <v>5</v>
      </c>
      <c r="AA895" s="27"/>
      <c r="AB895" s="27"/>
      <c r="AC895" s="273">
        <v>72855334</v>
      </c>
      <c r="AD895" s="27">
        <v>5139957784.91084</v>
      </c>
      <c r="AE895" s="228">
        <v>1.4174305908480098E-2</v>
      </c>
      <c r="AF895" s="27">
        <v>1156079304.9821463</v>
      </c>
      <c r="AG895" s="226">
        <v>6.3019322018851576E-2</v>
      </c>
      <c r="AH895" s="226" t="s">
        <v>2842</v>
      </c>
      <c r="AI895" s="27">
        <v>359830000</v>
      </c>
      <c r="AJ895" s="226">
        <v>0.20247153933802073</v>
      </c>
      <c r="AK895" s="27">
        <v>160794564.30625036</v>
      </c>
      <c r="AL895" s="226">
        <v>0.45309575180190331</v>
      </c>
      <c r="AM895" s="27">
        <v>303935469.74156928</v>
      </c>
      <c r="AN895" s="271">
        <v>0.23970658660520125</v>
      </c>
      <c r="AO895" s="27">
        <v>5318700</v>
      </c>
      <c r="AP895" s="27">
        <v>31.7</v>
      </c>
      <c r="AQ895" s="27">
        <v>68.451219512195124</v>
      </c>
      <c r="AR895" s="27">
        <v>30.2</v>
      </c>
      <c r="AS895" s="29">
        <v>94.302660000000003</v>
      </c>
      <c r="AT895" s="270" t="s">
        <v>2842</v>
      </c>
      <c r="AU895" s="464" t="s">
        <v>2842</v>
      </c>
      <c r="AV895" s="29">
        <v>-1.0786996552027499</v>
      </c>
      <c r="AW895" s="29">
        <v>-0.58212276375498595</v>
      </c>
      <c r="AX895" s="29">
        <v>-0.76679444361734395</v>
      </c>
      <c r="AY895" s="29">
        <v>-0.34593290142494398</v>
      </c>
      <c r="AZ895" s="60">
        <v>-1.1211356630628699</v>
      </c>
    </row>
    <row r="896" spans="1:52" s="29" customFormat="1" ht="15" customHeight="1">
      <c r="A896" s="63" t="s">
        <v>283</v>
      </c>
      <c r="B896" s="27">
        <v>2008</v>
      </c>
      <c r="C896" s="27" t="s">
        <v>278</v>
      </c>
      <c r="D896" s="69" t="s">
        <v>34</v>
      </c>
      <c r="E896" s="27" t="s">
        <v>19</v>
      </c>
      <c r="F896" s="27" t="s">
        <v>1406</v>
      </c>
      <c r="G896" s="43">
        <v>1218100</v>
      </c>
      <c r="H896" s="43"/>
      <c r="I896" s="43"/>
      <c r="J896" s="43"/>
      <c r="K896" s="27" t="s">
        <v>567</v>
      </c>
      <c r="L896" s="28">
        <v>107</v>
      </c>
      <c r="M896" s="27" t="s">
        <v>568</v>
      </c>
      <c r="N896" s="27" t="s">
        <v>1407</v>
      </c>
      <c r="O896" s="18">
        <f>G896*L896</f>
        <v>130336700</v>
      </c>
      <c r="P896" s="213"/>
      <c r="Q896" s="213"/>
      <c r="R896" s="27"/>
      <c r="S896" s="27"/>
      <c r="T896" s="18"/>
      <c r="U896" s="27"/>
      <c r="V896" s="27"/>
      <c r="W896" s="30"/>
      <c r="X896" s="27"/>
      <c r="Y896" s="27"/>
      <c r="Z896" s="27"/>
      <c r="AA896" s="27"/>
      <c r="AB896" s="27"/>
      <c r="AC896" s="273">
        <v>72855334</v>
      </c>
      <c r="AD896" s="27">
        <v>5139957784.91084</v>
      </c>
      <c r="AE896" s="228">
        <v>1.4174305908480098E-2</v>
      </c>
      <c r="AF896" s="27">
        <v>1156079304.9821463</v>
      </c>
      <c r="AG896" s="226">
        <v>6.3019322018851576E-2</v>
      </c>
      <c r="AH896" s="226" t="s">
        <v>2842</v>
      </c>
      <c r="AI896" s="27">
        <v>359830000</v>
      </c>
      <c r="AJ896" s="226">
        <v>0.20247153933802073</v>
      </c>
      <c r="AK896" s="27">
        <v>160794564.30625036</v>
      </c>
      <c r="AL896" s="226">
        <v>0.45309575180190331</v>
      </c>
      <c r="AM896" s="27">
        <v>303935469.74156928</v>
      </c>
      <c r="AN896" s="271">
        <v>0.23970658660520125</v>
      </c>
      <c r="AO896" s="27">
        <v>5318700</v>
      </c>
      <c r="AP896" s="27">
        <v>31.7</v>
      </c>
      <c r="AQ896" s="27">
        <v>68.451219512195124</v>
      </c>
      <c r="AR896" s="27">
        <v>30.2</v>
      </c>
      <c r="AS896" s="29">
        <v>94.302660000000003</v>
      </c>
      <c r="AT896" s="270" t="s">
        <v>2842</v>
      </c>
      <c r="AU896" s="464" t="s">
        <v>2842</v>
      </c>
      <c r="AV896" s="29">
        <v>-1.0786996552027499</v>
      </c>
      <c r="AW896" s="29">
        <v>-0.58212276375498595</v>
      </c>
      <c r="AX896" s="29">
        <v>-0.76679444361734395</v>
      </c>
      <c r="AY896" s="29">
        <v>-0.34593290142494398</v>
      </c>
      <c r="AZ896" s="60">
        <v>-1.1211356630628699</v>
      </c>
    </row>
    <row r="897" spans="1:52" s="29" customFormat="1" ht="15" customHeight="1">
      <c r="A897" s="63" t="s">
        <v>283</v>
      </c>
      <c r="B897" s="27">
        <v>2008</v>
      </c>
      <c r="C897" s="27" t="s">
        <v>278</v>
      </c>
      <c r="D897" s="69" t="s">
        <v>34</v>
      </c>
      <c r="E897" s="27" t="s">
        <v>19</v>
      </c>
      <c r="F897" s="27" t="s">
        <v>1408</v>
      </c>
      <c r="G897" s="43"/>
      <c r="H897" s="43"/>
      <c r="I897" s="43"/>
      <c r="J897" s="43"/>
      <c r="K897" s="27"/>
      <c r="L897" s="28"/>
      <c r="M897" s="27"/>
      <c r="N897" s="27"/>
      <c r="O897" s="18"/>
      <c r="P897" s="213"/>
      <c r="Q897" s="213"/>
      <c r="R897" s="27"/>
      <c r="S897" s="27"/>
      <c r="T897" s="18"/>
      <c r="U897" s="27"/>
      <c r="V897" s="27"/>
      <c r="W897" s="30"/>
      <c r="X897" s="27"/>
      <c r="Y897" s="27"/>
      <c r="Z897" s="27"/>
      <c r="AA897" s="27"/>
      <c r="AB897" s="27" t="s">
        <v>884</v>
      </c>
      <c r="AC897" s="273">
        <v>72855334</v>
      </c>
      <c r="AD897" s="27">
        <v>5139957784.91084</v>
      </c>
      <c r="AE897" s="228">
        <v>1.4174305908480098E-2</v>
      </c>
      <c r="AF897" s="27">
        <v>1156079304.9821463</v>
      </c>
      <c r="AG897" s="226">
        <v>6.3019322018851576E-2</v>
      </c>
      <c r="AH897" s="226" t="s">
        <v>2842</v>
      </c>
      <c r="AI897" s="27">
        <v>359830000</v>
      </c>
      <c r="AJ897" s="226">
        <v>0.20247153933802073</v>
      </c>
      <c r="AK897" s="27">
        <v>160794564.30625036</v>
      </c>
      <c r="AL897" s="226">
        <v>0.45309575180190331</v>
      </c>
      <c r="AM897" s="27">
        <v>303935469.74156928</v>
      </c>
      <c r="AN897" s="271">
        <v>0.23970658660520125</v>
      </c>
      <c r="AO897" s="27">
        <v>5318700</v>
      </c>
      <c r="AP897" s="27">
        <v>31.7</v>
      </c>
      <c r="AQ897" s="27">
        <v>68.451219512195124</v>
      </c>
      <c r="AR897" s="27">
        <v>30.2</v>
      </c>
      <c r="AS897" s="29">
        <v>94.302660000000003</v>
      </c>
      <c r="AT897" s="270" t="s">
        <v>2842</v>
      </c>
      <c r="AU897" s="464" t="s">
        <v>2842</v>
      </c>
      <c r="AV897" s="29">
        <v>-1.0786996552027499</v>
      </c>
      <c r="AW897" s="29">
        <v>-0.58212276375498595</v>
      </c>
      <c r="AX897" s="29">
        <v>-0.76679444361734395</v>
      </c>
      <c r="AY897" s="29">
        <v>-0.34593290142494398</v>
      </c>
      <c r="AZ897" s="60">
        <v>-1.1211356630628699</v>
      </c>
    </row>
    <row r="898" spans="1:52" s="29" customFormat="1" ht="15" customHeight="1">
      <c r="A898" s="63" t="s">
        <v>283</v>
      </c>
      <c r="B898" s="27">
        <v>2008</v>
      </c>
      <c r="C898" s="27" t="s">
        <v>278</v>
      </c>
      <c r="D898" s="69" t="s">
        <v>34</v>
      </c>
      <c r="E898" s="27" t="s">
        <v>19</v>
      </c>
      <c r="F898" s="27" t="s">
        <v>1409</v>
      </c>
      <c r="G898" s="43">
        <v>55</v>
      </c>
      <c r="H898" s="43"/>
      <c r="I898" s="43"/>
      <c r="J898" s="43"/>
      <c r="K898" s="27" t="s">
        <v>567</v>
      </c>
      <c r="L898" s="28">
        <v>25.65</v>
      </c>
      <c r="M898" s="27" t="s">
        <v>568</v>
      </c>
      <c r="N898" s="27" t="s">
        <v>1132</v>
      </c>
      <c r="O898" s="18">
        <f>G898*L898</f>
        <v>1410.75</v>
      </c>
      <c r="P898" s="213"/>
      <c r="Q898" s="213"/>
      <c r="R898" s="27"/>
      <c r="S898" s="27"/>
      <c r="T898" s="18"/>
      <c r="U898" s="27"/>
      <c r="V898" s="27"/>
      <c r="W898" s="30"/>
      <c r="X898" s="27"/>
      <c r="Y898" s="27"/>
      <c r="Z898" s="27"/>
      <c r="AA898" s="27"/>
      <c r="AB898" s="27" t="s">
        <v>884</v>
      </c>
      <c r="AC898" s="273">
        <v>72855334</v>
      </c>
      <c r="AD898" s="27">
        <v>5139957784.91084</v>
      </c>
      <c r="AE898" s="228">
        <v>1.4174305908480098E-2</v>
      </c>
      <c r="AF898" s="27">
        <v>1156079304.9821463</v>
      </c>
      <c r="AG898" s="226">
        <v>6.3019322018851576E-2</v>
      </c>
      <c r="AH898" s="226" t="s">
        <v>2842</v>
      </c>
      <c r="AI898" s="27">
        <v>359830000</v>
      </c>
      <c r="AJ898" s="226">
        <v>0.20247153933802073</v>
      </c>
      <c r="AK898" s="27">
        <v>160794564.30625036</v>
      </c>
      <c r="AL898" s="226">
        <v>0.45309575180190331</v>
      </c>
      <c r="AM898" s="27">
        <v>303935469.74156928</v>
      </c>
      <c r="AN898" s="271">
        <v>0.23970658660520125</v>
      </c>
      <c r="AO898" s="27">
        <v>5318700</v>
      </c>
      <c r="AP898" s="27">
        <v>31.7</v>
      </c>
      <c r="AQ898" s="27">
        <v>68.451219512195124</v>
      </c>
      <c r="AR898" s="27">
        <v>30.2</v>
      </c>
      <c r="AS898" s="29">
        <v>94.302660000000003</v>
      </c>
      <c r="AT898" s="270" t="s">
        <v>2842</v>
      </c>
      <c r="AU898" s="464" t="s">
        <v>2842</v>
      </c>
      <c r="AV898" s="29">
        <v>-1.0786996552027499</v>
      </c>
      <c r="AW898" s="29">
        <v>-0.58212276375498595</v>
      </c>
      <c r="AX898" s="29">
        <v>-0.76679444361734395</v>
      </c>
      <c r="AY898" s="29">
        <v>-0.34593290142494398</v>
      </c>
      <c r="AZ898" s="60">
        <v>-1.1211356630628699</v>
      </c>
    </row>
    <row r="899" spans="1:52" s="29" customFormat="1" ht="15" customHeight="1">
      <c r="A899" s="63" t="s">
        <v>283</v>
      </c>
      <c r="B899" s="27">
        <v>2008</v>
      </c>
      <c r="C899" s="27" t="s">
        <v>278</v>
      </c>
      <c r="D899" s="69" t="s">
        <v>34</v>
      </c>
      <c r="E899" s="27" t="s">
        <v>19</v>
      </c>
      <c r="F899" s="27" t="s">
        <v>1410</v>
      </c>
      <c r="G899" s="43"/>
      <c r="H899" s="43"/>
      <c r="I899" s="43"/>
      <c r="J899" s="43"/>
      <c r="K899" s="27"/>
      <c r="L899" s="28"/>
      <c r="M899" s="27"/>
      <c r="N899" s="27"/>
      <c r="O899" s="18"/>
      <c r="P899" s="213"/>
      <c r="Q899" s="213"/>
      <c r="R899" s="27"/>
      <c r="S899" s="27"/>
      <c r="T899" s="18"/>
      <c r="U899" s="27"/>
      <c r="V899" s="27"/>
      <c r="W899" s="30"/>
      <c r="X899" s="27"/>
      <c r="Y899" s="27"/>
      <c r="Z899" s="27"/>
      <c r="AA899" s="27"/>
      <c r="AB899" s="27" t="s">
        <v>884</v>
      </c>
      <c r="AC899" s="273">
        <v>72855334</v>
      </c>
      <c r="AD899" s="27">
        <v>5139957784.91084</v>
      </c>
      <c r="AE899" s="228">
        <v>1.4174305908480098E-2</v>
      </c>
      <c r="AF899" s="27">
        <v>1156079304.9821463</v>
      </c>
      <c r="AG899" s="226">
        <v>6.3019322018851576E-2</v>
      </c>
      <c r="AH899" s="226" t="s">
        <v>2842</v>
      </c>
      <c r="AI899" s="27">
        <v>359830000</v>
      </c>
      <c r="AJ899" s="226">
        <v>0.20247153933802073</v>
      </c>
      <c r="AK899" s="27">
        <v>160794564.30625036</v>
      </c>
      <c r="AL899" s="226">
        <v>0.45309575180190331</v>
      </c>
      <c r="AM899" s="27">
        <v>303935469.74156928</v>
      </c>
      <c r="AN899" s="271">
        <v>0.23970658660520125</v>
      </c>
      <c r="AO899" s="27">
        <v>5318700</v>
      </c>
      <c r="AP899" s="27">
        <v>31.7</v>
      </c>
      <c r="AQ899" s="27">
        <v>68.451219512195124</v>
      </c>
      <c r="AR899" s="27">
        <v>30.2</v>
      </c>
      <c r="AS899" s="29">
        <v>94.302660000000003</v>
      </c>
      <c r="AT899" s="270" t="s">
        <v>2842</v>
      </c>
      <c r="AU899" s="464" t="s">
        <v>2842</v>
      </c>
      <c r="AV899" s="29">
        <v>-1.0786996552027499</v>
      </c>
      <c r="AW899" s="29">
        <v>-0.58212276375498595</v>
      </c>
      <c r="AX899" s="29">
        <v>-0.76679444361734395</v>
      </c>
      <c r="AY899" s="29">
        <v>-0.34593290142494398</v>
      </c>
      <c r="AZ899" s="60">
        <v>-1.1211356630628699</v>
      </c>
    </row>
    <row r="900" spans="1:52" s="29" customFormat="1" ht="15" customHeight="1">
      <c r="A900" s="63" t="s">
        <v>283</v>
      </c>
      <c r="B900" s="27">
        <v>2008</v>
      </c>
      <c r="C900" s="27" t="s">
        <v>278</v>
      </c>
      <c r="D900" s="69" t="s">
        <v>34</v>
      </c>
      <c r="E900" s="27" t="s">
        <v>19</v>
      </c>
      <c r="F900" s="27" t="s">
        <v>1411</v>
      </c>
      <c r="G900" s="43">
        <v>8700</v>
      </c>
      <c r="H900" s="43"/>
      <c r="I900" s="43"/>
      <c r="J900" s="43"/>
      <c r="K900" s="27" t="s">
        <v>567</v>
      </c>
      <c r="L900" s="28">
        <v>97.75</v>
      </c>
      <c r="M900" s="27" t="s">
        <v>568</v>
      </c>
      <c r="N900" s="27" t="s">
        <v>1412</v>
      </c>
      <c r="O900" s="18">
        <f>G900*L900</f>
        <v>850425</v>
      </c>
      <c r="P900" s="213"/>
      <c r="Q900" s="213"/>
      <c r="R900" s="27"/>
      <c r="S900" s="27"/>
      <c r="T900" s="18"/>
      <c r="U900" s="27"/>
      <c r="V900" s="27"/>
      <c r="W900" s="30"/>
      <c r="X900" s="27"/>
      <c r="Y900" s="27"/>
      <c r="Z900" s="27"/>
      <c r="AA900" s="27"/>
      <c r="AB900" s="27"/>
      <c r="AC900" s="273">
        <v>72855334</v>
      </c>
      <c r="AD900" s="27">
        <v>5139957784.91084</v>
      </c>
      <c r="AE900" s="228">
        <v>1.4174305908480098E-2</v>
      </c>
      <c r="AF900" s="27">
        <v>1156079304.9821463</v>
      </c>
      <c r="AG900" s="226">
        <v>6.3019322018851576E-2</v>
      </c>
      <c r="AH900" s="226" t="s">
        <v>2842</v>
      </c>
      <c r="AI900" s="27">
        <v>359830000</v>
      </c>
      <c r="AJ900" s="226">
        <v>0.20247153933802073</v>
      </c>
      <c r="AK900" s="27">
        <v>160794564.30625036</v>
      </c>
      <c r="AL900" s="226">
        <v>0.45309575180190331</v>
      </c>
      <c r="AM900" s="27">
        <v>303935469.74156928</v>
      </c>
      <c r="AN900" s="271">
        <v>0.23970658660520125</v>
      </c>
      <c r="AO900" s="27">
        <v>5318700</v>
      </c>
      <c r="AP900" s="27">
        <v>31.7</v>
      </c>
      <c r="AQ900" s="27">
        <v>68.451219512195124</v>
      </c>
      <c r="AR900" s="27">
        <v>30.2</v>
      </c>
      <c r="AS900" s="29">
        <v>94.302660000000003</v>
      </c>
      <c r="AT900" s="270" t="s">
        <v>2842</v>
      </c>
      <c r="AU900" s="464" t="s">
        <v>2842</v>
      </c>
      <c r="AV900" s="29">
        <v>-1.0786996552027499</v>
      </c>
      <c r="AW900" s="29">
        <v>-0.58212276375498595</v>
      </c>
      <c r="AX900" s="29">
        <v>-0.76679444361734395</v>
      </c>
      <c r="AY900" s="29">
        <v>-0.34593290142494398</v>
      </c>
      <c r="AZ900" s="60">
        <v>-1.1211356630628699</v>
      </c>
    </row>
    <row r="901" spans="1:52" s="29" customFormat="1" ht="15" customHeight="1">
      <c r="A901" s="63" t="s">
        <v>283</v>
      </c>
      <c r="B901" s="27">
        <v>2008</v>
      </c>
      <c r="C901" s="27" t="s">
        <v>278</v>
      </c>
      <c r="D901" s="69" t="s">
        <v>34</v>
      </c>
      <c r="E901" s="27" t="s">
        <v>19</v>
      </c>
      <c r="F901" s="27" t="s">
        <v>1413</v>
      </c>
      <c r="G901" s="43"/>
      <c r="H901" s="43"/>
      <c r="I901" s="43"/>
      <c r="J901" s="43"/>
      <c r="K901" s="27"/>
      <c r="L901" s="28"/>
      <c r="M901" s="27"/>
      <c r="N901" s="27"/>
      <c r="O901" s="18"/>
      <c r="P901" s="213"/>
      <c r="Q901" s="213"/>
      <c r="R901" s="27"/>
      <c r="S901" s="27"/>
      <c r="T901" s="18"/>
      <c r="U901" s="27"/>
      <c r="V901" s="27"/>
      <c r="W901" s="30"/>
      <c r="X901" s="27"/>
      <c r="Y901" s="27"/>
      <c r="Z901" s="27"/>
      <c r="AA901" s="27"/>
      <c r="AB901" s="27" t="s">
        <v>884</v>
      </c>
      <c r="AC901" s="273">
        <v>72855334</v>
      </c>
      <c r="AD901" s="27">
        <v>5139957784.91084</v>
      </c>
      <c r="AE901" s="228">
        <v>1.4174305908480098E-2</v>
      </c>
      <c r="AF901" s="27">
        <v>1156079304.9821463</v>
      </c>
      <c r="AG901" s="226">
        <v>6.3019322018851576E-2</v>
      </c>
      <c r="AH901" s="226" t="s">
        <v>2842</v>
      </c>
      <c r="AI901" s="27">
        <v>359830000</v>
      </c>
      <c r="AJ901" s="226">
        <v>0.20247153933802073</v>
      </c>
      <c r="AK901" s="27">
        <v>160794564.30625036</v>
      </c>
      <c r="AL901" s="226">
        <v>0.45309575180190331</v>
      </c>
      <c r="AM901" s="27">
        <v>303935469.74156928</v>
      </c>
      <c r="AN901" s="271">
        <v>0.23970658660520125</v>
      </c>
      <c r="AO901" s="27">
        <v>5318700</v>
      </c>
      <c r="AP901" s="27">
        <v>31.7</v>
      </c>
      <c r="AQ901" s="27">
        <v>68.451219512195124</v>
      </c>
      <c r="AR901" s="27">
        <v>30.2</v>
      </c>
      <c r="AS901" s="29">
        <v>94.302660000000003</v>
      </c>
      <c r="AT901" s="270" t="s">
        <v>2842</v>
      </c>
      <c r="AU901" s="464" t="s">
        <v>2842</v>
      </c>
      <c r="AV901" s="29">
        <v>-1.0786996552027499</v>
      </c>
      <c r="AW901" s="29">
        <v>-0.58212276375498595</v>
      </c>
      <c r="AX901" s="29">
        <v>-0.76679444361734395</v>
      </c>
      <c r="AY901" s="29">
        <v>-0.34593290142494398</v>
      </c>
      <c r="AZ901" s="60">
        <v>-1.1211356630628699</v>
      </c>
    </row>
    <row r="902" spans="1:52" s="29" customFormat="1" ht="15" customHeight="1">
      <c r="A902" s="63" t="s">
        <v>283</v>
      </c>
      <c r="B902" s="27">
        <v>2008</v>
      </c>
      <c r="C902" s="27" t="s">
        <v>278</v>
      </c>
      <c r="D902" s="69" t="s">
        <v>34</v>
      </c>
      <c r="E902" s="27" t="s">
        <v>19</v>
      </c>
      <c r="F902" s="27" t="s">
        <v>1414</v>
      </c>
      <c r="G902" s="43"/>
      <c r="H902" s="43"/>
      <c r="I902" s="43"/>
      <c r="J902" s="43"/>
      <c r="K902" s="27"/>
      <c r="L902" s="28"/>
      <c r="M902" s="27"/>
      <c r="N902" s="27"/>
      <c r="O902" s="18"/>
      <c r="P902" s="213"/>
      <c r="Q902" s="213"/>
      <c r="R902" s="27"/>
      <c r="S902" s="27"/>
      <c r="T902" s="18"/>
      <c r="U902" s="27"/>
      <c r="V902" s="27"/>
      <c r="W902" s="30"/>
      <c r="X902" s="27"/>
      <c r="Y902" s="27"/>
      <c r="Z902" s="27"/>
      <c r="AA902" s="27"/>
      <c r="AB902" s="27" t="s">
        <v>884</v>
      </c>
      <c r="AC902" s="273">
        <v>72855334</v>
      </c>
      <c r="AD902" s="27">
        <v>5139957784.91084</v>
      </c>
      <c r="AE902" s="228">
        <v>1.4174305908480098E-2</v>
      </c>
      <c r="AF902" s="27">
        <v>1156079304.9821463</v>
      </c>
      <c r="AG902" s="226">
        <v>6.3019322018851576E-2</v>
      </c>
      <c r="AH902" s="226" t="s">
        <v>2842</v>
      </c>
      <c r="AI902" s="27">
        <v>359830000</v>
      </c>
      <c r="AJ902" s="226">
        <v>0.20247153933802073</v>
      </c>
      <c r="AK902" s="27">
        <v>160794564.30625036</v>
      </c>
      <c r="AL902" s="226">
        <v>0.45309575180190331</v>
      </c>
      <c r="AM902" s="27">
        <v>303935469.74156928</v>
      </c>
      <c r="AN902" s="271">
        <v>0.23970658660520125</v>
      </c>
      <c r="AO902" s="27">
        <v>5318700</v>
      </c>
      <c r="AP902" s="27">
        <v>31.7</v>
      </c>
      <c r="AQ902" s="27">
        <v>68.451219512195124</v>
      </c>
      <c r="AR902" s="27">
        <v>30.2</v>
      </c>
      <c r="AS902" s="29">
        <v>94.302660000000003</v>
      </c>
      <c r="AT902" s="270" t="s">
        <v>2842</v>
      </c>
      <c r="AU902" s="464" t="s">
        <v>2842</v>
      </c>
      <c r="AV902" s="29">
        <v>-1.0786996552027499</v>
      </c>
      <c r="AW902" s="29">
        <v>-0.58212276375498595</v>
      </c>
      <c r="AX902" s="29">
        <v>-0.76679444361734395</v>
      </c>
      <c r="AY902" s="29">
        <v>-0.34593290142494398</v>
      </c>
      <c r="AZ902" s="60">
        <v>-1.1211356630628699</v>
      </c>
    </row>
    <row r="903" spans="1:52" s="29" customFormat="1" ht="15" customHeight="1">
      <c r="A903" s="63" t="s">
        <v>283</v>
      </c>
      <c r="B903" s="27">
        <v>2008</v>
      </c>
      <c r="C903" s="27" t="s">
        <v>278</v>
      </c>
      <c r="D903" s="69" t="s">
        <v>34</v>
      </c>
      <c r="E903" s="27" t="s">
        <v>19</v>
      </c>
      <c r="F903" s="27" t="s">
        <v>1415</v>
      </c>
      <c r="G903" s="43">
        <f>836200*1.6</f>
        <v>1337920</v>
      </c>
      <c r="H903" s="43"/>
      <c r="I903" s="43"/>
      <c r="J903" s="43"/>
      <c r="K903" s="27" t="s">
        <v>567</v>
      </c>
      <c r="L903" s="28">
        <v>7.47</v>
      </c>
      <c r="M903" s="27" t="s">
        <v>568</v>
      </c>
      <c r="N903" s="27" t="s">
        <v>1416</v>
      </c>
      <c r="O903" s="18">
        <f>G903*L903</f>
        <v>9994262.4000000004</v>
      </c>
      <c r="P903" s="213"/>
      <c r="Q903" s="213"/>
      <c r="R903" s="27"/>
      <c r="S903" s="27"/>
      <c r="T903" s="18"/>
      <c r="U903" s="27"/>
      <c r="V903" s="27"/>
      <c r="W903" s="30"/>
      <c r="X903" s="27"/>
      <c r="Y903" s="27"/>
      <c r="Z903" s="27"/>
      <c r="AA903" s="27"/>
      <c r="AB903" s="27"/>
      <c r="AC903" s="273">
        <v>72855334</v>
      </c>
      <c r="AD903" s="27">
        <v>5139957784.91084</v>
      </c>
      <c r="AE903" s="228">
        <v>1.4174305908480098E-2</v>
      </c>
      <c r="AF903" s="27">
        <v>1156079304.9821463</v>
      </c>
      <c r="AG903" s="226">
        <v>6.3019322018851576E-2</v>
      </c>
      <c r="AH903" s="226" t="s">
        <v>2842</v>
      </c>
      <c r="AI903" s="27">
        <v>359830000</v>
      </c>
      <c r="AJ903" s="226">
        <v>0.20247153933802073</v>
      </c>
      <c r="AK903" s="27">
        <v>160794564.30625036</v>
      </c>
      <c r="AL903" s="226">
        <v>0.45309575180190331</v>
      </c>
      <c r="AM903" s="27">
        <v>303935469.74156928</v>
      </c>
      <c r="AN903" s="271">
        <v>0.23970658660520125</v>
      </c>
      <c r="AO903" s="27">
        <v>5318700</v>
      </c>
      <c r="AP903" s="27">
        <v>31.7</v>
      </c>
      <c r="AQ903" s="27">
        <v>68.451219512195124</v>
      </c>
      <c r="AR903" s="27">
        <v>30.2</v>
      </c>
      <c r="AS903" s="29">
        <v>94.302660000000003</v>
      </c>
      <c r="AT903" s="270" t="s">
        <v>2842</v>
      </c>
      <c r="AU903" s="464" t="s">
        <v>2842</v>
      </c>
      <c r="AV903" s="29">
        <v>-1.0786996552027499</v>
      </c>
      <c r="AW903" s="29">
        <v>-0.58212276375498595</v>
      </c>
      <c r="AX903" s="29">
        <v>-0.76679444361734395</v>
      </c>
      <c r="AY903" s="29">
        <v>-0.34593290142494398</v>
      </c>
      <c r="AZ903" s="60">
        <v>-1.1211356630628699</v>
      </c>
    </row>
    <row r="904" spans="1:52" s="29" customFormat="1" ht="15" customHeight="1">
      <c r="A904" s="63" t="s">
        <v>283</v>
      </c>
      <c r="B904" s="27">
        <v>2008</v>
      </c>
      <c r="C904" s="27" t="s">
        <v>278</v>
      </c>
      <c r="D904" s="69" t="s">
        <v>34</v>
      </c>
      <c r="E904" s="27" t="s">
        <v>19</v>
      </c>
      <c r="F904" s="27" t="s">
        <v>730</v>
      </c>
      <c r="G904" s="43">
        <f>18144*32.150743126506</f>
        <v>583343.08328732487</v>
      </c>
      <c r="H904" s="43"/>
      <c r="I904" s="43"/>
      <c r="J904" s="43"/>
      <c r="K904" s="27" t="s">
        <v>731</v>
      </c>
      <c r="L904" s="28">
        <v>871.70725000000004</v>
      </c>
      <c r="M904" s="27" t="s">
        <v>732</v>
      </c>
      <c r="N904" s="27" t="s">
        <v>733</v>
      </c>
      <c r="O904" s="18">
        <f>G904*L904</f>
        <v>508504394.93891495</v>
      </c>
      <c r="P904" s="213"/>
      <c r="Q904" s="213"/>
      <c r="R904" s="27"/>
      <c r="S904" s="27"/>
      <c r="T904" s="18"/>
      <c r="U904" s="27"/>
      <c r="V904" s="27"/>
      <c r="W904" s="30"/>
      <c r="X904" s="27">
        <v>1</v>
      </c>
      <c r="Y904" s="27" t="s">
        <v>1417</v>
      </c>
      <c r="Z904" s="27">
        <v>1</v>
      </c>
      <c r="AA904" s="27"/>
      <c r="AB904" s="27"/>
      <c r="AC904" s="273">
        <v>72855334</v>
      </c>
      <c r="AD904" s="27">
        <v>5139957784.91084</v>
      </c>
      <c r="AE904" s="228">
        <v>1.4174305908480098E-2</v>
      </c>
      <c r="AF904" s="27">
        <v>1156079304.9821463</v>
      </c>
      <c r="AG904" s="226">
        <v>6.3019322018851576E-2</v>
      </c>
      <c r="AH904" s="226" t="s">
        <v>2842</v>
      </c>
      <c r="AI904" s="27">
        <v>359830000</v>
      </c>
      <c r="AJ904" s="226">
        <v>0.20247153933802073</v>
      </c>
      <c r="AK904" s="27">
        <v>160794564.30625036</v>
      </c>
      <c r="AL904" s="226">
        <v>0.45309575180190331</v>
      </c>
      <c r="AM904" s="27">
        <v>303935469.74156928</v>
      </c>
      <c r="AN904" s="271">
        <v>0.23970658660520125</v>
      </c>
      <c r="AO904" s="27">
        <v>5318700</v>
      </c>
      <c r="AP904" s="27">
        <v>31.7</v>
      </c>
      <c r="AQ904" s="27">
        <v>68.451219512195124</v>
      </c>
      <c r="AR904" s="27">
        <v>30.2</v>
      </c>
      <c r="AS904" s="29">
        <v>94.302660000000003</v>
      </c>
      <c r="AT904" s="270" t="s">
        <v>2842</v>
      </c>
      <c r="AU904" s="464" t="s">
        <v>2842</v>
      </c>
      <c r="AV904" s="29">
        <v>-1.0786996552027499</v>
      </c>
      <c r="AW904" s="29">
        <v>-0.58212276375498595</v>
      </c>
      <c r="AX904" s="29">
        <v>-0.76679444361734395</v>
      </c>
      <c r="AY904" s="29">
        <v>-0.34593290142494398</v>
      </c>
      <c r="AZ904" s="60">
        <v>-1.1211356630628699</v>
      </c>
    </row>
    <row r="905" spans="1:52" s="29" customFormat="1" ht="15" customHeight="1">
      <c r="A905" s="63" t="s">
        <v>283</v>
      </c>
      <c r="B905" s="27">
        <v>2008</v>
      </c>
      <c r="C905" s="27" t="s">
        <v>278</v>
      </c>
      <c r="D905" s="69" t="s">
        <v>34</v>
      </c>
      <c r="E905" s="27" t="s">
        <v>19</v>
      </c>
      <c r="F905" s="27" t="s">
        <v>1418</v>
      </c>
      <c r="G905" s="43"/>
      <c r="H905" s="43"/>
      <c r="I905" s="43"/>
      <c r="J905" s="43"/>
      <c r="K905" s="27"/>
      <c r="L905" s="28"/>
      <c r="M905" s="27"/>
      <c r="N905" s="27"/>
      <c r="O905" s="18"/>
      <c r="P905" s="213"/>
      <c r="Q905" s="213"/>
      <c r="R905" s="27"/>
      <c r="S905" s="27"/>
      <c r="T905" s="18"/>
      <c r="U905" s="27"/>
      <c r="V905" s="27"/>
      <c r="W905" s="30"/>
      <c r="X905" s="27">
        <v>5</v>
      </c>
      <c r="Y905" s="27" t="s">
        <v>1419</v>
      </c>
      <c r="Z905" s="27">
        <v>4</v>
      </c>
      <c r="AA905" s="27"/>
      <c r="AB905" s="27"/>
      <c r="AC905" s="273">
        <v>72855334</v>
      </c>
      <c r="AD905" s="27">
        <v>5139957784.91084</v>
      </c>
      <c r="AE905" s="228">
        <v>1.4174305908480098E-2</v>
      </c>
      <c r="AF905" s="27">
        <v>1156079304.9821463</v>
      </c>
      <c r="AG905" s="226">
        <v>6.3019322018851576E-2</v>
      </c>
      <c r="AH905" s="226" t="s">
        <v>2842</v>
      </c>
      <c r="AI905" s="27">
        <v>359830000</v>
      </c>
      <c r="AJ905" s="226">
        <v>0.20247153933802073</v>
      </c>
      <c r="AK905" s="27">
        <v>160794564.30625036</v>
      </c>
      <c r="AL905" s="226">
        <v>0.45309575180190331</v>
      </c>
      <c r="AM905" s="27">
        <v>303935469.74156928</v>
      </c>
      <c r="AN905" s="271">
        <v>0.23970658660520125</v>
      </c>
      <c r="AO905" s="27">
        <v>5318700</v>
      </c>
      <c r="AP905" s="27">
        <v>31.7</v>
      </c>
      <c r="AQ905" s="27">
        <v>68.451219512195124</v>
      </c>
      <c r="AR905" s="27">
        <v>30.2</v>
      </c>
      <c r="AS905" s="29">
        <v>94.302660000000003</v>
      </c>
      <c r="AT905" s="270" t="s">
        <v>2842</v>
      </c>
      <c r="AU905" s="464" t="s">
        <v>2842</v>
      </c>
      <c r="AV905" s="29">
        <v>-1.0786996552027499</v>
      </c>
      <c r="AW905" s="29">
        <v>-0.58212276375498595</v>
      </c>
      <c r="AX905" s="29">
        <v>-0.76679444361734395</v>
      </c>
      <c r="AY905" s="29">
        <v>-0.34593290142494398</v>
      </c>
      <c r="AZ905" s="60">
        <v>-1.1211356630628699</v>
      </c>
    </row>
    <row r="906" spans="1:52" s="29" customFormat="1" ht="15" customHeight="1">
      <c r="A906" s="63" t="s">
        <v>283</v>
      </c>
      <c r="B906" s="27">
        <v>2008</v>
      </c>
      <c r="C906" s="27" t="s">
        <v>278</v>
      </c>
      <c r="D906" s="69" t="s">
        <v>34</v>
      </c>
      <c r="E906" s="27" t="s">
        <v>19</v>
      </c>
      <c r="F906" s="27" t="s">
        <v>1420</v>
      </c>
      <c r="G906" s="43"/>
      <c r="H906" s="43"/>
      <c r="I906" s="43"/>
      <c r="J906" s="43"/>
      <c r="K906" s="27"/>
      <c r="L906" s="28">
        <f>279.5/0.000453592*0.0026</f>
        <v>1602.100566147551</v>
      </c>
      <c r="M906" s="29" t="s">
        <v>568</v>
      </c>
      <c r="N906" s="27" t="s">
        <v>1421</v>
      </c>
      <c r="O906" s="18">
        <f>G907*L906</f>
        <v>1121470.3963032856</v>
      </c>
      <c r="P906" s="213"/>
      <c r="Q906" s="213"/>
      <c r="R906" s="27"/>
      <c r="S906" s="27"/>
      <c r="T906" s="18"/>
      <c r="U906" s="27"/>
      <c r="V906" s="27"/>
      <c r="W906" s="30"/>
      <c r="X906" s="27">
        <v>1</v>
      </c>
      <c r="Y906" s="27" t="s">
        <v>1422</v>
      </c>
      <c r="Z906" s="27">
        <v>1</v>
      </c>
      <c r="AA906" s="27"/>
      <c r="AB906" s="27"/>
      <c r="AC906" s="273">
        <v>72855334</v>
      </c>
      <c r="AD906" s="27">
        <v>5139957784.91084</v>
      </c>
      <c r="AE906" s="228">
        <v>1.4174305908480098E-2</v>
      </c>
      <c r="AF906" s="27">
        <v>1156079304.9821463</v>
      </c>
      <c r="AG906" s="226">
        <v>6.3019322018851576E-2</v>
      </c>
      <c r="AH906" s="226" t="s">
        <v>2842</v>
      </c>
      <c r="AI906" s="27">
        <v>359830000</v>
      </c>
      <c r="AJ906" s="226">
        <v>0.20247153933802073</v>
      </c>
      <c r="AK906" s="27">
        <v>160794564.30625036</v>
      </c>
      <c r="AL906" s="226">
        <v>0.45309575180190331</v>
      </c>
      <c r="AM906" s="27">
        <v>303935469.74156928</v>
      </c>
      <c r="AN906" s="271">
        <v>0.23970658660520125</v>
      </c>
      <c r="AO906" s="27">
        <v>5318700</v>
      </c>
      <c r="AP906" s="27">
        <v>31.7</v>
      </c>
      <c r="AQ906" s="27">
        <v>68.451219512195124</v>
      </c>
      <c r="AR906" s="27">
        <v>30.2</v>
      </c>
      <c r="AS906" s="29">
        <v>94.302660000000003</v>
      </c>
      <c r="AT906" s="270" t="s">
        <v>2842</v>
      </c>
      <c r="AU906" s="464" t="s">
        <v>2842</v>
      </c>
      <c r="AV906" s="29">
        <v>-1.0786996552027499</v>
      </c>
      <c r="AW906" s="29">
        <v>-0.58212276375498595</v>
      </c>
      <c r="AX906" s="29">
        <v>-0.76679444361734395</v>
      </c>
      <c r="AY906" s="29">
        <v>-0.34593290142494398</v>
      </c>
      <c r="AZ906" s="60">
        <v>-1.1211356630628699</v>
      </c>
    </row>
    <row r="907" spans="1:52" s="29" customFormat="1" ht="15" customHeight="1">
      <c r="A907" s="63" t="s">
        <v>283</v>
      </c>
      <c r="B907" s="27">
        <v>2008</v>
      </c>
      <c r="C907" s="27" t="s">
        <v>278</v>
      </c>
      <c r="D907" s="69" t="s">
        <v>34</v>
      </c>
      <c r="E907" s="27" t="s">
        <v>19</v>
      </c>
      <c r="F907" s="27" t="s">
        <v>1423</v>
      </c>
      <c r="G907" s="43">
        <v>700</v>
      </c>
      <c r="H907" s="43"/>
      <c r="I907" s="43"/>
      <c r="J907" s="43"/>
      <c r="K907" s="27" t="s">
        <v>567</v>
      </c>
      <c r="L907" s="28"/>
      <c r="M907" s="27"/>
      <c r="N907" s="27" t="s">
        <v>636</v>
      </c>
      <c r="O907" s="18"/>
      <c r="P907" s="213"/>
      <c r="Q907" s="213"/>
      <c r="R907" s="27"/>
      <c r="S907" s="27"/>
      <c r="T907" s="18"/>
      <c r="U907" s="27"/>
      <c r="V907" s="27"/>
      <c r="W907" s="30"/>
      <c r="X907" s="27"/>
      <c r="Y907" s="27"/>
      <c r="Z907" s="27"/>
      <c r="AA907" s="27"/>
      <c r="AB907" s="27"/>
      <c r="AC907" s="273">
        <v>72855334</v>
      </c>
      <c r="AD907" s="27">
        <v>5139957784.91084</v>
      </c>
      <c r="AE907" s="228">
        <v>1.4174305908480098E-2</v>
      </c>
      <c r="AF907" s="27">
        <v>1156079304.9821463</v>
      </c>
      <c r="AG907" s="226">
        <v>6.3019322018851576E-2</v>
      </c>
      <c r="AH907" s="226" t="s">
        <v>2842</v>
      </c>
      <c r="AI907" s="27">
        <v>359830000</v>
      </c>
      <c r="AJ907" s="226">
        <v>0.20247153933802073</v>
      </c>
      <c r="AK907" s="27">
        <v>160794564.30625036</v>
      </c>
      <c r="AL907" s="226">
        <v>0.45309575180190331</v>
      </c>
      <c r="AM907" s="27">
        <v>303935469.74156928</v>
      </c>
      <c r="AN907" s="271">
        <v>0.23970658660520125</v>
      </c>
      <c r="AO907" s="27">
        <v>5318700</v>
      </c>
      <c r="AP907" s="27">
        <v>31.7</v>
      </c>
      <c r="AQ907" s="27">
        <v>68.451219512195124</v>
      </c>
      <c r="AR907" s="27">
        <v>30.2</v>
      </c>
      <c r="AS907" s="29">
        <v>94.302660000000003</v>
      </c>
      <c r="AT907" s="270" t="s">
        <v>2842</v>
      </c>
      <c r="AU907" s="464" t="s">
        <v>2842</v>
      </c>
      <c r="AV907" s="29">
        <v>-1.0786996552027499</v>
      </c>
      <c r="AW907" s="29">
        <v>-0.58212276375498595</v>
      </c>
      <c r="AX907" s="29">
        <v>-0.76679444361734395</v>
      </c>
      <c r="AY907" s="29">
        <v>-0.34593290142494398</v>
      </c>
      <c r="AZ907" s="60">
        <v>-1.1211356630628699</v>
      </c>
    </row>
    <row r="908" spans="1:52" s="29" customFormat="1" ht="15" customHeight="1">
      <c r="A908" s="63" t="s">
        <v>283</v>
      </c>
      <c r="B908" s="27">
        <v>2008</v>
      </c>
      <c r="C908" s="27" t="s">
        <v>278</v>
      </c>
      <c r="D908" s="69" t="s">
        <v>34</v>
      </c>
      <c r="E908" s="27" t="s">
        <v>19</v>
      </c>
      <c r="F908" s="27" t="s">
        <v>1424</v>
      </c>
      <c r="G908" s="43">
        <v>700</v>
      </c>
      <c r="H908" s="43"/>
      <c r="I908" s="43"/>
      <c r="J908" s="43"/>
      <c r="K908" s="27" t="s">
        <v>567</v>
      </c>
      <c r="L908" s="28"/>
      <c r="M908" s="27"/>
      <c r="N908" s="27" t="s">
        <v>636</v>
      </c>
      <c r="O908" s="18"/>
      <c r="P908" s="213"/>
      <c r="Q908" s="213"/>
      <c r="R908" s="27"/>
      <c r="S908" s="27"/>
      <c r="T908" s="18"/>
      <c r="U908" s="27"/>
      <c r="V908" s="27"/>
      <c r="W908" s="30"/>
      <c r="X908" s="27"/>
      <c r="Y908" s="27"/>
      <c r="Z908" s="27"/>
      <c r="AA908" s="27"/>
      <c r="AB908" s="27"/>
      <c r="AC908" s="273">
        <v>72855334</v>
      </c>
      <c r="AD908" s="27">
        <v>5139957784.91084</v>
      </c>
      <c r="AE908" s="228">
        <v>1.4174305908480098E-2</v>
      </c>
      <c r="AF908" s="27">
        <v>1156079304.9821463</v>
      </c>
      <c r="AG908" s="226">
        <v>6.3019322018851576E-2</v>
      </c>
      <c r="AH908" s="226" t="s">
        <v>2842</v>
      </c>
      <c r="AI908" s="27">
        <v>359830000</v>
      </c>
      <c r="AJ908" s="226">
        <v>0.20247153933802073</v>
      </c>
      <c r="AK908" s="27">
        <v>160794564.30625036</v>
      </c>
      <c r="AL908" s="226">
        <v>0.45309575180190331</v>
      </c>
      <c r="AM908" s="27">
        <v>303935469.74156928</v>
      </c>
      <c r="AN908" s="271">
        <v>0.23970658660520125</v>
      </c>
      <c r="AO908" s="27">
        <v>5318700</v>
      </c>
      <c r="AP908" s="27">
        <v>31.7</v>
      </c>
      <c r="AQ908" s="27">
        <v>68.451219512195124</v>
      </c>
      <c r="AR908" s="27">
        <v>30.2</v>
      </c>
      <c r="AS908" s="29">
        <v>94.302660000000003</v>
      </c>
      <c r="AT908" s="270" t="s">
        <v>2842</v>
      </c>
      <c r="AU908" s="464" t="s">
        <v>2842</v>
      </c>
      <c r="AV908" s="29">
        <v>-1.0786996552027499</v>
      </c>
      <c r="AW908" s="29">
        <v>-0.58212276375498595</v>
      </c>
      <c r="AX908" s="29">
        <v>-0.76679444361734395</v>
      </c>
      <c r="AY908" s="29">
        <v>-0.34593290142494398</v>
      </c>
      <c r="AZ908" s="60">
        <v>-1.1211356630628699</v>
      </c>
    </row>
    <row r="909" spans="1:52" s="29" customFormat="1" ht="15" customHeight="1">
      <c r="A909" s="63" t="s">
        <v>283</v>
      </c>
      <c r="B909" s="27">
        <v>2008</v>
      </c>
      <c r="C909" s="27" t="s">
        <v>278</v>
      </c>
      <c r="D909" s="69" t="s">
        <v>34</v>
      </c>
      <c r="E909" s="27" t="s">
        <v>19</v>
      </c>
      <c r="F909" s="27" t="s">
        <v>1425</v>
      </c>
      <c r="G909" s="43">
        <v>1097</v>
      </c>
      <c r="H909" s="43"/>
      <c r="I909" s="43"/>
      <c r="J909" s="43"/>
      <c r="K909" s="27" t="s">
        <v>567</v>
      </c>
      <c r="L909" s="28"/>
      <c r="M909" s="27"/>
      <c r="N909" s="27" t="s">
        <v>636</v>
      </c>
      <c r="O909" s="18"/>
      <c r="P909" s="213"/>
      <c r="Q909" s="213"/>
      <c r="R909" s="27"/>
      <c r="S909" s="27"/>
      <c r="T909" s="18"/>
      <c r="U909" s="27"/>
      <c r="V909" s="27"/>
      <c r="W909" s="30"/>
      <c r="X909" s="27"/>
      <c r="Y909" s="27"/>
      <c r="Z909" s="27"/>
      <c r="AA909" s="27"/>
      <c r="AB909" s="27"/>
      <c r="AC909" s="273">
        <v>72855334</v>
      </c>
      <c r="AD909" s="27">
        <v>5139957784.91084</v>
      </c>
      <c r="AE909" s="228">
        <v>1.4174305908480098E-2</v>
      </c>
      <c r="AF909" s="27">
        <v>1156079304.9821463</v>
      </c>
      <c r="AG909" s="226">
        <v>6.3019322018851576E-2</v>
      </c>
      <c r="AH909" s="226" t="s">
        <v>2842</v>
      </c>
      <c r="AI909" s="27">
        <v>359830000</v>
      </c>
      <c r="AJ909" s="226">
        <v>0.20247153933802073</v>
      </c>
      <c r="AK909" s="27">
        <v>160794564.30625036</v>
      </c>
      <c r="AL909" s="226">
        <v>0.45309575180190331</v>
      </c>
      <c r="AM909" s="27">
        <v>303935469.74156928</v>
      </c>
      <c r="AN909" s="271">
        <v>0.23970658660520125</v>
      </c>
      <c r="AO909" s="27">
        <v>5318700</v>
      </c>
      <c r="AP909" s="27">
        <v>31.7</v>
      </c>
      <c r="AQ909" s="27">
        <v>68.451219512195124</v>
      </c>
      <c r="AR909" s="27">
        <v>30.2</v>
      </c>
      <c r="AS909" s="29">
        <v>94.302660000000003</v>
      </c>
      <c r="AT909" s="270" t="s">
        <v>2842</v>
      </c>
      <c r="AU909" s="464" t="s">
        <v>2842</v>
      </c>
      <c r="AV909" s="29">
        <v>-1.0786996552027499</v>
      </c>
      <c r="AW909" s="29">
        <v>-0.58212276375498595</v>
      </c>
      <c r="AX909" s="29">
        <v>-0.76679444361734395</v>
      </c>
      <c r="AY909" s="29">
        <v>-0.34593290142494398</v>
      </c>
      <c r="AZ909" s="60">
        <v>-1.1211356630628699</v>
      </c>
    </row>
    <row r="910" spans="1:52" s="287" customFormat="1" ht="15" customHeight="1">
      <c r="A910" s="359" t="s">
        <v>283</v>
      </c>
      <c r="B910" s="284">
        <v>2008</v>
      </c>
      <c r="C910" s="284" t="s">
        <v>278</v>
      </c>
      <c r="D910" s="369" t="s">
        <v>34</v>
      </c>
      <c r="E910" s="284" t="s">
        <v>19</v>
      </c>
      <c r="F910" s="284" t="s">
        <v>1426</v>
      </c>
      <c r="G910" s="303">
        <v>1309</v>
      </c>
      <c r="H910" s="303"/>
      <c r="I910" s="303"/>
      <c r="J910" s="303"/>
      <c r="K910" s="284" t="s">
        <v>567</v>
      </c>
      <c r="L910" s="304"/>
      <c r="M910" s="284"/>
      <c r="N910" s="284" t="s">
        <v>636</v>
      </c>
      <c r="O910" s="305"/>
      <c r="P910" s="306"/>
      <c r="Q910" s="306"/>
      <c r="R910" s="284"/>
      <c r="S910" s="284"/>
      <c r="T910" s="305"/>
      <c r="U910" s="284"/>
      <c r="V910" s="284"/>
      <c r="W910" s="307"/>
      <c r="X910" s="284"/>
      <c r="Y910" s="284"/>
      <c r="Z910" s="284"/>
      <c r="AA910" s="284"/>
      <c r="AB910" s="284"/>
      <c r="AC910" s="308">
        <v>72855334</v>
      </c>
      <c r="AD910" s="284">
        <v>5139957784.91084</v>
      </c>
      <c r="AE910" s="309">
        <v>1.4174305908480098E-2</v>
      </c>
      <c r="AF910" s="284">
        <v>1156079304.9821463</v>
      </c>
      <c r="AG910" s="310">
        <v>6.3019322018851576E-2</v>
      </c>
      <c r="AH910" s="310" t="s">
        <v>2842</v>
      </c>
      <c r="AI910" s="284">
        <v>359830000</v>
      </c>
      <c r="AJ910" s="310">
        <v>0.20247153933802073</v>
      </c>
      <c r="AK910" s="284">
        <v>160794564.30625036</v>
      </c>
      <c r="AL910" s="310">
        <v>0.45309575180190331</v>
      </c>
      <c r="AM910" s="284">
        <v>303935469.74156928</v>
      </c>
      <c r="AN910" s="311">
        <v>0.23970658660520125</v>
      </c>
      <c r="AO910" s="284">
        <v>5318700</v>
      </c>
      <c r="AP910" s="284">
        <v>31.7</v>
      </c>
      <c r="AQ910" s="284">
        <v>68.451219512195124</v>
      </c>
      <c r="AR910" s="284">
        <v>30.2</v>
      </c>
      <c r="AS910" s="287">
        <v>94.302660000000003</v>
      </c>
      <c r="AT910" s="312" t="s">
        <v>2842</v>
      </c>
      <c r="AU910" s="465" t="s">
        <v>2842</v>
      </c>
      <c r="AV910" s="287">
        <v>-1.0786996552027499</v>
      </c>
      <c r="AW910" s="287">
        <v>-0.58212276375498595</v>
      </c>
      <c r="AX910" s="287">
        <v>-0.76679444361734395</v>
      </c>
      <c r="AY910" s="287">
        <v>-0.34593290142494398</v>
      </c>
      <c r="AZ910" s="313">
        <v>-1.1211356630628699</v>
      </c>
    </row>
    <row r="911" spans="1:52" ht="15" customHeight="1">
      <c r="A911" s="63" t="s">
        <v>284</v>
      </c>
      <c r="B911" s="27">
        <v>2009</v>
      </c>
      <c r="C911" s="27" t="s">
        <v>278</v>
      </c>
      <c r="D911" s="69" t="s">
        <v>34</v>
      </c>
      <c r="E911" s="27" t="s">
        <v>30</v>
      </c>
      <c r="F911" s="27" t="s">
        <v>659</v>
      </c>
      <c r="G911" s="43"/>
      <c r="H911" s="43"/>
      <c r="I911" s="43"/>
      <c r="J911" s="43"/>
      <c r="K911" s="27"/>
      <c r="L911" s="28"/>
      <c r="M911" s="27"/>
      <c r="N911" s="27"/>
      <c r="O911" s="18">
        <f>O912+O915</f>
        <v>683487545.61636233</v>
      </c>
      <c r="P911" s="213">
        <v>96148291</v>
      </c>
      <c r="Q911" s="213">
        <v>99435121</v>
      </c>
      <c r="R911" s="27" t="s">
        <v>619</v>
      </c>
      <c r="S911" s="27"/>
      <c r="T911" s="18"/>
      <c r="U911" s="27" t="s">
        <v>1025</v>
      </c>
      <c r="V911" s="27" t="s">
        <v>1366</v>
      </c>
      <c r="W911" s="30">
        <v>42.96</v>
      </c>
      <c r="X911" s="27">
        <v>26</v>
      </c>
      <c r="Y911" s="27" t="s">
        <v>1395</v>
      </c>
      <c r="Z911" s="27">
        <v>26</v>
      </c>
      <c r="AA911" s="27" t="s">
        <v>1396</v>
      </c>
      <c r="AB911" s="27" t="s">
        <v>1427</v>
      </c>
      <c r="AC911" s="273">
        <v>96148291</v>
      </c>
      <c r="AD911" s="27">
        <v>4690062255.1224709</v>
      </c>
      <c r="AE911" s="228">
        <v>2.0500429582781581E-2</v>
      </c>
      <c r="AF911" s="27">
        <v>1091893393.6150625</v>
      </c>
      <c r="AG911" s="226">
        <v>8.8056482035915901E-2</v>
      </c>
      <c r="AH911" s="226" t="s">
        <v>2842</v>
      </c>
      <c r="AI911" s="27">
        <v>313360000</v>
      </c>
      <c r="AJ911" s="226">
        <v>0.30683013466938985</v>
      </c>
      <c r="AK911" s="27">
        <v>177535392.06386882</v>
      </c>
      <c r="AL911" s="226">
        <v>0.54157252749587192</v>
      </c>
      <c r="AM911" s="27">
        <v>292316572.1625672</v>
      </c>
      <c r="AN911" s="271">
        <v>0.32891837191676104</v>
      </c>
      <c r="AO911" s="27">
        <v>5383300</v>
      </c>
      <c r="AP911" s="27">
        <v>31.7</v>
      </c>
      <c r="AQ911" s="27">
        <v>69.102439024390264</v>
      </c>
      <c r="AR911" s="27">
        <v>28.5</v>
      </c>
      <c r="AS911" s="29">
        <v>93.910719999999998</v>
      </c>
      <c r="AT911" s="270" t="s">
        <v>2842</v>
      </c>
      <c r="AU911" s="464" t="s">
        <v>2842</v>
      </c>
      <c r="AV911" s="29">
        <v>-1.0022108347477501</v>
      </c>
      <c r="AW911" s="29">
        <v>-0.64256559582778106</v>
      </c>
      <c r="AX911" s="29">
        <v>-0.95015902344371395</v>
      </c>
      <c r="AY911" s="29">
        <v>-0.320715483525574</v>
      </c>
      <c r="AZ911" s="60">
        <v>-1.2305684234293699</v>
      </c>
    </row>
    <row r="912" spans="1:52" ht="15" customHeight="1">
      <c r="A912" s="63" t="s">
        <v>284</v>
      </c>
      <c r="B912" s="27">
        <v>2009</v>
      </c>
      <c r="C912" s="27" t="s">
        <v>278</v>
      </c>
      <c r="D912" s="69" t="s">
        <v>34</v>
      </c>
      <c r="E912" s="27" t="s">
        <v>50</v>
      </c>
      <c r="F912" s="27" t="s">
        <v>597</v>
      </c>
      <c r="G912" s="43"/>
      <c r="H912" s="43"/>
      <c r="I912" s="43"/>
      <c r="J912" s="43"/>
      <c r="K912" s="27"/>
      <c r="L912" s="28"/>
      <c r="M912" s="27"/>
      <c r="N912" s="27"/>
      <c r="O912" s="18">
        <f>SUM(O913:O914)</f>
        <v>37110782.0176</v>
      </c>
      <c r="P912" s="213">
        <v>3653635.0579999997</v>
      </c>
      <c r="Q912" s="213">
        <v>3778534.5979999998</v>
      </c>
      <c r="R912" s="27"/>
      <c r="S912" s="27"/>
      <c r="T912" s="18"/>
      <c r="U912" s="27"/>
      <c r="V912" s="27"/>
      <c r="W912" s="30"/>
      <c r="X912" s="27">
        <v>1</v>
      </c>
      <c r="Y912" s="27" t="s">
        <v>1398</v>
      </c>
      <c r="Z912" s="27">
        <v>1</v>
      </c>
      <c r="AA912" s="27">
        <v>7</v>
      </c>
      <c r="AB912" s="27"/>
      <c r="AC912" s="273">
        <v>96148291</v>
      </c>
      <c r="AD912" s="27">
        <v>4690062255.1224709</v>
      </c>
      <c r="AE912" s="228">
        <v>2.0500429582781581E-2</v>
      </c>
      <c r="AF912" s="27">
        <v>1091893393.6150625</v>
      </c>
      <c r="AG912" s="226">
        <v>8.8056482035915901E-2</v>
      </c>
      <c r="AH912" s="226" t="s">
        <v>2842</v>
      </c>
      <c r="AI912" s="27">
        <v>313360000</v>
      </c>
      <c r="AJ912" s="226">
        <v>0.30683013466938985</v>
      </c>
      <c r="AK912" s="27">
        <v>177535392.06386882</v>
      </c>
      <c r="AL912" s="226">
        <v>0.54157252749587192</v>
      </c>
      <c r="AM912" s="27">
        <v>292316572.1625672</v>
      </c>
      <c r="AN912" s="271">
        <v>0.32891837191676104</v>
      </c>
      <c r="AO912" s="27">
        <v>5383300</v>
      </c>
      <c r="AP912" s="27">
        <v>31.7</v>
      </c>
      <c r="AQ912" s="27">
        <v>69.102439024390264</v>
      </c>
      <c r="AR912" s="27">
        <v>28.5</v>
      </c>
      <c r="AS912" s="29">
        <v>93.910719999999998</v>
      </c>
      <c r="AT912" s="270" t="s">
        <v>2842</v>
      </c>
      <c r="AU912" s="464" t="s">
        <v>2842</v>
      </c>
      <c r="AV912" s="29">
        <v>-1.0022108347477501</v>
      </c>
      <c r="AW912" s="29">
        <v>-0.64256559582778106</v>
      </c>
      <c r="AX912" s="29">
        <v>-0.95015902344371395</v>
      </c>
      <c r="AY912" s="29">
        <v>-0.320715483525574</v>
      </c>
      <c r="AZ912" s="60">
        <v>-1.2305684234293699</v>
      </c>
    </row>
    <row r="913" spans="1:52" ht="15" customHeight="1">
      <c r="A913" s="63" t="s">
        <v>284</v>
      </c>
      <c r="B913" s="27">
        <v>2009</v>
      </c>
      <c r="C913" s="27" t="s">
        <v>278</v>
      </c>
      <c r="D913" s="69" t="s">
        <v>34</v>
      </c>
      <c r="E913" s="27" t="s">
        <v>552</v>
      </c>
      <c r="F913" s="27" t="s">
        <v>552</v>
      </c>
      <c r="G913" s="43">
        <v>15400000</v>
      </c>
      <c r="H913" s="43"/>
      <c r="I913" s="43"/>
      <c r="J913" s="43"/>
      <c r="K913" s="27" t="s">
        <v>599</v>
      </c>
      <c r="L913" s="28">
        <v>0.14422800000000002</v>
      </c>
      <c r="M913" s="27" t="s">
        <v>600</v>
      </c>
      <c r="N913" s="27" t="s">
        <v>1399</v>
      </c>
      <c r="O913" s="18">
        <f>G913*L913</f>
        <v>2221111.2000000002</v>
      </c>
      <c r="P913" s="249"/>
      <c r="Q913" s="213"/>
      <c r="R913" s="27"/>
      <c r="S913" s="27"/>
      <c r="T913" s="18"/>
      <c r="U913" s="27"/>
      <c r="V913" s="27"/>
      <c r="W913" s="30"/>
      <c r="X913" s="27"/>
      <c r="Y913" s="27"/>
      <c r="Z913" s="27"/>
      <c r="AA913" s="27"/>
      <c r="AB913" s="27"/>
      <c r="AC913" s="273">
        <v>96148291</v>
      </c>
      <c r="AD913" s="27">
        <v>4690062255.1224709</v>
      </c>
      <c r="AE913" s="228">
        <v>2.0500429582781581E-2</v>
      </c>
      <c r="AF913" s="27">
        <v>1091893393.6150625</v>
      </c>
      <c r="AG913" s="226">
        <v>8.8056482035915901E-2</v>
      </c>
      <c r="AH913" s="226" t="s">
        <v>2842</v>
      </c>
      <c r="AI913" s="27">
        <v>313360000</v>
      </c>
      <c r="AJ913" s="226">
        <v>0.30683013466938985</v>
      </c>
      <c r="AK913" s="27">
        <v>177535392.06386882</v>
      </c>
      <c r="AL913" s="226">
        <v>0.54157252749587192</v>
      </c>
      <c r="AM913" s="27">
        <v>292316572.1625672</v>
      </c>
      <c r="AN913" s="271">
        <v>0.32891837191676104</v>
      </c>
      <c r="AO913" s="27">
        <v>5383300</v>
      </c>
      <c r="AP913" s="27">
        <v>31.7</v>
      </c>
      <c r="AQ913" s="27">
        <v>69.102439024390264</v>
      </c>
      <c r="AR913" s="27">
        <v>28.5</v>
      </c>
      <c r="AS913" s="29">
        <v>93.910719999999998</v>
      </c>
      <c r="AT913" s="270" t="s">
        <v>2842</v>
      </c>
      <c r="AU913" s="464" t="s">
        <v>2842</v>
      </c>
      <c r="AV913" s="29">
        <v>-1.0022108347477501</v>
      </c>
      <c r="AW913" s="29">
        <v>-0.64256559582778106</v>
      </c>
      <c r="AX913" s="29">
        <v>-0.95015902344371395</v>
      </c>
      <c r="AY913" s="29">
        <v>-0.320715483525574</v>
      </c>
      <c r="AZ913" s="60">
        <v>-1.2305684234293699</v>
      </c>
    </row>
    <row r="914" spans="1:52" ht="15" customHeight="1">
      <c r="A914" s="63" t="s">
        <v>284</v>
      </c>
      <c r="B914" s="27">
        <v>2009</v>
      </c>
      <c r="C914" s="27" t="s">
        <v>278</v>
      </c>
      <c r="D914" s="69" t="s">
        <v>34</v>
      </c>
      <c r="E914" s="27" t="s">
        <v>1400</v>
      </c>
      <c r="F914" s="27" t="s">
        <v>98</v>
      </c>
      <c r="G914" s="43">
        <v>562000</v>
      </c>
      <c r="H914" s="43"/>
      <c r="I914" s="43"/>
      <c r="J914" s="43"/>
      <c r="K914" s="27" t="s">
        <v>603</v>
      </c>
      <c r="L914" s="28">
        <v>62.0812648</v>
      </c>
      <c r="M914" s="27" t="s">
        <v>626</v>
      </c>
      <c r="N914" s="27" t="s">
        <v>1401</v>
      </c>
      <c r="O914" s="18">
        <f>G914*L914</f>
        <v>34889670.817599997</v>
      </c>
      <c r="P914" s="213"/>
      <c r="Q914" s="213"/>
      <c r="R914" s="27"/>
      <c r="S914" s="27"/>
      <c r="T914" s="18"/>
      <c r="U914" s="27"/>
      <c r="V914" s="27"/>
      <c r="W914" s="30"/>
      <c r="X914" s="27"/>
      <c r="Y914" s="27"/>
      <c r="Z914" s="27"/>
      <c r="AA914" s="27"/>
      <c r="AB914" s="27"/>
      <c r="AC914" s="273">
        <v>96148291</v>
      </c>
      <c r="AD914" s="27">
        <v>4690062255.1224709</v>
      </c>
      <c r="AE914" s="228">
        <v>2.0500429582781581E-2</v>
      </c>
      <c r="AF914" s="27">
        <v>1091893393.6150625</v>
      </c>
      <c r="AG914" s="226">
        <v>8.8056482035915901E-2</v>
      </c>
      <c r="AH914" s="226" t="s">
        <v>2842</v>
      </c>
      <c r="AI914" s="27">
        <v>313360000</v>
      </c>
      <c r="AJ914" s="226">
        <v>0.30683013466938985</v>
      </c>
      <c r="AK914" s="27">
        <v>177535392.06386882</v>
      </c>
      <c r="AL914" s="226">
        <v>0.54157252749587192</v>
      </c>
      <c r="AM914" s="27">
        <v>292316572.1625672</v>
      </c>
      <c r="AN914" s="271">
        <v>0.32891837191676104</v>
      </c>
      <c r="AO914" s="27">
        <v>5383300</v>
      </c>
      <c r="AP914" s="27">
        <v>31.7</v>
      </c>
      <c r="AQ914" s="27">
        <v>69.102439024390264</v>
      </c>
      <c r="AR914" s="27">
        <v>28.5</v>
      </c>
      <c r="AS914" s="29">
        <v>93.910719999999998</v>
      </c>
      <c r="AT914" s="270" t="s">
        <v>2842</v>
      </c>
      <c r="AU914" s="464" t="s">
        <v>2842</v>
      </c>
      <c r="AV914" s="29">
        <v>-1.0022108347477501</v>
      </c>
      <c r="AW914" s="29">
        <v>-0.64256559582778106</v>
      </c>
      <c r="AX914" s="29">
        <v>-0.95015902344371395</v>
      </c>
      <c r="AY914" s="29">
        <v>-0.320715483525574</v>
      </c>
      <c r="AZ914" s="60">
        <v>-1.2305684234293699</v>
      </c>
    </row>
    <row r="915" spans="1:52" ht="15" customHeight="1">
      <c r="A915" s="63" t="s">
        <v>284</v>
      </c>
      <c r="B915" s="27">
        <v>2009</v>
      </c>
      <c r="C915" s="27" t="s">
        <v>278</v>
      </c>
      <c r="D915" s="69" t="s">
        <v>34</v>
      </c>
      <c r="E915" s="27" t="s">
        <v>19</v>
      </c>
      <c r="F915" s="27" t="s">
        <v>559</v>
      </c>
      <c r="G915" s="43"/>
      <c r="H915" s="43"/>
      <c r="I915" s="43"/>
      <c r="J915" s="43"/>
      <c r="K915" s="27"/>
      <c r="L915" s="28"/>
      <c r="M915" s="27"/>
      <c r="N915" s="27"/>
      <c r="O915" s="18">
        <f>SUM(O916:O930)-SUM(O918:O921)-SUM(O924:O930)</f>
        <v>646376763.59876227</v>
      </c>
      <c r="P915" s="213">
        <v>92494655.942000017</v>
      </c>
      <c r="Q915" s="213">
        <v>95656586.40200001</v>
      </c>
      <c r="R915" s="27"/>
      <c r="S915" s="27"/>
      <c r="T915" s="18"/>
      <c r="U915" s="27"/>
      <c r="V915" s="27"/>
      <c r="W915" s="30"/>
      <c r="X915" s="27">
        <v>25</v>
      </c>
      <c r="Y915" s="27" t="s">
        <v>1402</v>
      </c>
      <c r="Z915" s="27">
        <v>25</v>
      </c>
      <c r="AA915" s="27">
        <v>7</v>
      </c>
      <c r="AB915" s="27"/>
      <c r="AC915" s="273">
        <v>96148291</v>
      </c>
      <c r="AD915" s="27">
        <v>4690062255.1224709</v>
      </c>
      <c r="AE915" s="228">
        <v>2.0500429582781581E-2</v>
      </c>
      <c r="AF915" s="27">
        <v>1091893393.6150625</v>
      </c>
      <c r="AG915" s="226">
        <v>8.8056482035915901E-2</v>
      </c>
      <c r="AH915" s="226" t="s">
        <v>2842</v>
      </c>
      <c r="AI915" s="27">
        <v>313360000</v>
      </c>
      <c r="AJ915" s="226">
        <v>0.30683013466938985</v>
      </c>
      <c r="AK915" s="27">
        <v>177535392.06386882</v>
      </c>
      <c r="AL915" s="226">
        <v>0.54157252749587192</v>
      </c>
      <c r="AM915" s="27">
        <v>292316572.1625672</v>
      </c>
      <c r="AN915" s="271">
        <v>0.32891837191676104</v>
      </c>
      <c r="AO915" s="27">
        <v>5383300</v>
      </c>
      <c r="AP915" s="27">
        <v>31.7</v>
      </c>
      <c r="AQ915" s="27">
        <v>69.102439024390264</v>
      </c>
      <c r="AR915" s="27">
        <v>28.5</v>
      </c>
      <c r="AS915" s="29">
        <v>93.910719999999998</v>
      </c>
      <c r="AT915" s="270" t="s">
        <v>2842</v>
      </c>
      <c r="AU915" s="464" t="s">
        <v>2842</v>
      </c>
      <c r="AV915" s="29">
        <v>-1.0022108347477501</v>
      </c>
      <c r="AW915" s="29">
        <v>-0.64256559582778106</v>
      </c>
      <c r="AX915" s="29">
        <v>-0.95015902344371395</v>
      </c>
      <c r="AY915" s="29">
        <v>-0.320715483525574</v>
      </c>
      <c r="AZ915" s="60">
        <v>-1.2305684234293699</v>
      </c>
    </row>
    <row r="916" spans="1:52" ht="15" customHeight="1">
      <c r="A916" s="63" t="s">
        <v>284</v>
      </c>
      <c r="B916" s="27">
        <v>2009</v>
      </c>
      <c r="C916" s="27" t="s">
        <v>278</v>
      </c>
      <c r="D916" s="69" t="s">
        <v>34</v>
      </c>
      <c r="E916" s="27" t="s">
        <v>19</v>
      </c>
      <c r="F916" s="27" t="s">
        <v>573</v>
      </c>
      <c r="G916" s="43">
        <v>606900</v>
      </c>
      <c r="H916" s="43"/>
      <c r="I916" s="43"/>
      <c r="J916" s="43"/>
      <c r="K916" s="27" t="s">
        <v>567</v>
      </c>
      <c r="L916" s="28">
        <v>72.516709165814987</v>
      </c>
      <c r="M916" s="27" t="s">
        <v>568</v>
      </c>
      <c r="N916" s="27" t="s">
        <v>1022</v>
      </c>
      <c r="O916" s="18">
        <f>G916*L916</f>
        <v>44010390.792733118</v>
      </c>
      <c r="P916" s="213">
        <v>769186.32799999998</v>
      </c>
      <c r="Q916" s="213">
        <v>795480.96799999999</v>
      </c>
      <c r="R916" s="27"/>
      <c r="S916" s="27"/>
      <c r="T916" s="18"/>
      <c r="U916" s="27"/>
      <c r="V916" s="27"/>
      <c r="W916" s="30"/>
      <c r="X916" s="27">
        <v>9</v>
      </c>
      <c r="Y916" s="27" t="s">
        <v>1428</v>
      </c>
      <c r="Z916" s="27">
        <v>9</v>
      </c>
      <c r="AA916" s="27">
        <v>7</v>
      </c>
      <c r="AB916" s="27"/>
      <c r="AC916" s="273">
        <v>96148291</v>
      </c>
      <c r="AD916" s="27">
        <v>4690062255.1224709</v>
      </c>
      <c r="AE916" s="228">
        <v>2.0500429582781581E-2</v>
      </c>
      <c r="AF916" s="27">
        <v>1091893393.6150625</v>
      </c>
      <c r="AG916" s="226">
        <v>8.8056482035915901E-2</v>
      </c>
      <c r="AH916" s="226" t="s">
        <v>2842</v>
      </c>
      <c r="AI916" s="27">
        <v>313360000</v>
      </c>
      <c r="AJ916" s="226">
        <v>0.30683013466938985</v>
      </c>
      <c r="AK916" s="27">
        <v>177535392.06386882</v>
      </c>
      <c r="AL916" s="226">
        <v>0.54157252749587192</v>
      </c>
      <c r="AM916" s="27">
        <v>292316572.1625672</v>
      </c>
      <c r="AN916" s="271">
        <v>0.32891837191676104</v>
      </c>
      <c r="AO916" s="27">
        <v>5383300</v>
      </c>
      <c r="AP916" s="27">
        <v>31.7</v>
      </c>
      <c r="AQ916" s="27">
        <v>69.102439024390264</v>
      </c>
      <c r="AR916" s="27">
        <v>28.5</v>
      </c>
      <c r="AS916" s="29">
        <v>93.910719999999998</v>
      </c>
      <c r="AT916" s="270" t="s">
        <v>2842</v>
      </c>
      <c r="AU916" s="464" t="s">
        <v>2842</v>
      </c>
      <c r="AV916" s="29">
        <v>-1.0022108347477501</v>
      </c>
      <c r="AW916" s="29">
        <v>-0.64256559582778106</v>
      </c>
      <c r="AX916" s="29">
        <v>-0.95015902344371395</v>
      </c>
      <c r="AY916" s="29">
        <v>-0.320715483525574</v>
      </c>
      <c r="AZ916" s="60">
        <v>-1.2305684234293699</v>
      </c>
    </row>
    <row r="917" spans="1:52" ht="15" customHeight="1">
      <c r="A917" s="63" t="s">
        <v>284</v>
      </c>
      <c r="B917" s="27">
        <v>2009</v>
      </c>
      <c r="C917" s="27" t="s">
        <v>278</v>
      </c>
      <c r="D917" s="69" t="s">
        <v>34</v>
      </c>
      <c r="E917" s="27" t="s">
        <v>19</v>
      </c>
      <c r="F917" s="27" t="s">
        <v>1404</v>
      </c>
      <c r="G917" s="43"/>
      <c r="H917" s="43"/>
      <c r="I917" s="43"/>
      <c r="J917" s="43"/>
      <c r="K917" s="27"/>
      <c r="L917" s="28"/>
      <c r="M917" s="27"/>
      <c r="N917" s="27"/>
      <c r="O917" s="18">
        <f>SUM(O918:O921)</f>
        <v>67588027.5</v>
      </c>
      <c r="P917" s="213">
        <v>1249927.7830000001</v>
      </c>
      <c r="Q917" s="213">
        <v>1292656.5729999999</v>
      </c>
      <c r="R917" s="27"/>
      <c r="S917" s="27"/>
      <c r="T917" s="18"/>
      <c r="U917" s="27"/>
      <c r="V917" s="27"/>
      <c r="W917" s="30"/>
      <c r="X917" s="27">
        <v>5</v>
      </c>
      <c r="Y917" s="27" t="s">
        <v>1405</v>
      </c>
      <c r="Z917" s="27">
        <v>5</v>
      </c>
      <c r="AA917" s="27">
        <v>7</v>
      </c>
      <c r="AB917" s="29"/>
      <c r="AC917" s="273">
        <v>96148291</v>
      </c>
      <c r="AD917" s="27">
        <v>4690062255.1224709</v>
      </c>
      <c r="AE917" s="228">
        <v>2.0500429582781581E-2</v>
      </c>
      <c r="AF917" s="27">
        <v>1091893393.6150625</v>
      </c>
      <c r="AG917" s="226">
        <v>8.8056482035915901E-2</v>
      </c>
      <c r="AH917" s="226" t="s">
        <v>2842</v>
      </c>
      <c r="AI917" s="27">
        <v>313360000</v>
      </c>
      <c r="AJ917" s="226">
        <v>0.30683013466938985</v>
      </c>
      <c r="AK917" s="27">
        <v>177535392.06386882</v>
      </c>
      <c r="AL917" s="226">
        <v>0.54157252749587192</v>
      </c>
      <c r="AM917" s="27">
        <v>292316572.1625672</v>
      </c>
      <c r="AN917" s="271">
        <v>0.32891837191676104</v>
      </c>
      <c r="AO917" s="27">
        <v>5383300</v>
      </c>
      <c r="AP917" s="27">
        <v>31.7</v>
      </c>
      <c r="AQ917" s="27">
        <v>69.102439024390264</v>
      </c>
      <c r="AR917" s="27">
        <v>28.5</v>
      </c>
      <c r="AS917" s="29">
        <v>93.910719999999998</v>
      </c>
      <c r="AT917" s="270" t="s">
        <v>2842</v>
      </c>
      <c r="AU917" s="464" t="s">
        <v>2842</v>
      </c>
      <c r="AV917" s="29">
        <v>-1.0022108347477501</v>
      </c>
      <c r="AW917" s="29">
        <v>-0.64256559582778106</v>
      </c>
      <c r="AX917" s="29">
        <v>-0.95015902344371395</v>
      </c>
      <c r="AY917" s="29">
        <v>-0.320715483525574</v>
      </c>
      <c r="AZ917" s="60">
        <v>-1.2305684234293699</v>
      </c>
    </row>
    <row r="918" spans="1:52" ht="15" customHeight="1">
      <c r="A918" s="63" t="s">
        <v>284</v>
      </c>
      <c r="B918" s="27">
        <v>2009</v>
      </c>
      <c r="C918" s="27" t="s">
        <v>278</v>
      </c>
      <c r="D918" s="69" t="s">
        <v>34</v>
      </c>
      <c r="E918" s="27" t="s">
        <v>19</v>
      </c>
      <c r="F918" s="27" t="s">
        <v>1406</v>
      </c>
      <c r="G918" s="43">
        <v>579400</v>
      </c>
      <c r="H918" s="43"/>
      <c r="I918" s="43"/>
      <c r="J918" s="43"/>
      <c r="K918" s="27" t="s">
        <v>567</v>
      </c>
      <c r="L918" s="28">
        <v>99</v>
      </c>
      <c r="M918" s="27" t="s">
        <v>568</v>
      </c>
      <c r="N918" s="27" t="s">
        <v>1122</v>
      </c>
      <c r="O918" s="18">
        <f>G918*L918</f>
        <v>57360600</v>
      </c>
      <c r="P918" s="213"/>
      <c r="Q918" s="213"/>
      <c r="R918" s="27"/>
      <c r="S918" s="27"/>
      <c r="T918" s="18"/>
      <c r="U918" s="27"/>
      <c r="V918" s="27"/>
      <c r="W918" s="30"/>
      <c r="X918" s="27"/>
      <c r="Y918" s="27"/>
      <c r="Z918" s="27"/>
      <c r="AA918" s="27"/>
      <c r="AB918" s="27"/>
      <c r="AC918" s="273">
        <v>96148291</v>
      </c>
      <c r="AD918" s="27">
        <v>4690062255.1224709</v>
      </c>
      <c r="AE918" s="228">
        <v>2.0500429582781581E-2</v>
      </c>
      <c r="AF918" s="27">
        <v>1091893393.6150625</v>
      </c>
      <c r="AG918" s="226">
        <v>8.8056482035915901E-2</v>
      </c>
      <c r="AH918" s="226" t="s">
        <v>2842</v>
      </c>
      <c r="AI918" s="27">
        <v>313360000</v>
      </c>
      <c r="AJ918" s="226">
        <v>0.30683013466938985</v>
      </c>
      <c r="AK918" s="27">
        <v>177535392.06386882</v>
      </c>
      <c r="AL918" s="226">
        <v>0.54157252749587192</v>
      </c>
      <c r="AM918" s="27">
        <v>292316572.1625672</v>
      </c>
      <c r="AN918" s="271">
        <v>0.32891837191676104</v>
      </c>
      <c r="AO918" s="27">
        <v>5383300</v>
      </c>
      <c r="AP918" s="27">
        <v>31.7</v>
      </c>
      <c r="AQ918" s="27">
        <v>69.102439024390264</v>
      </c>
      <c r="AR918" s="27">
        <v>28.5</v>
      </c>
      <c r="AS918" s="29">
        <v>93.910719999999998</v>
      </c>
      <c r="AT918" s="270" t="s">
        <v>2842</v>
      </c>
      <c r="AU918" s="464" t="s">
        <v>2842</v>
      </c>
      <c r="AV918" s="29">
        <v>-1.0022108347477501</v>
      </c>
      <c r="AW918" s="29">
        <v>-0.64256559582778106</v>
      </c>
      <c r="AX918" s="29">
        <v>-0.95015902344371395</v>
      </c>
      <c r="AY918" s="29">
        <v>-0.320715483525574</v>
      </c>
      <c r="AZ918" s="60">
        <v>-1.2305684234293699</v>
      </c>
    </row>
    <row r="919" spans="1:52" ht="15" customHeight="1">
      <c r="A919" s="63" t="s">
        <v>284</v>
      </c>
      <c r="B919" s="27">
        <v>2009</v>
      </c>
      <c r="C919" s="27" t="s">
        <v>278</v>
      </c>
      <c r="D919" s="69" t="s">
        <v>34</v>
      </c>
      <c r="E919" s="27" t="s">
        <v>19</v>
      </c>
      <c r="F919" s="27" t="s">
        <v>1409</v>
      </c>
      <c r="G919" s="43">
        <v>50</v>
      </c>
      <c r="H919" s="43"/>
      <c r="I919" s="43"/>
      <c r="J919" s="43"/>
      <c r="K919" s="27" t="s">
        <v>567</v>
      </c>
      <c r="L919" s="28">
        <v>21.75</v>
      </c>
      <c r="M919" s="27" t="s">
        <v>568</v>
      </c>
      <c r="N919" s="27" t="s">
        <v>1132</v>
      </c>
      <c r="O919" s="18">
        <f>G919*L919</f>
        <v>1087.5</v>
      </c>
      <c r="P919" s="213"/>
      <c r="Q919" s="213"/>
      <c r="R919" s="27"/>
      <c r="S919" s="27"/>
      <c r="T919" s="18"/>
      <c r="U919" s="27"/>
      <c r="V919" s="27"/>
      <c r="W919" s="30"/>
      <c r="X919" s="27"/>
      <c r="Y919" s="27"/>
      <c r="Z919" s="27"/>
      <c r="AA919" s="27"/>
      <c r="AB919" s="27"/>
      <c r="AC919" s="273">
        <v>96148291</v>
      </c>
      <c r="AD919" s="27">
        <v>4690062255.1224709</v>
      </c>
      <c r="AE919" s="228">
        <v>2.0500429582781581E-2</v>
      </c>
      <c r="AF919" s="27">
        <v>1091893393.6150625</v>
      </c>
      <c r="AG919" s="226">
        <v>8.8056482035915901E-2</v>
      </c>
      <c r="AH919" s="226" t="s">
        <v>2842</v>
      </c>
      <c r="AI919" s="27">
        <v>313360000</v>
      </c>
      <c r="AJ919" s="226">
        <v>0.30683013466938985</v>
      </c>
      <c r="AK919" s="27">
        <v>177535392.06386882</v>
      </c>
      <c r="AL919" s="226">
        <v>0.54157252749587192</v>
      </c>
      <c r="AM919" s="27">
        <v>292316572.1625672</v>
      </c>
      <c r="AN919" s="271">
        <v>0.32891837191676104</v>
      </c>
      <c r="AO919" s="27">
        <v>5383300</v>
      </c>
      <c r="AP919" s="27">
        <v>31.7</v>
      </c>
      <c r="AQ919" s="27">
        <v>69.102439024390264</v>
      </c>
      <c r="AR919" s="27">
        <v>28.5</v>
      </c>
      <c r="AS919" s="29">
        <v>93.910719999999998</v>
      </c>
      <c r="AT919" s="270" t="s">
        <v>2842</v>
      </c>
      <c r="AU919" s="464" t="s">
        <v>2842</v>
      </c>
      <c r="AV919" s="29">
        <v>-1.0022108347477501</v>
      </c>
      <c r="AW919" s="29">
        <v>-0.64256559582778106</v>
      </c>
      <c r="AX919" s="29">
        <v>-0.95015902344371395</v>
      </c>
      <c r="AY919" s="29">
        <v>-0.320715483525574</v>
      </c>
      <c r="AZ919" s="60">
        <v>-1.2305684234293699</v>
      </c>
    </row>
    <row r="920" spans="1:52" ht="15" customHeight="1">
      <c r="A920" s="63" t="s">
        <v>284</v>
      </c>
      <c r="B920" s="27">
        <v>2009</v>
      </c>
      <c r="C920" s="27" t="s">
        <v>278</v>
      </c>
      <c r="D920" s="69" t="s">
        <v>34</v>
      </c>
      <c r="E920" s="27" t="s">
        <v>19</v>
      </c>
      <c r="F920" s="27" t="s">
        <v>1411</v>
      </c>
      <c r="G920" s="43">
        <v>4700</v>
      </c>
      <c r="H920" s="43"/>
      <c r="I920" s="43"/>
      <c r="J920" s="43"/>
      <c r="K920" s="27" t="s">
        <v>567</v>
      </c>
      <c r="L920" s="28">
        <v>114.2</v>
      </c>
      <c r="M920" s="27" t="s">
        <v>568</v>
      </c>
      <c r="N920" s="27" t="s">
        <v>1429</v>
      </c>
      <c r="O920" s="18">
        <f>G920*L920</f>
        <v>536740</v>
      </c>
      <c r="P920" s="213"/>
      <c r="Q920" s="213"/>
      <c r="R920" s="27"/>
      <c r="S920" s="27"/>
      <c r="T920" s="18"/>
      <c r="U920" s="27"/>
      <c r="V920" s="27"/>
      <c r="W920" s="30"/>
      <c r="X920" s="27"/>
      <c r="Y920" s="27"/>
      <c r="Z920" s="27"/>
      <c r="AA920" s="27"/>
      <c r="AB920" s="27"/>
      <c r="AC920" s="273">
        <v>96148291</v>
      </c>
      <c r="AD920" s="27">
        <v>4690062255.1224709</v>
      </c>
      <c r="AE920" s="228">
        <v>2.0500429582781581E-2</v>
      </c>
      <c r="AF920" s="27">
        <v>1091893393.6150625</v>
      </c>
      <c r="AG920" s="226">
        <v>8.8056482035915901E-2</v>
      </c>
      <c r="AH920" s="226" t="s">
        <v>2842</v>
      </c>
      <c r="AI920" s="27">
        <v>313360000</v>
      </c>
      <c r="AJ920" s="226">
        <v>0.30683013466938985</v>
      </c>
      <c r="AK920" s="27">
        <v>177535392.06386882</v>
      </c>
      <c r="AL920" s="226">
        <v>0.54157252749587192</v>
      </c>
      <c r="AM920" s="27">
        <v>292316572.1625672</v>
      </c>
      <c r="AN920" s="271">
        <v>0.32891837191676104</v>
      </c>
      <c r="AO920" s="27">
        <v>5383300</v>
      </c>
      <c r="AP920" s="27">
        <v>31.7</v>
      </c>
      <c r="AQ920" s="27">
        <v>69.102439024390264</v>
      </c>
      <c r="AR920" s="27">
        <v>28.5</v>
      </c>
      <c r="AS920" s="29">
        <v>93.910719999999998</v>
      </c>
      <c r="AT920" s="270" t="s">
        <v>2842</v>
      </c>
      <c r="AU920" s="464" t="s">
        <v>2842</v>
      </c>
      <c r="AV920" s="29">
        <v>-1.0022108347477501</v>
      </c>
      <c r="AW920" s="29">
        <v>-0.64256559582778106</v>
      </c>
      <c r="AX920" s="29">
        <v>-0.95015902344371395</v>
      </c>
      <c r="AY920" s="29">
        <v>-0.320715483525574</v>
      </c>
      <c r="AZ920" s="60">
        <v>-1.2305684234293699</v>
      </c>
    </row>
    <row r="921" spans="1:52" ht="15" customHeight="1">
      <c r="A921" s="63" t="s">
        <v>284</v>
      </c>
      <c r="B921" s="27">
        <v>2009</v>
      </c>
      <c r="C921" s="27" t="s">
        <v>278</v>
      </c>
      <c r="D921" s="69" t="s">
        <v>34</v>
      </c>
      <c r="E921" s="27" t="s">
        <v>19</v>
      </c>
      <c r="F921" s="27" t="s">
        <v>1415</v>
      </c>
      <c r="G921" s="43">
        <f>800000*1.6</f>
        <v>1280000</v>
      </c>
      <c r="H921" s="43"/>
      <c r="I921" s="43"/>
      <c r="J921" s="43"/>
      <c r="K921" s="27" t="s">
        <v>567</v>
      </c>
      <c r="L921" s="28">
        <v>7.57</v>
      </c>
      <c r="M921" s="27" t="s">
        <v>568</v>
      </c>
      <c r="N921" s="27" t="s">
        <v>1416</v>
      </c>
      <c r="O921" s="18">
        <f>G921*L921</f>
        <v>9689600</v>
      </c>
      <c r="P921" s="213"/>
      <c r="Q921" s="213"/>
      <c r="R921" s="27"/>
      <c r="S921" s="27"/>
      <c r="T921" s="18"/>
      <c r="U921" s="27"/>
      <c r="V921" s="27"/>
      <c r="W921" s="30"/>
      <c r="X921" s="27"/>
      <c r="Y921" s="27"/>
      <c r="Z921" s="27"/>
      <c r="AA921" s="27"/>
      <c r="AB921" s="27"/>
      <c r="AC921" s="273">
        <v>96148291</v>
      </c>
      <c r="AD921" s="27">
        <v>4690062255.1224709</v>
      </c>
      <c r="AE921" s="228">
        <v>2.0500429582781581E-2</v>
      </c>
      <c r="AF921" s="27">
        <v>1091893393.6150625</v>
      </c>
      <c r="AG921" s="226">
        <v>8.8056482035915901E-2</v>
      </c>
      <c r="AH921" s="226" t="s">
        <v>2842</v>
      </c>
      <c r="AI921" s="27">
        <v>313360000</v>
      </c>
      <c r="AJ921" s="226">
        <v>0.30683013466938985</v>
      </c>
      <c r="AK921" s="27">
        <v>177535392.06386882</v>
      </c>
      <c r="AL921" s="226">
        <v>0.54157252749587192</v>
      </c>
      <c r="AM921" s="27">
        <v>292316572.1625672</v>
      </c>
      <c r="AN921" s="271">
        <v>0.32891837191676104</v>
      </c>
      <c r="AO921" s="27">
        <v>5383300</v>
      </c>
      <c r="AP921" s="27">
        <v>31.7</v>
      </c>
      <c r="AQ921" s="27">
        <v>69.102439024390264</v>
      </c>
      <c r="AR921" s="27">
        <v>28.5</v>
      </c>
      <c r="AS921" s="29">
        <v>93.910719999999998</v>
      </c>
      <c r="AT921" s="270" t="s">
        <v>2842</v>
      </c>
      <c r="AU921" s="464" t="s">
        <v>2842</v>
      </c>
      <c r="AV921" s="29">
        <v>-1.0022108347477501</v>
      </c>
      <c r="AW921" s="29">
        <v>-0.64256559582778106</v>
      </c>
      <c r="AX921" s="29">
        <v>-0.95015902344371395</v>
      </c>
      <c r="AY921" s="29">
        <v>-0.320715483525574</v>
      </c>
      <c r="AZ921" s="60">
        <v>-1.2305684234293699</v>
      </c>
    </row>
    <row r="922" spans="1:52" ht="15" customHeight="1">
      <c r="A922" s="63" t="s">
        <v>284</v>
      </c>
      <c r="B922" s="27">
        <v>2009</v>
      </c>
      <c r="C922" s="27" t="s">
        <v>278</v>
      </c>
      <c r="D922" s="69" t="s">
        <v>34</v>
      </c>
      <c r="E922" s="27" t="s">
        <v>19</v>
      </c>
      <c r="F922" s="27" t="s">
        <v>730</v>
      </c>
      <c r="G922" s="43">
        <f>16978*32.150743126506</f>
        <v>545855.3168018189</v>
      </c>
      <c r="H922" s="43"/>
      <c r="I922" s="43"/>
      <c r="J922" s="43"/>
      <c r="K922" s="27" t="s">
        <v>731</v>
      </c>
      <c r="L922" s="28">
        <v>972.96591666666995</v>
      </c>
      <c r="M922" s="27" t="s">
        <v>732</v>
      </c>
      <c r="N922" s="27" t="s">
        <v>733</v>
      </c>
      <c r="O922" s="18">
        <f>G922*L922</f>
        <v>531098618.67945725</v>
      </c>
      <c r="P922" s="213">
        <v>82014492.223000005</v>
      </c>
      <c r="Q922" s="213">
        <v>84818158.213</v>
      </c>
      <c r="R922" s="27"/>
      <c r="S922" s="27"/>
      <c r="T922" s="18"/>
      <c r="U922" s="27"/>
      <c r="V922" s="27"/>
      <c r="W922" s="30"/>
      <c r="X922" s="27">
        <v>1</v>
      </c>
      <c r="Y922" s="27" t="s">
        <v>1417</v>
      </c>
      <c r="Z922" s="27">
        <v>1</v>
      </c>
      <c r="AA922" s="27">
        <v>7</v>
      </c>
      <c r="AB922" s="27"/>
      <c r="AC922" s="273">
        <v>96148291</v>
      </c>
      <c r="AD922" s="27">
        <v>4690062255.1224709</v>
      </c>
      <c r="AE922" s="228">
        <v>2.0500429582781581E-2</v>
      </c>
      <c r="AF922" s="27">
        <v>1091893393.6150625</v>
      </c>
      <c r="AG922" s="226">
        <v>8.8056482035915901E-2</v>
      </c>
      <c r="AH922" s="226" t="s">
        <v>2842</v>
      </c>
      <c r="AI922" s="27">
        <v>313360000</v>
      </c>
      <c r="AJ922" s="226">
        <v>0.30683013466938985</v>
      </c>
      <c r="AK922" s="27">
        <v>177535392.06386882</v>
      </c>
      <c r="AL922" s="226">
        <v>0.54157252749587192</v>
      </c>
      <c r="AM922" s="27">
        <v>292316572.1625672</v>
      </c>
      <c r="AN922" s="271">
        <v>0.32891837191676104</v>
      </c>
      <c r="AO922" s="27">
        <v>5383300</v>
      </c>
      <c r="AP922" s="27">
        <v>31.7</v>
      </c>
      <c r="AQ922" s="27">
        <v>69.102439024390264</v>
      </c>
      <c r="AR922" s="27">
        <v>28.5</v>
      </c>
      <c r="AS922" s="29">
        <v>93.910719999999998</v>
      </c>
      <c r="AT922" s="270" t="s">
        <v>2842</v>
      </c>
      <c r="AU922" s="464" t="s">
        <v>2842</v>
      </c>
      <c r="AV922" s="29">
        <v>-1.0022108347477501</v>
      </c>
      <c r="AW922" s="29">
        <v>-0.64256559582778106</v>
      </c>
      <c r="AX922" s="29">
        <v>-0.95015902344371395</v>
      </c>
      <c r="AY922" s="29">
        <v>-0.320715483525574</v>
      </c>
      <c r="AZ922" s="60">
        <v>-1.2305684234293699</v>
      </c>
    </row>
    <row r="923" spans="1:52" ht="15" customHeight="1">
      <c r="A923" s="63" t="s">
        <v>284</v>
      </c>
      <c r="B923" s="27">
        <v>2009</v>
      </c>
      <c r="C923" s="27" t="s">
        <v>278</v>
      </c>
      <c r="D923" s="69" t="s">
        <v>34</v>
      </c>
      <c r="E923" s="27" t="s">
        <v>19</v>
      </c>
      <c r="F923" s="27" t="s">
        <v>1418</v>
      </c>
      <c r="G923" s="43"/>
      <c r="H923" s="43"/>
      <c r="I923" s="43"/>
      <c r="J923" s="43"/>
      <c r="K923" s="27"/>
      <c r="L923" s="28"/>
      <c r="M923" s="27"/>
      <c r="N923" s="27"/>
      <c r="O923" s="18">
        <f>SUM(O924:O930)</f>
        <v>3679726.6265718974</v>
      </c>
      <c r="P923" s="213">
        <v>576889.74600000004</v>
      </c>
      <c r="Q923" s="213">
        <v>596610.72600000014</v>
      </c>
      <c r="R923" s="27"/>
      <c r="S923" s="27"/>
      <c r="T923" s="18"/>
      <c r="U923" s="27"/>
      <c r="V923" s="27"/>
      <c r="W923" s="30"/>
      <c r="X923" s="27">
        <v>4</v>
      </c>
      <c r="Y923" s="27" t="s">
        <v>1430</v>
      </c>
      <c r="Z923" s="27">
        <v>4</v>
      </c>
      <c r="AA923" s="27">
        <v>7</v>
      </c>
      <c r="AB923" s="27"/>
      <c r="AC923" s="273">
        <v>96148291</v>
      </c>
      <c r="AD923" s="27">
        <v>4690062255.1224709</v>
      </c>
      <c r="AE923" s="228">
        <v>2.0500429582781581E-2</v>
      </c>
      <c r="AF923" s="27">
        <v>1091893393.6150625</v>
      </c>
      <c r="AG923" s="226">
        <v>8.8056482035915901E-2</v>
      </c>
      <c r="AH923" s="226" t="s">
        <v>2842</v>
      </c>
      <c r="AI923" s="27">
        <v>313360000</v>
      </c>
      <c r="AJ923" s="226">
        <v>0.30683013466938985</v>
      </c>
      <c r="AK923" s="27">
        <v>177535392.06386882</v>
      </c>
      <c r="AL923" s="226">
        <v>0.54157252749587192</v>
      </c>
      <c r="AM923" s="27">
        <v>292316572.1625672</v>
      </c>
      <c r="AN923" s="271">
        <v>0.32891837191676104</v>
      </c>
      <c r="AO923" s="27">
        <v>5383300</v>
      </c>
      <c r="AP923" s="27">
        <v>31.7</v>
      </c>
      <c r="AQ923" s="27">
        <v>69.102439024390264</v>
      </c>
      <c r="AR923" s="27">
        <v>28.5</v>
      </c>
      <c r="AS923" s="29">
        <v>93.910719999999998</v>
      </c>
      <c r="AT923" s="270" t="s">
        <v>2842</v>
      </c>
      <c r="AU923" s="464" t="s">
        <v>2842</v>
      </c>
      <c r="AV923" s="29">
        <v>-1.0022108347477501</v>
      </c>
      <c r="AW923" s="29">
        <v>-0.64256559582778106</v>
      </c>
      <c r="AX923" s="29">
        <v>-0.95015902344371395</v>
      </c>
      <c r="AY923" s="29">
        <v>-0.320715483525574</v>
      </c>
      <c r="AZ923" s="60">
        <v>-1.2305684234293699</v>
      </c>
    </row>
    <row r="924" spans="1:52" ht="15" customHeight="1">
      <c r="A924" s="63" t="s">
        <v>284</v>
      </c>
      <c r="B924" s="27">
        <v>2009</v>
      </c>
      <c r="C924" s="27" t="s">
        <v>278</v>
      </c>
      <c r="D924" s="69" t="s">
        <v>34</v>
      </c>
      <c r="E924" s="27" t="s">
        <v>19</v>
      </c>
      <c r="F924" s="27" t="s">
        <v>1420</v>
      </c>
      <c r="G924" s="43"/>
      <c r="H924" s="43"/>
      <c r="I924" s="43"/>
      <c r="J924" s="43"/>
      <c r="K924" s="27"/>
      <c r="L924" s="28">
        <f>235.6/0.000453592</f>
        <v>519409.51339529798</v>
      </c>
      <c r="M924" s="29" t="s">
        <v>568</v>
      </c>
      <c r="N924" s="27" t="s">
        <v>1421</v>
      </c>
      <c r="O924" s="18">
        <f>G925*L924*0.0026</f>
        <v>1239726.6265718972</v>
      </c>
      <c r="P924" s="213"/>
      <c r="Q924" s="213"/>
      <c r="R924" s="27"/>
      <c r="S924" s="27"/>
      <c r="T924" s="18"/>
      <c r="U924" s="27"/>
      <c r="V924" s="27"/>
      <c r="W924" s="30"/>
      <c r="X924" s="27">
        <v>1</v>
      </c>
      <c r="Y924" s="27" t="s">
        <v>1422</v>
      </c>
      <c r="Z924" s="27">
        <v>1</v>
      </c>
      <c r="AA924" s="27"/>
      <c r="AB924" s="27"/>
      <c r="AC924" s="273">
        <v>96148291</v>
      </c>
      <c r="AD924" s="27">
        <v>4690062255.1224709</v>
      </c>
      <c r="AE924" s="228">
        <v>2.0500429582781581E-2</v>
      </c>
      <c r="AF924" s="27">
        <v>1091893393.6150625</v>
      </c>
      <c r="AG924" s="226">
        <v>8.8056482035915901E-2</v>
      </c>
      <c r="AH924" s="226" t="s">
        <v>2842</v>
      </c>
      <c r="AI924" s="27">
        <v>313360000</v>
      </c>
      <c r="AJ924" s="226">
        <v>0.30683013466938985</v>
      </c>
      <c r="AK924" s="27">
        <v>177535392.06386882</v>
      </c>
      <c r="AL924" s="226">
        <v>0.54157252749587192</v>
      </c>
      <c r="AM924" s="27">
        <v>292316572.1625672</v>
      </c>
      <c r="AN924" s="271">
        <v>0.32891837191676104</v>
      </c>
      <c r="AO924" s="27">
        <v>5383300</v>
      </c>
      <c r="AP924" s="27">
        <v>31.7</v>
      </c>
      <c r="AQ924" s="27">
        <v>69.102439024390264</v>
      </c>
      <c r="AR924" s="27">
        <v>28.5</v>
      </c>
      <c r="AS924" s="29">
        <v>93.910719999999998</v>
      </c>
      <c r="AT924" s="270" t="s">
        <v>2842</v>
      </c>
      <c r="AU924" s="464" t="s">
        <v>2842</v>
      </c>
      <c r="AV924" s="29">
        <v>-1.0022108347477501</v>
      </c>
      <c r="AW924" s="29">
        <v>-0.64256559582778106</v>
      </c>
      <c r="AX924" s="29">
        <v>-0.95015902344371395</v>
      </c>
      <c r="AY924" s="29">
        <v>-0.320715483525574</v>
      </c>
      <c r="AZ924" s="60">
        <v>-1.2305684234293699</v>
      </c>
    </row>
    <row r="925" spans="1:52" ht="15" customHeight="1">
      <c r="A925" s="63" t="s">
        <v>284</v>
      </c>
      <c r="B925" s="27">
        <v>2009</v>
      </c>
      <c r="C925" s="27" t="s">
        <v>278</v>
      </c>
      <c r="D925" s="69" t="s">
        <v>34</v>
      </c>
      <c r="E925" s="27" t="s">
        <v>19</v>
      </c>
      <c r="F925" s="27" t="s">
        <v>1423</v>
      </c>
      <c r="G925" s="43">
        <v>918</v>
      </c>
      <c r="H925" s="43"/>
      <c r="I925" s="43"/>
      <c r="J925" s="43"/>
      <c r="K925" s="27" t="s">
        <v>567</v>
      </c>
      <c r="L925" s="28"/>
      <c r="M925" s="27" t="s">
        <v>568</v>
      </c>
      <c r="N925" s="27" t="s">
        <v>1389</v>
      </c>
      <c r="O925" s="18"/>
      <c r="P925" s="213"/>
      <c r="Q925" s="213"/>
      <c r="R925" s="27"/>
      <c r="S925" s="27"/>
      <c r="T925" s="18"/>
      <c r="U925" s="27"/>
      <c r="V925" s="27"/>
      <c r="W925" s="30"/>
      <c r="X925" s="27"/>
      <c r="Y925" s="27"/>
      <c r="Z925" s="27"/>
      <c r="AA925" s="27"/>
      <c r="AB925" s="27"/>
      <c r="AC925" s="273">
        <v>96148291</v>
      </c>
      <c r="AD925" s="27">
        <v>4690062255.1224709</v>
      </c>
      <c r="AE925" s="228">
        <v>2.0500429582781581E-2</v>
      </c>
      <c r="AF925" s="27">
        <v>1091893393.6150625</v>
      </c>
      <c r="AG925" s="226">
        <v>8.8056482035915901E-2</v>
      </c>
      <c r="AH925" s="226" t="s">
        <v>2842</v>
      </c>
      <c r="AI925" s="27">
        <v>313360000</v>
      </c>
      <c r="AJ925" s="226">
        <v>0.30683013466938985</v>
      </c>
      <c r="AK925" s="27">
        <v>177535392.06386882</v>
      </c>
      <c r="AL925" s="226">
        <v>0.54157252749587192</v>
      </c>
      <c r="AM925" s="27">
        <v>292316572.1625672</v>
      </c>
      <c r="AN925" s="271">
        <v>0.32891837191676104</v>
      </c>
      <c r="AO925" s="27">
        <v>5383300</v>
      </c>
      <c r="AP925" s="27">
        <v>31.7</v>
      </c>
      <c r="AQ925" s="27">
        <v>69.102439024390264</v>
      </c>
      <c r="AR925" s="27">
        <v>28.5</v>
      </c>
      <c r="AS925" s="29">
        <v>93.910719999999998</v>
      </c>
      <c r="AT925" s="270" t="s">
        <v>2842</v>
      </c>
      <c r="AU925" s="464" t="s">
        <v>2842</v>
      </c>
      <c r="AV925" s="29">
        <v>-1.0022108347477501</v>
      </c>
      <c r="AW925" s="29">
        <v>-0.64256559582778106</v>
      </c>
      <c r="AX925" s="29">
        <v>-0.95015902344371395</v>
      </c>
      <c r="AY925" s="29">
        <v>-0.320715483525574</v>
      </c>
      <c r="AZ925" s="60">
        <v>-1.2305684234293699</v>
      </c>
    </row>
    <row r="926" spans="1:52" ht="15" customHeight="1">
      <c r="A926" s="63" t="s">
        <v>284</v>
      </c>
      <c r="B926" s="27">
        <v>2009</v>
      </c>
      <c r="C926" s="27" t="s">
        <v>278</v>
      </c>
      <c r="D926" s="69" t="s">
        <v>34</v>
      </c>
      <c r="E926" s="27" t="s">
        <v>19</v>
      </c>
      <c r="F926" s="27" t="s">
        <v>1424</v>
      </c>
      <c r="G926" s="43">
        <v>700</v>
      </c>
      <c r="H926" s="43"/>
      <c r="I926" s="43"/>
      <c r="J926" s="43"/>
      <c r="K926" s="27" t="s">
        <v>567</v>
      </c>
      <c r="L926" s="28"/>
      <c r="M926" s="27"/>
      <c r="N926" s="27" t="s">
        <v>636</v>
      </c>
      <c r="O926" s="18"/>
      <c r="P926" s="213"/>
      <c r="Q926" s="213"/>
      <c r="R926" s="27"/>
      <c r="S926" s="27"/>
      <c r="T926" s="18"/>
      <c r="U926" s="27"/>
      <c r="V926" s="27"/>
      <c r="W926" s="30"/>
      <c r="X926" s="27"/>
      <c r="Y926" s="27"/>
      <c r="Z926" s="27"/>
      <c r="AA926" s="27"/>
      <c r="AB926" s="27"/>
      <c r="AC926" s="273">
        <v>96148291</v>
      </c>
      <c r="AD926" s="27">
        <v>4690062255.1224709</v>
      </c>
      <c r="AE926" s="228">
        <v>2.0500429582781581E-2</v>
      </c>
      <c r="AF926" s="27">
        <v>1091893393.6150625</v>
      </c>
      <c r="AG926" s="226">
        <v>8.8056482035915901E-2</v>
      </c>
      <c r="AH926" s="226" t="s">
        <v>2842</v>
      </c>
      <c r="AI926" s="27">
        <v>313360000</v>
      </c>
      <c r="AJ926" s="226">
        <v>0.30683013466938985</v>
      </c>
      <c r="AK926" s="27">
        <v>177535392.06386882</v>
      </c>
      <c r="AL926" s="226">
        <v>0.54157252749587192</v>
      </c>
      <c r="AM926" s="27">
        <v>292316572.1625672</v>
      </c>
      <c r="AN926" s="271">
        <v>0.32891837191676104</v>
      </c>
      <c r="AO926" s="27">
        <v>5383300</v>
      </c>
      <c r="AP926" s="27">
        <v>31.7</v>
      </c>
      <c r="AQ926" s="27">
        <v>69.102439024390264</v>
      </c>
      <c r="AR926" s="27">
        <v>28.5</v>
      </c>
      <c r="AS926" s="29">
        <v>93.910719999999998</v>
      </c>
      <c r="AT926" s="270" t="s">
        <v>2842</v>
      </c>
      <c r="AU926" s="464" t="s">
        <v>2842</v>
      </c>
      <c r="AV926" s="29">
        <v>-1.0022108347477501</v>
      </c>
      <c r="AW926" s="29">
        <v>-0.64256559582778106</v>
      </c>
      <c r="AX926" s="29">
        <v>-0.95015902344371395</v>
      </c>
      <c r="AY926" s="29">
        <v>-0.320715483525574</v>
      </c>
      <c r="AZ926" s="60">
        <v>-1.2305684234293699</v>
      </c>
    </row>
    <row r="927" spans="1:52" ht="15" customHeight="1">
      <c r="A927" s="63" t="s">
        <v>284</v>
      </c>
      <c r="B927" s="27">
        <v>2009</v>
      </c>
      <c r="C927" s="27" t="s">
        <v>278</v>
      </c>
      <c r="D927" s="69" t="s">
        <v>34</v>
      </c>
      <c r="E927" s="27" t="s">
        <v>19</v>
      </c>
      <c r="F927" s="27" t="s">
        <v>1431</v>
      </c>
      <c r="G927" s="43">
        <v>140</v>
      </c>
      <c r="H927" s="43"/>
      <c r="I927" s="43"/>
      <c r="J927" s="43"/>
      <c r="K927" s="27" t="s">
        <v>567</v>
      </c>
      <c r="L927" s="28">
        <f>610/0.035</f>
        <v>17428.571428571428</v>
      </c>
      <c r="M927" s="27" t="s">
        <v>568</v>
      </c>
      <c r="N927" s="27" t="s">
        <v>1432</v>
      </c>
      <c r="O927" s="18">
        <f>G927*L927</f>
        <v>2440000</v>
      </c>
      <c r="P927" s="213"/>
      <c r="Q927" s="213"/>
      <c r="R927" s="27"/>
      <c r="S927" s="27"/>
      <c r="T927" s="18"/>
      <c r="U927" s="27"/>
      <c r="V927" s="27"/>
      <c r="W927" s="30"/>
      <c r="X927" s="27"/>
      <c r="Y927" s="27"/>
      <c r="Z927" s="27"/>
      <c r="AA927" s="27"/>
      <c r="AB927" s="27"/>
      <c r="AC927" s="273">
        <v>96148291</v>
      </c>
      <c r="AD927" s="27">
        <v>4690062255.1224709</v>
      </c>
      <c r="AE927" s="228">
        <v>2.0500429582781581E-2</v>
      </c>
      <c r="AF927" s="27">
        <v>1091893393.6150625</v>
      </c>
      <c r="AG927" s="226">
        <v>8.8056482035915901E-2</v>
      </c>
      <c r="AH927" s="226" t="s">
        <v>2842</v>
      </c>
      <c r="AI927" s="27">
        <v>313360000</v>
      </c>
      <c r="AJ927" s="226">
        <v>0.30683013466938985</v>
      </c>
      <c r="AK927" s="27">
        <v>177535392.06386882</v>
      </c>
      <c r="AL927" s="226">
        <v>0.54157252749587192</v>
      </c>
      <c r="AM927" s="27">
        <v>292316572.1625672</v>
      </c>
      <c r="AN927" s="271">
        <v>0.32891837191676104</v>
      </c>
      <c r="AO927" s="27">
        <v>5383300</v>
      </c>
      <c r="AP927" s="27">
        <v>31.7</v>
      </c>
      <c r="AQ927" s="27">
        <v>69.102439024390264</v>
      </c>
      <c r="AR927" s="27">
        <v>28.5</v>
      </c>
      <c r="AS927" s="29">
        <v>93.910719999999998</v>
      </c>
      <c r="AT927" s="270" t="s">
        <v>2842</v>
      </c>
      <c r="AU927" s="464" t="s">
        <v>2842</v>
      </c>
      <c r="AV927" s="29">
        <v>-1.0022108347477501</v>
      </c>
      <c r="AW927" s="29">
        <v>-0.64256559582778106</v>
      </c>
      <c r="AX927" s="29">
        <v>-0.95015902344371395</v>
      </c>
      <c r="AY927" s="29">
        <v>-0.320715483525574</v>
      </c>
      <c r="AZ927" s="60">
        <v>-1.2305684234293699</v>
      </c>
    </row>
    <row r="928" spans="1:52" ht="15" customHeight="1">
      <c r="A928" s="63" t="s">
        <v>284</v>
      </c>
      <c r="B928" s="27">
        <v>2009</v>
      </c>
      <c r="C928" s="27" t="s">
        <v>278</v>
      </c>
      <c r="D928" s="69" t="s">
        <v>34</v>
      </c>
      <c r="E928" s="27" t="s">
        <v>19</v>
      </c>
      <c r="F928" s="27" t="s">
        <v>1433</v>
      </c>
      <c r="G928" s="43"/>
      <c r="H928" s="43"/>
      <c r="I928" s="43"/>
      <c r="J928" s="43"/>
      <c r="K928" s="27"/>
      <c r="L928" s="28"/>
      <c r="M928" s="27"/>
      <c r="N928" s="27"/>
      <c r="O928" s="18"/>
      <c r="P928" s="213"/>
      <c r="Q928" s="213"/>
      <c r="R928" s="27"/>
      <c r="S928" s="27"/>
      <c r="T928" s="18"/>
      <c r="U928" s="27"/>
      <c r="V928" s="27"/>
      <c r="W928" s="30"/>
      <c r="X928" s="27"/>
      <c r="Y928" s="27"/>
      <c r="Z928" s="27"/>
      <c r="AA928" s="27"/>
      <c r="AB928" s="27"/>
      <c r="AC928" s="273">
        <v>96148291</v>
      </c>
      <c r="AD928" s="27">
        <v>4690062255.1224709</v>
      </c>
      <c r="AE928" s="228">
        <v>2.0500429582781581E-2</v>
      </c>
      <c r="AF928" s="27">
        <v>1091893393.6150625</v>
      </c>
      <c r="AG928" s="226">
        <v>8.8056482035915901E-2</v>
      </c>
      <c r="AH928" s="226" t="s">
        <v>2842</v>
      </c>
      <c r="AI928" s="27">
        <v>313360000</v>
      </c>
      <c r="AJ928" s="226">
        <v>0.30683013466938985</v>
      </c>
      <c r="AK928" s="27">
        <v>177535392.06386882</v>
      </c>
      <c r="AL928" s="226">
        <v>0.54157252749587192</v>
      </c>
      <c r="AM928" s="27">
        <v>292316572.1625672</v>
      </c>
      <c r="AN928" s="271">
        <v>0.32891837191676104</v>
      </c>
      <c r="AO928" s="27">
        <v>5383300</v>
      </c>
      <c r="AP928" s="27">
        <v>31.7</v>
      </c>
      <c r="AQ928" s="27">
        <v>69.102439024390264</v>
      </c>
      <c r="AR928" s="27">
        <v>28.5</v>
      </c>
      <c r="AS928" s="29">
        <v>93.910719999999998</v>
      </c>
      <c r="AT928" s="270" t="s">
        <v>2842</v>
      </c>
      <c r="AU928" s="464" t="s">
        <v>2842</v>
      </c>
      <c r="AV928" s="29">
        <v>-1.0022108347477501</v>
      </c>
      <c r="AW928" s="29">
        <v>-0.64256559582778106</v>
      </c>
      <c r="AX928" s="29">
        <v>-0.95015902344371395</v>
      </c>
      <c r="AY928" s="29">
        <v>-0.320715483525574</v>
      </c>
      <c r="AZ928" s="60">
        <v>-1.2305684234293699</v>
      </c>
    </row>
    <row r="929" spans="1:52" ht="15" customHeight="1">
      <c r="A929" s="63" t="s">
        <v>284</v>
      </c>
      <c r="B929" s="27">
        <v>2009</v>
      </c>
      <c r="C929" s="27" t="s">
        <v>278</v>
      </c>
      <c r="D929" s="69" t="s">
        <v>34</v>
      </c>
      <c r="E929" s="27" t="s">
        <v>19</v>
      </c>
      <c r="F929" s="27" t="s">
        <v>1425</v>
      </c>
      <c r="G929" s="43">
        <v>2574</v>
      </c>
      <c r="H929" s="43"/>
      <c r="I929" s="43"/>
      <c r="J929" s="43"/>
      <c r="K929" s="27" t="s">
        <v>567</v>
      </c>
      <c r="L929" s="28"/>
      <c r="M929" s="27"/>
      <c r="N929" s="27" t="s">
        <v>636</v>
      </c>
      <c r="O929" s="18"/>
      <c r="P929" s="213"/>
      <c r="Q929" s="213"/>
      <c r="R929" s="27"/>
      <c r="S929" s="27"/>
      <c r="T929" s="18"/>
      <c r="U929" s="27"/>
      <c r="V929" s="27"/>
      <c r="W929" s="30"/>
      <c r="X929" s="27"/>
      <c r="Y929" s="27"/>
      <c r="Z929" s="27"/>
      <c r="AA929" s="27"/>
      <c r="AB929" s="27"/>
      <c r="AC929" s="273">
        <v>96148291</v>
      </c>
      <c r="AD929" s="27">
        <v>4690062255.1224709</v>
      </c>
      <c r="AE929" s="228">
        <v>2.0500429582781581E-2</v>
      </c>
      <c r="AF929" s="27">
        <v>1091893393.6150625</v>
      </c>
      <c r="AG929" s="226">
        <v>8.8056482035915901E-2</v>
      </c>
      <c r="AH929" s="226" t="s">
        <v>2842</v>
      </c>
      <c r="AI929" s="27">
        <v>313360000</v>
      </c>
      <c r="AJ929" s="226">
        <v>0.30683013466938985</v>
      </c>
      <c r="AK929" s="27">
        <v>177535392.06386882</v>
      </c>
      <c r="AL929" s="226">
        <v>0.54157252749587192</v>
      </c>
      <c r="AM929" s="27">
        <v>292316572.1625672</v>
      </c>
      <c r="AN929" s="271">
        <v>0.32891837191676104</v>
      </c>
      <c r="AO929" s="27">
        <v>5383300</v>
      </c>
      <c r="AP929" s="27">
        <v>31.7</v>
      </c>
      <c r="AQ929" s="27">
        <v>69.102439024390264</v>
      </c>
      <c r="AR929" s="27">
        <v>28.5</v>
      </c>
      <c r="AS929" s="29">
        <v>93.910719999999998</v>
      </c>
      <c r="AT929" s="270" t="s">
        <v>2842</v>
      </c>
      <c r="AU929" s="464" t="s">
        <v>2842</v>
      </c>
      <c r="AV929" s="29">
        <v>-1.0022108347477501</v>
      </c>
      <c r="AW929" s="29">
        <v>-0.64256559582778106</v>
      </c>
      <c r="AX929" s="29">
        <v>-0.95015902344371395</v>
      </c>
      <c r="AY929" s="29">
        <v>-0.320715483525574</v>
      </c>
      <c r="AZ929" s="60">
        <v>-1.2305684234293699</v>
      </c>
    </row>
    <row r="930" spans="1:52" s="287" customFormat="1" ht="15" customHeight="1">
      <c r="A930" s="359" t="s">
        <v>284</v>
      </c>
      <c r="B930" s="284">
        <v>2009</v>
      </c>
      <c r="C930" s="284" t="s">
        <v>278</v>
      </c>
      <c r="D930" s="369" t="s">
        <v>34</v>
      </c>
      <c r="E930" s="284" t="s">
        <v>19</v>
      </c>
      <c r="F930" s="284" t="s">
        <v>1426</v>
      </c>
      <c r="G930" s="303">
        <v>3071</v>
      </c>
      <c r="H930" s="303"/>
      <c r="I930" s="303"/>
      <c r="J930" s="303"/>
      <c r="K930" s="284" t="s">
        <v>567</v>
      </c>
      <c r="L930" s="304"/>
      <c r="M930" s="284"/>
      <c r="N930" s="284" t="s">
        <v>636</v>
      </c>
      <c r="O930" s="305"/>
      <c r="P930" s="306"/>
      <c r="Q930" s="306"/>
      <c r="R930" s="284"/>
      <c r="S930" s="284"/>
      <c r="T930" s="305"/>
      <c r="U930" s="284"/>
      <c r="V930" s="284"/>
      <c r="W930" s="307"/>
      <c r="X930" s="284"/>
      <c r="Y930" s="284"/>
      <c r="Z930" s="284"/>
      <c r="AA930" s="284"/>
      <c r="AB930" s="284"/>
      <c r="AC930" s="308">
        <v>96148291</v>
      </c>
      <c r="AD930" s="284">
        <v>4690062255.1224709</v>
      </c>
      <c r="AE930" s="309">
        <v>2.0500429582781581E-2</v>
      </c>
      <c r="AF930" s="284">
        <v>1091893393.6150625</v>
      </c>
      <c r="AG930" s="310">
        <v>8.8056482035915901E-2</v>
      </c>
      <c r="AH930" s="310" t="s">
        <v>2842</v>
      </c>
      <c r="AI930" s="284">
        <v>313360000</v>
      </c>
      <c r="AJ930" s="310">
        <v>0.30683013466938985</v>
      </c>
      <c r="AK930" s="284">
        <v>177535392.06386882</v>
      </c>
      <c r="AL930" s="310">
        <v>0.54157252749587192</v>
      </c>
      <c r="AM930" s="284">
        <v>292316572.1625672</v>
      </c>
      <c r="AN930" s="311">
        <v>0.32891837191676104</v>
      </c>
      <c r="AO930" s="284">
        <v>5383300</v>
      </c>
      <c r="AP930" s="284">
        <v>31.7</v>
      </c>
      <c r="AQ930" s="284">
        <v>69.102439024390264</v>
      </c>
      <c r="AR930" s="284">
        <v>28.5</v>
      </c>
      <c r="AS930" s="287">
        <v>93.910719999999998</v>
      </c>
      <c r="AT930" s="312" t="s">
        <v>2842</v>
      </c>
      <c r="AU930" s="465" t="s">
        <v>2842</v>
      </c>
      <c r="AV930" s="287">
        <v>-1.0022108347477501</v>
      </c>
      <c r="AW930" s="287">
        <v>-0.64256559582778106</v>
      </c>
      <c r="AX930" s="287">
        <v>-0.95015902344371395</v>
      </c>
      <c r="AY930" s="287">
        <v>-0.320715483525574</v>
      </c>
      <c r="AZ930" s="313">
        <v>-1.2305684234293699</v>
      </c>
    </row>
    <row r="931" spans="1:52" s="29" customFormat="1" ht="15" customHeight="1">
      <c r="A931" s="347" t="s">
        <v>287</v>
      </c>
      <c r="B931" s="27">
        <v>2010</v>
      </c>
      <c r="C931" s="27" t="s">
        <v>278</v>
      </c>
      <c r="D931" s="69" t="s">
        <v>34</v>
      </c>
      <c r="E931" s="27" t="s">
        <v>30</v>
      </c>
      <c r="F931" s="27" t="s">
        <v>659</v>
      </c>
      <c r="G931" s="43"/>
      <c r="H931" s="43"/>
      <c r="I931" s="43"/>
      <c r="J931" s="43"/>
      <c r="K931" s="27"/>
      <c r="L931" s="28"/>
      <c r="M931" s="27"/>
      <c r="N931" s="27"/>
      <c r="O931" s="18">
        <f>O932+O935</f>
        <v>188992923.66981843</v>
      </c>
      <c r="P931" s="213">
        <v>143976791</v>
      </c>
      <c r="Q931" s="213">
        <v>142159547</v>
      </c>
      <c r="R931" s="27" t="s">
        <v>619</v>
      </c>
      <c r="S931" s="27"/>
      <c r="T931" s="27"/>
      <c r="U931" s="27" t="s">
        <v>560</v>
      </c>
      <c r="V931" s="27" t="s">
        <v>1366</v>
      </c>
      <c r="W931" s="30">
        <v>45.93</v>
      </c>
      <c r="X931" s="27">
        <v>45</v>
      </c>
      <c r="Y931" s="27" t="s">
        <v>1434</v>
      </c>
      <c r="Z931" s="27">
        <v>42</v>
      </c>
      <c r="AA931" s="27">
        <v>11</v>
      </c>
      <c r="AB931" s="27" t="s">
        <v>1436</v>
      </c>
      <c r="AC931" s="273">
        <v>143976791</v>
      </c>
      <c r="AD931" s="27">
        <v>4794357795.0713921</v>
      </c>
      <c r="AE931" s="228">
        <v>3.0030464382113573E-2</v>
      </c>
      <c r="AF931" s="27">
        <v>1183774883.1810775</v>
      </c>
      <c r="AG931" s="226">
        <v>0.12162514431215249</v>
      </c>
      <c r="AH931" s="226" t="s">
        <v>2842</v>
      </c>
      <c r="AI931" s="27">
        <v>380370000</v>
      </c>
      <c r="AJ931" s="226">
        <v>0.37851773536293609</v>
      </c>
      <c r="AK931" s="27">
        <v>177877420.74658254</v>
      </c>
      <c r="AL931" s="226">
        <v>0.80941577854965696</v>
      </c>
      <c r="AM931" s="27">
        <v>278975529.68695265</v>
      </c>
      <c r="AN931" s="271">
        <v>0.51609111079226533</v>
      </c>
      <c r="AO931" s="27">
        <v>5447900</v>
      </c>
      <c r="AP931" s="27">
        <v>33.700000000000003</v>
      </c>
      <c r="AQ931" s="27">
        <v>69.300000000000011</v>
      </c>
      <c r="AR931" s="27">
        <v>26.7</v>
      </c>
      <c r="AS931" s="29">
        <v>95.272779999999997</v>
      </c>
      <c r="AT931" s="270" t="s">
        <v>2842</v>
      </c>
      <c r="AU931" s="464" t="s">
        <v>2842</v>
      </c>
      <c r="AV931" s="29">
        <v>-0.95874429933139405</v>
      </c>
      <c r="AW931" s="29">
        <v>-1.0331283700851901</v>
      </c>
      <c r="AX931" s="29">
        <v>-0.63482368678068302</v>
      </c>
      <c r="AY931" s="29">
        <v>-0.25426987328707201</v>
      </c>
      <c r="AZ931" s="60">
        <v>-1.1090655234363</v>
      </c>
    </row>
    <row r="932" spans="1:52" s="29" customFormat="1" ht="15" customHeight="1">
      <c r="A932" s="63" t="s">
        <v>287</v>
      </c>
      <c r="B932" s="27">
        <v>2010</v>
      </c>
      <c r="C932" s="27" t="s">
        <v>278</v>
      </c>
      <c r="D932" s="69" t="s">
        <v>34</v>
      </c>
      <c r="E932" s="27" t="s">
        <v>50</v>
      </c>
      <c r="F932" s="27" t="s">
        <v>597</v>
      </c>
      <c r="G932" s="43"/>
      <c r="H932" s="43"/>
      <c r="I932" s="43"/>
      <c r="J932" s="43"/>
      <c r="K932" s="27"/>
      <c r="L932" s="28"/>
      <c r="M932" s="27"/>
      <c r="N932" s="27"/>
      <c r="O932" s="18">
        <f>SUM(O933:O934)</f>
        <v>51834676.328195117</v>
      </c>
      <c r="P932" s="213">
        <v>7300523</v>
      </c>
      <c r="Q932" s="213">
        <v>5805378</v>
      </c>
      <c r="R932" s="27"/>
      <c r="S932" s="27"/>
      <c r="T932" s="18"/>
      <c r="U932" s="27"/>
      <c r="V932" s="27"/>
      <c r="W932" s="30"/>
      <c r="X932" s="27">
        <v>1</v>
      </c>
      <c r="Y932" s="27" t="s">
        <v>1398</v>
      </c>
      <c r="Z932" s="27">
        <v>1</v>
      </c>
      <c r="AA932" s="27">
        <v>14</v>
      </c>
      <c r="AB932" s="27"/>
      <c r="AC932" s="273">
        <v>143976791</v>
      </c>
      <c r="AD932" s="27">
        <v>4794357795.0713921</v>
      </c>
      <c r="AE932" s="228">
        <v>3.0030464382113573E-2</v>
      </c>
      <c r="AF932" s="27">
        <v>1183774883.1810775</v>
      </c>
      <c r="AG932" s="226">
        <v>0.12162514431215249</v>
      </c>
      <c r="AH932" s="226" t="s">
        <v>2842</v>
      </c>
      <c r="AI932" s="27">
        <v>380370000</v>
      </c>
      <c r="AJ932" s="226">
        <v>0.37851773536293609</v>
      </c>
      <c r="AK932" s="27">
        <v>177877420.74658254</v>
      </c>
      <c r="AL932" s="226">
        <v>0.80941577854965696</v>
      </c>
      <c r="AM932" s="27">
        <v>278975529.68695265</v>
      </c>
      <c r="AN932" s="271">
        <v>0.51609111079226533</v>
      </c>
      <c r="AO932" s="27">
        <v>5447900</v>
      </c>
      <c r="AP932" s="27">
        <v>33.700000000000003</v>
      </c>
      <c r="AQ932" s="27">
        <v>69.300000000000011</v>
      </c>
      <c r="AR932" s="27">
        <v>26.7</v>
      </c>
      <c r="AS932" s="29">
        <v>95.272779999999997</v>
      </c>
      <c r="AT932" s="270" t="s">
        <v>2842</v>
      </c>
      <c r="AU932" s="464" t="s">
        <v>2842</v>
      </c>
      <c r="AV932" s="29">
        <v>-0.95874429933139405</v>
      </c>
      <c r="AW932" s="29">
        <v>-1.0331283700851901</v>
      </c>
      <c r="AX932" s="29">
        <v>-0.63482368678068302</v>
      </c>
      <c r="AY932" s="29">
        <v>-0.25426987328707201</v>
      </c>
      <c r="AZ932" s="60">
        <v>-1.1090655234363</v>
      </c>
    </row>
    <row r="933" spans="1:52" s="29" customFormat="1" ht="15" customHeight="1">
      <c r="A933" s="63" t="s">
        <v>287</v>
      </c>
      <c r="B933" s="27">
        <v>2010</v>
      </c>
      <c r="C933" s="27" t="s">
        <v>278</v>
      </c>
      <c r="D933" s="69" t="s">
        <v>34</v>
      </c>
      <c r="E933" s="27" t="s">
        <v>552</v>
      </c>
      <c r="F933" s="27" t="s">
        <v>552</v>
      </c>
      <c r="G933" s="43">
        <v>22800000</v>
      </c>
      <c r="H933" s="43"/>
      <c r="I933" s="43"/>
      <c r="J933" s="43"/>
      <c r="K933" s="27" t="s">
        <v>599</v>
      </c>
      <c r="L933" s="28">
        <v>0.1741077336927683</v>
      </c>
      <c r="M933" s="27" t="s">
        <v>600</v>
      </c>
      <c r="N933" s="27" t="s">
        <v>1399</v>
      </c>
      <c r="O933" s="18">
        <f>G933*L933</f>
        <v>3969656.3281951174</v>
      </c>
      <c r="P933" s="213"/>
      <c r="Q933" s="213"/>
      <c r="R933" s="27"/>
      <c r="S933" s="27"/>
      <c r="T933" s="18"/>
      <c r="U933" s="27"/>
      <c r="V933" s="27"/>
      <c r="W933" s="30"/>
      <c r="X933" s="27"/>
      <c r="Y933" s="27"/>
      <c r="Z933" s="27"/>
      <c r="AA933" s="27"/>
      <c r="AB933" s="27"/>
      <c r="AC933" s="273">
        <v>143976791</v>
      </c>
      <c r="AD933" s="27">
        <v>4794357795.0713921</v>
      </c>
      <c r="AE933" s="228">
        <v>3.0030464382113573E-2</v>
      </c>
      <c r="AF933" s="27">
        <v>1183774883.1810775</v>
      </c>
      <c r="AG933" s="226">
        <v>0.12162514431215249</v>
      </c>
      <c r="AH933" s="226" t="s">
        <v>2842</v>
      </c>
      <c r="AI933" s="27">
        <v>380370000</v>
      </c>
      <c r="AJ933" s="226">
        <v>0.37851773536293609</v>
      </c>
      <c r="AK933" s="27">
        <v>177877420.74658254</v>
      </c>
      <c r="AL933" s="226">
        <v>0.80941577854965696</v>
      </c>
      <c r="AM933" s="27">
        <v>278975529.68695265</v>
      </c>
      <c r="AN933" s="271">
        <v>0.51609111079226533</v>
      </c>
      <c r="AO933" s="27">
        <v>5447900</v>
      </c>
      <c r="AP933" s="27">
        <v>33.700000000000003</v>
      </c>
      <c r="AQ933" s="27">
        <v>69.300000000000011</v>
      </c>
      <c r="AR933" s="27">
        <v>26.7</v>
      </c>
      <c r="AS933" s="29">
        <v>95.272779999999997</v>
      </c>
      <c r="AT933" s="270" t="s">
        <v>2842</v>
      </c>
      <c r="AU933" s="464" t="s">
        <v>2842</v>
      </c>
      <c r="AV933" s="29">
        <v>-0.95874429933139405</v>
      </c>
      <c r="AW933" s="29">
        <v>-1.0331283700851901</v>
      </c>
      <c r="AX933" s="29">
        <v>-0.63482368678068302</v>
      </c>
      <c r="AY933" s="29">
        <v>-0.25426987328707201</v>
      </c>
      <c r="AZ933" s="60">
        <v>-1.1090655234363</v>
      </c>
    </row>
    <row r="934" spans="1:52" s="29" customFormat="1" ht="15" customHeight="1">
      <c r="A934" s="63" t="s">
        <v>287</v>
      </c>
      <c r="B934" s="27">
        <v>2010</v>
      </c>
      <c r="C934" s="27" t="s">
        <v>278</v>
      </c>
      <c r="D934" s="69" t="s">
        <v>34</v>
      </c>
      <c r="E934" s="27" t="s">
        <v>1400</v>
      </c>
      <c r="F934" s="27" t="s">
        <v>98</v>
      </c>
      <c r="G934" s="43">
        <v>602000</v>
      </c>
      <c r="H934" s="43"/>
      <c r="I934" s="43"/>
      <c r="J934" s="43"/>
      <c r="K934" s="27" t="s">
        <v>603</v>
      </c>
      <c r="L934" s="28">
        <v>79.510000000000005</v>
      </c>
      <c r="M934" s="27" t="s">
        <v>626</v>
      </c>
      <c r="N934" s="27" t="s">
        <v>1401</v>
      </c>
      <c r="O934" s="18">
        <f>G934*L934</f>
        <v>47865020</v>
      </c>
      <c r="P934" s="213"/>
      <c r="Q934" s="213"/>
      <c r="R934" s="27"/>
      <c r="S934" s="27"/>
      <c r="T934" s="18"/>
      <c r="U934" s="27"/>
      <c r="V934" s="73"/>
      <c r="W934" s="30"/>
      <c r="X934" s="27"/>
      <c r="Y934" s="27"/>
      <c r="Z934" s="27"/>
      <c r="AA934" s="27"/>
      <c r="AB934" s="27"/>
      <c r="AC934" s="273">
        <v>143976791</v>
      </c>
      <c r="AD934" s="27">
        <v>4794357795.0713921</v>
      </c>
      <c r="AE934" s="228">
        <v>3.0030464382113573E-2</v>
      </c>
      <c r="AF934" s="27">
        <v>1183774883.1810775</v>
      </c>
      <c r="AG934" s="226">
        <v>0.12162514431215249</v>
      </c>
      <c r="AH934" s="226" t="s">
        <v>2842</v>
      </c>
      <c r="AI934" s="27">
        <v>380370000</v>
      </c>
      <c r="AJ934" s="226">
        <v>0.37851773536293609</v>
      </c>
      <c r="AK934" s="27">
        <v>177877420.74658254</v>
      </c>
      <c r="AL934" s="226">
        <v>0.80941577854965696</v>
      </c>
      <c r="AM934" s="27">
        <v>278975529.68695265</v>
      </c>
      <c r="AN934" s="271">
        <v>0.51609111079226533</v>
      </c>
      <c r="AO934" s="27">
        <v>5447900</v>
      </c>
      <c r="AP934" s="27">
        <v>33.700000000000003</v>
      </c>
      <c r="AQ934" s="27">
        <v>69.300000000000011</v>
      </c>
      <c r="AR934" s="27">
        <v>26.7</v>
      </c>
      <c r="AS934" s="29">
        <v>95.272779999999997</v>
      </c>
      <c r="AT934" s="270" t="s">
        <v>2842</v>
      </c>
      <c r="AU934" s="464" t="s">
        <v>2842</v>
      </c>
      <c r="AV934" s="29">
        <v>-0.95874429933139405</v>
      </c>
      <c r="AW934" s="29">
        <v>-1.0331283700851901</v>
      </c>
      <c r="AX934" s="29">
        <v>-0.63482368678068302</v>
      </c>
      <c r="AY934" s="29">
        <v>-0.25426987328707201</v>
      </c>
      <c r="AZ934" s="60">
        <v>-1.1090655234363</v>
      </c>
    </row>
    <row r="935" spans="1:52" s="29" customFormat="1" ht="15" customHeight="1">
      <c r="A935" s="63" t="s">
        <v>287</v>
      </c>
      <c r="B935" s="27">
        <v>2010</v>
      </c>
      <c r="C935" s="27" t="s">
        <v>278</v>
      </c>
      <c r="D935" s="69" t="s">
        <v>34</v>
      </c>
      <c r="E935" s="27" t="s">
        <v>19</v>
      </c>
      <c r="F935" s="27" t="s">
        <v>559</v>
      </c>
      <c r="G935" s="43"/>
      <c r="H935" s="43"/>
      <c r="I935" s="43"/>
      <c r="J935" s="43"/>
      <c r="K935" s="27"/>
      <c r="L935" s="28"/>
      <c r="M935" s="27"/>
      <c r="N935" s="27"/>
      <c r="O935" s="18">
        <f>SUM(O936:O950)-SUM(O938:O941)-SUM(O944:O950)-SUM(O942:O942)</f>
        <v>137158247.34162331</v>
      </c>
      <c r="P935" s="213">
        <f>SUM(P936:P950)</f>
        <v>135289779.07999998</v>
      </c>
      <c r="Q935" s="213">
        <f>SUM(Q936:Q950)</f>
        <v>133442574.36</v>
      </c>
      <c r="R935" s="27"/>
      <c r="S935" s="27"/>
      <c r="T935" s="18"/>
      <c r="U935" s="27"/>
      <c r="V935" s="27"/>
      <c r="W935" s="30"/>
      <c r="X935" s="27">
        <v>44</v>
      </c>
      <c r="Y935" s="27" t="s">
        <v>1437</v>
      </c>
      <c r="Z935" s="27">
        <v>41</v>
      </c>
      <c r="AA935" s="27" t="s">
        <v>1438</v>
      </c>
      <c r="AB935" s="27"/>
      <c r="AC935" s="273">
        <v>143976791</v>
      </c>
      <c r="AD935" s="27">
        <v>4794357795.0713921</v>
      </c>
      <c r="AE935" s="228">
        <v>3.0030464382113573E-2</v>
      </c>
      <c r="AF935" s="27">
        <v>1183774883.1810775</v>
      </c>
      <c r="AG935" s="226">
        <v>0.12162514431215249</v>
      </c>
      <c r="AH935" s="226" t="s">
        <v>2842</v>
      </c>
      <c r="AI935" s="27">
        <v>380370000</v>
      </c>
      <c r="AJ935" s="226">
        <v>0.37851773536293609</v>
      </c>
      <c r="AK935" s="27">
        <v>177877420.74658254</v>
      </c>
      <c r="AL935" s="226">
        <v>0.80941577854965696</v>
      </c>
      <c r="AM935" s="27">
        <v>278975529.68695265</v>
      </c>
      <c r="AN935" s="271">
        <v>0.51609111079226533</v>
      </c>
      <c r="AO935" s="27">
        <v>5447900</v>
      </c>
      <c r="AP935" s="27">
        <v>33.700000000000003</v>
      </c>
      <c r="AQ935" s="27">
        <v>69.300000000000011</v>
      </c>
      <c r="AR935" s="27">
        <v>26.7</v>
      </c>
      <c r="AS935" s="29">
        <v>95.272779999999997</v>
      </c>
      <c r="AT935" s="270" t="s">
        <v>2842</v>
      </c>
      <c r="AU935" s="464" t="s">
        <v>2842</v>
      </c>
      <c r="AV935" s="29">
        <v>-0.95874429933139405</v>
      </c>
      <c r="AW935" s="29">
        <v>-1.0331283700851901</v>
      </c>
      <c r="AX935" s="29">
        <v>-0.63482368678068302</v>
      </c>
      <c r="AY935" s="29">
        <v>-0.25426987328707201</v>
      </c>
      <c r="AZ935" s="60">
        <v>-1.1090655234363</v>
      </c>
    </row>
    <row r="936" spans="1:52" s="29" customFormat="1" ht="15" customHeight="1">
      <c r="A936" s="63" t="s">
        <v>287</v>
      </c>
      <c r="B936" s="27">
        <v>2010</v>
      </c>
      <c r="C936" s="27" t="s">
        <v>278</v>
      </c>
      <c r="D936" s="69" t="s">
        <v>34</v>
      </c>
      <c r="E936" s="27" t="s">
        <v>19</v>
      </c>
      <c r="F936" s="27" t="s">
        <v>573</v>
      </c>
      <c r="G936" s="43">
        <v>575000</v>
      </c>
      <c r="H936" s="43"/>
      <c r="I936" s="43"/>
      <c r="J936" s="43"/>
      <c r="K936" s="27" t="s">
        <v>567</v>
      </c>
      <c r="L936" s="28">
        <v>89.852021850427363</v>
      </c>
      <c r="M936" s="27" t="s">
        <v>568</v>
      </c>
      <c r="N936" s="27" t="s">
        <v>1022</v>
      </c>
      <c r="O936" s="18">
        <f>G936*L936</f>
        <v>51664912.563995734</v>
      </c>
      <c r="P936" s="213">
        <v>985674</v>
      </c>
      <c r="Q936" s="213">
        <v>773590</v>
      </c>
      <c r="R936" s="27"/>
      <c r="S936" s="27"/>
      <c r="T936" s="18"/>
      <c r="U936" s="27"/>
      <c r="V936" s="27"/>
      <c r="W936" s="30"/>
      <c r="X936" s="27">
        <v>10</v>
      </c>
      <c r="Y936" s="27" t="s">
        <v>1439</v>
      </c>
      <c r="Z936" s="27">
        <v>8</v>
      </c>
      <c r="AA936" s="27">
        <v>14</v>
      </c>
      <c r="AB936" s="27"/>
      <c r="AC936" s="273">
        <v>143976791</v>
      </c>
      <c r="AD936" s="27">
        <v>4794357795.0713921</v>
      </c>
      <c r="AE936" s="228">
        <v>3.0030464382113573E-2</v>
      </c>
      <c r="AF936" s="27">
        <v>1183774883.1810775</v>
      </c>
      <c r="AG936" s="226">
        <v>0.12162514431215249</v>
      </c>
      <c r="AH936" s="226" t="s">
        <v>2842</v>
      </c>
      <c r="AI936" s="27">
        <v>380370000</v>
      </c>
      <c r="AJ936" s="226">
        <v>0.37851773536293609</v>
      </c>
      <c r="AK936" s="27">
        <v>177877420.74658254</v>
      </c>
      <c r="AL936" s="226">
        <v>0.80941577854965696</v>
      </c>
      <c r="AM936" s="27">
        <v>278975529.68695265</v>
      </c>
      <c r="AN936" s="271">
        <v>0.51609111079226533</v>
      </c>
      <c r="AO936" s="27">
        <v>5447900</v>
      </c>
      <c r="AP936" s="27">
        <v>33.700000000000003</v>
      </c>
      <c r="AQ936" s="27">
        <v>69.300000000000011</v>
      </c>
      <c r="AR936" s="27">
        <v>26.7</v>
      </c>
      <c r="AS936" s="29">
        <v>95.272779999999997</v>
      </c>
      <c r="AT936" s="270" t="s">
        <v>2842</v>
      </c>
      <c r="AU936" s="464" t="s">
        <v>2842</v>
      </c>
      <c r="AV936" s="29">
        <v>-0.95874429933139405</v>
      </c>
      <c r="AW936" s="29">
        <v>-1.0331283700851901</v>
      </c>
      <c r="AX936" s="29">
        <v>-0.63482368678068302</v>
      </c>
      <c r="AY936" s="29">
        <v>-0.25426987328707201</v>
      </c>
      <c r="AZ936" s="60">
        <v>-1.1090655234363</v>
      </c>
    </row>
    <row r="937" spans="1:52" s="29" customFormat="1" ht="15" customHeight="1">
      <c r="A937" s="63" t="s">
        <v>287</v>
      </c>
      <c r="B937" s="27">
        <v>2010</v>
      </c>
      <c r="C937" s="27" t="s">
        <v>278</v>
      </c>
      <c r="D937" s="69" t="s">
        <v>34</v>
      </c>
      <c r="E937" s="27" t="s">
        <v>19</v>
      </c>
      <c r="F937" s="27" t="s">
        <v>1404</v>
      </c>
      <c r="G937" s="43"/>
      <c r="H937" s="43"/>
      <c r="I937" s="43"/>
      <c r="J937" s="43"/>
      <c r="K937" s="27"/>
      <c r="L937" s="28"/>
      <c r="M937" s="27"/>
      <c r="N937" s="27"/>
      <c r="O937" s="18">
        <f>SUM(O938:O941)</f>
        <v>80849233.299999997</v>
      </c>
      <c r="P937" s="213">
        <v>6615219</v>
      </c>
      <c r="Q937" s="213">
        <v>6569998</v>
      </c>
      <c r="R937" s="27"/>
      <c r="S937" s="27"/>
      <c r="T937" s="18"/>
      <c r="U937" s="27"/>
      <c r="V937" s="27"/>
      <c r="W937" s="30"/>
      <c r="X937" s="27">
        <v>12</v>
      </c>
      <c r="Y937" s="27" t="s">
        <v>1440</v>
      </c>
      <c r="Z937" s="27">
        <v>5</v>
      </c>
      <c r="AA937" s="27" t="s">
        <v>645</v>
      </c>
      <c r="AB937" s="27"/>
      <c r="AC937" s="273">
        <v>143976791</v>
      </c>
      <c r="AD937" s="27">
        <v>4794357795.0713921</v>
      </c>
      <c r="AE937" s="228">
        <v>3.0030464382113573E-2</v>
      </c>
      <c r="AF937" s="27">
        <v>1183774883.1810775</v>
      </c>
      <c r="AG937" s="226">
        <v>0.12162514431215249</v>
      </c>
      <c r="AH937" s="226" t="s">
        <v>2842</v>
      </c>
      <c r="AI937" s="27">
        <v>380370000</v>
      </c>
      <c r="AJ937" s="226">
        <v>0.37851773536293609</v>
      </c>
      <c r="AK937" s="27">
        <v>177877420.74658254</v>
      </c>
      <c r="AL937" s="226">
        <v>0.80941577854965696</v>
      </c>
      <c r="AM937" s="27">
        <v>278975529.68695265</v>
      </c>
      <c r="AN937" s="271">
        <v>0.51609111079226533</v>
      </c>
      <c r="AO937" s="27">
        <v>5447900</v>
      </c>
      <c r="AP937" s="27">
        <v>33.700000000000003</v>
      </c>
      <c r="AQ937" s="27">
        <v>69.300000000000011</v>
      </c>
      <c r="AR937" s="27">
        <v>26.7</v>
      </c>
      <c r="AS937" s="29">
        <v>95.272779999999997</v>
      </c>
      <c r="AT937" s="270" t="s">
        <v>2842</v>
      </c>
      <c r="AU937" s="464" t="s">
        <v>2842</v>
      </c>
      <c r="AV937" s="29">
        <v>-0.95874429933139405</v>
      </c>
      <c r="AW937" s="29">
        <v>-1.0331283700851901</v>
      </c>
      <c r="AX937" s="29">
        <v>-0.63482368678068302</v>
      </c>
      <c r="AY937" s="29">
        <v>-0.25426987328707201</v>
      </c>
      <c r="AZ937" s="60">
        <v>-1.1090655234363</v>
      </c>
    </row>
    <row r="938" spans="1:52" s="29" customFormat="1" ht="15" customHeight="1">
      <c r="A938" s="63" t="s">
        <v>287</v>
      </c>
      <c r="B938" s="27">
        <v>2010</v>
      </c>
      <c r="C938" s="27" t="s">
        <v>278</v>
      </c>
      <c r="D938" s="69" t="s">
        <v>34</v>
      </c>
      <c r="E938" s="27" t="s">
        <v>19</v>
      </c>
      <c r="F938" s="27" t="s">
        <v>1406</v>
      </c>
      <c r="G938" s="43">
        <v>759700</v>
      </c>
      <c r="H938" s="43"/>
      <c r="I938" s="43"/>
      <c r="J938" s="43"/>
      <c r="K938" s="27" t="s">
        <v>567</v>
      </c>
      <c r="L938" s="28">
        <v>92</v>
      </c>
      <c r="M938" s="27" t="s">
        <v>568</v>
      </c>
      <c r="N938" s="27" t="s">
        <v>1122</v>
      </c>
      <c r="O938" s="18">
        <f>G938*L938</f>
        <v>69892400</v>
      </c>
      <c r="P938" s="213"/>
      <c r="Q938" s="213"/>
      <c r="R938" s="27"/>
      <c r="S938" s="27"/>
      <c r="T938" s="18"/>
      <c r="U938" s="27"/>
      <c r="V938" s="27"/>
      <c r="W938" s="30"/>
      <c r="X938" s="27"/>
      <c r="Y938" s="27"/>
      <c r="Z938" s="27"/>
      <c r="AA938" s="27"/>
      <c r="AB938" s="27"/>
      <c r="AC938" s="273">
        <v>143976791</v>
      </c>
      <c r="AD938" s="27">
        <v>4794357795.0713921</v>
      </c>
      <c r="AE938" s="228">
        <v>3.0030464382113573E-2</v>
      </c>
      <c r="AF938" s="27">
        <v>1183774883.1810775</v>
      </c>
      <c r="AG938" s="226">
        <v>0.12162514431215249</v>
      </c>
      <c r="AH938" s="226" t="s">
        <v>2842</v>
      </c>
      <c r="AI938" s="27">
        <v>380370000</v>
      </c>
      <c r="AJ938" s="226">
        <v>0.37851773536293609</v>
      </c>
      <c r="AK938" s="27">
        <v>177877420.74658254</v>
      </c>
      <c r="AL938" s="226">
        <v>0.80941577854965696</v>
      </c>
      <c r="AM938" s="27">
        <v>278975529.68695265</v>
      </c>
      <c r="AN938" s="271">
        <v>0.51609111079226533</v>
      </c>
      <c r="AO938" s="27">
        <v>5447900</v>
      </c>
      <c r="AP938" s="27">
        <v>33.700000000000003</v>
      </c>
      <c r="AQ938" s="27">
        <v>69.300000000000011</v>
      </c>
      <c r="AR938" s="27">
        <v>26.7</v>
      </c>
      <c r="AS938" s="29">
        <v>95.272779999999997</v>
      </c>
      <c r="AT938" s="270" t="s">
        <v>2842</v>
      </c>
      <c r="AU938" s="464" t="s">
        <v>2842</v>
      </c>
      <c r="AV938" s="29">
        <v>-0.95874429933139405</v>
      </c>
      <c r="AW938" s="29">
        <v>-1.0331283700851901</v>
      </c>
      <c r="AX938" s="29">
        <v>-0.63482368678068302</v>
      </c>
      <c r="AY938" s="29">
        <v>-0.25426987328707201</v>
      </c>
      <c r="AZ938" s="60">
        <v>-1.1090655234363</v>
      </c>
    </row>
    <row r="939" spans="1:52" s="29" customFormat="1" ht="15" customHeight="1">
      <c r="A939" s="63" t="s">
        <v>287</v>
      </c>
      <c r="B939" s="27">
        <v>2010</v>
      </c>
      <c r="C939" s="27" t="s">
        <v>278</v>
      </c>
      <c r="D939" s="69" t="s">
        <v>34</v>
      </c>
      <c r="E939" s="27" t="s">
        <v>19</v>
      </c>
      <c r="F939" s="27" t="s">
        <v>1409</v>
      </c>
      <c r="G939" s="43">
        <v>51</v>
      </c>
      <c r="H939" s="43"/>
      <c r="I939" s="43"/>
      <c r="J939" s="43"/>
      <c r="K939" s="27" t="s">
        <v>567</v>
      </c>
      <c r="L939" s="28">
        <v>18.3</v>
      </c>
      <c r="M939" s="27" t="s">
        <v>568</v>
      </c>
      <c r="N939" s="27" t="s">
        <v>1132</v>
      </c>
      <c r="O939" s="18">
        <f>G939*L939</f>
        <v>933.30000000000007</v>
      </c>
      <c r="P939" s="213"/>
      <c r="Q939" s="213"/>
      <c r="R939" s="27"/>
      <c r="S939" s="27"/>
      <c r="T939" s="18"/>
      <c r="U939" s="27"/>
      <c r="V939" s="27"/>
      <c r="W939" s="30"/>
      <c r="X939" s="27"/>
      <c r="Y939" s="27"/>
      <c r="Z939" s="27"/>
      <c r="AA939" s="27"/>
      <c r="AB939" s="27"/>
      <c r="AC939" s="273">
        <v>143976791</v>
      </c>
      <c r="AD939" s="27">
        <v>4794357795.0713921</v>
      </c>
      <c r="AE939" s="228">
        <v>3.0030464382113573E-2</v>
      </c>
      <c r="AF939" s="27">
        <v>1183774883.1810775</v>
      </c>
      <c r="AG939" s="226">
        <v>0.12162514431215249</v>
      </c>
      <c r="AH939" s="226" t="s">
        <v>2842</v>
      </c>
      <c r="AI939" s="27">
        <v>380370000</v>
      </c>
      <c r="AJ939" s="226">
        <v>0.37851773536293609</v>
      </c>
      <c r="AK939" s="27">
        <v>177877420.74658254</v>
      </c>
      <c r="AL939" s="226">
        <v>0.80941577854965696</v>
      </c>
      <c r="AM939" s="27">
        <v>278975529.68695265</v>
      </c>
      <c r="AN939" s="271">
        <v>0.51609111079226533</v>
      </c>
      <c r="AO939" s="27">
        <v>5447900</v>
      </c>
      <c r="AP939" s="27">
        <v>33.700000000000003</v>
      </c>
      <c r="AQ939" s="27">
        <v>69.300000000000011</v>
      </c>
      <c r="AR939" s="27">
        <v>26.7</v>
      </c>
      <c r="AS939" s="29">
        <v>95.272779999999997</v>
      </c>
      <c r="AT939" s="270" t="s">
        <v>2842</v>
      </c>
      <c r="AU939" s="464" t="s">
        <v>2842</v>
      </c>
      <c r="AV939" s="29">
        <v>-0.95874429933139405</v>
      </c>
      <c r="AW939" s="29">
        <v>-1.0331283700851901</v>
      </c>
      <c r="AX939" s="29">
        <v>-0.63482368678068302</v>
      </c>
      <c r="AY939" s="29">
        <v>-0.25426987328707201</v>
      </c>
      <c r="AZ939" s="60">
        <v>-1.1090655234363</v>
      </c>
    </row>
    <row r="940" spans="1:52" s="29" customFormat="1" ht="15" customHeight="1">
      <c r="A940" s="63" t="s">
        <v>287</v>
      </c>
      <c r="B940" s="27">
        <v>2010</v>
      </c>
      <c r="C940" s="27" t="s">
        <v>278</v>
      </c>
      <c r="D940" s="69" t="s">
        <v>34</v>
      </c>
      <c r="E940" s="27" t="s">
        <v>19</v>
      </c>
      <c r="F940" s="27" t="s">
        <v>1411</v>
      </c>
      <c r="G940" s="43">
        <v>6500</v>
      </c>
      <c r="H940" s="43"/>
      <c r="I940" s="43"/>
      <c r="J940" s="43"/>
      <c r="K940" s="27" t="s">
        <v>567</v>
      </c>
      <c r="L940" s="28">
        <v>114.2</v>
      </c>
      <c r="M940" s="27" t="s">
        <v>568</v>
      </c>
      <c r="N940" s="27" t="s">
        <v>1429</v>
      </c>
      <c r="O940" s="18">
        <f>G940*L940</f>
        <v>742300</v>
      </c>
      <c r="P940" s="213"/>
      <c r="Q940" s="213"/>
      <c r="R940" s="27"/>
      <c r="S940" s="27"/>
      <c r="T940" s="18"/>
      <c r="U940" s="27"/>
      <c r="V940" s="27"/>
      <c r="W940" s="30"/>
      <c r="X940" s="27"/>
      <c r="Y940" s="27"/>
      <c r="Z940" s="27"/>
      <c r="AA940" s="27"/>
      <c r="AB940" s="27"/>
      <c r="AC940" s="273">
        <v>143976791</v>
      </c>
      <c r="AD940" s="27">
        <v>4794357795.0713921</v>
      </c>
      <c r="AE940" s="228">
        <v>3.0030464382113573E-2</v>
      </c>
      <c r="AF940" s="27">
        <v>1183774883.1810775</v>
      </c>
      <c r="AG940" s="226">
        <v>0.12162514431215249</v>
      </c>
      <c r="AH940" s="226" t="s">
        <v>2842</v>
      </c>
      <c r="AI940" s="27">
        <v>380370000</v>
      </c>
      <c r="AJ940" s="226">
        <v>0.37851773536293609</v>
      </c>
      <c r="AK940" s="27">
        <v>177877420.74658254</v>
      </c>
      <c r="AL940" s="226">
        <v>0.80941577854965696</v>
      </c>
      <c r="AM940" s="27">
        <v>278975529.68695265</v>
      </c>
      <c r="AN940" s="271">
        <v>0.51609111079226533</v>
      </c>
      <c r="AO940" s="27">
        <v>5447900</v>
      </c>
      <c r="AP940" s="27">
        <v>33.700000000000003</v>
      </c>
      <c r="AQ940" s="27">
        <v>69.300000000000011</v>
      </c>
      <c r="AR940" s="27">
        <v>26.7</v>
      </c>
      <c r="AS940" s="29">
        <v>95.272779999999997</v>
      </c>
      <c r="AT940" s="270" t="s">
        <v>2842</v>
      </c>
      <c r="AU940" s="464" t="s">
        <v>2842</v>
      </c>
      <c r="AV940" s="29">
        <v>-0.95874429933139405</v>
      </c>
      <c r="AW940" s="29">
        <v>-1.0331283700851901</v>
      </c>
      <c r="AX940" s="29">
        <v>-0.63482368678068302</v>
      </c>
      <c r="AY940" s="29">
        <v>-0.25426987328707201</v>
      </c>
      <c r="AZ940" s="60">
        <v>-1.1090655234363</v>
      </c>
    </row>
    <row r="941" spans="1:52" s="29" customFormat="1" ht="15" customHeight="1">
      <c r="A941" s="63" t="s">
        <v>287</v>
      </c>
      <c r="B941" s="27">
        <v>2010</v>
      </c>
      <c r="C941" s="27" t="s">
        <v>278</v>
      </c>
      <c r="D941" s="69" t="s">
        <v>34</v>
      </c>
      <c r="E941" s="27" t="s">
        <v>19</v>
      </c>
      <c r="F941" s="27" t="s">
        <v>1415</v>
      </c>
      <c r="G941" s="43">
        <f>850000*1.6</f>
        <v>1360000</v>
      </c>
      <c r="H941" s="43"/>
      <c r="I941" s="43"/>
      <c r="J941" s="43"/>
      <c r="K941" s="27" t="s">
        <v>567</v>
      </c>
      <c r="L941" s="28">
        <v>7.51</v>
      </c>
      <c r="M941" s="27" t="s">
        <v>568</v>
      </c>
      <c r="N941" s="27" t="s">
        <v>1145</v>
      </c>
      <c r="O941" s="18">
        <f>G941*L941</f>
        <v>10213600</v>
      </c>
      <c r="P941" s="213"/>
      <c r="Q941" s="213"/>
      <c r="R941" s="27"/>
      <c r="S941" s="27"/>
      <c r="T941" s="18"/>
      <c r="U941" s="27"/>
      <c r="V941" s="27"/>
      <c r="W941" s="30"/>
      <c r="X941" s="27"/>
      <c r="Y941" s="27"/>
      <c r="Z941" s="27"/>
      <c r="AA941" s="27"/>
      <c r="AB941" s="27"/>
      <c r="AC941" s="273">
        <v>143976791</v>
      </c>
      <c r="AD941" s="27">
        <v>4794357795.0713921</v>
      </c>
      <c r="AE941" s="228">
        <v>3.0030464382113573E-2</v>
      </c>
      <c r="AF941" s="27">
        <v>1183774883.1810775</v>
      </c>
      <c r="AG941" s="226">
        <v>0.12162514431215249</v>
      </c>
      <c r="AH941" s="226" t="s">
        <v>2842</v>
      </c>
      <c r="AI941" s="27">
        <v>380370000</v>
      </c>
      <c r="AJ941" s="226">
        <v>0.37851773536293609</v>
      </c>
      <c r="AK941" s="27">
        <v>177877420.74658254</v>
      </c>
      <c r="AL941" s="226">
        <v>0.80941577854965696</v>
      </c>
      <c r="AM941" s="27">
        <v>278975529.68695265</v>
      </c>
      <c r="AN941" s="271">
        <v>0.51609111079226533</v>
      </c>
      <c r="AO941" s="27">
        <v>5447900</v>
      </c>
      <c r="AP941" s="27">
        <v>33.700000000000003</v>
      </c>
      <c r="AQ941" s="27">
        <v>69.300000000000011</v>
      </c>
      <c r="AR941" s="27">
        <v>26.7</v>
      </c>
      <c r="AS941" s="29">
        <v>95.272779999999997</v>
      </c>
      <c r="AT941" s="270" t="s">
        <v>2842</v>
      </c>
      <c r="AU941" s="464" t="s">
        <v>2842</v>
      </c>
      <c r="AV941" s="29">
        <v>-0.95874429933139405</v>
      </c>
      <c r="AW941" s="29">
        <v>-1.0331283700851901</v>
      </c>
      <c r="AX941" s="29">
        <v>-0.63482368678068302</v>
      </c>
      <c r="AY941" s="29">
        <v>-0.25426987328707201</v>
      </c>
      <c r="AZ941" s="60">
        <v>-1.1090655234363</v>
      </c>
    </row>
    <row r="942" spans="1:52" s="29" customFormat="1" ht="15" customHeight="1">
      <c r="A942" s="63" t="s">
        <v>287</v>
      </c>
      <c r="B942" s="27">
        <v>2010</v>
      </c>
      <c r="C942" s="27" t="s">
        <v>278</v>
      </c>
      <c r="D942" s="69" t="s">
        <v>34</v>
      </c>
      <c r="E942" s="27" t="s">
        <v>19</v>
      </c>
      <c r="F942" s="27" t="s">
        <v>730</v>
      </c>
      <c r="G942" s="43">
        <f>18072*32.150743126506</f>
        <v>581028.22978221648</v>
      </c>
      <c r="H942" s="43"/>
      <c r="I942" s="43"/>
      <c r="J942" s="43"/>
      <c r="K942" s="27" t="s">
        <v>731</v>
      </c>
      <c r="L942" s="28">
        <v>1224.66425</v>
      </c>
      <c r="M942" s="27" t="s">
        <v>732</v>
      </c>
      <c r="N942" s="27" t="s">
        <v>733</v>
      </c>
      <c r="O942" s="18">
        <f>G942*L942</f>
        <v>711564501.2550658</v>
      </c>
      <c r="P942" s="213">
        <f>0.88*P931</f>
        <v>126699576.08</v>
      </c>
      <c r="Q942" s="213">
        <f>0.88*Q931</f>
        <v>125100401.36</v>
      </c>
      <c r="R942" s="27"/>
      <c r="S942" s="71"/>
      <c r="T942" s="18"/>
      <c r="U942" s="27"/>
      <c r="V942" s="27"/>
      <c r="W942" s="30"/>
      <c r="X942" s="27"/>
      <c r="Y942" s="27"/>
      <c r="Z942" s="27"/>
      <c r="AA942" s="27"/>
      <c r="AB942" s="27"/>
      <c r="AC942" s="273">
        <v>143976791</v>
      </c>
      <c r="AD942" s="27">
        <v>4794357795.0713921</v>
      </c>
      <c r="AE942" s="228">
        <v>3.0030464382113573E-2</v>
      </c>
      <c r="AF942" s="27">
        <v>1183774883.1810775</v>
      </c>
      <c r="AG942" s="226">
        <v>0.12162514431215249</v>
      </c>
      <c r="AH942" s="226" t="s">
        <v>2842</v>
      </c>
      <c r="AI942" s="27">
        <v>380370000</v>
      </c>
      <c r="AJ942" s="226">
        <v>0.37851773536293609</v>
      </c>
      <c r="AK942" s="27">
        <v>177877420.74658254</v>
      </c>
      <c r="AL942" s="226">
        <v>0.80941577854965696</v>
      </c>
      <c r="AM942" s="27">
        <v>278975529.68695265</v>
      </c>
      <c r="AN942" s="271">
        <v>0.51609111079226533</v>
      </c>
      <c r="AO942" s="27">
        <v>5447900</v>
      </c>
      <c r="AP942" s="27">
        <v>33.700000000000003</v>
      </c>
      <c r="AQ942" s="27">
        <v>69.300000000000011</v>
      </c>
      <c r="AR942" s="27">
        <v>26.7</v>
      </c>
      <c r="AS942" s="29">
        <v>95.272779999999997</v>
      </c>
      <c r="AT942" s="270" t="s">
        <v>2842</v>
      </c>
      <c r="AU942" s="464" t="s">
        <v>2842</v>
      </c>
      <c r="AV942" s="29">
        <v>-0.95874429933139405</v>
      </c>
      <c r="AW942" s="29">
        <v>-1.0331283700851901</v>
      </c>
      <c r="AX942" s="29">
        <v>-0.63482368678068302</v>
      </c>
      <c r="AY942" s="29">
        <v>-0.25426987328707201</v>
      </c>
      <c r="AZ942" s="60">
        <v>-1.1090655234363</v>
      </c>
    </row>
    <row r="943" spans="1:52" s="29" customFormat="1" ht="15" customHeight="1">
      <c r="A943" s="63" t="s">
        <v>287</v>
      </c>
      <c r="B943" s="27">
        <v>2010</v>
      </c>
      <c r="C943" s="27" t="s">
        <v>278</v>
      </c>
      <c r="D943" s="69" t="s">
        <v>34</v>
      </c>
      <c r="E943" s="27" t="s">
        <v>19</v>
      </c>
      <c r="F943" s="27" t="s">
        <v>1418</v>
      </c>
      <c r="G943" s="43"/>
      <c r="H943" s="43"/>
      <c r="I943" s="43"/>
      <c r="J943" s="43"/>
      <c r="K943" s="27"/>
      <c r="L943" s="28"/>
      <c r="M943" s="27"/>
      <c r="N943" s="27"/>
      <c r="O943" s="18">
        <f>SUM(O944:O950)</f>
        <v>4644101.4776274711</v>
      </c>
      <c r="P943" s="213">
        <v>989310</v>
      </c>
      <c r="Q943" s="213">
        <v>998585</v>
      </c>
      <c r="R943" s="27"/>
      <c r="S943" s="27"/>
      <c r="T943" s="18"/>
      <c r="U943" s="27"/>
      <c r="V943" s="27"/>
      <c r="W943" s="42"/>
      <c r="X943" s="27">
        <v>7</v>
      </c>
      <c r="Y943" s="27" t="s">
        <v>1441</v>
      </c>
      <c r="Z943" s="27">
        <v>6</v>
      </c>
      <c r="AA943" s="27" t="s">
        <v>1442</v>
      </c>
      <c r="AB943" s="27"/>
      <c r="AC943" s="273">
        <v>143976791</v>
      </c>
      <c r="AD943" s="27">
        <v>4794357795.0713921</v>
      </c>
      <c r="AE943" s="228">
        <v>3.0030464382113573E-2</v>
      </c>
      <c r="AF943" s="27">
        <v>1183774883.1810775</v>
      </c>
      <c r="AG943" s="226">
        <v>0.12162514431215249</v>
      </c>
      <c r="AH943" s="226" t="s">
        <v>2842</v>
      </c>
      <c r="AI943" s="27">
        <v>380370000</v>
      </c>
      <c r="AJ943" s="226">
        <v>0.37851773536293609</v>
      </c>
      <c r="AK943" s="27">
        <v>177877420.74658254</v>
      </c>
      <c r="AL943" s="226">
        <v>0.80941577854965696</v>
      </c>
      <c r="AM943" s="27">
        <v>278975529.68695265</v>
      </c>
      <c r="AN943" s="271">
        <v>0.51609111079226533</v>
      </c>
      <c r="AO943" s="27">
        <v>5447900</v>
      </c>
      <c r="AP943" s="27">
        <v>33.700000000000003</v>
      </c>
      <c r="AQ943" s="27">
        <v>69.300000000000011</v>
      </c>
      <c r="AR943" s="27">
        <v>26.7</v>
      </c>
      <c r="AS943" s="29">
        <v>95.272779999999997</v>
      </c>
      <c r="AT943" s="270" t="s">
        <v>2842</v>
      </c>
      <c r="AU943" s="464" t="s">
        <v>2842</v>
      </c>
      <c r="AV943" s="29">
        <v>-0.95874429933139405</v>
      </c>
      <c r="AW943" s="29">
        <v>-1.0331283700851901</v>
      </c>
      <c r="AX943" s="29">
        <v>-0.63482368678068302</v>
      </c>
      <c r="AY943" s="29">
        <v>-0.25426987328707201</v>
      </c>
      <c r="AZ943" s="60">
        <v>-1.1090655234363</v>
      </c>
    </row>
    <row r="944" spans="1:52" s="29" customFormat="1" ht="15" customHeight="1">
      <c r="A944" s="63" t="s">
        <v>287</v>
      </c>
      <c r="B944" s="27">
        <v>2010</v>
      </c>
      <c r="C944" s="27" t="s">
        <v>278</v>
      </c>
      <c r="D944" s="69" t="s">
        <v>34</v>
      </c>
      <c r="E944" s="27" t="s">
        <v>19</v>
      </c>
      <c r="F944" s="27" t="s">
        <v>1420</v>
      </c>
      <c r="G944" s="43"/>
      <c r="H944" s="43"/>
      <c r="I944" s="43"/>
      <c r="J944" s="43"/>
      <c r="K944" s="27"/>
      <c r="L944" s="28">
        <f>401.2/0.000453592*0.0026</f>
        <v>2299.6878251821017</v>
      </c>
      <c r="M944" s="29" t="s">
        <v>568</v>
      </c>
      <c r="N944" s="27" t="s">
        <v>1421</v>
      </c>
      <c r="O944" s="18">
        <f>G946*L944</f>
        <v>1609781.4776274713</v>
      </c>
      <c r="P944" s="213"/>
      <c r="Q944" s="213"/>
      <c r="R944" s="27"/>
      <c r="S944" s="27"/>
      <c r="T944" s="18"/>
      <c r="U944" s="27"/>
      <c r="V944" s="27"/>
      <c r="W944" s="30"/>
      <c r="X944" s="27">
        <v>1</v>
      </c>
      <c r="Y944" s="27" t="s">
        <v>1422</v>
      </c>
      <c r="Z944" s="27">
        <v>1</v>
      </c>
      <c r="AA944" s="27"/>
      <c r="AB944" s="27"/>
      <c r="AC944" s="273">
        <v>143976791</v>
      </c>
      <c r="AD944" s="27">
        <v>4794357795.0713921</v>
      </c>
      <c r="AE944" s="228">
        <v>3.0030464382113573E-2</v>
      </c>
      <c r="AF944" s="27">
        <v>1183774883.1810775</v>
      </c>
      <c r="AG944" s="226">
        <v>0.12162514431215249</v>
      </c>
      <c r="AH944" s="226" t="s">
        <v>2842</v>
      </c>
      <c r="AI944" s="27">
        <v>380370000</v>
      </c>
      <c r="AJ944" s="226">
        <v>0.37851773536293609</v>
      </c>
      <c r="AK944" s="27">
        <v>177877420.74658254</v>
      </c>
      <c r="AL944" s="226">
        <v>0.80941577854965696</v>
      </c>
      <c r="AM944" s="27">
        <v>278975529.68695265</v>
      </c>
      <c r="AN944" s="271">
        <v>0.51609111079226533</v>
      </c>
      <c r="AO944" s="27">
        <v>5447900</v>
      </c>
      <c r="AP944" s="27">
        <v>33.700000000000003</v>
      </c>
      <c r="AQ944" s="27">
        <v>69.300000000000011</v>
      </c>
      <c r="AR944" s="27">
        <v>26.7</v>
      </c>
      <c r="AS944" s="29">
        <v>95.272779999999997</v>
      </c>
      <c r="AT944" s="270" t="s">
        <v>2842</v>
      </c>
      <c r="AU944" s="464" t="s">
        <v>2842</v>
      </c>
      <c r="AV944" s="29">
        <v>-0.95874429933139405</v>
      </c>
      <c r="AW944" s="29">
        <v>-1.0331283700851901</v>
      </c>
      <c r="AX944" s="29">
        <v>-0.63482368678068302</v>
      </c>
      <c r="AY944" s="29">
        <v>-0.25426987328707201</v>
      </c>
      <c r="AZ944" s="60">
        <v>-1.1090655234363</v>
      </c>
    </row>
    <row r="945" spans="1:52" s="29" customFormat="1" ht="15" customHeight="1">
      <c r="A945" s="63" t="s">
        <v>287</v>
      </c>
      <c r="B945" s="27">
        <v>2010</v>
      </c>
      <c r="C945" s="27" t="s">
        <v>278</v>
      </c>
      <c r="D945" s="69" t="s">
        <v>34</v>
      </c>
      <c r="E945" s="27" t="s">
        <v>19</v>
      </c>
      <c r="F945" s="27" t="s">
        <v>1423</v>
      </c>
      <c r="G945" s="43">
        <v>842</v>
      </c>
      <c r="H945" s="43"/>
      <c r="I945" s="43"/>
      <c r="J945" s="43"/>
      <c r="K945" s="27" t="s">
        <v>567</v>
      </c>
      <c r="L945" s="28"/>
      <c r="M945" s="27"/>
      <c r="N945" s="27" t="s">
        <v>636</v>
      </c>
      <c r="O945" s="18"/>
      <c r="P945" s="213"/>
      <c r="Q945" s="213"/>
      <c r="R945" s="27"/>
      <c r="S945" s="27"/>
      <c r="T945" s="18"/>
      <c r="U945" s="27"/>
      <c r="V945" s="27"/>
      <c r="W945" s="30"/>
      <c r="X945" s="27"/>
      <c r="Y945" s="27"/>
      <c r="Z945" s="27"/>
      <c r="AA945" s="27"/>
      <c r="AB945" s="27"/>
      <c r="AC945" s="273">
        <v>143976791</v>
      </c>
      <c r="AD945" s="27">
        <v>4794357795.0713921</v>
      </c>
      <c r="AE945" s="228">
        <v>3.0030464382113573E-2</v>
      </c>
      <c r="AF945" s="27">
        <v>1183774883.1810775</v>
      </c>
      <c r="AG945" s="226">
        <v>0.12162514431215249</v>
      </c>
      <c r="AH945" s="226" t="s">
        <v>2842</v>
      </c>
      <c r="AI945" s="27">
        <v>380370000</v>
      </c>
      <c r="AJ945" s="226">
        <v>0.37851773536293609</v>
      </c>
      <c r="AK945" s="27">
        <v>177877420.74658254</v>
      </c>
      <c r="AL945" s="226">
        <v>0.80941577854965696</v>
      </c>
      <c r="AM945" s="27">
        <v>278975529.68695265</v>
      </c>
      <c r="AN945" s="271">
        <v>0.51609111079226533</v>
      </c>
      <c r="AO945" s="27">
        <v>5447900</v>
      </c>
      <c r="AP945" s="27">
        <v>33.700000000000003</v>
      </c>
      <c r="AQ945" s="27">
        <v>69.300000000000011</v>
      </c>
      <c r="AR945" s="27">
        <v>26.7</v>
      </c>
      <c r="AS945" s="29">
        <v>95.272779999999997</v>
      </c>
      <c r="AT945" s="270" t="s">
        <v>2842</v>
      </c>
      <c r="AU945" s="464" t="s">
        <v>2842</v>
      </c>
      <c r="AV945" s="29">
        <v>-0.95874429933139405</v>
      </c>
      <c r="AW945" s="29">
        <v>-1.0331283700851901</v>
      </c>
      <c r="AX945" s="29">
        <v>-0.63482368678068302</v>
      </c>
      <c r="AY945" s="29">
        <v>-0.25426987328707201</v>
      </c>
      <c r="AZ945" s="60">
        <v>-1.1090655234363</v>
      </c>
    </row>
    <row r="946" spans="1:52" s="29" customFormat="1" ht="15" customHeight="1">
      <c r="A946" s="63" t="s">
        <v>287</v>
      </c>
      <c r="B946" s="27">
        <v>2010</v>
      </c>
      <c r="C946" s="27" t="s">
        <v>278</v>
      </c>
      <c r="D946" s="69" t="s">
        <v>34</v>
      </c>
      <c r="E946" s="27" t="s">
        <v>19</v>
      </c>
      <c r="F946" s="27" t="s">
        <v>1424</v>
      </c>
      <c r="G946" s="43">
        <v>700</v>
      </c>
      <c r="H946" s="43"/>
      <c r="I946" s="43"/>
      <c r="J946" s="43"/>
      <c r="K946" s="27" t="s">
        <v>567</v>
      </c>
      <c r="L946" s="28"/>
      <c r="M946" s="27"/>
      <c r="N946" s="27" t="s">
        <v>636</v>
      </c>
      <c r="O946" s="18"/>
      <c r="P946" s="213"/>
      <c r="Q946" s="213"/>
      <c r="R946" s="27"/>
      <c r="S946" s="27"/>
      <c r="T946" s="18"/>
      <c r="U946" s="27"/>
      <c r="V946" s="27"/>
      <c r="W946" s="30"/>
      <c r="X946" s="27"/>
      <c r="Y946" s="27"/>
      <c r="Z946" s="27"/>
      <c r="AA946" s="27"/>
      <c r="AB946" s="27"/>
      <c r="AC946" s="273">
        <v>143976791</v>
      </c>
      <c r="AD946" s="27">
        <v>4794357795.0713921</v>
      </c>
      <c r="AE946" s="228">
        <v>3.0030464382113573E-2</v>
      </c>
      <c r="AF946" s="27">
        <v>1183774883.1810775</v>
      </c>
      <c r="AG946" s="226">
        <v>0.12162514431215249</v>
      </c>
      <c r="AH946" s="226" t="s">
        <v>2842</v>
      </c>
      <c r="AI946" s="27">
        <v>380370000</v>
      </c>
      <c r="AJ946" s="226">
        <v>0.37851773536293609</v>
      </c>
      <c r="AK946" s="27">
        <v>177877420.74658254</v>
      </c>
      <c r="AL946" s="226">
        <v>0.80941577854965696</v>
      </c>
      <c r="AM946" s="27">
        <v>278975529.68695265</v>
      </c>
      <c r="AN946" s="271">
        <v>0.51609111079226533</v>
      </c>
      <c r="AO946" s="27">
        <v>5447900</v>
      </c>
      <c r="AP946" s="27">
        <v>33.700000000000003</v>
      </c>
      <c r="AQ946" s="27">
        <v>69.300000000000011</v>
      </c>
      <c r="AR946" s="27">
        <v>26.7</v>
      </c>
      <c r="AS946" s="29">
        <v>95.272779999999997</v>
      </c>
      <c r="AT946" s="270" t="s">
        <v>2842</v>
      </c>
      <c r="AU946" s="464" t="s">
        <v>2842</v>
      </c>
      <c r="AV946" s="29">
        <v>-0.95874429933139405</v>
      </c>
      <c r="AW946" s="29">
        <v>-1.0331283700851901</v>
      </c>
      <c r="AX946" s="29">
        <v>-0.63482368678068302</v>
      </c>
      <c r="AY946" s="29">
        <v>-0.25426987328707201</v>
      </c>
      <c r="AZ946" s="60">
        <v>-1.1090655234363</v>
      </c>
    </row>
    <row r="947" spans="1:52" s="29" customFormat="1" ht="15" customHeight="1">
      <c r="A947" s="63" t="s">
        <v>287</v>
      </c>
      <c r="B947" s="27">
        <v>2010</v>
      </c>
      <c r="C947" s="27" t="s">
        <v>278</v>
      </c>
      <c r="D947" s="69" t="s">
        <v>34</v>
      </c>
      <c r="E947" s="27" t="s">
        <v>19</v>
      </c>
      <c r="F947" s="27" t="s">
        <v>1431</v>
      </c>
      <c r="G947" s="43">
        <v>98.7</v>
      </c>
      <c r="H947" s="43"/>
      <c r="I947" s="43"/>
      <c r="J947" s="43"/>
      <c r="K947" s="27" t="s">
        <v>567</v>
      </c>
      <c r="L947" s="28">
        <f>1076/0.035</f>
        <v>30742.857142857141</v>
      </c>
      <c r="M947" s="27" t="s">
        <v>568</v>
      </c>
      <c r="N947" s="27" t="s">
        <v>1432</v>
      </c>
      <c r="O947" s="18">
        <f>G947*L947</f>
        <v>3034320</v>
      </c>
      <c r="P947" s="213"/>
      <c r="Q947" s="213"/>
      <c r="R947" s="27"/>
      <c r="S947" s="27"/>
      <c r="T947" s="18"/>
      <c r="U947" s="27"/>
      <c r="V947" s="27"/>
      <c r="W947" s="30"/>
      <c r="X947" s="27"/>
      <c r="Y947" s="27"/>
      <c r="Z947" s="27"/>
      <c r="AA947" s="27"/>
      <c r="AB947" s="27"/>
      <c r="AC947" s="273">
        <v>143976791</v>
      </c>
      <c r="AD947" s="27">
        <v>4794357795.0713921</v>
      </c>
      <c r="AE947" s="228">
        <v>3.0030464382113573E-2</v>
      </c>
      <c r="AF947" s="27">
        <v>1183774883.1810775</v>
      </c>
      <c r="AG947" s="226">
        <v>0.12162514431215249</v>
      </c>
      <c r="AH947" s="226" t="s">
        <v>2842</v>
      </c>
      <c r="AI947" s="27">
        <v>380370000</v>
      </c>
      <c r="AJ947" s="226">
        <v>0.37851773536293609</v>
      </c>
      <c r="AK947" s="27">
        <v>177877420.74658254</v>
      </c>
      <c r="AL947" s="226">
        <v>0.80941577854965696</v>
      </c>
      <c r="AM947" s="27">
        <v>278975529.68695265</v>
      </c>
      <c r="AN947" s="271">
        <v>0.51609111079226533</v>
      </c>
      <c r="AO947" s="27">
        <v>5447900</v>
      </c>
      <c r="AP947" s="27">
        <v>33.700000000000003</v>
      </c>
      <c r="AQ947" s="27">
        <v>69.300000000000011</v>
      </c>
      <c r="AR947" s="27">
        <v>26.7</v>
      </c>
      <c r="AS947" s="29">
        <v>95.272779999999997</v>
      </c>
      <c r="AT947" s="270" t="s">
        <v>2842</v>
      </c>
      <c r="AU947" s="464" t="s">
        <v>2842</v>
      </c>
      <c r="AV947" s="29">
        <v>-0.95874429933139405</v>
      </c>
      <c r="AW947" s="29">
        <v>-1.0331283700851901</v>
      </c>
      <c r="AX947" s="29">
        <v>-0.63482368678068302</v>
      </c>
      <c r="AY947" s="29">
        <v>-0.25426987328707201</v>
      </c>
      <c r="AZ947" s="60">
        <v>-1.1090655234363</v>
      </c>
    </row>
    <row r="948" spans="1:52" s="29" customFormat="1" ht="15" customHeight="1">
      <c r="A948" s="63" t="s">
        <v>287</v>
      </c>
      <c r="B948" s="27">
        <v>2010</v>
      </c>
      <c r="C948" s="27" t="s">
        <v>278</v>
      </c>
      <c r="D948" s="69" t="s">
        <v>34</v>
      </c>
      <c r="E948" s="27" t="s">
        <v>19</v>
      </c>
      <c r="F948" s="27" t="s">
        <v>1433</v>
      </c>
      <c r="G948" s="43"/>
      <c r="H948" s="43"/>
      <c r="I948" s="43"/>
      <c r="J948" s="43"/>
      <c r="K948" s="27"/>
      <c r="L948" s="28"/>
      <c r="M948" s="27"/>
      <c r="N948" s="27"/>
      <c r="O948" s="18"/>
      <c r="P948" s="213"/>
      <c r="Q948" s="213"/>
      <c r="R948" s="27"/>
      <c r="S948" s="27"/>
      <c r="T948" s="18"/>
      <c r="U948" s="27"/>
      <c r="V948" s="27"/>
      <c r="W948" s="30"/>
      <c r="X948" s="27"/>
      <c r="Y948" s="27"/>
      <c r="Z948" s="27"/>
      <c r="AA948" s="27"/>
      <c r="AB948" s="27"/>
      <c r="AC948" s="273">
        <v>143976791</v>
      </c>
      <c r="AD948" s="27">
        <v>4794357795.0713921</v>
      </c>
      <c r="AE948" s="228">
        <v>3.0030464382113573E-2</v>
      </c>
      <c r="AF948" s="27">
        <v>1183774883.1810775</v>
      </c>
      <c r="AG948" s="226">
        <v>0.12162514431215249</v>
      </c>
      <c r="AH948" s="226" t="s">
        <v>2842</v>
      </c>
      <c r="AI948" s="27">
        <v>380370000</v>
      </c>
      <c r="AJ948" s="226">
        <v>0.37851773536293609</v>
      </c>
      <c r="AK948" s="27">
        <v>177877420.74658254</v>
      </c>
      <c r="AL948" s="226">
        <v>0.80941577854965696</v>
      </c>
      <c r="AM948" s="27">
        <v>278975529.68695265</v>
      </c>
      <c r="AN948" s="271">
        <v>0.51609111079226533</v>
      </c>
      <c r="AO948" s="27">
        <v>5447900</v>
      </c>
      <c r="AP948" s="27">
        <v>33.700000000000003</v>
      </c>
      <c r="AQ948" s="27">
        <v>69.300000000000011</v>
      </c>
      <c r="AR948" s="27">
        <v>26.7</v>
      </c>
      <c r="AS948" s="29">
        <v>95.272779999999997</v>
      </c>
      <c r="AT948" s="270" t="s">
        <v>2842</v>
      </c>
      <c r="AU948" s="464" t="s">
        <v>2842</v>
      </c>
      <c r="AV948" s="29">
        <v>-0.95874429933139405</v>
      </c>
      <c r="AW948" s="29">
        <v>-1.0331283700851901</v>
      </c>
      <c r="AX948" s="29">
        <v>-0.63482368678068302</v>
      </c>
      <c r="AY948" s="29">
        <v>-0.25426987328707201</v>
      </c>
      <c r="AZ948" s="60">
        <v>-1.1090655234363</v>
      </c>
    </row>
    <row r="949" spans="1:52" s="29" customFormat="1" ht="15" customHeight="1">
      <c r="A949" s="63" t="s">
        <v>287</v>
      </c>
      <c r="B949" s="27">
        <v>2010</v>
      </c>
      <c r="C949" s="27" t="s">
        <v>278</v>
      </c>
      <c r="D949" s="69" t="s">
        <v>34</v>
      </c>
      <c r="E949" s="27" t="s">
        <v>19</v>
      </c>
      <c r="F949" s="27" t="s">
        <v>1425</v>
      </c>
      <c r="G949" s="43">
        <v>2000</v>
      </c>
      <c r="H949" s="43"/>
      <c r="I949" s="43"/>
      <c r="J949" s="43"/>
      <c r="K949" s="27" t="s">
        <v>567</v>
      </c>
      <c r="L949" s="28"/>
      <c r="M949" s="27"/>
      <c r="N949" s="27" t="s">
        <v>636</v>
      </c>
      <c r="O949" s="18"/>
      <c r="P949" s="213"/>
      <c r="Q949" s="213"/>
      <c r="R949" s="27"/>
      <c r="S949" s="27"/>
      <c r="T949" s="18"/>
      <c r="U949" s="27"/>
      <c r="V949" s="27"/>
      <c r="W949" s="30"/>
      <c r="X949" s="27"/>
      <c r="Y949" s="27"/>
      <c r="Z949" s="27"/>
      <c r="AA949" s="27"/>
      <c r="AB949" s="27"/>
      <c r="AC949" s="273">
        <v>143976791</v>
      </c>
      <c r="AD949" s="27">
        <v>4794357795.0713921</v>
      </c>
      <c r="AE949" s="228">
        <v>3.0030464382113573E-2</v>
      </c>
      <c r="AF949" s="27">
        <v>1183774883.1810775</v>
      </c>
      <c r="AG949" s="226">
        <v>0.12162514431215249</v>
      </c>
      <c r="AH949" s="226" t="s">
        <v>2842</v>
      </c>
      <c r="AI949" s="27">
        <v>380370000</v>
      </c>
      <c r="AJ949" s="226">
        <v>0.37851773536293609</v>
      </c>
      <c r="AK949" s="27">
        <v>177877420.74658254</v>
      </c>
      <c r="AL949" s="226">
        <v>0.80941577854965696</v>
      </c>
      <c r="AM949" s="27">
        <v>278975529.68695265</v>
      </c>
      <c r="AN949" s="271">
        <v>0.51609111079226533</v>
      </c>
      <c r="AO949" s="27">
        <v>5447900</v>
      </c>
      <c r="AP949" s="27">
        <v>33.700000000000003</v>
      </c>
      <c r="AQ949" s="27">
        <v>69.300000000000011</v>
      </c>
      <c r="AR949" s="27">
        <v>26.7</v>
      </c>
      <c r="AS949" s="29">
        <v>95.272779999999997</v>
      </c>
      <c r="AT949" s="270" t="s">
        <v>2842</v>
      </c>
      <c r="AU949" s="464" t="s">
        <v>2842</v>
      </c>
      <c r="AV949" s="29">
        <v>-0.95874429933139405</v>
      </c>
      <c r="AW949" s="29">
        <v>-1.0331283700851901</v>
      </c>
      <c r="AX949" s="29">
        <v>-0.63482368678068302</v>
      </c>
      <c r="AY949" s="29">
        <v>-0.25426987328707201</v>
      </c>
      <c r="AZ949" s="60">
        <v>-1.1090655234363</v>
      </c>
    </row>
    <row r="950" spans="1:52" s="287" customFormat="1" ht="15" customHeight="1">
      <c r="A950" s="359" t="s">
        <v>287</v>
      </c>
      <c r="B950" s="284">
        <v>2010</v>
      </c>
      <c r="C950" s="284" t="s">
        <v>278</v>
      </c>
      <c r="D950" s="369" t="s">
        <v>34</v>
      </c>
      <c r="E950" s="284" t="s">
        <v>19</v>
      </c>
      <c r="F950" s="284" t="s">
        <v>1426</v>
      </c>
      <c r="G950" s="303">
        <v>2385</v>
      </c>
      <c r="H950" s="303"/>
      <c r="I950" s="303"/>
      <c r="J950" s="303"/>
      <c r="K950" s="284" t="s">
        <v>567</v>
      </c>
      <c r="L950" s="304"/>
      <c r="M950" s="284"/>
      <c r="N950" s="284" t="s">
        <v>636</v>
      </c>
      <c r="O950" s="305"/>
      <c r="P950" s="306"/>
      <c r="Q950" s="306"/>
      <c r="R950" s="284"/>
      <c r="S950" s="284"/>
      <c r="T950" s="305"/>
      <c r="U950" s="284"/>
      <c r="V950" s="284"/>
      <c r="W950" s="307"/>
      <c r="X950" s="284"/>
      <c r="Y950" s="284"/>
      <c r="Z950" s="284"/>
      <c r="AA950" s="284"/>
      <c r="AB950" s="284"/>
      <c r="AC950" s="308">
        <v>143976791</v>
      </c>
      <c r="AD950" s="284">
        <v>4794357795.0713921</v>
      </c>
      <c r="AE950" s="309">
        <v>3.0030464382113573E-2</v>
      </c>
      <c r="AF950" s="284">
        <v>1183774883.1810775</v>
      </c>
      <c r="AG950" s="310">
        <v>0.12162514431215249</v>
      </c>
      <c r="AH950" s="310" t="s">
        <v>2842</v>
      </c>
      <c r="AI950" s="284">
        <v>380370000</v>
      </c>
      <c r="AJ950" s="310">
        <v>0.37851773536293609</v>
      </c>
      <c r="AK950" s="284">
        <v>177877420.74658254</v>
      </c>
      <c r="AL950" s="310">
        <v>0.80941577854965696</v>
      </c>
      <c r="AM950" s="284">
        <v>278975529.68695265</v>
      </c>
      <c r="AN950" s="311">
        <v>0.51609111079226533</v>
      </c>
      <c r="AO950" s="284">
        <v>5447900</v>
      </c>
      <c r="AP950" s="284">
        <v>33.700000000000003</v>
      </c>
      <c r="AQ950" s="284">
        <v>69.300000000000011</v>
      </c>
      <c r="AR950" s="284">
        <v>26.7</v>
      </c>
      <c r="AS950" s="287">
        <v>95.272779999999997</v>
      </c>
      <c r="AT950" s="312" t="s">
        <v>2842</v>
      </c>
      <c r="AU950" s="465" t="s">
        <v>2842</v>
      </c>
      <c r="AV950" s="287">
        <v>-0.95874429933139405</v>
      </c>
      <c r="AW950" s="287">
        <v>-1.0331283700851901</v>
      </c>
      <c r="AX950" s="287">
        <v>-0.63482368678068302</v>
      </c>
      <c r="AY950" s="287">
        <v>-0.25426987328707201</v>
      </c>
      <c r="AZ950" s="313">
        <v>-1.1090655234363</v>
      </c>
    </row>
    <row r="951" spans="1:52" ht="15" customHeight="1">
      <c r="A951" s="63" t="s">
        <v>288</v>
      </c>
      <c r="B951" s="27">
        <v>2011</v>
      </c>
      <c r="C951" s="27" t="s">
        <v>278</v>
      </c>
      <c r="D951" s="69" t="s">
        <v>34</v>
      </c>
      <c r="E951" s="27" t="s">
        <v>30</v>
      </c>
      <c r="F951" s="27" t="s">
        <v>659</v>
      </c>
      <c r="G951" s="43"/>
      <c r="H951" s="43"/>
      <c r="I951" s="43"/>
      <c r="J951" s="43"/>
      <c r="K951" s="27"/>
      <c r="L951" s="28"/>
      <c r="M951" s="27"/>
      <c r="N951" s="27"/>
      <c r="O951" s="18">
        <f>O952+O955</f>
        <v>188847543.40092915</v>
      </c>
      <c r="P951" s="213">
        <v>246173059</v>
      </c>
      <c r="Q951" s="213">
        <v>246031215</v>
      </c>
      <c r="R951" s="27" t="s">
        <v>619</v>
      </c>
      <c r="S951" s="27"/>
      <c r="T951" s="27"/>
      <c r="U951" s="27" t="s">
        <v>560</v>
      </c>
      <c r="V951" s="27" t="s">
        <v>1366</v>
      </c>
      <c r="W951" s="30">
        <v>46.1</v>
      </c>
      <c r="X951" s="27">
        <v>57</v>
      </c>
      <c r="Y951" s="27" t="s">
        <v>1443</v>
      </c>
      <c r="Z951" s="27">
        <v>57</v>
      </c>
      <c r="AA951" s="54" t="s">
        <v>1444</v>
      </c>
      <c r="AB951" s="27" t="s">
        <v>3679</v>
      </c>
      <c r="AC951" s="273">
        <v>246173059</v>
      </c>
      <c r="AD951" s="27">
        <v>6197766118.5985575</v>
      </c>
      <c r="AE951" s="228">
        <v>3.9719643221332916E-2</v>
      </c>
      <c r="AF951" s="27">
        <v>1637263875.5501809</v>
      </c>
      <c r="AG951" s="226">
        <v>0.15035637362809143</v>
      </c>
      <c r="AH951" s="226" t="s">
        <v>2842</v>
      </c>
      <c r="AI951" s="27">
        <v>525030000</v>
      </c>
      <c r="AJ951" s="226">
        <v>0.468874271946365</v>
      </c>
      <c r="AK951" s="27">
        <v>229384875.37225026</v>
      </c>
      <c r="AL951" s="226">
        <v>1.0731878403077166</v>
      </c>
      <c r="AM951" s="27">
        <v>420866745.60277736</v>
      </c>
      <c r="AN951" s="271">
        <v>0.58491924480140123</v>
      </c>
      <c r="AO951" s="27">
        <v>5514600</v>
      </c>
      <c r="AP951" s="27">
        <v>36.799999999999997</v>
      </c>
      <c r="AQ951" s="27">
        <v>69.60243902439025</v>
      </c>
      <c r="AR951" s="27">
        <v>24.9</v>
      </c>
      <c r="AS951" s="29">
        <v>96.062510000000003</v>
      </c>
      <c r="AT951" s="270" t="s">
        <v>2842</v>
      </c>
      <c r="AU951" s="464" t="s">
        <v>2842</v>
      </c>
      <c r="AV951" s="29">
        <v>-0.733062043201957</v>
      </c>
      <c r="AW951" s="29">
        <v>-1.0763722910942799</v>
      </c>
      <c r="AX951" s="29">
        <v>-0.62813373017797802</v>
      </c>
      <c r="AY951" s="29">
        <v>-0.215674009622323</v>
      </c>
      <c r="AZ951" s="60">
        <v>-1.1536330480467301</v>
      </c>
    </row>
    <row r="952" spans="1:52" ht="15" customHeight="1">
      <c r="A952" s="63" t="s">
        <v>288</v>
      </c>
      <c r="B952" s="27">
        <v>2011</v>
      </c>
      <c r="C952" s="27" t="s">
        <v>278</v>
      </c>
      <c r="D952" s="69" t="s">
        <v>34</v>
      </c>
      <c r="E952" s="27" t="s">
        <v>50</v>
      </c>
      <c r="F952" s="27" t="s">
        <v>597</v>
      </c>
      <c r="G952" s="43"/>
      <c r="H952" s="43"/>
      <c r="I952" s="43"/>
      <c r="J952" s="43"/>
      <c r="K952" s="27"/>
      <c r="L952" s="28"/>
      <c r="M952" s="27"/>
      <c r="N952" s="27"/>
      <c r="O952" s="18">
        <f>SUM(O953:O954)</f>
        <v>75114847.649367869</v>
      </c>
      <c r="P952" s="213">
        <v>10775466</v>
      </c>
      <c r="Q952" s="213">
        <v>10774924</v>
      </c>
      <c r="R952" s="27"/>
      <c r="S952" s="27"/>
      <c r="T952" s="18"/>
      <c r="U952" s="27"/>
      <c r="V952" s="27"/>
      <c r="W952" s="30"/>
      <c r="X952" s="27">
        <v>1</v>
      </c>
      <c r="Y952" s="27" t="s">
        <v>1398</v>
      </c>
      <c r="Z952" s="27">
        <v>1</v>
      </c>
      <c r="AA952" s="27">
        <v>14</v>
      </c>
      <c r="AB952" s="27"/>
      <c r="AC952" s="273">
        <v>246173059</v>
      </c>
      <c r="AD952" s="27">
        <v>6197766118.5985575</v>
      </c>
      <c r="AE952" s="228">
        <v>3.9719643221332916E-2</v>
      </c>
      <c r="AF952" s="27">
        <v>1637263875.5501809</v>
      </c>
      <c r="AG952" s="226">
        <v>0.15035637362809143</v>
      </c>
      <c r="AH952" s="226" t="s">
        <v>2842</v>
      </c>
      <c r="AI952" s="27">
        <v>525030000</v>
      </c>
      <c r="AJ952" s="226">
        <v>0.468874271946365</v>
      </c>
      <c r="AK952" s="27">
        <v>229384875.37225026</v>
      </c>
      <c r="AL952" s="226">
        <v>1.0731878403077166</v>
      </c>
      <c r="AM952" s="27">
        <v>420866745.60277736</v>
      </c>
      <c r="AN952" s="271">
        <v>0.58491924480140123</v>
      </c>
      <c r="AO952" s="27">
        <v>5514600</v>
      </c>
      <c r="AP952" s="27">
        <v>36.799999999999997</v>
      </c>
      <c r="AQ952" s="27">
        <v>69.60243902439025</v>
      </c>
      <c r="AR952" s="27">
        <v>24.9</v>
      </c>
      <c r="AS952" s="29">
        <v>96.062510000000003</v>
      </c>
      <c r="AT952" s="270" t="s">
        <v>2842</v>
      </c>
      <c r="AU952" s="464" t="s">
        <v>2842</v>
      </c>
      <c r="AV952" s="29">
        <v>-0.733062043201957</v>
      </c>
      <c r="AW952" s="29">
        <v>-1.0763722910942799</v>
      </c>
      <c r="AX952" s="29">
        <v>-0.62813373017797802</v>
      </c>
      <c r="AY952" s="29">
        <v>-0.215674009622323</v>
      </c>
      <c r="AZ952" s="60">
        <v>-1.1536330480467301</v>
      </c>
    </row>
    <row r="953" spans="1:52" ht="15" customHeight="1">
      <c r="A953" s="63" t="s">
        <v>288</v>
      </c>
      <c r="B953" s="27">
        <v>2011</v>
      </c>
      <c r="C953" s="27" t="s">
        <v>278</v>
      </c>
      <c r="D953" s="69" t="s">
        <v>34</v>
      </c>
      <c r="E953" s="27" t="s">
        <v>552</v>
      </c>
      <c r="F953" s="27" t="s">
        <v>552</v>
      </c>
      <c r="G953" s="43">
        <v>26600000</v>
      </c>
      <c r="H953" s="43"/>
      <c r="I953" s="43"/>
      <c r="J953" s="43"/>
      <c r="K953" s="27" t="s">
        <v>599</v>
      </c>
      <c r="L953" s="28">
        <v>0.19666043794616025</v>
      </c>
      <c r="M953" s="27" t="s">
        <v>600</v>
      </c>
      <c r="N953" s="27" t="s">
        <v>1399</v>
      </c>
      <c r="O953" s="18">
        <f>G953*L953</f>
        <v>5231167.6493678624</v>
      </c>
      <c r="P953" s="213"/>
      <c r="Q953" s="213"/>
      <c r="R953" s="27"/>
      <c r="S953" s="27"/>
      <c r="T953" s="18"/>
      <c r="U953" s="27"/>
      <c r="V953" s="27"/>
      <c r="W953" s="30"/>
      <c r="X953" s="29"/>
      <c r="Y953" s="27"/>
      <c r="Z953" s="29"/>
      <c r="AA953" s="27">
        <v>3</v>
      </c>
      <c r="AB953" s="27"/>
      <c r="AC953" s="273">
        <v>246173059</v>
      </c>
      <c r="AD953" s="27">
        <v>6197766118.5985575</v>
      </c>
      <c r="AE953" s="228">
        <v>3.9719643221332916E-2</v>
      </c>
      <c r="AF953" s="27">
        <v>1637263875.5501809</v>
      </c>
      <c r="AG953" s="226">
        <v>0.15035637362809143</v>
      </c>
      <c r="AH953" s="226" t="s">
        <v>2842</v>
      </c>
      <c r="AI953" s="27">
        <v>525030000</v>
      </c>
      <c r="AJ953" s="226">
        <v>0.468874271946365</v>
      </c>
      <c r="AK953" s="27">
        <v>229384875.37225026</v>
      </c>
      <c r="AL953" s="226">
        <v>1.0731878403077166</v>
      </c>
      <c r="AM953" s="27">
        <v>420866745.60277736</v>
      </c>
      <c r="AN953" s="271">
        <v>0.58491924480140123</v>
      </c>
      <c r="AO953" s="27">
        <v>5514600</v>
      </c>
      <c r="AP953" s="27">
        <v>36.799999999999997</v>
      </c>
      <c r="AQ953" s="27">
        <v>69.60243902439025</v>
      </c>
      <c r="AR953" s="27">
        <v>24.9</v>
      </c>
      <c r="AS953" s="29">
        <v>96.062510000000003</v>
      </c>
      <c r="AT953" s="270" t="s">
        <v>2842</v>
      </c>
      <c r="AU953" s="464" t="s">
        <v>2842</v>
      </c>
      <c r="AV953" s="29">
        <v>-0.733062043201957</v>
      </c>
      <c r="AW953" s="29">
        <v>-1.0763722910942799</v>
      </c>
      <c r="AX953" s="29">
        <v>-0.62813373017797802</v>
      </c>
      <c r="AY953" s="29">
        <v>-0.215674009622323</v>
      </c>
      <c r="AZ953" s="60">
        <v>-1.1536330480467301</v>
      </c>
    </row>
    <row r="954" spans="1:52" ht="15" customHeight="1">
      <c r="A954" s="63" t="s">
        <v>288</v>
      </c>
      <c r="B954" s="27">
        <v>2011</v>
      </c>
      <c r="C954" s="27" t="s">
        <v>278</v>
      </c>
      <c r="D954" s="69" t="s">
        <v>34</v>
      </c>
      <c r="E954" s="27" t="s">
        <v>1400</v>
      </c>
      <c r="F954" s="27" t="s">
        <v>98</v>
      </c>
      <c r="G954" s="43">
        <v>656000</v>
      </c>
      <c r="H954" s="43"/>
      <c r="I954" s="43"/>
      <c r="J954" s="43"/>
      <c r="K954" s="27" t="s">
        <v>603</v>
      </c>
      <c r="L954" s="28">
        <v>106.53</v>
      </c>
      <c r="M954" s="27" t="s">
        <v>626</v>
      </c>
      <c r="N954" s="27" t="s">
        <v>1401</v>
      </c>
      <c r="O954" s="18">
        <f>G954*L954</f>
        <v>69883680</v>
      </c>
      <c r="P954" s="213"/>
      <c r="Q954" s="213"/>
      <c r="R954" s="27"/>
      <c r="S954" s="27"/>
      <c r="T954" s="18"/>
      <c r="U954" s="27"/>
      <c r="V954" s="27"/>
      <c r="W954" s="30"/>
      <c r="X954" s="29"/>
      <c r="Y954" s="27"/>
      <c r="Z954" s="29"/>
      <c r="AA954" s="27"/>
      <c r="AB954" s="27"/>
      <c r="AC954" s="273">
        <v>246173059</v>
      </c>
      <c r="AD954" s="27">
        <v>6197766118.5985575</v>
      </c>
      <c r="AE954" s="228">
        <v>3.9719643221332916E-2</v>
      </c>
      <c r="AF954" s="27">
        <v>1637263875.5501809</v>
      </c>
      <c r="AG954" s="226">
        <v>0.15035637362809143</v>
      </c>
      <c r="AH954" s="226" t="s">
        <v>2842</v>
      </c>
      <c r="AI954" s="27">
        <v>525030000</v>
      </c>
      <c r="AJ954" s="226">
        <v>0.468874271946365</v>
      </c>
      <c r="AK954" s="27">
        <v>229384875.37225026</v>
      </c>
      <c r="AL954" s="226">
        <v>1.0731878403077166</v>
      </c>
      <c r="AM954" s="27">
        <v>420866745.60277736</v>
      </c>
      <c r="AN954" s="271">
        <v>0.58491924480140123</v>
      </c>
      <c r="AO954" s="27">
        <v>5514600</v>
      </c>
      <c r="AP954" s="27">
        <v>36.799999999999997</v>
      </c>
      <c r="AQ954" s="27">
        <v>69.60243902439025</v>
      </c>
      <c r="AR954" s="27">
        <v>24.9</v>
      </c>
      <c r="AS954" s="29">
        <v>96.062510000000003</v>
      </c>
      <c r="AT954" s="270" t="s">
        <v>2842</v>
      </c>
      <c r="AU954" s="464" t="s">
        <v>2842</v>
      </c>
      <c r="AV954" s="29">
        <v>-0.733062043201957</v>
      </c>
      <c r="AW954" s="29">
        <v>-1.0763722910942799</v>
      </c>
      <c r="AX954" s="29">
        <v>-0.62813373017797802</v>
      </c>
      <c r="AY954" s="29">
        <v>-0.215674009622323</v>
      </c>
      <c r="AZ954" s="60">
        <v>-1.1536330480467301</v>
      </c>
    </row>
    <row r="955" spans="1:52" ht="15" customHeight="1">
      <c r="A955" s="63" t="s">
        <v>288</v>
      </c>
      <c r="B955" s="27">
        <v>2011</v>
      </c>
      <c r="C955" s="27" t="s">
        <v>278</v>
      </c>
      <c r="D955" s="69" t="s">
        <v>34</v>
      </c>
      <c r="E955" s="27" t="s">
        <v>19</v>
      </c>
      <c r="F955" s="27" t="s">
        <v>559</v>
      </c>
      <c r="G955" s="43"/>
      <c r="H955" s="43"/>
      <c r="I955" s="43"/>
      <c r="J955" s="43"/>
      <c r="K955" s="27"/>
      <c r="L955" s="28"/>
      <c r="M955" s="27"/>
      <c r="N955" s="27"/>
      <c r="O955" s="18">
        <f>SUM(O956:O970)-SUM(O958:O961)-SUM(O964:O970)-SUM(O962:O962)</f>
        <v>113732695.75156128</v>
      </c>
      <c r="P955" s="213">
        <f>SUM(P956:P970)</f>
        <v>235397592</v>
      </c>
      <c r="Q955" s="213">
        <f>SUM(Q956:Q970)</f>
        <v>235256291</v>
      </c>
      <c r="R955" s="27"/>
      <c r="S955" s="27"/>
      <c r="T955" s="18"/>
      <c r="U955" s="27"/>
      <c r="V955" s="27"/>
      <c r="W955" s="30"/>
      <c r="X955" s="27">
        <v>56</v>
      </c>
      <c r="Y955" s="27" t="s">
        <v>1445</v>
      </c>
      <c r="Z955" s="27">
        <v>56</v>
      </c>
      <c r="AA955" s="27" t="s">
        <v>1438</v>
      </c>
      <c r="AB955" s="27"/>
      <c r="AC955" s="273">
        <v>246173059</v>
      </c>
      <c r="AD955" s="27">
        <v>6197766118.5985575</v>
      </c>
      <c r="AE955" s="228">
        <v>3.9719643221332916E-2</v>
      </c>
      <c r="AF955" s="27">
        <v>1637263875.5501809</v>
      </c>
      <c r="AG955" s="226">
        <v>0.15035637362809143</v>
      </c>
      <c r="AH955" s="226" t="s">
        <v>2842</v>
      </c>
      <c r="AI955" s="27">
        <v>525030000</v>
      </c>
      <c r="AJ955" s="226">
        <v>0.468874271946365</v>
      </c>
      <c r="AK955" s="27">
        <v>229384875.37225026</v>
      </c>
      <c r="AL955" s="226">
        <v>1.0731878403077166</v>
      </c>
      <c r="AM955" s="27">
        <v>420866745.60277736</v>
      </c>
      <c r="AN955" s="271">
        <v>0.58491924480140123</v>
      </c>
      <c r="AO955" s="27">
        <v>5514600</v>
      </c>
      <c r="AP955" s="27">
        <v>36.799999999999997</v>
      </c>
      <c r="AQ955" s="27">
        <v>69.60243902439025</v>
      </c>
      <c r="AR955" s="27">
        <v>24.9</v>
      </c>
      <c r="AS955" s="29">
        <v>96.062510000000003</v>
      </c>
      <c r="AT955" s="270" t="s">
        <v>2842</v>
      </c>
      <c r="AU955" s="464" t="s">
        <v>2842</v>
      </c>
      <c r="AV955" s="29">
        <v>-0.733062043201957</v>
      </c>
      <c r="AW955" s="29">
        <v>-1.0763722910942799</v>
      </c>
      <c r="AX955" s="29">
        <v>-0.62813373017797802</v>
      </c>
      <c r="AY955" s="29">
        <v>-0.215674009622323</v>
      </c>
      <c r="AZ955" s="60">
        <v>-1.1536330480467301</v>
      </c>
    </row>
    <row r="956" spans="1:52" ht="15" customHeight="1">
      <c r="A956" s="63" t="s">
        <v>288</v>
      </c>
      <c r="B956" s="27">
        <v>2011</v>
      </c>
      <c r="C956" s="27" t="s">
        <v>278</v>
      </c>
      <c r="D956" s="69" t="s">
        <v>34</v>
      </c>
      <c r="E956" s="27" t="s">
        <v>19</v>
      </c>
      <c r="F956" s="27" t="s">
        <v>573</v>
      </c>
      <c r="G956" s="43">
        <v>26600</v>
      </c>
      <c r="H956" s="43"/>
      <c r="I956" s="43"/>
      <c r="J956" s="43"/>
      <c r="K956" s="27" t="s">
        <v>567</v>
      </c>
      <c r="L956" s="28">
        <v>111.54662184722224</v>
      </c>
      <c r="M956" s="27" t="s">
        <v>568</v>
      </c>
      <c r="N956" s="27" t="s">
        <v>1022</v>
      </c>
      <c r="O956" s="18">
        <f>G956*L956</f>
        <v>2967140.1411361117</v>
      </c>
      <c r="P956" s="213">
        <v>4391562</v>
      </c>
      <c r="Q956" s="213">
        <v>4426811</v>
      </c>
      <c r="R956" s="27"/>
      <c r="S956" s="27"/>
      <c r="T956" s="18"/>
      <c r="U956" s="27"/>
      <c r="V956" s="27"/>
      <c r="W956" s="30"/>
      <c r="X956" s="27">
        <v>23</v>
      </c>
      <c r="Y956" s="27" t="s">
        <v>1446</v>
      </c>
      <c r="Z956" s="27">
        <v>23</v>
      </c>
      <c r="AA956" s="27" t="s">
        <v>1447</v>
      </c>
      <c r="AB956" s="27"/>
      <c r="AC956" s="273">
        <v>246173059</v>
      </c>
      <c r="AD956" s="27">
        <v>6197766118.5985575</v>
      </c>
      <c r="AE956" s="228">
        <v>3.9719643221332916E-2</v>
      </c>
      <c r="AF956" s="27">
        <v>1637263875.5501809</v>
      </c>
      <c r="AG956" s="226">
        <v>0.15035637362809143</v>
      </c>
      <c r="AH956" s="226" t="s">
        <v>2842</v>
      </c>
      <c r="AI956" s="27">
        <v>525030000</v>
      </c>
      <c r="AJ956" s="226">
        <v>0.468874271946365</v>
      </c>
      <c r="AK956" s="27">
        <v>229384875.37225026</v>
      </c>
      <c r="AL956" s="226">
        <v>1.0731878403077166</v>
      </c>
      <c r="AM956" s="27">
        <v>420866745.60277736</v>
      </c>
      <c r="AN956" s="271">
        <v>0.58491924480140123</v>
      </c>
      <c r="AO956" s="27">
        <v>5514600</v>
      </c>
      <c r="AP956" s="27">
        <v>36.799999999999997</v>
      </c>
      <c r="AQ956" s="27">
        <v>69.60243902439025</v>
      </c>
      <c r="AR956" s="27">
        <v>24.9</v>
      </c>
      <c r="AS956" s="29">
        <v>96.062510000000003</v>
      </c>
      <c r="AT956" s="270" t="s">
        <v>2842</v>
      </c>
      <c r="AU956" s="464" t="s">
        <v>2842</v>
      </c>
      <c r="AV956" s="29">
        <v>-0.733062043201957</v>
      </c>
      <c r="AW956" s="29">
        <v>-1.0763722910942799</v>
      </c>
      <c r="AX956" s="29">
        <v>-0.62813373017797802</v>
      </c>
      <c r="AY956" s="29">
        <v>-0.215674009622323</v>
      </c>
      <c r="AZ956" s="60">
        <v>-1.1536330480467301</v>
      </c>
    </row>
    <row r="957" spans="1:52" ht="15" customHeight="1">
      <c r="A957" s="63" t="s">
        <v>288</v>
      </c>
      <c r="B957" s="27">
        <v>2011</v>
      </c>
      <c r="C957" s="27" t="s">
        <v>278</v>
      </c>
      <c r="D957" s="69" t="s">
        <v>34</v>
      </c>
      <c r="E957" s="27" t="s">
        <v>19</v>
      </c>
      <c r="F957" s="27" t="s">
        <v>1404</v>
      </c>
      <c r="G957" s="43"/>
      <c r="H957" s="43"/>
      <c r="I957" s="43"/>
      <c r="J957" s="43"/>
      <c r="K957" s="27"/>
      <c r="L957" s="28"/>
      <c r="M957" s="27"/>
      <c r="N957" s="27"/>
      <c r="O957" s="18">
        <f>SUM(O958:O961)</f>
        <v>101483594.5</v>
      </c>
      <c r="P957" s="213">
        <v>8277657</v>
      </c>
      <c r="Q957" s="213">
        <v>8240803</v>
      </c>
      <c r="R957" s="27"/>
      <c r="S957" s="27"/>
      <c r="T957" s="18"/>
      <c r="U957" s="27"/>
      <c r="V957" s="27"/>
      <c r="W957" s="30"/>
      <c r="X957" s="27">
        <v>13</v>
      </c>
      <c r="Y957" s="27" t="s">
        <v>1448</v>
      </c>
      <c r="Z957" s="27">
        <v>13</v>
      </c>
      <c r="AA957" s="27">
        <v>15</v>
      </c>
      <c r="AB957" s="27"/>
      <c r="AC957" s="273">
        <v>246173059</v>
      </c>
      <c r="AD957" s="27">
        <v>6197766118.5985575</v>
      </c>
      <c r="AE957" s="228">
        <v>3.9719643221332916E-2</v>
      </c>
      <c r="AF957" s="27">
        <v>1637263875.5501809</v>
      </c>
      <c r="AG957" s="226">
        <v>0.15035637362809143</v>
      </c>
      <c r="AH957" s="226" t="s">
        <v>2842</v>
      </c>
      <c r="AI957" s="27">
        <v>525030000</v>
      </c>
      <c r="AJ957" s="226">
        <v>0.468874271946365</v>
      </c>
      <c r="AK957" s="27">
        <v>229384875.37225026</v>
      </c>
      <c r="AL957" s="226">
        <v>1.0731878403077166</v>
      </c>
      <c r="AM957" s="27">
        <v>420866745.60277736</v>
      </c>
      <c r="AN957" s="271">
        <v>0.58491924480140123</v>
      </c>
      <c r="AO957" s="27">
        <v>5514600</v>
      </c>
      <c r="AP957" s="27">
        <v>36.799999999999997</v>
      </c>
      <c r="AQ957" s="27">
        <v>69.60243902439025</v>
      </c>
      <c r="AR957" s="27">
        <v>24.9</v>
      </c>
      <c r="AS957" s="29">
        <v>96.062510000000003</v>
      </c>
      <c r="AT957" s="270" t="s">
        <v>2842</v>
      </c>
      <c r="AU957" s="464" t="s">
        <v>2842</v>
      </c>
      <c r="AV957" s="29">
        <v>-0.733062043201957</v>
      </c>
      <c r="AW957" s="29">
        <v>-1.0763722910942799</v>
      </c>
      <c r="AX957" s="29">
        <v>-0.62813373017797802</v>
      </c>
      <c r="AY957" s="29">
        <v>-0.215674009622323</v>
      </c>
      <c r="AZ957" s="60">
        <v>-1.1536330480467301</v>
      </c>
    </row>
    <row r="958" spans="1:52" ht="15" customHeight="1">
      <c r="A958" s="63" t="s">
        <v>288</v>
      </c>
      <c r="B958" s="27">
        <v>2011</v>
      </c>
      <c r="C958" s="27" t="s">
        <v>278</v>
      </c>
      <c r="D958" s="69" t="s">
        <v>34</v>
      </c>
      <c r="E958" s="27" t="s">
        <v>19</v>
      </c>
      <c r="F958" s="27" t="s">
        <v>1406</v>
      </c>
      <c r="G958" s="43">
        <v>1016600</v>
      </c>
      <c r="H958" s="43"/>
      <c r="I958" s="43"/>
      <c r="J958" s="43"/>
      <c r="K958" s="27" t="s">
        <v>567</v>
      </c>
      <c r="L958" s="28">
        <v>89.5</v>
      </c>
      <c r="M958" s="27" t="s">
        <v>568</v>
      </c>
      <c r="N958" s="27" t="s">
        <v>1122</v>
      </c>
      <c r="O958" s="18">
        <f>G958*L958</f>
        <v>90985700</v>
      </c>
      <c r="P958" s="213"/>
      <c r="Q958" s="213"/>
      <c r="R958" s="27"/>
      <c r="S958" s="27"/>
      <c r="T958" s="18"/>
      <c r="U958" s="27"/>
      <c r="V958" s="27"/>
      <c r="W958" s="30"/>
      <c r="X958" s="27"/>
      <c r="Y958" s="27"/>
      <c r="Z958" s="27"/>
      <c r="AA958" s="27"/>
      <c r="AB958" s="27"/>
      <c r="AC958" s="273">
        <v>246173059</v>
      </c>
      <c r="AD958" s="27">
        <v>6197766118.5985575</v>
      </c>
      <c r="AE958" s="228">
        <v>3.9719643221332916E-2</v>
      </c>
      <c r="AF958" s="27">
        <v>1637263875.5501809</v>
      </c>
      <c r="AG958" s="226">
        <v>0.15035637362809143</v>
      </c>
      <c r="AH958" s="226" t="s">
        <v>2842</v>
      </c>
      <c r="AI958" s="27">
        <v>525030000</v>
      </c>
      <c r="AJ958" s="226">
        <v>0.468874271946365</v>
      </c>
      <c r="AK958" s="27">
        <v>229384875.37225026</v>
      </c>
      <c r="AL958" s="226">
        <v>1.0731878403077166</v>
      </c>
      <c r="AM958" s="27">
        <v>420866745.60277736</v>
      </c>
      <c r="AN958" s="271">
        <v>0.58491924480140123</v>
      </c>
      <c r="AO958" s="27">
        <v>5514600</v>
      </c>
      <c r="AP958" s="27">
        <v>36.799999999999997</v>
      </c>
      <c r="AQ958" s="27">
        <v>69.60243902439025</v>
      </c>
      <c r="AR958" s="27">
        <v>24.9</v>
      </c>
      <c r="AS958" s="29">
        <v>96.062510000000003</v>
      </c>
      <c r="AT958" s="270" t="s">
        <v>2842</v>
      </c>
      <c r="AU958" s="464" t="s">
        <v>2842</v>
      </c>
      <c r="AV958" s="29">
        <v>-0.733062043201957</v>
      </c>
      <c r="AW958" s="29">
        <v>-1.0763722910942799</v>
      </c>
      <c r="AX958" s="29">
        <v>-0.62813373017797802</v>
      </c>
      <c r="AY958" s="29">
        <v>-0.215674009622323</v>
      </c>
      <c r="AZ958" s="60">
        <v>-1.1536330480467301</v>
      </c>
    </row>
    <row r="959" spans="1:52" ht="15" customHeight="1">
      <c r="A959" s="63" t="s">
        <v>288</v>
      </c>
      <c r="B959" s="27">
        <v>2011</v>
      </c>
      <c r="C959" s="27" t="s">
        <v>278</v>
      </c>
      <c r="D959" s="69" t="s">
        <v>34</v>
      </c>
      <c r="E959" s="27" t="s">
        <v>19</v>
      </c>
      <c r="F959" s="27" t="s">
        <v>1409</v>
      </c>
      <c r="G959" s="43">
        <v>57</v>
      </c>
      <c r="H959" s="43"/>
      <c r="I959" s="43"/>
      <c r="J959" s="43"/>
      <c r="K959" s="27" t="s">
        <v>567</v>
      </c>
      <c r="L959" s="28">
        <v>18.5</v>
      </c>
      <c r="M959" s="27" t="s">
        <v>568</v>
      </c>
      <c r="N959" s="27" t="s">
        <v>1132</v>
      </c>
      <c r="O959" s="18">
        <f>G959*L959</f>
        <v>1054.5</v>
      </c>
      <c r="P959" s="213"/>
      <c r="Q959" s="213"/>
      <c r="R959" s="27"/>
      <c r="S959" s="27"/>
      <c r="T959" s="18"/>
      <c r="U959" s="27"/>
      <c r="V959" s="27"/>
      <c r="W959" s="30"/>
      <c r="X959" s="27"/>
      <c r="Y959" s="27"/>
      <c r="Z959" s="27"/>
      <c r="AA959" s="27"/>
      <c r="AB959" s="27"/>
      <c r="AC959" s="273">
        <v>246173059</v>
      </c>
      <c r="AD959" s="27">
        <v>6197766118.5985575</v>
      </c>
      <c r="AE959" s="228">
        <v>3.9719643221332916E-2</v>
      </c>
      <c r="AF959" s="27">
        <v>1637263875.5501809</v>
      </c>
      <c r="AG959" s="226">
        <v>0.15035637362809143</v>
      </c>
      <c r="AH959" s="226" t="s">
        <v>2842</v>
      </c>
      <c r="AI959" s="27">
        <v>525030000</v>
      </c>
      <c r="AJ959" s="226">
        <v>0.468874271946365</v>
      </c>
      <c r="AK959" s="27">
        <v>229384875.37225026</v>
      </c>
      <c r="AL959" s="226">
        <v>1.0731878403077166</v>
      </c>
      <c r="AM959" s="27">
        <v>420866745.60277736</v>
      </c>
      <c r="AN959" s="271">
        <v>0.58491924480140123</v>
      </c>
      <c r="AO959" s="27">
        <v>5514600</v>
      </c>
      <c r="AP959" s="27">
        <v>36.799999999999997</v>
      </c>
      <c r="AQ959" s="27">
        <v>69.60243902439025</v>
      </c>
      <c r="AR959" s="27">
        <v>24.9</v>
      </c>
      <c r="AS959" s="29">
        <v>96.062510000000003</v>
      </c>
      <c r="AT959" s="270" t="s">
        <v>2842</v>
      </c>
      <c r="AU959" s="464" t="s">
        <v>2842</v>
      </c>
      <c r="AV959" s="29">
        <v>-0.733062043201957</v>
      </c>
      <c r="AW959" s="29">
        <v>-1.0763722910942799</v>
      </c>
      <c r="AX959" s="29">
        <v>-0.62813373017797802</v>
      </c>
      <c r="AY959" s="29">
        <v>-0.215674009622323</v>
      </c>
      <c r="AZ959" s="60">
        <v>-1.1536330480467301</v>
      </c>
    </row>
    <row r="960" spans="1:52" ht="15" customHeight="1">
      <c r="A960" s="63" t="s">
        <v>288</v>
      </c>
      <c r="B960" s="27">
        <v>2011</v>
      </c>
      <c r="C960" s="27" t="s">
        <v>278</v>
      </c>
      <c r="D960" s="69" t="s">
        <v>34</v>
      </c>
      <c r="E960" s="27" t="s">
        <v>19</v>
      </c>
      <c r="F960" s="27" t="s">
        <v>1411</v>
      </c>
      <c r="G960" s="43">
        <v>2600</v>
      </c>
      <c r="H960" s="43"/>
      <c r="I960" s="43"/>
      <c r="J960" s="43"/>
      <c r="K960" s="27" t="s">
        <v>567</v>
      </c>
      <c r="L960" s="28">
        <v>119.4</v>
      </c>
      <c r="M960" s="27" t="s">
        <v>568</v>
      </c>
      <c r="N960" s="27" t="s">
        <v>1429</v>
      </c>
      <c r="O960" s="18">
        <f>G960*L960</f>
        <v>310440</v>
      </c>
      <c r="P960" s="213"/>
      <c r="Q960" s="213"/>
      <c r="R960" s="27"/>
      <c r="S960" s="27"/>
      <c r="T960" s="18"/>
      <c r="U960" s="27"/>
      <c r="V960" s="27"/>
      <c r="W960" s="30"/>
      <c r="X960" s="27"/>
      <c r="Y960" s="27"/>
      <c r="Z960" s="27"/>
      <c r="AA960" s="27"/>
      <c r="AB960" s="27"/>
      <c r="AC960" s="273">
        <v>246173059</v>
      </c>
      <c r="AD960" s="27">
        <v>6197766118.5985575</v>
      </c>
      <c r="AE960" s="228">
        <v>3.9719643221332916E-2</v>
      </c>
      <c r="AF960" s="27">
        <v>1637263875.5501809</v>
      </c>
      <c r="AG960" s="226">
        <v>0.15035637362809143</v>
      </c>
      <c r="AH960" s="226" t="s">
        <v>2842</v>
      </c>
      <c r="AI960" s="27">
        <v>525030000</v>
      </c>
      <c r="AJ960" s="226">
        <v>0.468874271946365</v>
      </c>
      <c r="AK960" s="27">
        <v>229384875.37225026</v>
      </c>
      <c r="AL960" s="226">
        <v>1.0731878403077166</v>
      </c>
      <c r="AM960" s="27">
        <v>420866745.60277736</v>
      </c>
      <c r="AN960" s="271">
        <v>0.58491924480140123</v>
      </c>
      <c r="AO960" s="27">
        <v>5514600</v>
      </c>
      <c r="AP960" s="27">
        <v>36.799999999999997</v>
      </c>
      <c r="AQ960" s="27">
        <v>69.60243902439025</v>
      </c>
      <c r="AR960" s="27">
        <v>24.9</v>
      </c>
      <c r="AS960" s="29">
        <v>96.062510000000003</v>
      </c>
      <c r="AT960" s="270" t="s">
        <v>2842</v>
      </c>
      <c r="AU960" s="464" t="s">
        <v>2842</v>
      </c>
      <c r="AV960" s="29">
        <v>-0.733062043201957</v>
      </c>
      <c r="AW960" s="29">
        <v>-1.0763722910942799</v>
      </c>
      <c r="AX960" s="29">
        <v>-0.62813373017797802</v>
      </c>
      <c r="AY960" s="29">
        <v>-0.215674009622323</v>
      </c>
      <c r="AZ960" s="60">
        <v>-1.1536330480467301</v>
      </c>
    </row>
    <row r="961" spans="1:52" ht="15" customHeight="1">
      <c r="A961" s="63" t="s">
        <v>288</v>
      </c>
      <c r="B961" s="27">
        <v>2011</v>
      </c>
      <c r="C961" s="27" t="s">
        <v>278</v>
      </c>
      <c r="D961" s="69" t="s">
        <v>34</v>
      </c>
      <c r="E961" s="27" t="s">
        <v>19</v>
      </c>
      <c r="F961" s="27" t="s">
        <v>1415</v>
      </c>
      <c r="G961" s="43">
        <f>850000*1.6</f>
        <v>1360000</v>
      </c>
      <c r="H961" s="43"/>
      <c r="I961" s="43"/>
      <c r="J961" s="43"/>
      <c r="K961" s="27" t="s">
        <v>567</v>
      </c>
      <c r="L961" s="28">
        <v>7.49</v>
      </c>
      <c r="M961" s="27" t="s">
        <v>568</v>
      </c>
      <c r="N961" s="27" t="s">
        <v>1158</v>
      </c>
      <c r="O961" s="18">
        <f>G961*L961</f>
        <v>10186400</v>
      </c>
      <c r="P961" s="213"/>
      <c r="Q961" s="213"/>
      <c r="R961" s="27"/>
      <c r="S961" s="27"/>
      <c r="T961" s="18"/>
      <c r="U961" s="27"/>
      <c r="V961" s="27"/>
      <c r="W961" s="30"/>
      <c r="X961" s="27"/>
      <c r="Y961" s="27"/>
      <c r="Z961" s="27"/>
      <c r="AA961" s="27"/>
      <c r="AB961" s="27"/>
      <c r="AC961" s="273">
        <v>246173059</v>
      </c>
      <c r="AD961" s="27">
        <v>6197766118.5985575</v>
      </c>
      <c r="AE961" s="228">
        <v>3.9719643221332916E-2</v>
      </c>
      <c r="AF961" s="27">
        <v>1637263875.5501809</v>
      </c>
      <c r="AG961" s="226">
        <v>0.15035637362809143</v>
      </c>
      <c r="AH961" s="226" t="s">
        <v>2842</v>
      </c>
      <c r="AI961" s="27">
        <v>525030000</v>
      </c>
      <c r="AJ961" s="226">
        <v>0.468874271946365</v>
      </c>
      <c r="AK961" s="27">
        <v>229384875.37225026</v>
      </c>
      <c r="AL961" s="226">
        <v>1.0731878403077166</v>
      </c>
      <c r="AM961" s="27">
        <v>420866745.60277736</v>
      </c>
      <c r="AN961" s="271">
        <v>0.58491924480140123</v>
      </c>
      <c r="AO961" s="27">
        <v>5514600</v>
      </c>
      <c r="AP961" s="27">
        <v>36.799999999999997</v>
      </c>
      <c r="AQ961" s="27">
        <v>69.60243902439025</v>
      </c>
      <c r="AR961" s="27">
        <v>24.9</v>
      </c>
      <c r="AS961" s="29">
        <v>96.062510000000003</v>
      </c>
      <c r="AT961" s="270" t="s">
        <v>2842</v>
      </c>
      <c r="AU961" s="464" t="s">
        <v>2842</v>
      </c>
      <c r="AV961" s="29">
        <v>-0.733062043201957</v>
      </c>
      <c r="AW961" s="29">
        <v>-1.0763722910942799</v>
      </c>
      <c r="AX961" s="29">
        <v>-0.62813373017797802</v>
      </c>
      <c r="AY961" s="29">
        <v>-0.215674009622323</v>
      </c>
      <c r="AZ961" s="60">
        <v>-1.1536330480467301</v>
      </c>
    </row>
    <row r="962" spans="1:52" s="29" customFormat="1" ht="15" customHeight="1">
      <c r="A962" s="63" t="s">
        <v>288</v>
      </c>
      <c r="B962" s="27">
        <v>2011</v>
      </c>
      <c r="C962" s="27" t="s">
        <v>278</v>
      </c>
      <c r="D962" s="69" t="s">
        <v>34</v>
      </c>
      <c r="E962" s="27" t="s">
        <v>19</v>
      </c>
      <c r="F962" s="27" t="s">
        <v>730</v>
      </c>
      <c r="G962" s="43">
        <f>18648*32.150743126506</f>
        <v>599547.05782308395</v>
      </c>
      <c r="H962" s="43"/>
      <c r="I962" s="43"/>
      <c r="J962" s="43"/>
      <c r="K962" s="27" t="s">
        <v>731</v>
      </c>
      <c r="L962" s="28">
        <v>1569.2108333333299</v>
      </c>
      <c r="M962" s="27" t="s">
        <v>732</v>
      </c>
      <c r="N962" s="27" t="s">
        <v>733</v>
      </c>
      <c r="O962" s="18">
        <f>G962*L962</f>
        <v>940815738.22910774</v>
      </c>
      <c r="P962" s="213">
        <v>220799306</v>
      </c>
      <c r="Q962" s="213">
        <v>220786226</v>
      </c>
      <c r="R962" s="27"/>
      <c r="S962" s="27"/>
      <c r="T962" s="18"/>
      <c r="U962" s="27"/>
      <c r="V962" s="27"/>
      <c r="W962" s="30"/>
      <c r="X962" s="27">
        <v>15</v>
      </c>
      <c r="Y962" s="27" t="s">
        <v>1449</v>
      </c>
      <c r="Z962" s="27">
        <v>14</v>
      </c>
      <c r="AA962" s="27">
        <v>13</v>
      </c>
      <c r="AB962" s="27"/>
      <c r="AC962" s="273">
        <v>246173059</v>
      </c>
      <c r="AD962" s="27">
        <v>6197766118.5985575</v>
      </c>
      <c r="AE962" s="228">
        <v>3.9719643221332916E-2</v>
      </c>
      <c r="AF962" s="27">
        <v>1637263875.5501809</v>
      </c>
      <c r="AG962" s="226">
        <v>0.15035637362809143</v>
      </c>
      <c r="AH962" s="226" t="s">
        <v>2842</v>
      </c>
      <c r="AI962" s="27">
        <v>525030000</v>
      </c>
      <c r="AJ962" s="226">
        <v>0.468874271946365</v>
      </c>
      <c r="AK962" s="27">
        <v>229384875.37225026</v>
      </c>
      <c r="AL962" s="226">
        <v>1.0731878403077166</v>
      </c>
      <c r="AM962" s="27">
        <v>420866745.60277736</v>
      </c>
      <c r="AN962" s="271">
        <v>0.58491924480140123</v>
      </c>
      <c r="AO962" s="27">
        <v>5514600</v>
      </c>
      <c r="AP962" s="27">
        <v>36.799999999999997</v>
      </c>
      <c r="AQ962" s="27">
        <v>69.60243902439025</v>
      </c>
      <c r="AR962" s="27">
        <v>24.9</v>
      </c>
      <c r="AS962" s="29">
        <v>96.062510000000003</v>
      </c>
      <c r="AT962" s="270" t="s">
        <v>2842</v>
      </c>
      <c r="AU962" s="464" t="s">
        <v>2842</v>
      </c>
      <c r="AV962" s="29">
        <v>-0.733062043201957</v>
      </c>
      <c r="AW962" s="29">
        <v>-1.0763722910942799</v>
      </c>
      <c r="AX962" s="29">
        <v>-0.62813373017797802</v>
      </c>
      <c r="AY962" s="29">
        <v>-0.215674009622323</v>
      </c>
      <c r="AZ962" s="60">
        <v>-1.1536330480467301</v>
      </c>
    </row>
    <row r="963" spans="1:52" ht="15" customHeight="1">
      <c r="A963" s="63" t="s">
        <v>288</v>
      </c>
      <c r="B963" s="27">
        <v>2011</v>
      </c>
      <c r="C963" s="27" t="s">
        <v>278</v>
      </c>
      <c r="D963" s="69" t="s">
        <v>34</v>
      </c>
      <c r="E963" s="27" t="s">
        <v>19</v>
      </c>
      <c r="F963" s="27" t="s">
        <v>1418</v>
      </c>
      <c r="G963" s="43"/>
      <c r="H963" s="43"/>
      <c r="I963" s="43"/>
      <c r="J963" s="43"/>
      <c r="K963" s="27"/>
      <c r="L963" s="28"/>
      <c r="M963" s="27"/>
      <c r="N963" s="27"/>
      <c r="O963" s="18">
        <f>SUM(O964:O970)</f>
        <v>9281961.1104252283</v>
      </c>
      <c r="P963" s="213">
        <v>1929067</v>
      </c>
      <c r="Q963" s="213">
        <v>1802451</v>
      </c>
      <c r="R963" s="27"/>
      <c r="S963" s="27"/>
      <c r="T963" s="18"/>
      <c r="U963" s="27"/>
      <c r="V963" s="27"/>
      <c r="W963" s="30"/>
      <c r="X963" s="27">
        <v>6</v>
      </c>
      <c r="Y963" s="27" t="s">
        <v>1450</v>
      </c>
      <c r="Z963" s="27">
        <v>6</v>
      </c>
      <c r="AA963" s="27">
        <v>13</v>
      </c>
      <c r="AB963" s="27"/>
      <c r="AC963" s="273">
        <v>246173059</v>
      </c>
      <c r="AD963" s="27">
        <v>6197766118.5985575</v>
      </c>
      <c r="AE963" s="228">
        <v>3.9719643221332916E-2</v>
      </c>
      <c r="AF963" s="27">
        <v>1637263875.5501809</v>
      </c>
      <c r="AG963" s="226">
        <v>0.15035637362809143</v>
      </c>
      <c r="AH963" s="226" t="s">
        <v>2842</v>
      </c>
      <c r="AI963" s="27">
        <v>525030000</v>
      </c>
      <c r="AJ963" s="226">
        <v>0.468874271946365</v>
      </c>
      <c r="AK963" s="27">
        <v>229384875.37225026</v>
      </c>
      <c r="AL963" s="226">
        <v>1.0731878403077166</v>
      </c>
      <c r="AM963" s="27">
        <v>420866745.60277736</v>
      </c>
      <c r="AN963" s="271">
        <v>0.58491924480140123</v>
      </c>
      <c r="AO963" s="27">
        <v>5514600</v>
      </c>
      <c r="AP963" s="27">
        <v>36.799999999999997</v>
      </c>
      <c r="AQ963" s="27">
        <v>69.60243902439025</v>
      </c>
      <c r="AR963" s="27">
        <v>24.9</v>
      </c>
      <c r="AS963" s="29">
        <v>96.062510000000003</v>
      </c>
      <c r="AT963" s="270" t="s">
        <v>2842</v>
      </c>
      <c r="AU963" s="464" t="s">
        <v>2842</v>
      </c>
      <c r="AV963" s="29">
        <v>-0.733062043201957</v>
      </c>
      <c r="AW963" s="29">
        <v>-1.0763722910942799</v>
      </c>
      <c r="AX963" s="29">
        <v>-0.62813373017797802</v>
      </c>
      <c r="AY963" s="29">
        <v>-0.215674009622323</v>
      </c>
      <c r="AZ963" s="60">
        <v>-1.1536330480467301</v>
      </c>
    </row>
    <row r="964" spans="1:52" ht="15" customHeight="1">
      <c r="A964" s="63" t="s">
        <v>288</v>
      </c>
      <c r="B964" s="27">
        <v>2011</v>
      </c>
      <c r="C964" s="27" t="s">
        <v>278</v>
      </c>
      <c r="D964" s="69" t="s">
        <v>34</v>
      </c>
      <c r="E964" s="27" t="s">
        <v>19</v>
      </c>
      <c r="F964" s="27" t="s">
        <v>1420</v>
      </c>
      <c r="G964" s="43"/>
      <c r="H964" s="43"/>
      <c r="I964" s="43"/>
      <c r="J964" s="43"/>
      <c r="K964" s="27"/>
      <c r="L964" s="28">
        <f>650.3/0.000453592*0.0026</f>
        <v>3727.5348771583272</v>
      </c>
      <c r="M964" s="29" t="s">
        <v>568</v>
      </c>
      <c r="N964" s="27" t="s">
        <v>1421</v>
      </c>
      <c r="O964" s="18">
        <f>G965*L964</f>
        <v>3324961.1104252278</v>
      </c>
      <c r="P964" s="213"/>
      <c r="Q964" s="213"/>
      <c r="R964" s="27"/>
      <c r="S964" s="27"/>
      <c r="T964" s="18"/>
      <c r="U964" s="27"/>
      <c r="V964" s="27"/>
      <c r="W964" s="30"/>
      <c r="X964" s="27"/>
      <c r="Y964" s="27"/>
      <c r="Z964" s="27"/>
      <c r="AA964" s="27">
        <v>3</v>
      </c>
      <c r="AB964" s="27"/>
      <c r="AC964" s="273">
        <v>246173059</v>
      </c>
      <c r="AD964" s="27">
        <v>6197766118.5985575</v>
      </c>
      <c r="AE964" s="228">
        <v>3.9719643221332916E-2</v>
      </c>
      <c r="AF964" s="27">
        <v>1637263875.5501809</v>
      </c>
      <c r="AG964" s="226">
        <v>0.15035637362809143</v>
      </c>
      <c r="AH964" s="226" t="s">
        <v>2842</v>
      </c>
      <c r="AI964" s="27">
        <v>525030000</v>
      </c>
      <c r="AJ964" s="226">
        <v>0.468874271946365</v>
      </c>
      <c r="AK964" s="27">
        <v>229384875.37225026</v>
      </c>
      <c r="AL964" s="226">
        <v>1.0731878403077166</v>
      </c>
      <c r="AM964" s="27">
        <v>420866745.60277736</v>
      </c>
      <c r="AN964" s="271">
        <v>0.58491924480140123</v>
      </c>
      <c r="AO964" s="27">
        <v>5514600</v>
      </c>
      <c r="AP964" s="27">
        <v>36.799999999999997</v>
      </c>
      <c r="AQ964" s="27">
        <v>69.60243902439025</v>
      </c>
      <c r="AR964" s="27">
        <v>24.9</v>
      </c>
      <c r="AS964" s="29">
        <v>96.062510000000003</v>
      </c>
      <c r="AT964" s="270" t="s">
        <v>2842</v>
      </c>
      <c r="AU964" s="464" t="s">
        <v>2842</v>
      </c>
      <c r="AV964" s="29">
        <v>-0.733062043201957</v>
      </c>
      <c r="AW964" s="29">
        <v>-1.0763722910942799</v>
      </c>
      <c r="AX964" s="29">
        <v>-0.62813373017797802</v>
      </c>
      <c r="AY964" s="29">
        <v>-0.215674009622323</v>
      </c>
      <c r="AZ964" s="60">
        <v>-1.1536330480467301</v>
      </c>
    </row>
    <row r="965" spans="1:52" ht="15" customHeight="1">
      <c r="A965" s="63" t="s">
        <v>288</v>
      </c>
      <c r="B965" s="27">
        <v>2011</v>
      </c>
      <c r="C965" s="27" t="s">
        <v>278</v>
      </c>
      <c r="D965" s="69" t="s">
        <v>34</v>
      </c>
      <c r="E965" s="27" t="s">
        <v>19</v>
      </c>
      <c r="F965" s="27" t="s">
        <v>1423</v>
      </c>
      <c r="G965" s="43">
        <v>892</v>
      </c>
      <c r="H965" s="43"/>
      <c r="I965" s="43"/>
      <c r="J965" s="43"/>
      <c r="K965" s="27" t="s">
        <v>567</v>
      </c>
      <c r="L965" s="28"/>
      <c r="M965" s="27"/>
      <c r="N965" s="27" t="s">
        <v>636</v>
      </c>
      <c r="O965" s="18"/>
      <c r="P965" s="213"/>
      <c r="Q965" s="213"/>
      <c r="R965" s="27"/>
      <c r="S965" s="27"/>
      <c r="T965" s="18"/>
      <c r="U965" s="27"/>
      <c r="V965" s="27"/>
      <c r="W965" s="30"/>
      <c r="X965" s="27"/>
      <c r="Y965" s="27"/>
      <c r="Z965" s="27"/>
      <c r="AA965" s="27"/>
      <c r="AB965" s="27"/>
      <c r="AC965" s="273">
        <v>246173059</v>
      </c>
      <c r="AD965" s="27">
        <v>6197766118.5985575</v>
      </c>
      <c r="AE965" s="228">
        <v>3.9719643221332916E-2</v>
      </c>
      <c r="AF965" s="27">
        <v>1637263875.5501809</v>
      </c>
      <c r="AG965" s="226">
        <v>0.15035637362809143</v>
      </c>
      <c r="AH965" s="226" t="s">
        <v>2842</v>
      </c>
      <c r="AI965" s="27">
        <v>525030000</v>
      </c>
      <c r="AJ965" s="226">
        <v>0.468874271946365</v>
      </c>
      <c r="AK965" s="27">
        <v>229384875.37225026</v>
      </c>
      <c r="AL965" s="226">
        <v>1.0731878403077166</v>
      </c>
      <c r="AM965" s="27">
        <v>420866745.60277736</v>
      </c>
      <c r="AN965" s="271">
        <v>0.58491924480140123</v>
      </c>
      <c r="AO965" s="27">
        <v>5514600</v>
      </c>
      <c r="AP965" s="27">
        <v>36.799999999999997</v>
      </c>
      <c r="AQ965" s="27">
        <v>69.60243902439025</v>
      </c>
      <c r="AR965" s="27">
        <v>24.9</v>
      </c>
      <c r="AS965" s="29">
        <v>96.062510000000003</v>
      </c>
      <c r="AT965" s="270" t="s">
        <v>2842</v>
      </c>
      <c r="AU965" s="464" t="s">
        <v>2842</v>
      </c>
      <c r="AV965" s="29">
        <v>-0.733062043201957</v>
      </c>
      <c r="AW965" s="29">
        <v>-1.0763722910942799</v>
      </c>
      <c r="AX965" s="29">
        <v>-0.62813373017797802</v>
      </c>
      <c r="AY965" s="29">
        <v>-0.215674009622323</v>
      </c>
      <c r="AZ965" s="60">
        <v>-1.1536330480467301</v>
      </c>
    </row>
    <row r="966" spans="1:52" ht="15" customHeight="1">
      <c r="A966" s="63" t="s">
        <v>288</v>
      </c>
      <c r="B966" s="27">
        <v>2011</v>
      </c>
      <c r="C966" s="27" t="s">
        <v>278</v>
      </c>
      <c r="D966" s="69" t="s">
        <v>34</v>
      </c>
      <c r="E966" s="27" t="s">
        <v>19</v>
      </c>
      <c r="F966" s="27" t="s">
        <v>1424</v>
      </c>
      <c r="G966" s="43">
        <v>1500</v>
      </c>
      <c r="H966" s="43"/>
      <c r="I966" s="43"/>
      <c r="J966" s="43"/>
      <c r="K966" s="27" t="s">
        <v>567</v>
      </c>
      <c r="L966" s="28"/>
      <c r="M966" s="27"/>
      <c r="N966" s="27" t="s">
        <v>636</v>
      </c>
      <c r="O966" s="18"/>
      <c r="P966" s="213"/>
      <c r="Q966" s="213"/>
      <c r="R966" s="27"/>
      <c r="S966" s="27"/>
      <c r="T966" s="18"/>
      <c r="U966" s="27"/>
      <c r="V966" s="27"/>
      <c r="W966" s="30"/>
      <c r="X966" s="27"/>
      <c r="Y966" s="27"/>
      <c r="Z966" s="27"/>
      <c r="AA966" s="27"/>
      <c r="AB966" s="27"/>
      <c r="AC966" s="273">
        <v>246173059</v>
      </c>
      <c r="AD966" s="27">
        <v>6197766118.5985575</v>
      </c>
      <c r="AE966" s="228">
        <v>3.9719643221332916E-2</v>
      </c>
      <c r="AF966" s="27">
        <v>1637263875.5501809</v>
      </c>
      <c r="AG966" s="226">
        <v>0.15035637362809143</v>
      </c>
      <c r="AH966" s="226" t="s">
        <v>2842</v>
      </c>
      <c r="AI966" s="27">
        <v>525030000</v>
      </c>
      <c r="AJ966" s="226">
        <v>0.468874271946365</v>
      </c>
      <c r="AK966" s="27">
        <v>229384875.37225026</v>
      </c>
      <c r="AL966" s="226">
        <v>1.0731878403077166</v>
      </c>
      <c r="AM966" s="27">
        <v>420866745.60277736</v>
      </c>
      <c r="AN966" s="271">
        <v>0.58491924480140123</v>
      </c>
      <c r="AO966" s="27">
        <v>5514600</v>
      </c>
      <c r="AP966" s="27">
        <v>36.799999999999997</v>
      </c>
      <c r="AQ966" s="27">
        <v>69.60243902439025</v>
      </c>
      <c r="AR966" s="27">
        <v>24.9</v>
      </c>
      <c r="AS966" s="29">
        <v>96.062510000000003</v>
      </c>
      <c r="AT966" s="270" t="s">
        <v>2842</v>
      </c>
      <c r="AU966" s="464" t="s">
        <v>2842</v>
      </c>
      <c r="AV966" s="29">
        <v>-0.733062043201957</v>
      </c>
      <c r="AW966" s="29">
        <v>-1.0763722910942799</v>
      </c>
      <c r="AX966" s="29">
        <v>-0.62813373017797802</v>
      </c>
      <c r="AY966" s="29">
        <v>-0.215674009622323</v>
      </c>
      <c r="AZ966" s="60">
        <v>-1.1536330480467301</v>
      </c>
    </row>
    <row r="967" spans="1:52" ht="15" customHeight="1">
      <c r="A967" s="63" t="s">
        <v>288</v>
      </c>
      <c r="B967" s="27">
        <v>2011</v>
      </c>
      <c r="C967" s="27" t="s">
        <v>278</v>
      </c>
      <c r="D967" s="69" t="s">
        <v>34</v>
      </c>
      <c r="E967" s="27" t="s">
        <v>19</v>
      </c>
      <c r="F967" s="27" t="s">
        <v>1431</v>
      </c>
      <c r="G967" s="43">
        <v>112.7</v>
      </c>
      <c r="H967" s="43"/>
      <c r="I967" s="43"/>
      <c r="J967" s="43"/>
      <c r="K967" s="27" t="s">
        <v>567</v>
      </c>
      <c r="L967" s="28">
        <f>1850/0.035</f>
        <v>52857.142857142855</v>
      </c>
      <c r="M967" s="27" t="s">
        <v>568</v>
      </c>
      <c r="N967" s="27" t="s">
        <v>1432</v>
      </c>
      <c r="O967" s="18">
        <f>G967*L967</f>
        <v>5957000</v>
      </c>
      <c r="P967" s="213"/>
      <c r="Q967" s="213"/>
      <c r="R967" s="27"/>
      <c r="S967" s="27"/>
      <c r="T967" s="18"/>
      <c r="U967" s="27"/>
      <c r="V967" s="27"/>
      <c r="W967" s="30"/>
      <c r="X967" s="27"/>
      <c r="Y967" s="27"/>
      <c r="Z967" s="27"/>
      <c r="AA967" s="27">
        <v>3</v>
      </c>
      <c r="AB967" s="27"/>
      <c r="AC967" s="273">
        <v>246173059</v>
      </c>
      <c r="AD967" s="27">
        <v>6197766118.5985575</v>
      </c>
      <c r="AE967" s="228">
        <v>3.9719643221332916E-2</v>
      </c>
      <c r="AF967" s="27">
        <v>1637263875.5501809</v>
      </c>
      <c r="AG967" s="226">
        <v>0.15035637362809143</v>
      </c>
      <c r="AH967" s="226" t="s">
        <v>2842</v>
      </c>
      <c r="AI967" s="27">
        <v>525030000</v>
      </c>
      <c r="AJ967" s="226">
        <v>0.468874271946365</v>
      </c>
      <c r="AK967" s="27">
        <v>229384875.37225026</v>
      </c>
      <c r="AL967" s="226">
        <v>1.0731878403077166</v>
      </c>
      <c r="AM967" s="27">
        <v>420866745.60277736</v>
      </c>
      <c r="AN967" s="271">
        <v>0.58491924480140123</v>
      </c>
      <c r="AO967" s="27">
        <v>5514600</v>
      </c>
      <c r="AP967" s="27">
        <v>36.799999999999997</v>
      </c>
      <c r="AQ967" s="27">
        <v>69.60243902439025</v>
      </c>
      <c r="AR967" s="27">
        <v>24.9</v>
      </c>
      <c r="AS967" s="29">
        <v>96.062510000000003</v>
      </c>
      <c r="AT967" s="270" t="s">
        <v>2842</v>
      </c>
      <c r="AU967" s="464" t="s">
        <v>2842</v>
      </c>
      <c r="AV967" s="29">
        <v>-0.733062043201957</v>
      </c>
      <c r="AW967" s="29">
        <v>-1.0763722910942799</v>
      </c>
      <c r="AX967" s="29">
        <v>-0.62813373017797802</v>
      </c>
      <c r="AY967" s="29">
        <v>-0.215674009622323</v>
      </c>
      <c r="AZ967" s="60">
        <v>-1.1536330480467301</v>
      </c>
    </row>
    <row r="968" spans="1:52" ht="15" customHeight="1">
      <c r="A968" s="63" t="s">
        <v>288</v>
      </c>
      <c r="B968" s="27">
        <v>2011</v>
      </c>
      <c r="C968" s="27" t="s">
        <v>278</v>
      </c>
      <c r="D968" s="69" t="s">
        <v>34</v>
      </c>
      <c r="E968" s="27" t="s">
        <v>19</v>
      </c>
      <c r="F968" s="27" t="s">
        <v>1451</v>
      </c>
      <c r="G968" s="43"/>
      <c r="H968" s="43"/>
      <c r="I968" s="43"/>
      <c r="J968" s="43"/>
      <c r="K968" s="27"/>
      <c r="L968" s="28"/>
      <c r="M968" s="27"/>
      <c r="N968" s="27"/>
      <c r="O968" s="18"/>
      <c r="P968" s="213"/>
      <c r="Q968" s="213"/>
      <c r="R968" s="27"/>
      <c r="S968" s="27"/>
      <c r="T968" s="18"/>
      <c r="U968" s="27"/>
      <c r="V968" s="27"/>
      <c r="W968" s="30"/>
      <c r="X968" s="27"/>
      <c r="Y968" s="27"/>
      <c r="Z968" s="27"/>
      <c r="AA968" s="27">
        <v>3</v>
      </c>
      <c r="AB968" s="27"/>
      <c r="AC968" s="273">
        <v>246173059</v>
      </c>
      <c r="AD968" s="27">
        <v>6197766118.5985575</v>
      </c>
      <c r="AE968" s="228">
        <v>3.9719643221332916E-2</v>
      </c>
      <c r="AF968" s="27">
        <v>1637263875.5501809</v>
      </c>
      <c r="AG968" s="226">
        <v>0.15035637362809143</v>
      </c>
      <c r="AH968" s="226" t="s">
        <v>2842</v>
      </c>
      <c r="AI968" s="27">
        <v>525030000</v>
      </c>
      <c r="AJ968" s="226">
        <v>0.468874271946365</v>
      </c>
      <c r="AK968" s="27">
        <v>229384875.37225026</v>
      </c>
      <c r="AL968" s="226">
        <v>1.0731878403077166</v>
      </c>
      <c r="AM968" s="27">
        <v>420866745.60277736</v>
      </c>
      <c r="AN968" s="271">
        <v>0.58491924480140123</v>
      </c>
      <c r="AO968" s="27">
        <v>5514600</v>
      </c>
      <c r="AP968" s="27">
        <v>36.799999999999997</v>
      </c>
      <c r="AQ968" s="27">
        <v>69.60243902439025</v>
      </c>
      <c r="AR968" s="27">
        <v>24.9</v>
      </c>
      <c r="AS968" s="29">
        <v>96.062510000000003</v>
      </c>
      <c r="AT968" s="270" t="s">
        <v>2842</v>
      </c>
      <c r="AU968" s="464" t="s">
        <v>2842</v>
      </c>
      <c r="AV968" s="29">
        <v>-0.733062043201957</v>
      </c>
      <c r="AW968" s="29">
        <v>-1.0763722910942799</v>
      </c>
      <c r="AX968" s="29">
        <v>-0.62813373017797802</v>
      </c>
      <c r="AY968" s="29">
        <v>-0.215674009622323</v>
      </c>
      <c r="AZ968" s="60">
        <v>-1.1536330480467301</v>
      </c>
    </row>
    <row r="969" spans="1:52" ht="15" customHeight="1">
      <c r="A969" s="63" t="s">
        <v>288</v>
      </c>
      <c r="B969" s="27">
        <v>2011</v>
      </c>
      <c r="C969" s="27" t="s">
        <v>278</v>
      </c>
      <c r="D969" s="69" t="s">
        <v>34</v>
      </c>
      <c r="E969" s="27" t="s">
        <v>19</v>
      </c>
      <c r="F969" s="27" t="s">
        <v>1425</v>
      </c>
      <c r="G969" s="43">
        <v>2000</v>
      </c>
      <c r="H969" s="43"/>
      <c r="I969" s="43"/>
      <c r="J969" s="43"/>
      <c r="K969" s="27" t="s">
        <v>567</v>
      </c>
      <c r="L969" s="28"/>
      <c r="M969" s="27"/>
      <c r="N969" s="27" t="s">
        <v>636</v>
      </c>
      <c r="O969" s="18"/>
      <c r="P969" s="213"/>
      <c r="Q969" s="213"/>
      <c r="R969" s="27"/>
      <c r="S969" s="27"/>
      <c r="T969" s="18"/>
      <c r="U969" s="27"/>
      <c r="V969" s="27"/>
      <c r="W969" s="30"/>
      <c r="X969" s="27"/>
      <c r="Y969" s="27"/>
      <c r="Z969" s="27"/>
      <c r="AA969" s="27"/>
      <c r="AB969" s="27"/>
      <c r="AC969" s="273">
        <v>246173059</v>
      </c>
      <c r="AD969" s="27">
        <v>6197766118.5985575</v>
      </c>
      <c r="AE969" s="228">
        <v>3.9719643221332916E-2</v>
      </c>
      <c r="AF969" s="27">
        <v>1637263875.5501809</v>
      </c>
      <c r="AG969" s="226">
        <v>0.15035637362809143</v>
      </c>
      <c r="AH969" s="226" t="s">
        <v>2842</v>
      </c>
      <c r="AI969" s="27">
        <v>525030000</v>
      </c>
      <c r="AJ969" s="226">
        <v>0.468874271946365</v>
      </c>
      <c r="AK969" s="27">
        <v>229384875.37225026</v>
      </c>
      <c r="AL969" s="226">
        <v>1.0731878403077166</v>
      </c>
      <c r="AM969" s="27">
        <v>420866745.60277736</v>
      </c>
      <c r="AN969" s="271">
        <v>0.58491924480140123</v>
      </c>
      <c r="AO969" s="27">
        <v>5514600</v>
      </c>
      <c r="AP969" s="27">
        <v>36.799999999999997</v>
      </c>
      <c r="AQ969" s="27">
        <v>69.60243902439025</v>
      </c>
      <c r="AR969" s="27">
        <v>24.9</v>
      </c>
      <c r="AS969" s="29">
        <v>96.062510000000003</v>
      </c>
      <c r="AT969" s="270" t="s">
        <v>2842</v>
      </c>
      <c r="AU969" s="464" t="s">
        <v>2842</v>
      </c>
      <c r="AV969" s="29">
        <v>-0.733062043201957</v>
      </c>
      <c r="AW969" s="29">
        <v>-1.0763722910942799</v>
      </c>
      <c r="AX969" s="29">
        <v>-0.62813373017797802</v>
      </c>
      <c r="AY969" s="29">
        <v>-0.215674009622323</v>
      </c>
      <c r="AZ969" s="60">
        <v>-1.1536330480467301</v>
      </c>
    </row>
    <row r="970" spans="1:52" s="287" customFormat="1" ht="15" customHeight="1">
      <c r="A970" s="359" t="s">
        <v>288</v>
      </c>
      <c r="B970" s="284">
        <v>2011</v>
      </c>
      <c r="C970" s="284" t="s">
        <v>278</v>
      </c>
      <c r="D970" s="369" t="s">
        <v>34</v>
      </c>
      <c r="E970" s="284" t="s">
        <v>19</v>
      </c>
      <c r="F970" s="284" t="s">
        <v>1426</v>
      </c>
      <c r="G970" s="303">
        <v>2385</v>
      </c>
      <c r="H970" s="303"/>
      <c r="I970" s="303"/>
      <c r="J970" s="303"/>
      <c r="K970" s="284" t="s">
        <v>567</v>
      </c>
      <c r="L970" s="304"/>
      <c r="M970" s="284"/>
      <c r="N970" s="284" t="s">
        <v>636</v>
      </c>
      <c r="O970" s="305"/>
      <c r="P970" s="306"/>
      <c r="Q970" s="306"/>
      <c r="R970" s="284"/>
      <c r="S970" s="284"/>
      <c r="T970" s="305"/>
      <c r="U970" s="284"/>
      <c r="V970" s="284"/>
      <c r="W970" s="307"/>
      <c r="X970" s="284"/>
      <c r="Y970" s="284"/>
      <c r="Z970" s="284"/>
      <c r="AA970" s="284"/>
      <c r="AB970" s="284"/>
      <c r="AC970" s="308">
        <v>246173059</v>
      </c>
      <c r="AD970" s="284">
        <v>6197766118.5985575</v>
      </c>
      <c r="AE970" s="309">
        <v>3.9719643221332916E-2</v>
      </c>
      <c r="AF970" s="284">
        <v>1637263875.5501809</v>
      </c>
      <c r="AG970" s="310">
        <v>0.15035637362809143</v>
      </c>
      <c r="AH970" s="310" t="s">
        <v>2842</v>
      </c>
      <c r="AI970" s="284">
        <v>525030000</v>
      </c>
      <c r="AJ970" s="310">
        <v>0.468874271946365</v>
      </c>
      <c r="AK970" s="284">
        <v>229384875.37225026</v>
      </c>
      <c r="AL970" s="310">
        <v>1.0731878403077166</v>
      </c>
      <c r="AM970" s="284">
        <v>420866745.60277736</v>
      </c>
      <c r="AN970" s="311">
        <v>0.58491924480140123</v>
      </c>
      <c r="AO970" s="284">
        <v>5514600</v>
      </c>
      <c r="AP970" s="284">
        <v>36.799999999999997</v>
      </c>
      <c r="AQ970" s="284">
        <v>69.60243902439025</v>
      </c>
      <c r="AR970" s="284">
        <v>24.9</v>
      </c>
      <c r="AS970" s="287">
        <v>96.062510000000003</v>
      </c>
      <c r="AT970" s="312" t="s">
        <v>2842</v>
      </c>
      <c r="AU970" s="465" t="s">
        <v>2842</v>
      </c>
      <c r="AV970" s="287">
        <v>-0.733062043201957</v>
      </c>
      <c r="AW970" s="287">
        <v>-1.0763722910942799</v>
      </c>
      <c r="AX970" s="287">
        <v>-0.62813373017797802</v>
      </c>
      <c r="AY970" s="287">
        <v>-0.215674009622323</v>
      </c>
      <c r="AZ970" s="313">
        <v>-1.1536330480467301</v>
      </c>
    </row>
    <row r="971" spans="1:52" s="29" customFormat="1" ht="15" customHeight="1">
      <c r="A971" s="63" t="s">
        <v>290</v>
      </c>
      <c r="B971" s="27">
        <v>2012</v>
      </c>
      <c r="C971" s="27" t="s">
        <v>278</v>
      </c>
      <c r="D971" s="69" t="s">
        <v>34</v>
      </c>
      <c r="E971" s="27" t="s">
        <v>30</v>
      </c>
      <c r="F971" s="27" t="s">
        <v>659</v>
      </c>
      <c r="G971" s="43"/>
      <c r="H971" s="43"/>
      <c r="I971" s="43"/>
      <c r="J971" s="43"/>
      <c r="K971" s="27"/>
      <c r="L971" s="28"/>
      <c r="M971" s="27"/>
      <c r="N971" s="27"/>
      <c r="O971" s="18">
        <f>O972+O975</f>
        <v>277910112.20197368</v>
      </c>
      <c r="P971" s="213">
        <v>217306922</v>
      </c>
      <c r="Q971" s="213">
        <v>217274931</v>
      </c>
      <c r="R971" s="27" t="s">
        <v>619</v>
      </c>
      <c r="S971" s="27"/>
      <c r="T971" s="27"/>
      <c r="U971" s="27" t="s">
        <v>825</v>
      </c>
      <c r="V971" s="27" t="s">
        <v>1366</v>
      </c>
      <c r="W971" s="30">
        <v>46.95</v>
      </c>
      <c r="X971" s="27">
        <v>73</v>
      </c>
      <c r="Y971" s="27" t="s">
        <v>1452</v>
      </c>
      <c r="Z971" s="27">
        <v>72</v>
      </c>
      <c r="AA971" s="54" t="s">
        <v>1453</v>
      </c>
      <c r="AB971" s="27" t="s">
        <v>1454</v>
      </c>
      <c r="AC971" s="273">
        <v>217306922</v>
      </c>
      <c r="AD971" s="27">
        <v>6605139933.4106312</v>
      </c>
      <c r="AE971" s="228">
        <v>3.2899669680092815E-2</v>
      </c>
      <c r="AF971" s="27">
        <v>2003404993.2027788</v>
      </c>
      <c r="AG971" s="226">
        <v>0.10846879324813824</v>
      </c>
      <c r="AH971" s="226" t="s">
        <v>2842</v>
      </c>
      <c r="AI971" s="27">
        <v>472910000</v>
      </c>
      <c r="AJ971" s="226">
        <v>0.45951010128777148</v>
      </c>
      <c r="AK971" s="27">
        <v>282814334.3451606</v>
      </c>
      <c r="AL971" s="226">
        <v>0.76837308300925045</v>
      </c>
      <c r="AM971" s="27" t="s">
        <v>2842</v>
      </c>
      <c r="AN971" s="271" t="s">
        <v>2842</v>
      </c>
      <c r="AO971" s="27">
        <v>5607200</v>
      </c>
      <c r="AP971" s="27">
        <v>38</v>
      </c>
      <c r="AQ971" s="27">
        <v>70.002439024390242</v>
      </c>
      <c r="AR971" s="27">
        <v>23.2</v>
      </c>
      <c r="AS971" s="29">
        <v>98.370930000000001</v>
      </c>
      <c r="AT971" s="270" t="s">
        <v>2842</v>
      </c>
      <c r="AU971" s="464" t="s">
        <v>2842</v>
      </c>
      <c r="AV971" s="29">
        <v>-0.63880197540335404</v>
      </c>
      <c r="AW971" s="29">
        <v>-0.88911325472912595</v>
      </c>
      <c r="AX971" s="29">
        <v>-0.65869903860661405</v>
      </c>
      <c r="AY971" s="29">
        <v>-0.34552718722248699</v>
      </c>
      <c r="AZ971" s="60">
        <v>-1.0902106656717001</v>
      </c>
    </row>
    <row r="972" spans="1:52" s="29" customFormat="1" ht="15" customHeight="1">
      <c r="A972" s="63" t="s">
        <v>290</v>
      </c>
      <c r="B972" s="27">
        <v>2012</v>
      </c>
      <c r="C972" s="27" t="s">
        <v>278</v>
      </c>
      <c r="D972" s="69" t="s">
        <v>34</v>
      </c>
      <c r="E972" s="27" t="s">
        <v>50</v>
      </c>
      <c r="F972" s="27" t="s">
        <v>597</v>
      </c>
      <c r="G972" s="43"/>
      <c r="H972" s="43"/>
      <c r="I972" s="43"/>
      <c r="J972" s="43"/>
      <c r="K972" s="27"/>
      <c r="L972" s="28"/>
      <c r="M972" s="27"/>
      <c r="N972" s="27"/>
      <c r="O972" s="18">
        <f>SUM(O973:O974)</f>
        <v>73665991.485046834</v>
      </c>
      <c r="P972" s="213">
        <v>12378189.563365281</v>
      </c>
      <c r="Q972" s="213">
        <v>12315058.572949946</v>
      </c>
      <c r="R972" s="27"/>
      <c r="S972" s="71"/>
      <c r="T972" s="18"/>
      <c r="U972" s="27"/>
      <c r="V972" s="27"/>
      <c r="W972" s="30"/>
      <c r="X972" s="27">
        <v>5</v>
      </c>
      <c r="Y972" s="27" t="s">
        <v>1455</v>
      </c>
      <c r="Z972" s="27">
        <v>5</v>
      </c>
      <c r="AA972" s="27">
        <v>19</v>
      </c>
      <c r="AB972" s="27"/>
      <c r="AC972" s="273">
        <v>217306922</v>
      </c>
      <c r="AD972" s="27">
        <v>6605139933.4106312</v>
      </c>
      <c r="AE972" s="228">
        <v>3.2899669680092815E-2</v>
      </c>
      <c r="AF972" s="27">
        <v>2003404993.2027788</v>
      </c>
      <c r="AG972" s="226">
        <v>0.10846879324813824</v>
      </c>
      <c r="AH972" s="226" t="s">
        <v>2842</v>
      </c>
      <c r="AI972" s="27">
        <v>472910000</v>
      </c>
      <c r="AJ972" s="226">
        <v>0.45951010128777148</v>
      </c>
      <c r="AK972" s="27">
        <v>282814334.3451606</v>
      </c>
      <c r="AL972" s="226">
        <v>0.76837308300925045</v>
      </c>
      <c r="AM972" s="27" t="s">
        <v>2842</v>
      </c>
      <c r="AN972" s="271" t="s">
        <v>2842</v>
      </c>
      <c r="AO972" s="27">
        <v>5607200</v>
      </c>
      <c r="AP972" s="27">
        <v>38</v>
      </c>
      <c r="AQ972" s="27">
        <v>70.002439024390242</v>
      </c>
      <c r="AR972" s="27">
        <v>23.2</v>
      </c>
      <c r="AS972" s="29">
        <v>98.370930000000001</v>
      </c>
      <c r="AT972" s="270" t="s">
        <v>2842</v>
      </c>
      <c r="AU972" s="464" t="s">
        <v>2842</v>
      </c>
      <c r="AV972" s="29">
        <v>-0.63880197540335404</v>
      </c>
      <c r="AW972" s="29">
        <v>-0.88911325472912595</v>
      </c>
      <c r="AX972" s="29">
        <v>-0.65869903860661405</v>
      </c>
      <c r="AY972" s="29">
        <v>-0.34552718722248699</v>
      </c>
      <c r="AZ972" s="60">
        <v>-1.0902106656717001</v>
      </c>
    </row>
    <row r="973" spans="1:52" s="29" customFormat="1" ht="15" customHeight="1">
      <c r="A973" s="63" t="s">
        <v>290</v>
      </c>
      <c r="B973" s="27">
        <v>2012</v>
      </c>
      <c r="C973" s="27" t="s">
        <v>278</v>
      </c>
      <c r="D973" s="69" t="s">
        <v>34</v>
      </c>
      <c r="E973" s="27" t="s">
        <v>552</v>
      </c>
      <c r="F973" s="27" t="s">
        <v>552</v>
      </c>
      <c r="G973" s="43">
        <v>18500000</v>
      </c>
      <c r="H973" s="43"/>
      <c r="I973" s="43"/>
      <c r="J973" s="43"/>
      <c r="K973" s="27" t="s">
        <v>599</v>
      </c>
      <c r="L973" s="28">
        <v>0.17241089108361263</v>
      </c>
      <c r="M973" s="27" t="s">
        <v>600</v>
      </c>
      <c r="N973" s="27" t="s">
        <v>1399</v>
      </c>
      <c r="O973" s="18">
        <f>G973*L973</f>
        <v>3189601.4850468338</v>
      </c>
      <c r="P973" s="213"/>
      <c r="Q973" s="213"/>
      <c r="R973" s="27"/>
      <c r="S973" s="27"/>
      <c r="T973" s="18"/>
      <c r="U973" s="27"/>
      <c r="V973" s="27"/>
      <c r="W973" s="30"/>
      <c r="X973" s="27"/>
      <c r="Y973" s="27"/>
      <c r="Z973" s="27"/>
      <c r="AA973" s="27"/>
      <c r="AB973" s="27" t="s">
        <v>1456</v>
      </c>
      <c r="AC973" s="273">
        <v>217306922</v>
      </c>
      <c r="AD973" s="27">
        <v>6605139933.4106312</v>
      </c>
      <c r="AE973" s="228">
        <v>3.2899669680092815E-2</v>
      </c>
      <c r="AF973" s="27">
        <v>2003404993.2027788</v>
      </c>
      <c r="AG973" s="226">
        <v>0.10846879324813824</v>
      </c>
      <c r="AH973" s="226" t="s">
        <v>2842</v>
      </c>
      <c r="AI973" s="27">
        <v>472910000</v>
      </c>
      <c r="AJ973" s="226">
        <v>0.45951010128777148</v>
      </c>
      <c r="AK973" s="27">
        <v>282814334.3451606</v>
      </c>
      <c r="AL973" s="226">
        <v>0.76837308300925045</v>
      </c>
      <c r="AM973" s="27" t="s">
        <v>2842</v>
      </c>
      <c r="AN973" s="271" t="s">
        <v>2842</v>
      </c>
      <c r="AO973" s="27">
        <v>5607200</v>
      </c>
      <c r="AP973" s="27">
        <v>38</v>
      </c>
      <c r="AQ973" s="27">
        <v>70.002439024390242</v>
      </c>
      <c r="AR973" s="27">
        <v>23.2</v>
      </c>
      <c r="AS973" s="29">
        <v>98.370930000000001</v>
      </c>
      <c r="AT973" s="270" t="s">
        <v>2842</v>
      </c>
      <c r="AU973" s="464" t="s">
        <v>2842</v>
      </c>
      <c r="AV973" s="29">
        <v>-0.63880197540335404</v>
      </c>
      <c r="AW973" s="29">
        <v>-0.88911325472912595</v>
      </c>
      <c r="AX973" s="29">
        <v>-0.65869903860661405</v>
      </c>
      <c r="AY973" s="29">
        <v>-0.34552718722248699</v>
      </c>
      <c r="AZ973" s="60">
        <v>-1.0902106656717001</v>
      </c>
    </row>
    <row r="974" spans="1:52" s="29" customFormat="1" ht="15" customHeight="1">
      <c r="A974" s="63" t="s">
        <v>290</v>
      </c>
      <c r="B974" s="27">
        <v>2012</v>
      </c>
      <c r="C974" s="27" t="s">
        <v>278</v>
      </c>
      <c r="D974" s="69" t="s">
        <v>34</v>
      </c>
      <c r="E974" s="27" t="s">
        <v>1400</v>
      </c>
      <c r="F974" s="27" t="s">
        <v>98</v>
      </c>
      <c r="G974" s="43">
        <v>657000</v>
      </c>
      <c r="H974" s="43"/>
      <c r="I974" s="43"/>
      <c r="J974" s="43"/>
      <c r="K974" s="27" t="s">
        <v>603</v>
      </c>
      <c r="L974" s="28">
        <v>107.27</v>
      </c>
      <c r="M974" s="27" t="s">
        <v>626</v>
      </c>
      <c r="N974" s="27" t="s">
        <v>1401</v>
      </c>
      <c r="O974" s="18">
        <f>G974*L974</f>
        <v>70476390</v>
      </c>
      <c r="P974" s="213"/>
      <c r="Q974" s="213"/>
      <c r="R974" s="27"/>
      <c r="S974" s="27"/>
      <c r="T974" s="18"/>
      <c r="U974" s="27"/>
      <c r="V974" s="27"/>
      <c r="W974" s="30"/>
      <c r="X974" s="27"/>
      <c r="Y974" s="27"/>
      <c r="Z974" s="27"/>
      <c r="AA974" s="27"/>
      <c r="AB974" s="27" t="s">
        <v>1457</v>
      </c>
      <c r="AC974" s="273">
        <v>217306922</v>
      </c>
      <c r="AD974" s="27">
        <v>6605139933.4106312</v>
      </c>
      <c r="AE974" s="228">
        <v>3.2899669680092815E-2</v>
      </c>
      <c r="AF974" s="27">
        <v>2003404993.2027788</v>
      </c>
      <c r="AG974" s="226">
        <v>0.10846879324813824</v>
      </c>
      <c r="AH974" s="226" t="s">
        <v>2842</v>
      </c>
      <c r="AI974" s="27">
        <v>472910000</v>
      </c>
      <c r="AJ974" s="226">
        <v>0.45951010128777148</v>
      </c>
      <c r="AK974" s="27">
        <v>282814334.3451606</v>
      </c>
      <c r="AL974" s="226">
        <v>0.76837308300925045</v>
      </c>
      <c r="AM974" s="27" t="s">
        <v>2842</v>
      </c>
      <c r="AN974" s="271" t="s">
        <v>2842</v>
      </c>
      <c r="AO974" s="27">
        <v>5607200</v>
      </c>
      <c r="AP974" s="27">
        <v>38</v>
      </c>
      <c r="AQ974" s="27">
        <v>70.002439024390242</v>
      </c>
      <c r="AR974" s="27">
        <v>23.2</v>
      </c>
      <c r="AS974" s="29">
        <v>98.370930000000001</v>
      </c>
      <c r="AT974" s="270" t="s">
        <v>2842</v>
      </c>
      <c r="AU974" s="464" t="s">
        <v>2842</v>
      </c>
      <c r="AV974" s="29">
        <v>-0.63880197540335404</v>
      </c>
      <c r="AW974" s="29">
        <v>-0.88911325472912595</v>
      </c>
      <c r="AX974" s="29">
        <v>-0.65869903860661405</v>
      </c>
      <c r="AY974" s="29">
        <v>-0.34552718722248699</v>
      </c>
      <c r="AZ974" s="60">
        <v>-1.0902106656717001</v>
      </c>
    </row>
    <row r="975" spans="1:52" s="29" customFormat="1" ht="15" customHeight="1">
      <c r="A975" s="63" t="s">
        <v>290</v>
      </c>
      <c r="B975" s="27">
        <v>2012</v>
      </c>
      <c r="C975" s="27" t="s">
        <v>278</v>
      </c>
      <c r="D975" s="69" t="s">
        <v>34</v>
      </c>
      <c r="E975" s="27" t="s">
        <v>19</v>
      </c>
      <c r="F975" s="27" t="s">
        <v>559</v>
      </c>
      <c r="G975" s="43"/>
      <c r="H975" s="43"/>
      <c r="I975" s="43"/>
      <c r="J975" s="43"/>
      <c r="K975" s="27"/>
      <c r="L975" s="28"/>
      <c r="M975" s="27"/>
      <c r="N975" s="27"/>
      <c r="O975" s="18">
        <f>SUM(O976:O992)-SUM(O978:O982)-SUM(O985:O992)-SUM(O983:O983)</f>
        <v>204244120.71692681</v>
      </c>
      <c r="P975" s="213">
        <v>204928732.6943557</v>
      </c>
      <c r="Q975" s="213">
        <v>204959872.20447284</v>
      </c>
      <c r="R975" s="27"/>
      <c r="U975" s="27"/>
      <c r="V975" s="27"/>
      <c r="W975" s="30"/>
      <c r="X975" s="27">
        <v>68</v>
      </c>
      <c r="Y975" s="27" t="s">
        <v>1458</v>
      </c>
      <c r="Z975" s="27">
        <v>67</v>
      </c>
      <c r="AA975" s="27" t="s">
        <v>1459</v>
      </c>
      <c r="AB975" s="27"/>
      <c r="AC975" s="273">
        <v>217306922</v>
      </c>
      <c r="AD975" s="27">
        <v>6605139933.4106312</v>
      </c>
      <c r="AE975" s="228">
        <v>3.2899669680092815E-2</v>
      </c>
      <c r="AF975" s="27">
        <v>2003404993.2027788</v>
      </c>
      <c r="AG975" s="226">
        <v>0.10846879324813824</v>
      </c>
      <c r="AH975" s="226" t="s">
        <v>2842</v>
      </c>
      <c r="AI975" s="27">
        <v>472910000</v>
      </c>
      <c r="AJ975" s="226">
        <v>0.45951010128777148</v>
      </c>
      <c r="AK975" s="27">
        <v>282814334.3451606</v>
      </c>
      <c r="AL975" s="226">
        <v>0.76837308300925045</v>
      </c>
      <c r="AM975" s="27" t="s">
        <v>2842</v>
      </c>
      <c r="AN975" s="271" t="s">
        <v>2842</v>
      </c>
      <c r="AO975" s="27">
        <v>5607200</v>
      </c>
      <c r="AP975" s="27">
        <v>38</v>
      </c>
      <c r="AQ975" s="27">
        <v>70.002439024390242</v>
      </c>
      <c r="AR975" s="27">
        <v>23.2</v>
      </c>
      <c r="AS975" s="29">
        <v>98.370930000000001</v>
      </c>
      <c r="AT975" s="270" t="s">
        <v>2842</v>
      </c>
      <c r="AU975" s="464" t="s">
        <v>2842</v>
      </c>
      <c r="AV975" s="29">
        <v>-0.63880197540335404</v>
      </c>
      <c r="AW975" s="29">
        <v>-0.88911325472912595</v>
      </c>
      <c r="AX975" s="29">
        <v>-0.65869903860661405</v>
      </c>
      <c r="AY975" s="29">
        <v>-0.34552718722248699</v>
      </c>
      <c r="AZ975" s="60">
        <v>-1.0902106656717001</v>
      </c>
    </row>
    <row r="976" spans="1:52" s="29" customFormat="1" ht="15" customHeight="1">
      <c r="A976" s="63" t="s">
        <v>290</v>
      </c>
      <c r="B976" s="27">
        <v>2012</v>
      </c>
      <c r="C976" s="27" t="s">
        <v>278</v>
      </c>
      <c r="D976" s="69" t="s">
        <v>34</v>
      </c>
      <c r="E976" s="27" t="s">
        <v>19</v>
      </c>
      <c r="F976" s="27" t="s">
        <v>573</v>
      </c>
      <c r="G976" s="43">
        <v>1184000</v>
      </c>
      <c r="H976" s="43"/>
      <c r="I976" s="43"/>
      <c r="J976" s="43"/>
      <c r="K976" s="27" t="s">
        <v>567</v>
      </c>
      <c r="L976" s="28">
        <v>90.020556297186616</v>
      </c>
      <c r="M976" s="27" t="s">
        <v>568</v>
      </c>
      <c r="N976" s="27" t="s">
        <v>1022</v>
      </c>
      <c r="O976" s="18">
        <f>G976*L976</f>
        <v>106584338.65586895</v>
      </c>
      <c r="P976" s="213">
        <v>7124707.1352502657</v>
      </c>
      <c r="Q976" s="213">
        <v>7183706.0702875396</v>
      </c>
      <c r="R976" s="27"/>
      <c r="S976" s="71"/>
      <c r="T976" s="18"/>
      <c r="U976" s="27"/>
      <c r="V976" s="27"/>
      <c r="W976" s="30"/>
      <c r="X976" s="27">
        <v>24</v>
      </c>
      <c r="Y976" s="27" t="s">
        <v>1460</v>
      </c>
      <c r="Z976" s="27">
        <v>24</v>
      </c>
      <c r="AA976" s="27">
        <v>19</v>
      </c>
      <c r="AB976" s="27" t="s">
        <v>1461</v>
      </c>
      <c r="AC976" s="273">
        <v>217306922</v>
      </c>
      <c r="AD976" s="27">
        <v>6605139933.4106312</v>
      </c>
      <c r="AE976" s="228">
        <v>3.2899669680092815E-2</v>
      </c>
      <c r="AF976" s="27">
        <v>2003404993.2027788</v>
      </c>
      <c r="AG976" s="226">
        <v>0.10846879324813824</v>
      </c>
      <c r="AH976" s="226" t="s">
        <v>2842</v>
      </c>
      <c r="AI976" s="27">
        <v>472910000</v>
      </c>
      <c r="AJ976" s="226">
        <v>0.45951010128777148</v>
      </c>
      <c r="AK976" s="27">
        <v>282814334.3451606</v>
      </c>
      <c r="AL976" s="226">
        <v>0.76837308300925045</v>
      </c>
      <c r="AM976" s="27" t="s">
        <v>2842</v>
      </c>
      <c r="AN976" s="271" t="s">
        <v>2842</v>
      </c>
      <c r="AO976" s="27">
        <v>5607200</v>
      </c>
      <c r="AP976" s="27">
        <v>38</v>
      </c>
      <c r="AQ976" s="27">
        <v>70.002439024390242</v>
      </c>
      <c r="AR976" s="27">
        <v>23.2</v>
      </c>
      <c r="AS976" s="29">
        <v>98.370930000000001</v>
      </c>
      <c r="AT976" s="270" t="s">
        <v>2842</v>
      </c>
      <c r="AU976" s="464" t="s">
        <v>2842</v>
      </c>
      <c r="AV976" s="29">
        <v>-0.63880197540335404</v>
      </c>
      <c r="AW976" s="29">
        <v>-0.88911325472912595</v>
      </c>
      <c r="AX976" s="29">
        <v>-0.65869903860661405</v>
      </c>
      <c r="AY976" s="29">
        <v>-0.34552718722248699</v>
      </c>
      <c r="AZ976" s="60">
        <v>-1.0902106656717001</v>
      </c>
    </row>
    <row r="977" spans="1:52" s="29" customFormat="1" ht="15" customHeight="1">
      <c r="A977" s="63" t="s">
        <v>290</v>
      </c>
      <c r="B977" s="27">
        <v>2012</v>
      </c>
      <c r="C977" s="27" t="s">
        <v>278</v>
      </c>
      <c r="D977" s="69" t="s">
        <v>34</v>
      </c>
      <c r="E977" s="27" t="s">
        <v>19</v>
      </c>
      <c r="F977" s="27" t="s">
        <v>1404</v>
      </c>
      <c r="G977" s="43"/>
      <c r="H977" s="43"/>
      <c r="I977" s="43"/>
      <c r="J977" s="43"/>
      <c r="K977" s="27"/>
      <c r="L977" s="28"/>
      <c r="M977" s="27"/>
      <c r="N977" s="27"/>
      <c r="O977" s="18">
        <f>SUM(O978:O982)</f>
        <v>90721541.5</v>
      </c>
      <c r="P977" s="213">
        <v>8933972.3109691162</v>
      </c>
      <c r="Q977" s="213">
        <v>8858679.4462193809</v>
      </c>
      <c r="R977" s="27"/>
      <c r="S977" s="71"/>
      <c r="T977" s="18"/>
      <c r="U977" s="27"/>
      <c r="V977" s="27"/>
      <c r="W977" s="30"/>
      <c r="X977" s="27">
        <v>14</v>
      </c>
      <c r="Y977" s="27" t="s">
        <v>1462</v>
      </c>
      <c r="Z977" s="27">
        <v>14</v>
      </c>
      <c r="AA977" s="27">
        <v>20</v>
      </c>
      <c r="AB977" s="27"/>
      <c r="AC977" s="273">
        <v>217306922</v>
      </c>
      <c r="AD977" s="27">
        <v>6605139933.4106312</v>
      </c>
      <c r="AE977" s="228">
        <v>3.2899669680092815E-2</v>
      </c>
      <c r="AF977" s="27">
        <v>2003404993.2027788</v>
      </c>
      <c r="AG977" s="226">
        <v>0.10846879324813824</v>
      </c>
      <c r="AH977" s="226" t="s">
        <v>2842</v>
      </c>
      <c r="AI977" s="27">
        <v>472910000</v>
      </c>
      <c r="AJ977" s="226">
        <v>0.45951010128777148</v>
      </c>
      <c r="AK977" s="27">
        <v>282814334.3451606</v>
      </c>
      <c r="AL977" s="226">
        <v>0.76837308300925045</v>
      </c>
      <c r="AM977" s="27" t="s">
        <v>2842</v>
      </c>
      <c r="AN977" s="271" t="s">
        <v>2842</v>
      </c>
      <c r="AO977" s="27">
        <v>5607200</v>
      </c>
      <c r="AP977" s="27">
        <v>38</v>
      </c>
      <c r="AQ977" s="27">
        <v>70.002439024390242</v>
      </c>
      <c r="AR977" s="27">
        <v>23.2</v>
      </c>
      <c r="AS977" s="29">
        <v>98.370930000000001</v>
      </c>
      <c r="AT977" s="270" t="s">
        <v>2842</v>
      </c>
      <c r="AU977" s="464" t="s">
        <v>2842</v>
      </c>
      <c r="AV977" s="29">
        <v>-0.63880197540335404</v>
      </c>
      <c r="AW977" s="29">
        <v>-0.88911325472912595</v>
      </c>
      <c r="AX977" s="29">
        <v>-0.65869903860661405</v>
      </c>
      <c r="AY977" s="29">
        <v>-0.34552718722248699</v>
      </c>
      <c r="AZ977" s="60">
        <v>-1.0902106656717001</v>
      </c>
    </row>
    <row r="978" spans="1:52" s="29" customFormat="1" ht="15" customHeight="1">
      <c r="A978" s="63" t="s">
        <v>290</v>
      </c>
      <c r="B978" s="27">
        <v>2012</v>
      </c>
      <c r="C978" s="27" t="s">
        <v>278</v>
      </c>
      <c r="D978" s="69" t="s">
        <v>34</v>
      </c>
      <c r="E978" s="27" t="s">
        <v>19</v>
      </c>
      <c r="F978" s="27" t="s">
        <v>1406</v>
      </c>
      <c r="G978" s="43">
        <v>900000</v>
      </c>
      <c r="H978" s="43"/>
      <c r="I978" s="43"/>
      <c r="J978" s="43"/>
      <c r="K978" s="27" t="s">
        <v>567</v>
      </c>
      <c r="L978" s="28">
        <v>89.5</v>
      </c>
      <c r="M978" s="27" t="s">
        <v>568</v>
      </c>
      <c r="N978" s="27" t="s">
        <v>1122</v>
      </c>
      <c r="O978" s="18">
        <f>G978*L978</f>
        <v>80550000</v>
      </c>
      <c r="P978" s="213"/>
      <c r="Q978" s="213"/>
      <c r="R978" s="27"/>
      <c r="S978" s="71"/>
      <c r="T978" s="18"/>
      <c r="U978" s="27"/>
      <c r="V978" s="27"/>
      <c r="W978" s="30"/>
      <c r="X978" s="27"/>
      <c r="Y978" s="27"/>
      <c r="Z978" s="27"/>
      <c r="AA978" s="27"/>
      <c r="AB978" s="27"/>
      <c r="AC978" s="273">
        <v>217306922</v>
      </c>
      <c r="AD978" s="27">
        <v>6605139933.4106312</v>
      </c>
      <c r="AE978" s="228">
        <v>3.2899669680092815E-2</v>
      </c>
      <c r="AF978" s="27">
        <v>2003404993.2027788</v>
      </c>
      <c r="AG978" s="226">
        <v>0.10846879324813824</v>
      </c>
      <c r="AH978" s="226" t="s">
        <v>2842</v>
      </c>
      <c r="AI978" s="27">
        <v>472910000</v>
      </c>
      <c r="AJ978" s="226">
        <v>0.45951010128777148</v>
      </c>
      <c r="AK978" s="27">
        <v>282814334.3451606</v>
      </c>
      <c r="AL978" s="226">
        <v>0.76837308300925045</v>
      </c>
      <c r="AM978" s="27" t="s">
        <v>2842</v>
      </c>
      <c r="AN978" s="271" t="s">
        <v>2842</v>
      </c>
      <c r="AO978" s="27">
        <v>5607200</v>
      </c>
      <c r="AP978" s="27">
        <v>38</v>
      </c>
      <c r="AQ978" s="27">
        <v>70.002439024390242</v>
      </c>
      <c r="AR978" s="27">
        <v>23.2</v>
      </c>
      <c r="AS978" s="29">
        <v>98.370930000000001</v>
      </c>
      <c r="AT978" s="270" t="s">
        <v>2842</v>
      </c>
      <c r="AU978" s="464" t="s">
        <v>2842</v>
      </c>
      <c r="AV978" s="29">
        <v>-0.63880197540335404</v>
      </c>
      <c r="AW978" s="29">
        <v>-0.88911325472912595</v>
      </c>
      <c r="AX978" s="29">
        <v>-0.65869903860661405</v>
      </c>
      <c r="AY978" s="29">
        <v>-0.34552718722248699</v>
      </c>
      <c r="AZ978" s="60">
        <v>-1.0902106656717001</v>
      </c>
    </row>
    <row r="979" spans="1:52" s="29" customFormat="1" ht="15" customHeight="1">
      <c r="A979" s="63" t="s">
        <v>290</v>
      </c>
      <c r="B979" s="27">
        <v>2012</v>
      </c>
      <c r="C979" s="27" t="s">
        <v>278</v>
      </c>
      <c r="D979" s="69" t="s">
        <v>34</v>
      </c>
      <c r="E979" s="27" t="s">
        <v>19</v>
      </c>
      <c r="F979" s="27" t="s">
        <v>1409</v>
      </c>
      <c r="G979" s="43">
        <v>59</v>
      </c>
      <c r="H979" s="43"/>
      <c r="I979" s="43"/>
      <c r="J979" s="43"/>
      <c r="K979" s="27" t="s">
        <v>567</v>
      </c>
      <c r="L979" s="28">
        <v>18.5</v>
      </c>
      <c r="M979" s="27" t="s">
        <v>568</v>
      </c>
      <c r="N979" s="27" t="s">
        <v>1132</v>
      </c>
      <c r="O979" s="18">
        <f>G979*L979</f>
        <v>1091.5</v>
      </c>
      <c r="P979" s="213"/>
      <c r="Q979" s="213"/>
      <c r="R979" s="27"/>
      <c r="S979" s="27"/>
      <c r="T979" s="18"/>
      <c r="U979" s="27"/>
      <c r="V979" s="27"/>
      <c r="W979" s="30"/>
      <c r="X979" s="27"/>
      <c r="Y979" s="27"/>
      <c r="Z979" s="27"/>
      <c r="AA979" s="27"/>
      <c r="AB979" s="27" t="s">
        <v>884</v>
      </c>
      <c r="AC979" s="273">
        <v>217306922</v>
      </c>
      <c r="AD979" s="27">
        <v>6605139933.4106312</v>
      </c>
      <c r="AE979" s="228">
        <v>3.2899669680092815E-2</v>
      </c>
      <c r="AF979" s="27">
        <v>2003404993.2027788</v>
      </c>
      <c r="AG979" s="226">
        <v>0.10846879324813824</v>
      </c>
      <c r="AH979" s="226" t="s">
        <v>2842</v>
      </c>
      <c r="AI979" s="27">
        <v>472910000</v>
      </c>
      <c r="AJ979" s="226">
        <v>0.45951010128777148</v>
      </c>
      <c r="AK979" s="27">
        <v>282814334.3451606</v>
      </c>
      <c r="AL979" s="226">
        <v>0.76837308300925045</v>
      </c>
      <c r="AM979" s="27" t="s">
        <v>2842</v>
      </c>
      <c r="AN979" s="271" t="s">
        <v>2842</v>
      </c>
      <c r="AO979" s="27">
        <v>5607200</v>
      </c>
      <c r="AP979" s="27">
        <v>38</v>
      </c>
      <c r="AQ979" s="27">
        <v>70.002439024390242</v>
      </c>
      <c r="AR979" s="27">
        <v>23.2</v>
      </c>
      <c r="AS979" s="29">
        <v>98.370930000000001</v>
      </c>
      <c r="AT979" s="270" t="s">
        <v>2842</v>
      </c>
      <c r="AU979" s="464" t="s">
        <v>2842</v>
      </c>
      <c r="AV979" s="29">
        <v>-0.63880197540335404</v>
      </c>
      <c r="AW979" s="29">
        <v>-0.88911325472912595</v>
      </c>
      <c r="AX979" s="29">
        <v>-0.65869903860661405</v>
      </c>
      <c r="AY979" s="29">
        <v>-0.34552718722248699</v>
      </c>
      <c r="AZ979" s="60">
        <v>-1.0902106656717001</v>
      </c>
    </row>
    <row r="980" spans="1:52" s="29" customFormat="1" ht="16.5" customHeight="1">
      <c r="A980" s="63" t="s">
        <v>290</v>
      </c>
      <c r="B980" s="27">
        <v>2012</v>
      </c>
      <c r="C980" s="27" t="s">
        <v>278</v>
      </c>
      <c r="D980" s="69" t="s">
        <v>34</v>
      </c>
      <c r="E980" s="27" t="s">
        <v>19</v>
      </c>
      <c r="F980" s="27" t="s">
        <v>1410</v>
      </c>
      <c r="G980" s="43"/>
      <c r="H980" s="43"/>
      <c r="I980" s="43"/>
      <c r="J980" s="43"/>
      <c r="K980" s="27"/>
      <c r="L980" s="28"/>
      <c r="M980" s="27"/>
      <c r="N980" s="27"/>
      <c r="O980" s="18"/>
      <c r="P980" s="213"/>
      <c r="Q980" s="213"/>
      <c r="R980" s="27"/>
      <c r="S980" s="27"/>
      <c r="T980" s="18"/>
      <c r="U980" s="27"/>
      <c r="V980" s="27"/>
      <c r="W980" s="30"/>
      <c r="X980" s="27"/>
      <c r="Y980" s="27"/>
      <c r="Z980" s="27"/>
      <c r="AA980" s="27"/>
      <c r="AB980" s="27" t="s">
        <v>884</v>
      </c>
      <c r="AC980" s="273">
        <v>217306922</v>
      </c>
      <c r="AD980" s="27">
        <v>6605139933.4106312</v>
      </c>
      <c r="AE980" s="228">
        <v>3.2899669680092815E-2</v>
      </c>
      <c r="AF980" s="27">
        <v>2003404993.2027788</v>
      </c>
      <c r="AG980" s="226">
        <v>0.10846879324813824</v>
      </c>
      <c r="AH980" s="226" t="s">
        <v>2842</v>
      </c>
      <c r="AI980" s="27">
        <v>472910000</v>
      </c>
      <c r="AJ980" s="226">
        <v>0.45951010128777148</v>
      </c>
      <c r="AK980" s="27">
        <v>282814334.3451606</v>
      </c>
      <c r="AL980" s="226">
        <v>0.76837308300925045</v>
      </c>
      <c r="AM980" s="27" t="s">
        <v>2842</v>
      </c>
      <c r="AN980" s="271" t="s">
        <v>2842</v>
      </c>
      <c r="AO980" s="27">
        <v>5607200</v>
      </c>
      <c r="AP980" s="27">
        <v>38</v>
      </c>
      <c r="AQ980" s="27">
        <v>70.002439024390242</v>
      </c>
      <c r="AR980" s="27">
        <v>23.2</v>
      </c>
      <c r="AS980" s="29">
        <v>98.370930000000001</v>
      </c>
      <c r="AT980" s="270" t="s">
        <v>2842</v>
      </c>
      <c r="AU980" s="464" t="s">
        <v>2842</v>
      </c>
      <c r="AV980" s="29">
        <v>-0.63880197540335404</v>
      </c>
      <c r="AW980" s="29">
        <v>-0.88911325472912595</v>
      </c>
      <c r="AX980" s="29">
        <v>-0.65869903860661405</v>
      </c>
      <c r="AY980" s="29">
        <v>-0.34552718722248699</v>
      </c>
      <c r="AZ980" s="60">
        <v>-1.0902106656717001</v>
      </c>
    </row>
    <row r="981" spans="1:52" s="29" customFormat="1" ht="15" customHeight="1">
      <c r="A981" s="63" t="s">
        <v>290</v>
      </c>
      <c r="B981" s="27">
        <v>2012</v>
      </c>
      <c r="C981" s="27" t="s">
        <v>278</v>
      </c>
      <c r="D981" s="69" t="s">
        <v>34</v>
      </c>
      <c r="E981" s="27" t="s">
        <v>19</v>
      </c>
      <c r="F981" s="27" t="s">
        <v>1411</v>
      </c>
      <c r="G981" s="43">
        <v>3000</v>
      </c>
      <c r="H981" s="43"/>
      <c r="I981" s="43"/>
      <c r="J981" s="43"/>
      <c r="K981" s="27" t="s">
        <v>567</v>
      </c>
      <c r="L981" s="28">
        <v>126.15</v>
      </c>
      <c r="M981" s="27" t="s">
        <v>568</v>
      </c>
      <c r="N981" s="27" t="s">
        <v>1429</v>
      </c>
      <c r="O981" s="18">
        <f>G981*L981</f>
        <v>378450</v>
      </c>
      <c r="P981" s="213"/>
      <c r="Q981" s="213"/>
      <c r="R981" s="27"/>
      <c r="S981" s="27"/>
      <c r="T981" s="18"/>
      <c r="U981" s="27"/>
      <c r="V981" s="27"/>
      <c r="W981" s="30"/>
      <c r="X981" s="27"/>
      <c r="Y981" s="27"/>
      <c r="Z981" s="27"/>
      <c r="AA981" s="27"/>
      <c r="AB981" s="27"/>
      <c r="AC981" s="273">
        <v>217306922</v>
      </c>
      <c r="AD981" s="27">
        <v>6605139933.4106312</v>
      </c>
      <c r="AE981" s="228">
        <v>3.2899669680092815E-2</v>
      </c>
      <c r="AF981" s="27">
        <v>2003404993.2027788</v>
      </c>
      <c r="AG981" s="226">
        <v>0.10846879324813824</v>
      </c>
      <c r="AH981" s="226" t="s">
        <v>2842</v>
      </c>
      <c r="AI981" s="27">
        <v>472910000</v>
      </c>
      <c r="AJ981" s="226">
        <v>0.45951010128777148</v>
      </c>
      <c r="AK981" s="27">
        <v>282814334.3451606</v>
      </c>
      <c r="AL981" s="226">
        <v>0.76837308300925045</v>
      </c>
      <c r="AM981" s="27" t="s">
        <v>2842</v>
      </c>
      <c r="AN981" s="271" t="s">
        <v>2842</v>
      </c>
      <c r="AO981" s="27">
        <v>5607200</v>
      </c>
      <c r="AP981" s="27">
        <v>38</v>
      </c>
      <c r="AQ981" s="27">
        <v>70.002439024390242</v>
      </c>
      <c r="AR981" s="27">
        <v>23.2</v>
      </c>
      <c r="AS981" s="29">
        <v>98.370930000000001</v>
      </c>
      <c r="AT981" s="270" t="s">
        <v>2842</v>
      </c>
      <c r="AU981" s="464" t="s">
        <v>2842</v>
      </c>
      <c r="AV981" s="29">
        <v>-0.63880197540335404</v>
      </c>
      <c r="AW981" s="29">
        <v>-0.88911325472912595</v>
      </c>
      <c r="AX981" s="29">
        <v>-0.65869903860661405</v>
      </c>
      <c r="AY981" s="29">
        <v>-0.34552718722248699</v>
      </c>
      <c r="AZ981" s="60">
        <v>-1.0902106656717001</v>
      </c>
    </row>
    <row r="982" spans="1:52" s="29" customFormat="1" ht="15" customHeight="1">
      <c r="A982" s="63" t="s">
        <v>290</v>
      </c>
      <c r="B982" s="27">
        <v>2012</v>
      </c>
      <c r="C982" s="27" t="s">
        <v>278</v>
      </c>
      <c r="D982" s="69" t="s">
        <v>34</v>
      </c>
      <c r="E982" s="27" t="s">
        <v>19</v>
      </c>
      <c r="F982" s="27" t="s">
        <v>1415</v>
      </c>
      <c r="G982" s="43">
        <f>800000*1.6</f>
        <v>1280000</v>
      </c>
      <c r="H982" s="43"/>
      <c r="I982" s="43"/>
      <c r="J982" s="43"/>
      <c r="K982" s="27" t="s">
        <v>567</v>
      </c>
      <c r="L982" s="28">
        <v>7.65</v>
      </c>
      <c r="M982" s="27" t="s">
        <v>568</v>
      </c>
      <c r="N982" s="27" t="s">
        <v>1158</v>
      </c>
      <c r="O982" s="18">
        <f>G982*L982</f>
        <v>9792000</v>
      </c>
      <c r="P982" s="213"/>
      <c r="Q982" s="213"/>
      <c r="R982" s="27"/>
      <c r="S982" s="71"/>
      <c r="T982" s="18"/>
      <c r="U982" s="27"/>
      <c r="V982" s="27"/>
      <c r="W982" s="30"/>
      <c r="X982" s="27"/>
      <c r="Y982" s="27"/>
      <c r="Z982" s="27"/>
      <c r="AA982" s="27"/>
      <c r="AB982" s="27"/>
      <c r="AC982" s="273">
        <v>217306922</v>
      </c>
      <c r="AD982" s="27">
        <v>6605139933.4106312</v>
      </c>
      <c r="AE982" s="228">
        <v>3.2899669680092815E-2</v>
      </c>
      <c r="AF982" s="27">
        <v>2003404993.2027788</v>
      </c>
      <c r="AG982" s="226">
        <v>0.10846879324813824</v>
      </c>
      <c r="AH982" s="226" t="s">
        <v>2842</v>
      </c>
      <c r="AI982" s="27">
        <v>472910000</v>
      </c>
      <c r="AJ982" s="226">
        <v>0.45951010128777148</v>
      </c>
      <c r="AK982" s="27">
        <v>282814334.3451606</v>
      </c>
      <c r="AL982" s="226">
        <v>0.76837308300925045</v>
      </c>
      <c r="AM982" s="27" t="s">
        <v>2842</v>
      </c>
      <c r="AN982" s="271" t="s">
        <v>2842</v>
      </c>
      <c r="AO982" s="27">
        <v>5607200</v>
      </c>
      <c r="AP982" s="27">
        <v>38</v>
      </c>
      <c r="AQ982" s="27">
        <v>70.002439024390242</v>
      </c>
      <c r="AR982" s="27">
        <v>23.2</v>
      </c>
      <c r="AS982" s="29">
        <v>98.370930000000001</v>
      </c>
      <c r="AT982" s="270" t="s">
        <v>2842</v>
      </c>
      <c r="AU982" s="464" t="s">
        <v>2842</v>
      </c>
      <c r="AV982" s="29">
        <v>-0.63880197540335404</v>
      </c>
      <c r="AW982" s="29">
        <v>-0.88911325472912595</v>
      </c>
      <c r="AX982" s="29">
        <v>-0.65869903860661405</v>
      </c>
      <c r="AY982" s="29">
        <v>-0.34552718722248699</v>
      </c>
      <c r="AZ982" s="60">
        <v>-1.0902106656717001</v>
      </c>
    </row>
    <row r="983" spans="1:52" s="29" customFormat="1" ht="15" customHeight="1">
      <c r="A983" s="63" t="s">
        <v>290</v>
      </c>
      <c r="B983" s="27">
        <v>2012</v>
      </c>
      <c r="C983" s="27" t="s">
        <v>278</v>
      </c>
      <c r="D983" s="69" t="s">
        <v>34</v>
      </c>
      <c r="E983" s="27" t="s">
        <v>19</v>
      </c>
      <c r="F983" s="27" t="s">
        <v>730</v>
      </c>
      <c r="G983" s="43">
        <f>10333*32.150743126506</f>
        <v>332213.62872618652</v>
      </c>
      <c r="H983" s="43"/>
      <c r="I983" s="43"/>
      <c r="J983" s="43"/>
      <c r="K983" s="27" t="s">
        <v>731</v>
      </c>
      <c r="L983" s="28">
        <v>1669.51766666667</v>
      </c>
      <c r="M983" s="27" t="s">
        <v>732</v>
      </c>
      <c r="N983" s="27" t="s">
        <v>733</v>
      </c>
      <c r="O983" s="18">
        <f>G983*L983</f>
        <v>554636522.26581037</v>
      </c>
      <c r="P983" s="213">
        <v>186428349.30777422</v>
      </c>
      <c r="Q983" s="213">
        <v>186472992.54526091</v>
      </c>
      <c r="R983" s="27"/>
      <c r="S983" s="71"/>
      <c r="T983" s="18"/>
      <c r="U983" s="27"/>
      <c r="V983" s="27"/>
      <c r="W983" s="30"/>
      <c r="X983" s="27">
        <v>23</v>
      </c>
      <c r="Y983" s="27" t="s">
        <v>1463</v>
      </c>
      <c r="Z983" s="27">
        <v>21</v>
      </c>
      <c r="AA983" s="27">
        <v>18</v>
      </c>
      <c r="AB983" s="27"/>
      <c r="AC983" s="273">
        <v>217306922</v>
      </c>
      <c r="AD983" s="27">
        <v>6605139933.4106312</v>
      </c>
      <c r="AE983" s="228">
        <v>3.2899669680092815E-2</v>
      </c>
      <c r="AF983" s="27">
        <v>2003404993.2027788</v>
      </c>
      <c r="AG983" s="226">
        <v>0.10846879324813824</v>
      </c>
      <c r="AH983" s="226" t="s">
        <v>2842</v>
      </c>
      <c r="AI983" s="27">
        <v>472910000</v>
      </c>
      <c r="AJ983" s="226">
        <v>0.45951010128777148</v>
      </c>
      <c r="AK983" s="27">
        <v>282814334.3451606</v>
      </c>
      <c r="AL983" s="226">
        <v>0.76837308300925045</v>
      </c>
      <c r="AM983" s="27" t="s">
        <v>2842</v>
      </c>
      <c r="AN983" s="271" t="s">
        <v>2842</v>
      </c>
      <c r="AO983" s="27">
        <v>5607200</v>
      </c>
      <c r="AP983" s="27">
        <v>38</v>
      </c>
      <c r="AQ983" s="27">
        <v>70.002439024390242</v>
      </c>
      <c r="AR983" s="27">
        <v>23.2</v>
      </c>
      <c r="AS983" s="29">
        <v>98.370930000000001</v>
      </c>
      <c r="AT983" s="270" t="s">
        <v>2842</v>
      </c>
      <c r="AU983" s="464" t="s">
        <v>2842</v>
      </c>
      <c r="AV983" s="29">
        <v>-0.63880197540335404</v>
      </c>
      <c r="AW983" s="29">
        <v>-0.88911325472912595</v>
      </c>
      <c r="AX983" s="29">
        <v>-0.65869903860661405</v>
      </c>
      <c r="AY983" s="29">
        <v>-0.34552718722248699</v>
      </c>
      <c r="AZ983" s="60">
        <v>-1.0902106656717001</v>
      </c>
    </row>
    <row r="984" spans="1:52" s="29" customFormat="1" ht="15" customHeight="1">
      <c r="A984" s="63" t="s">
        <v>290</v>
      </c>
      <c r="B984" s="27">
        <v>2012</v>
      </c>
      <c r="C984" s="27" t="s">
        <v>278</v>
      </c>
      <c r="D984" s="69" t="s">
        <v>34</v>
      </c>
      <c r="E984" s="27" t="s">
        <v>19</v>
      </c>
      <c r="F984" s="27" t="s">
        <v>1418</v>
      </c>
      <c r="G984" s="43"/>
      <c r="H984" s="43"/>
      <c r="I984" s="43"/>
      <c r="J984" s="43"/>
      <c r="K984" s="27"/>
      <c r="L984" s="28"/>
      <c r="M984" s="27"/>
      <c r="N984" s="27"/>
      <c r="O984" s="18">
        <f>SUM(O985:O992)</f>
        <v>6938240.5610580184</v>
      </c>
      <c r="P984" s="213">
        <v>2441703.940362087</v>
      </c>
      <c r="Q984" s="213">
        <v>2444494.1427050051</v>
      </c>
      <c r="R984" s="27"/>
      <c r="S984" s="71"/>
      <c r="T984" s="18"/>
      <c r="U984" s="27"/>
      <c r="V984" s="27"/>
      <c r="W984" s="30"/>
      <c r="X984" s="27">
        <v>8</v>
      </c>
      <c r="Y984" s="27" t="s">
        <v>1464</v>
      </c>
      <c r="Z984" s="27">
        <v>8</v>
      </c>
      <c r="AA984" s="27">
        <v>18</v>
      </c>
      <c r="AB984" s="27"/>
      <c r="AC984" s="273">
        <v>217306922</v>
      </c>
      <c r="AD984" s="27">
        <v>6605139933.4106312</v>
      </c>
      <c r="AE984" s="228">
        <v>3.2899669680092815E-2</v>
      </c>
      <c r="AF984" s="27">
        <v>2003404993.2027788</v>
      </c>
      <c r="AG984" s="226">
        <v>0.10846879324813824</v>
      </c>
      <c r="AH984" s="226" t="s">
        <v>2842</v>
      </c>
      <c r="AI984" s="27">
        <v>472910000</v>
      </c>
      <c r="AJ984" s="226">
        <v>0.45951010128777148</v>
      </c>
      <c r="AK984" s="27">
        <v>282814334.3451606</v>
      </c>
      <c r="AL984" s="226">
        <v>0.76837308300925045</v>
      </c>
      <c r="AM984" s="27" t="s">
        <v>2842</v>
      </c>
      <c r="AN984" s="271" t="s">
        <v>2842</v>
      </c>
      <c r="AO984" s="27">
        <v>5607200</v>
      </c>
      <c r="AP984" s="27">
        <v>38</v>
      </c>
      <c r="AQ984" s="27">
        <v>70.002439024390242</v>
      </c>
      <c r="AR984" s="27">
        <v>23.2</v>
      </c>
      <c r="AS984" s="29">
        <v>98.370930000000001</v>
      </c>
      <c r="AT984" s="270" t="s">
        <v>2842</v>
      </c>
      <c r="AU984" s="464" t="s">
        <v>2842</v>
      </c>
      <c r="AV984" s="29">
        <v>-0.63880197540335404</v>
      </c>
      <c r="AW984" s="29">
        <v>-0.88911325472912595</v>
      </c>
      <c r="AX984" s="29">
        <v>-0.65869903860661405</v>
      </c>
      <c r="AY984" s="29">
        <v>-0.34552718722248699</v>
      </c>
      <c r="AZ984" s="60">
        <v>-1.0902106656717001</v>
      </c>
    </row>
    <row r="985" spans="1:52" s="29" customFormat="1" ht="15" customHeight="1">
      <c r="A985" s="63" t="s">
        <v>290</v>
      </c>
      <c r="B985" s="27">
        <v>2012</v>
      </c>
      <c r="C985" s="27" t="s">
        <v>278</v>
      </c>
      <c r="D985" s="69" t="s">
        <v>34</v>
      </c>
      <c r="E985" s="27" t="s">
        <v>19</v>
      </c>
      <c r="F985" s="27" t="s">
        <v>1420</v>
      </c>
      <c r="G985" s="43"/>
      <c r="H985" s="43"/>
      <c r="I985" s="43"/>
      <c r="J985" s="43"/>
      <c r="K985" s="27"/>
      <c r="L985" s="28">
        <f>564.5/0.000453592*0.0026</f>
        <v>3235.72726150373</v>
      </c>
      <c r="M985" s="29" t="s">
        <v>568</v>
      </c>
      <c r="N985" s="27" t="s">
        <v>1421</v>
      </c>
      <c r="O985" s="18">
        <f>G986*L985</f>
        <v>2989811.9896294465</v>
      </c>
      <c r="P985" s="213"/>
      <c r="Q985" s="213"/>
      <c r="R985" s="27"/>
      <c r="S985" s="27"/>
      <c r="T985" s="18"/>
      <c r="U985" s="27"/>
      <c r="V985" s="27"/>
      <c r="W985" s="30"/>
      <c r="X985" s="27"/>
      <c r="Y985" s="27"/>
      <c r="Z985" s="27"/>
      <c r="AA985" s="27">
        <v>3</v>
      </c>
      <c r="AB985" s="27"/>
      <c r="AC985" s="273">
        <v>217306922</v>
      </c>
      <c r="AD985" s="27">
        <v>6605139933.4106312</v>
      </c>
      <c r="AE985" s="228">
        <v>3.2899669680092815E-2</v>
      </c>
      <c r="AF985" s="27">
        <v>2003404993.2027788</v>
      </c>
      <c r="AG985" s="226">
        <v>0.10846879324813824</v>
      </c>
      <c r="AH985" s="226" t="s">
        <v>2842</v>
      </c>
      <c r="AI985" s="27">
        <v>472910000</v>
      </c>
      <c r="AJ985" s="226">
        <v>0.45951010128777148</v>
      </c>
      <c r="AK985" s="27">
        <v>282814334.3451606</v>
      </c>
      <c r="AL985" s="226">
        <v>0.76837308300925045</v>
      </c>
      <c r="AM985" s="27" t="s">
        <v>2842</v>
      </c>
      <c r="AN985" s="271" t="s">
        <v>2842</v>
      </c>
      <c r="AO985" s="27">
        <v>5607200</v>
      </c>
      <c r="AP985" s="27">
        <v>38</v>
      </c>
      <c r="AQ985" s="27">
        <v>70.002439024390242</v>
      </c>
      <c r="AR985" s="27">
        <v>23.2</v>
      </c>
      <c r="AS985" s="29">
        <v>98.370930000000001</v>
      </c>
      <c r="AT985" s="270" t="s">
        <v>2842</v>
      </c>
      <c r="AU985" s="464" t="s">
        <v>2842</v>
      </c>
      <c r="AV985" s="29">
        <v>-0.63880197540335404</v>
      </c>
      <c r="AW985" s="29">
        <v>-0.88911325472912595</v>
      </c>
      <c r="AX985" s="29">
        <v>-0.65869903860661405</v>
      </c>
      <c r="AY985" s="29">
        <v>-0.34552718722248699</v>
      </c>
      <c r="AZ985" s="60">
        <v>-1.0902106656717001</v>
      </c>
    </row>
    <row r="986" spans="1:52" s="29" customFormat="1" ht="15" customHeight="1">
      <c r="A986" s="63" t="s">
        <v>290</v>
      </c>
      <c r="B986" s="27">
        <v>2012</v>
      </c>
      <c r="C986" s="27" t="s">
        <v>278</v>
      </c>
      <c r="D986" s="69" t="s">
        <v>34</v>
      </c>
      <c r="E986" s="27" t="s">
        <v>19</v>
      </c>
      <c r="F986" s="27" t="s">
        <v>1423</v>
      </c>
      <c r="G986" s="43">
        <v>924</v>
      </c>
      <c r="H986" s="43"/>
      <c r="I986" s="43"/>
      <c r="J986" s="43"/>
      <c r="K986" s="27" t="s">
        <v>567</v>
      </c>
      <c r="L986" s="28"/>
      <c r="M986" s="27"/>
      <c r="N986" s="27" t="s">
        <v>636</v>
      </c>
      <c r="O986" s="18"/>
      <c r="P986" s="213"/>
      <c r="Q986" s="213"/>
      <c r="R986" s="27"/>
      <c r="S986" s="27"/>
      <c r="T986" s="18"/>
      <c r="U986" s="27"/>
      <c r="V986" s="27"/>
      <c r="W986" s="30"/>
      <c r="X986" s="27"/>
      <c r="Y986" s="27"/>
      <c r="Z986" s="27"/>
      <c r="AA986" s="27"/>
      <c r="AB986" s="27"/>
      <c r="AC986" s="273">
        <v>217306922</v>
      </c>
      <c r="AD986" s="27">
        <v>6605139933.4106312</v>
      </c>
      <c r="AE986" s="228">
        <v>3.2899669680092815E-2</v>
      </c>
      <c r="AF986" s="27">
        <v>2003404993.2027788</v>
      </c>
      <c r="AG986" s="226">
        <v>0.10846879324813824</v>
      </c>
      <c r="AH986" s="226" t="s">
        <v>2842</v>
      </c>
      <c r="AI986" s="27">
        <v>472910000</v>
      </c>
      <c r="AJ986" s="226">
        <v>0.45951010128777148</v>
      </c>
      <c r="AK986" s="27">
        <v>282814334.3451606</v>
      </c>
      <c r="AL986" s="226">
        <v>0.76837308300925045</v>
      </c>
      <c r="AM986" s="27" t="s">
        <v>2842</v>
      </c>
      <c r="AN986" s="271" t="s">
        <v>2842</v>
      </c>
      <c r="AO986" s="27">
        <v>5607200</v>
      </c>
      <c r="AP986" s="27">
        <v>38</v>
      </c>
      <c r="AQ986" s="27">
        <v>70.002439024390242</v>
      </c>
      <c r="AR986" s="27">
        <v>23.2</v>
      </c>
      <c r="AS986" s="29">
        <v>98.370930000000001</v>
      </c>
      <c r="AT986" s="270" t="s">
        <v>2842</v>
      </c>
      <c r="AU986" s="464" t="s">
        <v>2842</v>
      </c>
      <c r="AV986" s="29">
        <v>-0.63880197540335404</v>
      </c>
      <c r="AW986" s="29">
        <v>-0.88911325472912595</v>
      </c>
      <c r="AX986" s="29">
        <v>-0.65869903860661405</v>
      </c>
      <c r="AY986" s="29">
        <v>-0.34552718722248699</v>
      </c>
      <c r="AZ986" s="60">
        <v>-1.0902106656717001</v>
      </c>
    </row>
    <row r="987" spans="1:52" s="29" customFormat="1" ht="15" customHeight="1">
      <c r="A987" s="63" t="s">
        <v>290</v>
      </c>
      <c r="B987" s="27">
        <v>2012</v>
      </c>
      <c r="C987" s="27" t="s">
        <v>278</v>
      </c>
      <c r="D987" s="69" t="s">
        <v>34</v>
      </c>
      <c r="E987" s="27" t="s">
        <v>19</v>
      </c>
      <c r="F987" s="27" t="s">
        <v>1424</v>
      </c>
      <c r="G987" s="43">
        <v>1200</v>
      </c>
      <c r="H987" s="43"/>
      <c r="I987" s="43"/>
      <c r="J987" s="43"/>
      <c r="K987" s="27" t="s">
        <v>567</v>
      </c>
      <c r="L987" s="28"/>
      <c r="M987" s="27"/>
      <c r="N987" s="27" t="s">
        <v>636</v>
      </c>
      <c r="O987" s="18"/>
      <c r="P987" s="213"/>
      <c r="Q987" s="213"/>
      <c r="R987" s="27"/>
      <c r="S987" s="27"/>
      <c r="T987" s="18"/>
      <c r="U987" s="27"/>
      <c r="V987" s="27"/>
      <c r="W987" s="30"/>
      <c r="X987" s="27"/>
      <c r="Y987" s="27"/>
      <c r="Z987" s="27"/>
      <c r="AA987" s="27"/>
      <c r="AB987" s="27"/>
      <c r="AC987" s="273">
        <v>217306922</v>
      </c>
      <c r="AD987" s="27">
        <v>6605139933.4106312</v>
      </c>
      <c r="AE987" s="228">
        <v>3.2899669680092815E-2</v>
      </c>
      <c r="AF987" s="27">
        <v>2003404993.2027788</v>
      </c>
      <c r="AG987" s="226">
        <v>0.10846879324813824</v>
      </c>
      <c r="AH987" s="226" t="s">
        <v>2842</v>
      </c>
      <c r="AI987" s="27">
        <v>472910000</v>
      </c>
      <c r="AJ987" s="226">
        <v>0.45951010128777148</v>
      </c>
      <c r="AK987" s="27">
        <v>282814334.3451606</v>
      </c>
      <c r="AL987" s="226">
        <v>0.76837308300925045</v>
      </c>
      <c r="AM987" s="27" t="s">
        <v>2842</v>
      </c>
      <c r="AN987" s="271" t="s">
        <v>2842</v>
      </c>
      <c r="AO987" s="27">
        <v>5607200</v>
      </c>
      <c r="AP987" s="27">
        <v>38</v>
      </c>
      <c r="AQ987" s="27">
        <v>70.002439024390242</v>
      </c>
      <c r="AR987" s="27">
        <v>23.2</v>
      </c>
      <c r="AS987" s="29">
        <v>98.370930000000001</v>
      </c>
      <c r="AT987" s="270" t="s">
        <v>2842</v>
      </c>
      <c r="AU987" s="464" t="s">
        <v>2842</v>
      </c>
      <c r="AV987" s="29">
        <v>-0.63880197540335404</v>
      </c>
      <c r="AW987" s="29">
        <v>-0.88911325472912595</v>
      </c>
      <c r="AX987" s="29">
        <v>-0.65869903860661405</v>
      </c>
      <c r="AY987" s="29">
        <v>-0.34552718722248699</v>
      </c>
      <c r="AZ987" s="60">
        <v>-1.0902106656717001</v>
      </c>
    </row>
    <row r="988" spans="1:52" s="29" customFormat="1" ht="15" customHeight="1">
      <c r="A988" s="63" t="s">
        <v>290</v>
      </c>
      <c r="B988" s="27">
        <v>2012</v>
      </c>
      <c r="C988" s="27" t="s">
        <v>278</v>
      </c>
      <c r="D988" s="69" t="s">
        <v>34</v>
      </c>
      <c r="E988" s="27" t="s">
        <v>19</v>
      </c>
      <c r="F988" s="27" t="s">
        <v>1465</v>
      </c>
      <c r="G988" s="43">
        <v>0</v>
      </c>
      <c r="H988" s="43"/>
      <c r="I988" s="43"/>
      <c r="J988" s="43"/>
      <c r="K988" s="27" t="s">
        <v>567</v>
      </c>
      <c r="L988" s="28"/>
      <c r="M988" s="27"/>
      <c r="N988" s="27" t="s">
        <v>636</v>
      </c>
      <c r="O988" s="18">
        <f>G988*L988</f>
        <v>0</v>
      </c>
      <c r="P988" s="213"/>
      <c r="Q988" s="213"/>
      <c r="R988" s="27"/>
      <c r="S988" s="71"/>
      <c r="T988" s="18"/>
      <c r="U988" s="27"/>
      <c r="V988" s="27"/>
      <c r="W988" s="30"/>
      <c r="X988" s="27"/>
      <c r="Y988" s="27"/>
      <c r="Z988" s="27"/>
      <c r="AA988" s="27"/>
      <c r="AB988" s="27"/>
      <c r="AC988" s="273">
        <v>217306922</v>
      </c>
      <c r="AD988" s="27">
        <v>6605139933.4106312</v>
      </c>
      <c r="AE988" s="228">
        <v>3.2899669680092815E-2</v>
      </c>
      <c r="AF988" s="27">
        <v>2003404993.2027788</v>
      </c>
      <c r="AG988" s="226">
        <v>0.10846879324813824</v>
      </c>
      <c r="AH988" s="226" t="s">
        <v>2842</v>
      </c>
      <c r="AI988" s="27">
        <v>472910000</v>
      </c>
      <c r="AJ988" s="226">
        <v>0.45951010128777148</v>
      </c>
      <c r="AK988" s="27">
        <v>282814334.3451606</v>
      </c>
      <c r="AL988" s="226">
        <v>0.76837308300925045</v>
      </c>
      <c r="AM988" s="27" t="s">
        <v>2842</v>
      </c>
      <c r="AN988" s="271" t="s">
        <v>2842</v>
      </c>
      <c r="AO988" s="27">
        <v>5607200</v>
      </c>
      <c r="AP988" s="27">
        <v>38</v>
      </c>
      <c r="AQ988" s="27">
        <v>70.002439024390242</v>
      </c>
      <c r="AR988" s="27">
        <v>23.2</v>
      </c>
      <c r="AS988" s="29">
        <v>98.370930000000001</v>
      </c>
      <c r="AT988" s="270" t="s">
        <v>2842</v>
      </c>
      <c r="AU988" s="464" t="s">
        <v>2842</v>
      </c>
      <c r="AV988" s="29">
        <v>-0.63880197540335404</v>
      </c>
      <c r="AW988" s="29">
        <v>-0.88911325472912595</v>
      </c>
      <c r="AX988" s="29">
        <v>-0.65869903860661405</v>
      </c>
      <c r="AY988" s="29">
        <v>-0.34552718722248699</v>
      </c>
      <c r="AZ988" s="60">
        <v>-1.0902106656717001</v>
      </c>
    </row>
    <row r="989" spans="1:52" s="29" customFormat="1" ht="15" customHeight="1">
      <c r="A989" s="63" t="s">
        <v>290</v>
      </c>
      <c r="B989" s="27">
        <v>2012</v>
      </c>
      <c r="C989" s="27" t="s">
        <v>278</v>
      </c>
      <c r="D989" s="69" t="s">
        <v>34</v>
      </c>
      <c r="E989" s="27" t="s">
        <v>19</v>
      </c>
      <c r="F989" s="27" t="s">
        <v>1431</v>
      </c>
      <c r="G989" s="43">
        <v>74.7</v>
      </c>
      <c r="H989" s="43"/>
      <c r="I989" s="43"/>
      <c r="J989" s="43"/>
      <c r="K989" s="27" t="s">
        <v>567</v>
      </c>
      <c r="L989" s="28">
        <f>1850/0.035</f>
        <v>52857.142857142855</v>
      </c>
      <c r="M989" s="27" t="s">
        <v>568</v>
      </c>
      <c r="N989" s="27" t="s">
        <v>1432</v>
      </c>
      <c r="O989" s="18">
        <f>G989*L989</f>
        <v>3948428.5714285714</v>
      </c>
      <c r="P989" s="213"/>
      <c r="Q989" s="213"/>
      <c r="R989" s="27"/>
      <c r="S989" s="71"/>
      <c r="T989" s="18"/>
      <c r="U989" s="27"/>
      <c r="V989" s="27"/>
      <c r="W989" s="30"/>
      <c r="X989" s="27"/>
      <c r="Y989" s="27"/>
      <c r="Z989" s="27"/>
      <c r="AA989" s="27"/>
      <c r="AB989" s="27"/>
      <c r="AC989" s="273">
        <v>217306922</v>
      </c>
      <c r="AD989" s="27">
        <v>6605139933.4106312</v>
      </c>
      <c r="AE989" s="228">
        <v>3.2899669680092815E-2</v>
      </c>
      <c r="AF989" s="27">
        <v>2003404993.2027788</v>
      </c>
      <c r="AG989" s="226">
        <v>0.10846879324813824</v>
      </c>
      <c r="AH989" s="226" t="s">
        <v>2842</v>
      </c>
      <c r="AI989" s="27">
        <v>472910000</v>
      </c>
      <c r="AJ989" s="226">
        <v>0.45951010128777148</v>
      </c>
      <c r="AK989" s="27">
        <v>282814334.3451606</v>
      </c>
      <c r="AL989" s="226">
        <v>0.76837308300925045</v>
      </c>
      <c r="AM989" s="27" t="s">
        <v>2842</v>
      </c>
      <c r="AN989" s="271" t="s">
        <v>2842</v>
      </c>
      <c r="AO989" s="27">
        <v>5607200</v>
      </c>
      <c r="AP989" s="27">
        <v>38</v>
      </c>
      <c r="AQ989" s="27">
        <v>70.002439024390242</v>
      </c>
      <c r="AR989" s="27">
        <v>23.2</v>
      </c>
      <c r="AS989" s="29">
        <v>98.370930000000001</v>
      </c>
      <c r="AT989" s="270" t="s">
        <v>2842</v>
      </c>
      <c r="AU989" s="464" t="s">
        <v>2842</v>
      </c>
      <c r="AV989" s="29">
        <v>-0.63880197540335404</v>
      </c>
      <c r="AW989" s="29">
        <v>-0.88911325472912595</v>
      </c>
      <c r="AX989" s="29">
        <v>-0.65869903860661405</v>
      </c>
      <c r="AY989" s="29">
        <v>-0.34552718722248699</v>
      </c>
      <c r="AZ989" s="60">
        <v>-1.0902106656717001</v>
      </c>
    </row>
    <row r="990" spans="1:52" s="29" customFormat="1" ht="15" customHeight="1">
      <c r="A990" s="63" t="s">
        <v>290</v>
      </c>
      <c r="B990" s="27">
        <v>2012</v>
      </c>
      <c r="C990" s="27" t="s">
        <v>278</v>
      </c>
      <c r="D990" s="69" t="s">
        <v>34</v>
      </c>
      <c r="E990" s="27" t="s">
        <v>19</v>
      </c>
      <c r="F990" s="27" t="s">
        <v>1451</v>
      </c>
      <c r="G990" s="43"/>
      <c r="H990" s="43"/>
      <c r="I990" s="43"/>
      <c r="J990" s="43"/>
      <c r="K990" s="27"/>
      <c r="L990" s="28"/>
      <c r="M990" s="27"/>
      <c r="N990" s="27"/>
      <c r="O990" s="18"/>
      <c r="P990" s="213"/>
      <c r="Q990" s="213"/>
      <c r="R990" s="27"/>
      <c r="S990" s="27"/>
      <c r="T990" s="18"/>
      <c r="U990" s="27"/>
      <c r="V990" s="27"/>
      <c r="W990" s="30"/>
      <c r="X990" s="27"/>
      <c r="Y990" s="27"/>
      <c r="Z990" s="27"/>
      <c r="AA990" s="27"/>
      <c r="AB990" s="27"/>
      <c r="AC990" s="273">
        <v>217306922</v>
      </c>
      <c r="AD990" s="27">
        <v>6605139933.4106312</v>
      </c>
      <c r="AE990" s="228">
        <v>3.2899669680092815E-2</v>
      </c>
      <c r="AF990" s="27">
        <v>2003404993.2027788</v>
      </c>
      <c r="AG990" s="226">
        <v>0.10846879324813824</v>
      </c>
      <c r="AH990" s="226" t="s">
        <v>2842</v>
      </c>
      <c r="AI990" s="27">
        <v>472910000</v>
      </c>
      <c r="AJ990" s="226">
        <v>0.45951010128777148</v>
      </c>
      <c r="AK990" s="27">
        <v>282814334.3451606</v>
      </c>
      <c r="AL990" s="226">
        <v>0.76837308300925045</v>
      </c>
      <c r="AM990" s="27" t="s">
        <v>2842</v>
      </c>
      <c r="AN990" s="271" t="s">
        <v>2842</v>
      </c>
      <c r="AO990" s="27">
        <v>5607200</v>
      </c>
      <c r="AP990" s="27">
        <v>38</v>
      </c>
      <c r="AQ990" s="27">
        <v>70.002439024390242</v>
      </c>
      <c r="AR990" s="27">
        <v>23.2</v>
      </c>
      <c r="AS990" s="29">
        <v>98.370930000000001</v>
      </c>
      <c r="AT990" s="270" t="s">
        <v>2842</v>
      </c>
      <c r="AU990" s="464" t="s">
        <v>2842</v>
      </c>
      <c r="AV990" s="29">
        <v>-0.63880197540335404</v>
      </c>
      <c r="AW990" s="29">
        <v>-0.88911325472912595</v>
      </c>
      <c r="AX990" s="29">
        <v>-0.65869903860661405</v>
      </c>
      <c r="AY990" s="29">
        <v>-0.34552718722248699</v>
      </c>
      <c r="AZ990" s="60">
        <v>-1.0902106656717001</v>
      </c>
    </row>
    <row r="991" spans="1:52" s="29" customFormat="1" ht="15" customHeight="1">
      <c r="A991" s="63" t="s">
        <v>290</v>
      </c>
      <c r="B991" s="27">
        <v>2012</v>
      </c>
      <c r="C991" s="27" t="s">
        <v>278</v>
      </c>
      <c r="D991" s="69" t="s">
        <v>34</v>
      </c>
      <c r="E991" s="27" t="s">
        <v>19</v>
      </c>
      <c r="F991" s="27" t="s">
        <v>1425</v>
      </c>
      <c r="G991" s="43">
        <v>1800</v>
      </c>
      <c r="H991" s="43"/>
      <c r="I991" s="43"/>
      <c r="J991" s="43"/>
      <c r="K991" s="27" t="s">
        <v>567</v>
      </c>
      <c r="L991" s="28"/>
      <c r="M991" s="27"/>
      <c r="N991" s="27" t="s">
        <v>636</v>
      </c>
      <c r="O991" s="18"/>
      <c r="P991" s="213"/>
      <c r="Q991" s="213"/>
      <c r="R991" s="27"/>
      <c r="S991" s="27"/>
      <c r="T991" s="18"/>
      <c r="U991" s="27"/>
      <c r="V991" s="27"/>
      <c r="W991" s="30"/>
      <c r="X991" s="27"/>
      <c r="Y991" s="27"/>
      <c r="Z991" s="27"/>
      <c r="AA991" s="27"/>
      <c r="AB991" s="27" t="s">
        <v>1466</v>
      </c>
      <c r="AC991" s="273">
        <v>217306922</v>
      </c>
      <c r="AD991" s="27">
        <v>6605139933.4106312</v>
      </c>
      <c r="AE991" s="228">
        <v>3.2899669680092815E-2</v>
      </c>
      <c r="AF991" s="27">
        <v>2003404993.2027788</v>
      </c>
      <c r="AG991" s="226">
        <v>0.10846879324813824</v>
      </c>
      <c r="AH991" s="226" t="s">
        <v>2842</v>
      </c>
      <c r="AI991" s="27">
        <v>472910000</v>
      </c>
      <c r="AJ991" s="226">
        <v>0.45951010128777148</v>
      </c>
      <c r="AK991" s="27">
        <v>282814334.3451606</v>
      </c>
      <c r="AL991" s="226">
        <v>0.76837308300925045</v>
      </c>
      <c r="AM991" s="27" t="s">
        <v>2842</v>
      </c>
      <c r="AN991" s="271" t="s">
        <v>2842</v>
      </c>
      <c r="AO991" s="27">
        <v>5607200</v>
      </c>
      <c r="AP991" s="27">
        <v>38</v>
      </c>
      <c r="AQ991" s="27">
        <v>70.002439024390242</v>
      </c>
      <c r="AR991" s="27">
        <v>23.2</v>
      </c>
      <c r="AS991" s="29">
        <v>98.370930000000001</v>
      </c>
      <c r="AT991" s="270" t="s">
        <v>2842</v>
      </c>
      <c r="AU991" s="464" t="s">
        <v>2842</v>
      </c>
      <c r="AV991" s="29">
        <v>-0.63880197540335404</v>
      </c>
      <c r="AW991" s="29">
        <v>-0.88911325472912595</v>
      </c>
      <c r="AX991" s="29">
        <v>-0.65869903860661405</v>
      </c>
      <c r="AY991" s="29">
        <v>-0.34552718722248699</v>
      </c>
      <c r="AZ991" s="60">
        <v>-1.0902106656717001</v>
      </c>
    </row>
    <row r="992" spans="1:52" s="232" customFormat="1" ht="15" customHeight="1" thickBot="1">
      <c r="A992" s="363" t="s">
        <v>290</v>
      </c>
      <c r="B992" s="230">
        <v>2012</v>
      </c>
      <c r="C992" s="230" t="s">
        <v>278</v>
      </c>
      <c r="D992" s="385" t="s">
        <v>34</v>
      </c>
      <c r="E992" s="230" t="s">
        <v>19</v>
      </c>
      <c r="F992" s="230" t="s">
        <v>1426</v>
      </c>
      <c r="G992" s="297">
        <v>2150</v>
      </c>
      <c r="H992" s="297"/>
      <c r="I992" s="297"/>
      <c r="J992" s="297"/>
      <c r="K992" s="230" t="s">
        <v>567</v>
      </c>
      <c r="L992" s="298"/>
      <c r="M992" s="230"/>
      <c r="N992" s="230" t="s">
        <v>636</v>
      </c>
      <c r="O992" s="285"/>
      <c r="P992" s="299"/>
      <c r="Q992" s="299"/>
      <c r="R992" s="230"/>
      <c r="S992" s="230"/>
      <c r="T992" s="285"/>
      <c r="U992" s="230"/>
      <c r="V992" s="230"/>
      <c r="W992" s="300"/>
      <c r="X992" s="230"/>
      <c r="Y992" s="230"/>
      <c r="Z992" s="230"/>
      <c r="AA992" s="230"/>
      <c r="AB992" s="230" t="s">
        <v>1466</v>
      </c>
      <c r="AC992" s="274">
        <v>217306922</v>
      </c>
      <c r="AD992" s="230">
        <v>6605139933.4106312</v>
      </c>
      <c r="AE992" s="229">
        <v>3.2899669680092815E-2</v>
      </c>
      <c r="AF992" s="230">
        <v>2003404993.2027788</v>
      </c>
      <c r="AG992" s="231">
        <v>0.10846879324813824</v>
      </c>
      <c r="AH992" s="231" t="s">
        <v>2842</v>
      </c>
      <c r="AI992" s="230">
        <v>472910000</v>
      </c>
      <c r="AJ992" s="231">
        <v>0.45951010128777148</v>
      </c>
      <c r="AK992" s="230">
        <v>282814334.3451606</v>
      </c>
      <c r="AL992" s="231">
        <v>0.76837308300925045</v>
      </c>
      <c r="AM992" s="230" t="s">
        <v>2842</v>
      </c>
      <c r="AN992" s="275" t="s">
        <v>2842</v>
      </c>
      <c r="AO992" s="230">
        <v>5607200</v>
      </c>
      <c r="AP992" s="230">
        <v>38</v>
      </c>
      <c r="AQ992" s="230">
        <v>70.002439024390242</v>
      </c>
      <c r="AR992" s="230">
        <v>23.2</v>
      </c>
      <c r="AS992" s="232">
        <v>98.370930000000001</v>
      </c>
      <c r="AT992" s="276" t="s">
        <v>2842</v>
      </c>
      <c r="AU992" s="466" t="s">
        <v>2842</v>
      </c>
      <c r="AV992" s="232">
        <v>-0.63880197540335404</v>
      </c>
      <c r="AW992" s="232">
        <v>-0.88911325472912595</v>
      </c>
      <c r="AX992" s="232">
        <v>-0.65869903860661405</v>
      </c>
      <c r="AY992" s="232">
        <v>-0.34552718722248699</v>
      </c>
      <c r="AZ992" s="293">
        <v>-1.0902106656717001</v>
      </c>
    </row>
    <row r="993" spans="1:52" ht="15" customHeight="1">
      <c r="A993" s="63" t="s">
        <v>293</v>
      </c>
      <c r="B993" s="27">
        <v>2008</v>
      </c>
      <c r="C993" s="27" t="s">
        <v>294</v>
      </c>
      <c r="D993" s="69" t="s">
        <v>81</v>
      </c>
      <c r="E993" s="27" t="s">
        <v>512</v>
      </c>
      <c r="F993" s="27" t="s">
        <v>659</v>
      </c>
      <c r="G993" s="43"/>
      <c r="H993" s="43"/>
      <c r="I993" s="43"/>
      <c r="J993" s="43"/>
      <c r="K993" s="27"/>
      <c r="L993" s="28"/>
      <c r="M993" s="27"/>
      <c r="N993" s="27"/>
      <c r="O993" s="18">
        <f>O994+O995+O1001</f>
        <v>30824036.095368151</v>
      </c>
      <c r="P993" s="246">
        <f>29447339+(220300/W993)</f>
        <v>29450878.977873351</v>
      </c>
      <c r="Q993" s="246">
        <f>29454662+(32420/W993)</f>
        <v>29455182.953620762</v>
      </c>
      <c r="R993" s="27" t="s">
        <v>619</v>
      </c>
      <c r="S993" s="27"/>
      <c r="T993" s="18"/>
      <c r="U993" s="27" t="s">
        <v>917</v>
      </c>
      <c r="V993" s="27" t="s">
        <v>1468</v>
      </c>
      <c r="W993" s="30">
        <f>((61.27/365)*184)+((63.21/365)*181)</f>
        <v>62.232027397260282</v>
      </c>
      <c r="X993" s="27">
        <v>67</v>
      </c>
      <c r="Y993" s="27" t="s">
        <v>1469</v>
      </c>
      <c r="Z993" s="27">
        <v>30</v>
      </c>
      <c r="AA993" s="27" t="s">
        <v>1438</v>
      </c>
      <c r="AB993" s="27" t="s">
        <v>1471</v>
      </c>
      <c r="AC993" s="273">
        <v>29450878.977873351</v>
      </c>
      <c r="AD993" s="27">
        <v>850040458.83963132</v>
      </c>
      <c r="AE993" s="228">
        <v>3.4646443791717864E-2</v>
      </c>
      <c r="AF993" s="27">
        <v>82377420.866148666</v>
      </c>
      <c r="AG993" s="226">
        <v>0.35751154464676371</v>
      </c>
      <c r="AH993" s="226" t="s">
        <v>2842</v>
      </c>
      <c r="AI993" s="27">
        <v>1250990000</v>
      </c>
      <c r="AJ993" s="226">
        <v>2.354205787246369E-2</v>
      </c>
      <c r="AK993" s="27">
        <v>33170736.060026687</v>
      </c>
      <c r="AL993" s="226">
        <v>0.8878572644447269</v>
      </c>
      <c r="AM993" s="27">
        <v>27722114.471999247</v>
      </c>
      <c r="AN993" s="271">
        <v>1.0623604850784469</v>
      </c>
      <c r="AO993" s="27">
        <v>3672714</v>
      </c>
      <c r="AP993" s="27" t="s">
        <v>2842</v>
      </c>
      <c r="AQ993" s="27">
        <v>58.107487804878055</v>
      </c>
      <c r="AR993" s="27">
        <v>67.3</v>
      </c>
      <c r="AS993" s="29">
        <v>42.623980000000003</v>
      </c>
      <c r="AT993" s="270">
        <v>37</v>
      </c>
      <c r="AU993" s="464">
        <v>61.601187830035428</v>
      </c>
      <c r="AV993" s="29">
        <v>-0.244130800472245</v>
      </c>
      <c r="AW993" s="29">
        <v>-1.2833706522674</v>
      </c>
      <c r="AX993" s="29">
        <v>-1.3146435488689701</v>
      </c>
      <c r="AY993" s="29">
        <v>-1.33582247690553</v>
      </c>
      <c r="AZ993" s="60">
        <v>-0.700397447012164</v>
      </c>
    </row>
    <row r="994" spans="1:52" ht="15" customHeight="1">
      <c r="A994" s="63" t="s">
        <v>293</v>
      </c>
      <c r="B994" s="27">
        <v>2008</v>
      </c>
      <c r="C994" s="27" t="s">
        <v>294</v>
      </c>
      <c r="D994" s="69" t="s">
        <v>81</v>
      </c>
      <c r="E994" s="27" t="s">
        <v>98</v>
      </c>
      <c r="F994" s="27" t="s">
        <v>98</v>
      </c>
      <c r="G994" s="43">
        <v>0</v>
      </c>
      <c r="H994" s="43"/>
      <c r="I994" s="43"/>
      <c r="J994" s="43"/>
      <c r="K994" s="27" t="s">
        <v>603</v>
      </c>
      <c r="L994" s="28"/>
      <c r="M994" s="27"/>
      <c r="N994" s="27" t="s">
        <v>604</v>
      </c>
      <c r="O994" s="18">
        <f>G994*L994</f>
        <v>0</v>
      </c>
      <c r="P994" s="214">
        <f>3102732+(160000/W993)</f>
        <v>3105303.0234214072</v>
      </c>
      <c r="Q994" s="214">
        <v>3024000</v>
      </c>
      <c r="R994" s="27"/>
      <c r="S994" s="27"/>
      <c r="T994" s="18"/>
      <c r="U994" s="27"/>
      <c r="V994" s="27"/>
      <c r="W994" s="30"/>
      <c r="X994" s="27"/>
      <c r="Y994" s="27" t="s">
        <v>1472</v>
      </c>
      <c r="Z994" s="27">
        <v>3</v>
      </c>
      <c r="AA994" s="27" t="s">
        <v>1438</v>
      </c>
      <c r="AB994" s="27" t="s">
        <v>1473</v>
      </c>
      <c r="AC994" s="273">
        <v>29450878.977873351</v>
      </c>
      <c r="AD994" s="27">
        <v>850040458.83963132</v>
      </c>
      <c r="AE994" s="228">
        <v>3.4646443791717864E-2</v>
      </c>
      <c r="AF994" s="27">
        <v>82377420.866148666</v>
      </c>
      <c r="AG994" s="226">
        <v>0.35751154464676371</v>
      </c>
      <c r="AH994" s="226" t="s">
        <v>2842</v>
      </c>
      <c r="AI994" s="27">
        <v>1250990000</v>
      </c>
      <c r="AJ994" s="226">
        <v>2.354205787246369E-2</v>
      </c>
      <c r="AK994" s="27">
        <v>33170736.060026687</v>
      </c>
      <c r="AL994" s="226">
        <v>0.8878572644447269</v>
      </c>
      <c r="AM994" s="27">
        <v>27722114.471999247</v>
      </c>
      <c r="AN994" s="271">
        <v>1.0623604850784469</v>
      </c>
      <c r="AO994" s="27">
        <v>3672714</v>
      </c>
      <c r="AP994" s="27" t="s">
        <v>2842</v>
      </c>
      <c r="AQ994" s="27">
        <v>58.107487804878055</v>
      </c>
      <c r="AR994" s="27">
        <v>67.3</v>
      </c>
      <c r="AS994" s="29">
        <v>42.623980000000003</v>
      </c>
      <c r="AT994" s="270">
        <v>37</v>
      </c>
      <c r="AU994" s="464">
        <v>61.601187830035428</v>
      </c>
      <c r="AV994" s="29">
        <v>-0.244130800472245</v>
      </c>
      <c r="AW994" s="29">
        <v>-1.2833706522674</v>
      </c>
      <c r="AX994" s="29">
        <v>-1.3146435488689701</v>
      </c>
      <c r="AY994" s="29">
        <v>-1.33582247690553</v>
      </c>
      <c r="AZ994" s="60">
        <v>-0.700397447012164</v>
      </c>
    </row>
    <row r="995" spans="1:52" ht="15" customHeight="1">
      <c r="A995" s="63" t="s">
        <v>293</v>
      </c>
      <c r="B995" s="27">
        <v>2008</v>
      </c>
      <c r="C995" s="27" t="s">
        <v>294</v>
      </c>
      <c r="D995" s="69" t="s">
        <v>81</v>
      </c>
      <c r="E995" s="27" t="s">
        <v>19</v>
      </c>
      <c r="F995" s="27" t="s">
        <v>559</v>
      </c>
      <c r="G995" s="43"/>
      <c r="H995" s="43"/>
      <c r="I995" s="43"/>
      <c r="J995" s="43"/>
      <c r="K995" s="27"/>
      <c r="L995" s="28"/>
      <c r="M995" s="27"/>
      <c r="N995" s="27"/>
      <c r="O995" s="18">
        <f>SUM(O996:O1000)</f>
        <v>30824036.095368151</v>
      </c>
      <c r="P995" s="214">
        <f>203201+(12200/W993)</f>
        <v>203397.04053588229</v>
      </c>
      <c r="Q995" s="214">
        <f>291920+(7420/W993)</f>
        <v>292039.23121116776</v>
      </c>
      <c r="R995" s="27"/>
      <c r="S995" s="27"/>
      <c r="T995" s="18"/>
      <c r="U995" s="27"/>
      <c r="V995" s="27"/>
      <c r="W995" s="30"/>
      <c r="X995" s="29"/>
      <c r="Y995" s="27" t="s">
        <v>1474</v>
      </c>
      <c r="Z995" s="27">
        <v>25</v>
      </c>
      <c r="AA995" s="27" t="s">
        <v>1438</v>
      </c>
      <c r="AB995" s="27"/>
      <c r="AC995" s="273">
        <v>29450878.977873351</v>
      </c>
      <c r="AD995" s="27">
        <v>850040458.83963132</v>
      </c>
      <c r="AE995" s="228">
        <v>3.4646443791717864E-2</v>
      </c>
      <c r="AF995" s="27">
        <v>82377420.866148666</v>
      </c>
      <c r="AG995" s="226">
        <v>0.35751154464676371</v>
      </c>
      <c r="AH995" s="226" t="s">
        <v>2842</v>
      </c>
      <c r="AI995" s="27">
        <v>1250990000</v>
      </c>
      <c r="AJ995" s="226">
        <v>2.354205787246369E-2</v>
      </c>
      <c r="AK995" s="27">
        <v>33170736.060026687</v>
      </c>
      <c r="AL995" s="226">
        <v>0.8878572644447269</v>
      </c>
      <c r="AM995" s="27">
        <v>27722114.471999247</v>
      </c>
      <c r="AN995" s="271">
        <v>1.0623604850784469</v>
      </c>
      <c r="AO995" s="27">
        <v>3672714</v>
      </c>
      <c r="AP995" s="27" t="s">
        <v>2842</v>
      </c>
      <c r="AQ995" s="27">
        <v>58.107487804878055</v>
      </c>
      <c r="AR995" s="27">
        <v>67.3</v>
      </c>
      <c r="AS995" s="29">
        <v>42.623980000000003</v>
      </c>
      <c r="AT995" s="270">
        <v>37</v>
      </c>
      <c r="AU995" s="464">
        <v>61.601187830035428</v>
      </c>
      <c r="AV995" s="29">
        <v>-0.244130800472245</v>
      </c>
      <c r="AW995" s="29">
        <v>-1.2833706522674</v>
      </c>
      <c r="AX995" s="29">
        <v>-1.3146435488689701</v>
      </c>
      <c r="AY995" s="29">
        <v>-1.33582247690553</v>
      </c>
      <c r="AZ995" s="60">
        <v>-0.700397447012164</v>
      </c>
    </row>
    <row r="996" spans="1:52" ht="15" customHeight="1">
      <c r="A996" s="63" t="s">
        <v>293</v>
      </c>
      <c r="B996" s="27">
        <v>2008</v>
      </c>
      <c r="C996" s="27" t="s">
        <v>294</v>
      </c>
      <c r="D996" s="69" t="s">
        <v>81</v>
      </c>
      <c r="E996" s="27" t="s">
        <v>19</v>
      </c>
      <c r="F996" s="27" t="s">
        <v>566</v>
      </c>
      <c r="G996" s="43">
        <f>((157200/365)*184)+((94037/365)*181)</f>
        <v>125878.07397260274</v>
      </c>
      <c r="H996" s="43"/>
      <c r="I996" s="43"/>
      <c r="J996" s="43"/>
      <c r="K996" s="27" t="s">
        <v>567</v>
      </c>
      <c r="L996" s="28">
        <f>((105/365)*184)+((107/365)*181)</f>
        <v>105.99178082191781</v>
      </c>
      <c r="M996" s="27" t="s">
        <v>568</v>
      </c>
      <c r="N996" s="27" t="s">
        <v>1475</v>
      </c>
      <c r="O996" s="18">
        <f>G996*L996</f>
        <v>13342041.226789268</v>
      </c>
      <c r="P996" s="214"/>
      <c r="Q996" s="214"/>
      <c r="R996" s="27"/>
      <c r="S996" s="27"/>
      <c r="T996" s="18"/>
      <c r="U996" s="27"/>
      <c r="V996" s="27"/>
      <c r="W996" s="30"/>
      <c r="X996" s="29"/>
      <c r="Y996" s="27"/>
      <c r="Z996" s="27"/>
      <c r="AA996" s="27"/>
      <c r="AB996" s="27" t="s">
        <v>1476</v>
      </c>
      <c r="AC996" s="273">
        <v>29450878.977873351</v>
      </c>
      <c r="AD996" s="27">
        <v>850040458.83963132</v>
      </c>
      <c r="AE996" s="228">
        <v>3.4646443791717864E-2</v>
      </c>
      <c r="AF996" s="27">
        <v>82377420.866148666</v>
      </c>
      <c r="AG996" s="226">
        <v>0.35751154464676371</v>
      </c>
      <c r="AH996" s="226" t="s">
        <v>2842</v>
      </c>
      <c r="AI996" s="27">
        <v>1250990000</v>
      </c>
      <c r="AJ996" s="226">
        <v>2.354205787246369E-2</v>
      </c>
      <c r="AK996" s="27">
        <v>33170736.060026687</v>
      </c>
      <c r="AL996" s="226">
        <v>0.8878572644447269</v>
      </c>
      <c r="AM996" s="27">
        <v>27722114.471999247</v>
      </c>
      <c r="AN996" s="271">
        <v>1.0623604850784469</v>
      </c>
      <c r="AO996" s="27">
        <v>3672714</v>
      </c>
      <c r="AP996" s="27" t="s">
        <v>2842</v>
      </c>
      <c r="AQ996" s="27">
        <v>58.107487804878055</v>
      </c>
      <c r="AR996" s="27">
        <v>67.3</v>
      </c>
      <c r="AS996" s="29">
        <v>42.623980000000003</v>
      </c>
      <c r="AT996" s="270">
        <v>37</v>
      </c>
      <c r="AU996" s="464">
        <v>61.601187830035428</v>
      </c>
      <c r="AV996" s="29">
        <v>-0.244130800472245</v>
      </c>
      <c r="AW996" s="29">
        <v>-1.2833706522674</v>
      </c>
      <c r="AX996" s="29">
        <v>-1.3146435488689701</v>
      </c>
      <c r="AY996" s="29">
        <v>-1.33582247690553</v>
      </c>
      <c r="AZ996" s="60">
        <v>-0.700397447012164</v>
      </c>
    </row>
    <row r="997" spans="1:52" ht="15" customHeight="1">
      <c r="A997" s="63" t="s">
        <v>293</v>
      </c>
      <c r="B997" s="27">
        <v>2008</v>
      </c>
      <c r="C997" s="27" t="s">
        <v>294</v>
      </c>
      <c r="D997" s="69" t="s">
        <v>81</v>
      </c>
      <c r="E997" s="27" t="s">
        <v>19</v>
      </c>
      <c r="F997" s="27" t="s">
        <v>904</v>
      </c>
      <c r="G997" s="43">
        <f>((21700/365)*184)+((47007/365)*181)</f>
        <v>34249.498630136994</v>
      </c>
      <c r="H997" s="43"/>
      <c r="I997" s="43"/>
      <c r="J997" s="43"/>
      <c r="K997" s="27" t="s">
        <v>905</v>
      </c>
      <c r="L997" s="28">
        <f>((122.47/365)*184)+((210.43/365)*181)</f>
        <v>166.08852054794519</v>
      </c>
      <c r="M997" s="27" t="s">
        <v>906</v>
      </c>
      <c r="N997" s="27" t="s">
        <v>1477</v>
      </c>
      <c r="O997" s="18">
        <f>G997*L997</f>
        <v>5688448.5569883287</v>
      </c>
      <c r="P997" s="214"/>
      <c r="Q997" s="214"/>
      <c r="R997" s="27"/>
      <c r="S997" s="27"/>
      <c r="T997" s="18"/>
      <c r="U997" s="27"/>
      <c r="V997" s="27"/>
      <c r="W997" s="30"/>
      <c r="X997" s="29"/>
      <c r="Y997" s="27"/>
      <c r="Z997" s="27"/>
      <c r="AA997" s="27"/>
      <c r="AB997" s="27" t="s">
        <v>1476</v>
      </c>
      <c r="AC997" s="273">
        <v>29450878.977873351</v>
      </c>
      <c r="AD997" s="27">
        <v>850040458.83963132</v>
      </c>
      <c r="AE997" s="228">
        <v>3.4646443791717864E-2</v>
      </c>
      <c r="AF997" s="27">
        <v>82377420.866148666</v>
      </c>
      <c r="AG997" s="226">
        <v>0.35751154464676371</v>
      </c>
      <c r="AH997" s="226" t="s">
        <v>2842</v>
      </c>
      <c r="AI997" s="27">
        <v>1250990000</v>
      </c>
      <c r="AJ997" s="226">
        <v>2.354205787246369E-2</v>
      </c>
      <c r="AK997" s="27">
        <v>33170736.060026687</v>
      </c>
      <c r="AL997" s="226">
        <v>0.8878572644447269</v>
      </c>
      <c r="AM997" s="27">
        <v>27722114.471999247</v>
      </c>
      <c r="AN997" s="271">
        <v>1.0623604850784469</v>
      </c>
      <c r="AO997" s="27">
        <v>3672714</v>
      </c>
      <c r="AP997" s="27" t="s">
        <v>2842</v>
      </c>
      <c r="AQ997" s="27">
        <v>58.107487804878055</v>
      </c>
      <c r="AR997" s="27">
        <v>67.3</v>
      </c>
      <c r="AS997" s="29">
        <v>42.623980000000003</v>
      </c>
      <c r="AT997" s="270">
        <v>37</v>
      </c>
      <c r="AU997" s="464">
        <v>61.601187830035428</v>
      </c>
      <c r="AV997" s="29">
        <v>-0.244130800472245</v>
      </c>
      <c r="AW997" s="29">
        <v>-1.2833706522674</v>
      </c>
      <c r="AX997" s="29">
        <v>-1.3146435488689701</v>
      </c>
      <c r="AY997" s="29">
        <v>-1.33582247690553</v>
      </c>
      <c r="AZ997" s="60">
        <v>-0.700397447012164</v>
      </c>
    </row>
    <row r="998" spans="1:52" ht="15" customHeight="1">
      <c r="A998" s="63" t="s">
        <v>293</v>
      </c>
      <c r="B998" s="27">
        <v>2008</v>
      </c>
      <c r="C998" s="27" t="s">
        <v>294</v>
      </c>
      <c r="D998" s="69" t="s">
        <v>81</v>
      </c>
      <c r="E998" s="27" t="s">
        <v>19</v>
      </c>
      <c r="F998" s="27" t="s">
        <v>730</v>
      </c>
      <c r="G998" s="43">
        <f>(((311/365)*184)+((624/365)*181))*32.150743126506</f>
        <v>14989.11686671582</v>
      </c>
      <c r="H998" s="43"/>
      <c r="I998" s="43"/>
      <c r="J998" s="43"/>
      <c r="K998" s="27" t="s">
        <v>731</v>
      </c>
      <c r="L998" s="28">
        <f>(((696.72/365)*184)+((871.71/365)*181))*0.8663</f>
        <v>678.74246612876709</v>
      </c>
      <c r="M998" s="27" t="s">
        <v>732</v>
      </c>
      <c r="N998" s="27" t="s">
        <v>1478</v>
      </c>
      <c r="O998" s="18">
        <f>G998*L998</f>
        <v>10173750.147206994</v>
      </c>
      <c r="P998" s="214"/>
      <c r="Q998" s="214"/>
      <c r="R998" s="27"/>
      <c r="S998" s="27"/>
      <c r="T998" s="18"/>
      <c r="U998" s="28"/>
      <c r="V998" s="27"/>
      <c r="W998" s="30"/>
      <c r="X998" s="29"/>
      <c r="Y998" s="27"/>
      <c r="Z998" s="27"/>
      <c r="AA998" s="27"/>
      <c r="AB998" s="27" t="s">
        <v>1479</v>
      </c>
      <c r="AC998" s="273">
        <v>29450878.977873351</v>
      </c>
      <c r="AD998" s="27">
        <v>850040458.83963132</v>
      </c>
      <c r="AE998" s="228">
        <v>3.4646443791717864E-2</v>
      </c>
      <c r="AF998" s="27">
        <v>82377420.866148666</v>
      </c>
      <c r="AG998" s="226">
        <v>0.35751154464676371</v>
      </c>
      <c r="AH998" s="226" t="s">
        <v>2842</v>
      </c>
      <c r="AI998" s="27">
        <v>1250990000</v>
      </c>
      <c r="AJ998" s="226">
        <v>2.354205787246369E-2</v>
      </c>
      <c r="AK998" s="27">
        <v>33170736.060026687</v>
      </c>
      <c r="AL998" s="226">
        <v>0.8878572644447269</v>
      </c>
      <c r="AM998" s="27">
        <v>27722114.471999247</v>
      </c>
      <c r="AN998" s="271">
        <v>1.0623604850784469</v>
      </c>
      <c r="AO998" s="27">
        <v>3672714</v>
      </c>
      <c r="AP998" s="27" t="s">
        <v>2842</v>
      </c>
      <c r="AQ998" s="27">
        <v>58.107487804878055</v>
      </c>
      <c r="AR998" s="27">
        <v>67.3</v>
      </c>
      <c r="AS998" s="29">
        <v>42.623980000000003</v>
      </c>
      <c r="AT998" s="270">
        <v>37</v>
      </c>
      <c r="AU998" s="464">
        <v>61.601187830035428</v>
      </c>
      <c r="AV998" s="29">
        <v>-0.244130800472245</v>
      </c>
      <c r="AW998" s="29">
        <v>-1.2833706522674</v>
      </c>
      <c r="AX998" s="29">
        <v>-1.3146435488689701</v>
      </c>
      <c r="AY998" s="29">
        <v>-1.33582247690553</v>
      </c>
      <c r="AZ998" s="60">
        <v>-0.700397447012164</v>
      </c>
    </row>
    <row r="999" spans="1:52" ht="15" customHeight="1">
      <c r="A999" s="63" t="s">
        <v>293</v>
      </c>
      <c r="B999" s="27">
        <v>2008</v>
      </c>
      <c r="C999" s="27" t="s">
        <v>294</v>
      </c>
      <c r="D999" s="69" t="s">
        <v>81</v>
      </c>
      <c r="E999" s="27" t="s">
        <v>19</v>
      </c>
      <c r="F999" s="27" t="s">
        <v>897</v>
      </c>
      <c r="G999" s="43">
        <f>((260000/365)*184)+((160000/365)*181)</f>
        <v>210410.95890410958</v>
      </c>
      <c r="H999" s="43"/>
      <c r="I999" s="43"/>
      <c r="J999" s="43"/>
      <c r="K999" s="27" t="s">
        <v>567</v>
      </c>
      <c r="L999" s="28">
        <v>7.47</v>
      </c>
      <c r="M999" s="27" t="s">
        <v>568</v>
      </c>
      <c r="N999" s="27" t="s">
        <v>1480</v>
      </c>
      <c r="O999" s="18">
        <f>G999*L999</f>
        <v>1571769.8630136985</v>
      </c>
      <c r="P999" s="214"/>
      <c r="Q999" s="214"/>
      <c r="R999" s="27"/>
      <c r="S999" s="27"/>
      <c r="T999" s="18"/>
      <c r="U999" s="27"/>
      <c r="V999" s="27"/>
      <c r="W999" s="30"/>
      <c r="X999" s="29"/>
      <c r="Y999" s="27"/>
      <c r="Z999" s="27"/>
      <c r="AA999" s="27"/>
      <c r="AB999" s="27" t="s">
        <v>1476</v>
      </c>
      <c r="AC999" s="273">
        <v>29450878.977873351</v>
      </c>
      <c r="AD999" s="27">
        <v>850040458.83963132</v>
      </c>
      <c r="AE999" s="228">
        <v>3.4646443791717864E-2</v>
      </c>
      <c r="AF999" s="27">
        <v>82377420.866148666</v>
      </c>
      <c r="AG999" s="226">
        <v>0.35751154464676371</v>
      </c>
      <c r="AH999" s="226" t="s">
        <v>2842</v>
      </c>
      <c r="AI999" s="27">
        <v>1250990000</v>
      </c>
      <c r="AJ999" s="226">
        <v>2.354205787246369E-2</v>
      </c>
      <c r="AK999" s="27">
        <v>33170736.060026687</v>
      </c>
      <c r="AL999" s="226">
        <v>0.8878572644447269</v>
      </c>
      <c r="AM999" s="27">
        <v>27722114.471999247</v>
      </c>
      <c r="AN999" s="271">
        <v>1.0623604850784469</v>
      </c>
      <c r="AO999" s="27">
        <v>3672714</v>
      </c>
      <c r="AP999" s="27" t="s">
        <v>2842</v>
      </c>
      <c r="AQ999" s="27">
        <v>58.107487804878055</v>
      </c>
      <c r="AR999" s="27">
        <v>67.3</v>
      </c>
      <c r="AS999" s="29">
        <v>42.623980000000003</v>
      </c>
      <c r="AT999" s="270">
        <v>37</v>
      </c>
      <c r="AU999" s="464">
        <v>61.601187830035428</v>
      </c>
      <c r="AV999" s="29">
        <v>-0.244130800472245</v>
      </c>
      <c r="AW999" s="29">
        <v>-1.2833706522674</v>
      </c>
      <c r="AX999" s="29">
        <v>-1.3146435488689701</v>
      </c>
      <c r="AY999" s="29">
        <v>-1.33582247690553</v>
      </c>
      <c r="AZ999" s="60">
        <v>-0.700397447012164</v>
      </c>
    </row>
    <row r="1000" spans="1:52" ht="15" customHeight="1">
      <c r="A1000" s="63" t="s">
        <v>293</v>
      </c>
      <c r="B1000" s="27">
        <v>2008</v>
      </c>
      <c r="C1000" s="27" t="s">
        <v>294</v>
      </c>
      <c r="D1000" s="69" t="s">
        <v>81</v>
      </c>
      <c r="E1000" s="27" t="s">
        <v>19</v>
      </c>
      <c r="F1000" s="27" t="s">
        <v>1481</v>
      </c>
      <c r="G1000" s="43">
        <f>((6500/365)*184)+((4000/365)*181)</f>
        <v>5260.2739726027394</v>
      </c>
      <c r="H1000" s="43"/>
      <c r="I1000" s="43"/>
      <c r="J1000" s="43"/>
      <c r="K1000" s="27" t="s">
        <v>567</v>
      </c>
      <c r="L1000" s="28">
        <v>9.1300000000000008</v>
      </c>
      <c r="M1000" s="27" t="s">
        <v>568</v>
      </c>
      <c r="N1000" s="27" t="s">
        <v>1482</v>
      </c>
      <c r="O1000" s="18">
        <f>G1000*L1000</f>
        <v>48026.301369863017</v>
      </c>
      <c r="P1000" s="214"/>
      <c r="Q1000" s="214"/>
      <c r="R1000" s="27"/>
      <c r="S1000" s="27"/>
      <c r="T1000" s="18"/>
      <c r="U1000" s="27"/>
      <c r="V1000" s="27"/>
      <c r="W1000" s="30"/>
      <c r="X1000" s="29"/>
      <c r="Y1000" s="27"/>
      <c r="Z1000" s="27"/>
      <c r="AA1000" s="27"/>
      <c r="AB1000" s="27" t="s">
        <v>1476</v>
      </c>
      <c r="AC1000" s="273">
        <v>29450878.977873351</v>
      </c>
      <c r="AD1000" s="27">
        <v>850040458.83963132</v>
      </c>
      <c r="AE1000" s="228">
        <v>3.4646443791717864E-2</v>
      </c>
      <c r="AF1000" s="27">
        <v>82377420.866148666</v>
      </c>
      <c r="AG1000" s="226">
        <v>0.35751154464676371</v>
      </c>
      <c r="AH1000" s="226" t="s">
        <v>2842</v>
      </c>
      <c r="AI1000" s="27">
        <v>1250990000</v>
      </c>
      <c r="AJ1000" s="226">
        <v>2.354205787246369E-2</v>
      </c>
      <c r="AK1000" s="27">
        <v>33170736.060026687</v>
      </c>
      <c r="AL1000" s="226">
        <v>0.8878572644447269</v>
      </c>
      <c r="AM1000" s="27">
        <v>27722114.471999247</v>
      </c>
      <c r="AN1000" s="271">
        <v>1.0623604850784469</v>
      </c>
      <c r="AO1000" s="27">
        <v>3672714</v>
      </c>
      <c r="AP1000" s="27" t="s">
        <v>2842</v>
      </c>
      <c r="AQ1000" s="27">
        <v>58.107487804878055</v>
      </c>
      <c r="AR1000" s="27">
        <v>67.3</v>
      </c>
      <c r="AS1000" s="29">
        <v>42.623980000000003</v>
      </c>
      <c r="AT1000" s="270">
        <v>37</v>
      </c>
      <c r="AU1000" s="464">
        <v>61.601187830035428</v>
      </c>
      <c r="AV1000" s="29">
        <v>-0.244130800472245</v>
      </c>
      <c r="AW1000" s="29">
        <v>-1.2833706522674</v>
      </c>
      <c r="AX1000" s="29">
        <v>-1.3146435488689701</v>
      </c>
      <c r="AY1000" s="29">
        <v>-1.33582247690553</v>
      </c>
      <c r="AZ1000" s="60">
        <v>-0.700397447012164</v>
      </c>
    </row>
    <row r="1001" spans="1:52" s="287" customFormat="1" ht="15" customHeight="1">
      <c r="A1001" s="359" t="s">
        <v>293</v>
      </c>
      <c r="B1001" s="284">
        <v>2008</v>
      </c>
      <c r="C1001" s="284" t="s">
        <v>294</v>
      </c>
      <c r="D1001" s="369" t="s">
        <v>81</v>
      </c>
      <c r="E1001" s="284" t="s">
        <v>1483</v>
      </c>
      <c r="F1001" s="284" t="s">
        <v>1484</v>
      </c>
      <c r="G1001" s="303"/>
      <c r="H1001" s="303"/>
      <c r="I1001" s="303"/>
      <c r="J1001" s="303"/>
      <c r="K1001" s="284"/>
      <c r="L1001" s="304"/>
      <c r="M1001" s="284"/>
      <c r="N1001" s="284"/>
      <c r="O1001" s="305"/>
      <c r="P1001" s="346">
        <f>26141406+(48100/W993)</f>
        <v>26142178.913916059</v>
      </c>
      <c r="Q1001" s="346">
        <f>26138742+(25000/W993)</f>
        <v>26139143.722409595</v>
      </c>
      <c r="R1001" s="284"/>
      <c r="S1001" s="284"/>
      <c r="T1001" s="305"/>
      <c r="U1001" s="284"/>
      <c r="V1001" s="284"/>
      <c r="W1001" s="307"/>
      <c r="X1001" s="284"/>
      <c r="Y1001" s="284" t="s">
        <v>1485</v>
      </c>
      <c r="Z1001" s="284">
        <v>2</v>
      </c>
      <c r="AA1001" s="284" t="s">
        <v>1438</v>
      </c>
      <c r="AB1001" s="284"/>
      <c r="AC1001" s="308">
        <v>29450878.977873351</v>
      </c>
      <c r="AD1001" s="284">
        <v>850040458.83963132</v>
      </c>
      <c r="AE1001" s="309">
        <v>3.4646443791717864E-2</v>
      </c>
      <c r="AF1001" s="284">
        <v>82377420.866148666</v>
      </c>
      <c r="AG1001" s="310">
        <v>0.35751154464676371</v>
      </c>
      <c r="AH1001" s="310" t="s">
        <v>2842</v>
      </c>
      <c r="AI1001" s="284">
        <v>1250990000</v>
      </c>
      <c r="AJ1001" s="310">
        <v>2.354205787246369E-2</v>
      </c>
      <c r="AK1001" s="284">
        <v>33170736.060026687</v>
      </c>
      <c r="AL1001" s="310">
        <v>0.8878572644447269</v>
      </c>
      <c r="AM1001" s="284">
        <v>27722114.471999247</v>
      </c>
      <c r="AN1001" s="311">
        <v>1.0623604850784469</v>
      </c>
      <c r="AO1001" s="322">
        <v>3672714</v>
      </c>
      <c r="AP1001" s="322" t="s">
        <v>2842</v>
      </c>
      <c r="AQ1001" s="322">
        <v>58.107487804878055</v>
      </c>
      <c r="AR1001" s="322">
        <v>67.3</v>
      </c>
      <c r="AS1001" s="400">
        <v>42.623980000000003</v>
      </c>
      <c r="AT1001" s="312">
        <v>37</v>
      </c>
      <c r="AU1001" s="465">
        <v>61.601187830035428</v>
      </c>
      <c r="AV1001" s="400">
        <v>-0.244130800472245</v>
      </c>
      <c r="AW1001" s="400">
        <v>-1.2833706522674</v>
      </c>
      <c r="AX1001" s="400">
        <v>-1.3146435488689701</v>
      </c>
      <c r="AY1001" s="400">
        <v>-1.33582247690553</v>
      </c>
      <c r="AZ1001" s="401">
        <v>-0.700397447012164</v>
      </c>
    </row>
    <row r="1002" spans="1:52" s="29" customFormat="1" ht="15" customHeight="1">
      <c r="A1002" s="332" t="s">
        <v>298</v>
      </c>
      <c r="B1002" s="27">
        <v>2009</v>
      </c>
      <c r="C1002" s="27" t="s">
        <v>294</v>
      </c>
      <c r="D1002" s="27" t="s">
        <v>81</v>
      </c>
      <c r="E1002" s="27" t="s">
        <v>512</v>
      </c>
      <c r="F1002" s="27" t="s">
        <v>659</v>
      </c>
      <c r="G1002" s="43"/>
      <c r="H1002" s="43"/>
      <c r="I1002" s="43"/>
      <c r="J1002" s="43"/>
      <c r="K1002" s="27"/>
      <c r="L1002" s="28"/>
      <c r="M1002" s="27"/>
      <c r="N1002" s="27"/>
      <c r="O1002" s="18">
        <f>O1003+O1004+O1010+O1011</f>
        <v>35773679.580103055</v>
      </c>
      <c r="P1002" s="246">
        <v>35425230</v>
      </c>
      <c r="Q1002" s="246">
        <v>35280235</v>
      </c>
      <c r="R1002" s="27" t="s">
        <v>619</v>
      </c>
      <c r="S1002" s="27"/>
      <c r="T1002" s="18"/>
      <c r="U1002" s="27" t="s">
        <v>917</v>
      </c>
      <c r="V1002" s="27" t="s">
        <v>802</v>
      </c>
      <c r="W1002" s="30"/>
      <c r="X1002" s="27">
        <v>72</v>
      </c>
      <c r="Y1002" s="27" t="s">
        <v>1486</v>
      </c>
      <c r="Z1002" s="27">
        <v>65</v>
      </c>
      <c r="AA1002" s="27">
        <v>4</v>
      </c>
      <c r="AB1002" s="27" t="s">
        <v>3695</v>
      </c>
      <c r="AC1002" s="273">
        <v>35425230</v>
      </c>
      <c r="AD1002" s="27">
        <v>1155146229.7859976</v>
      </c>
      <c r="AE1002" s="228">
        <v>3.0667312143297112E-2</v>
      </c>
      <c r="AF1002" s="27">
        <v>138282555.16768178</v>
      </c>
      <c r="AG1002" s="226">
        <v>0.25618003628182368</v>
      </c>
      <c r="AH1002" s="226" t="s">
        <v>2842</v>
      </c>
      <c r="AI1002" s="27">
        <v>512570000.00000006</v>
      </c>
      <c r="AJ1002" s="226">
        <v>6.9112960181048427E-2</v>
      </c>
      <c r="AK1002" s="27">
        <v>38530538.283585332</v>
      </c>
      <c r="AL1002" s="226">
        <v>0.91940656886934158</v>
      </c>
      <c r="AM1002" s="27" t="s">
        <v>2842</v>
      </c>
      <c r="AN1002" s="271" t="s">
        <v>2842</v>
      </c>
      <c r="AO1002" s="27">
        <v>3821440</v>
      </c>
      <c r="AP1002" s="27" t="s">
        <v>2842</v>
      </c>
      <c r="AQ1002" s="27">
        <v>58.859195121951224</v>
      </c>
      <c r="AR1002" s="27">
        <v>63.5</v>
      </c>
      <c r="AS1002" s="29">
        <v>40.164589999999997</v>
      </c>
      <c r="AT1002" s="270">
        <v>37</v>
      </c>
      <c r="AU1002" s="464">
        <v>61.601187830035428</v>
      </c>
      <c r="AV1002" s="29">
        <v>-0.20433352732342799</v>
      </c>
      <c r="AW1002" s="29">
        <v>-1.0754025802234199</v>
      </c>
      <c r="AX1002" s="29">
        <v>-1.2388153058748701</v>
      </c>
      <c r="AY1002" s="29">
        <v>-1.19120965876653</v>
      </c>
      <c r="AZ1002" s="60">
        <v>-0.56271051797997396</v>
      </c>
    </row>
    <row r="1003" spans="1:52" s="29" customFormat="1" ht="15" customHeight="1">
      <c r="A1003" s="59" t="s">
        <v>298</v>
      </c>
      <c r="B1003" s="27">
        <v>2009</v>
      </c>
      <c r="C1003" s="27" t="s">
        <v>294</v>
      </c>
      <c r="D1003" s="27" t="s">
        <v>81</v>
      </c>
      <c r="E1003" s="27" t="s">
        <v>98</v>
      </c>
      <c r="F1003" s="27" t="s">
        <v>98</v>
      </c>
      <c r="G1003" s="43">
        <v>0</v>
      </c>
      <c r="H1003" s="43"/>
      <c r="I1003" s="43"/>
      <c r="J1003" s="43"/>
      <c r="K1003" s="27" t="s">
        <v>603</v>
      </c>
      <c r="L1003" s="28"/>
      <c r="M1003" s="27"/>
      <c r="N1003" s="27" t="s">
        <v>604</v>
      </c>
      <c r="O1003" s="18">
        <f>G1003*L1003</f>
        <v>0</v>
      </c>
      <c r="P1003" s="214">
        <v>4460685</v>
      </c>
      <c r="Q1003" s="214">
        <v>4460685</v>
      </c>
      <c r="R1003" s="27"/>
      <c r="S1003" s="27"/>
      <c r="T1003" s="18"/>
      <c r="U1003" s="27"/>
      <c r="V1003" s="27"/>
      <c r="W1003" s="30"/>
      <c r="X1003" s="27">
        <v>5</v>
      </c>
      <c r="Y1003" s="27" t="s">
        <v>1487</v>
      </c>
      <c r="Z1003" s="27">
        <v>5</v>
      </c>
      <c r="AA1003" s="27">
        <v>7</v>
      </c>
      <c r="AB1003" s="27"/>
      <c r="AC1003" s="273">
        <v>35425230</v>
      </c>
      <c r="AD1003" s="27">
        <v>1155146229.7859976</v>
      </c>
      <c r="AE1003" s="228">
        <v>3.0667312143297112E-2</v>
      </c>
      <c r="AF1003" s="27">
        <v>138282555.16768178</v>
      </c>
      <c r="AG1003" s="226">
        <v>0.25618003628182368</v>
      </c>
      <c r="AH1003" s="226" t="s">
        <v>2842</v>
      </c>
      <c r="AI1003" s="27">
        <v>512570000.00000006</v>
      </c>
      <c r="AJ1003" s="226">
        <v>6.9112960181048427E-2</v>
      </c>
      <c r="AK1003" s="27">
        <v>38530538.283585332</v>
      </c>
      <c r="AL1003" s="226">
        <v>0.91940656886934158</v>
      </c>
      <c r="AM1003" s="27" t="s">
        <v>2842</v>
      </c>
      <c r="AN1003" s="271" t="s">
        <v>2842</v>
      </c>
      <c r="AO1003" s="27">
        <v>3821440</v>
      </c>
      <c r="AP1003" s="27" t="s">
        <v>2842</v>
      </c>
      <c r="AQ1003" s="27">
        <v>58.859195121951224</v>
      </c>
      <c r="AR1003" s="27">
        <v>63.5</v>
      </c>
      <c r="AS1003" s="29">
        <v>40.164589999999997</v>
      </c>
      <c r="AT1003" s="270">
        <v>37</v>
      </c>
      <c r="AU1003" s="464">
        <v>61.601187830035428</v>
      </c>
      <c r="AV1003" s="29">
        <v>-0.20433352732342799</v>
      </c>
      <c r="AW1003" s="29">
        <v>-1.0754025802234199</v>
      </c>
      <c r="AX1003" s="29">
        <v>-1.2388153058748701</v>
      </c>
      <c r="AY1003" s="29">
        <v>-1.19120965876653</v>
      </c>
      <c r="AZ1003" s="60">
        <v>-0.56271051797997396</v>
      </c>
    </row>
    <row r="1004" spans="1:52" s="29" customFormat="1" ht="15" customHeight="1">
      <c r="A1004" s="59" t="s">
        <v>298</v>
      </c>
      <c r="B1004" s="27">
        <v>2009</v>
      </c>
      <c r="C1004" s="27" t="s">
        <v>294</v>
      </c>
      <c r="D1004" s="27" t="s">
        <v>81</v>
      </c>
      <c r="E1004" s="27" t="s">
        <v>19</v>
      </c>
      <c r="F1004" s="27" t="s">
        <v>559</v>
      </c>
      <c r="G1004" s="43"/>
      <c r="H1004" s="43"/>
      <c r="I1004" s="43"/>
      <c r="J1004" s="43"/>
      <c r="K1004" s="27"/>
      <c r="L1004" s="28"/>
      <c r="M1004" s="27"/>
      <c r="N1004" s="27"/>
      <c r="O1004" s="18">
        <f>SUM(O1005:O1009)</f>
        <v>35773679.580103055</v>
      </c>
      <c r="P1004" s="214">
        <v>10816190</v>
      </c>
      <c r="Q1004" s="214">
        <v>10632601</v>
      </c>
      <c r="R1004" s="27"/>
      <c r="S1004" s="27"/>
      <c r="T1004" s="18"/>
      <c r="U1004" s="27"/>
      <c r="V1004" s="27"/>
      <c r="W1004" s="30"/>
      <c r="X1004" s="27">
        <v>38</v>
      </c>
      <c r="Y1004" s="27" t="s">
        <v>1488</v>
      </c>
      <c r="Z1004" s="27">
        <v>35</v>
      </c>
      <c r="AA1004" s="27">
        <v>6</v>
      </c>
      <c r="AB1004" s="27"/>
      <c r="AC1004" s="273">
        <v>35425230</v>
      </c>
      <c r="AD1004" s="27">
        <v>1155146229.7859976</v>
      </c>
      <c r="AE1004" s="228">
        <v>3.0667312143297112E-2</v>
      </c>
      <c r="AF1004" s="27">
        <v>138282555.16768178</v>
      </c>
      <c r="AG1004" s="226">
        <v>0.25618003628182368</v>
      </c>
      <c r="AH1004" s="226" t="s">
        <v>2842</v>
      </c>
      <c r="AI1004" s="27">
        <v>512570000.00000006</v>
      </c>
      <c r="AJ1004" s="226">
        <v>6.9112960181048427E-2</v>
      </c>
      <c r="AK1004" s="27">
        <v>38530538.283585332</v>
      </c>
      <c r="AL1004" s="226">
        <v>0.91940656886934158</v>
      </c>
      <c r="AM1004" s="27" t="s">
        <v>2842</v>
      </c>
      <c r="AN1004" s="271" t="s">
        <v>2842</v>
      </c>
      <c r="AO1004" s="27">
        <v>3821440</v>
      </c>
      <c r="AP1004" s="27" t="s">
        <v>2842</v>
      </c>
      <c r="AQ1004" s="27">
        <v>58.859195121951224</v>
      </c>
      <c r="AR1004" s="27">
        <v>63.5</v>
      </c>
      <c r="AS1004" s="29">
        <v>40.164589999999997</v>
      </c>
      <c r="AT1004" s="270">
        <v>37</v>
      </c>
      <c r="AU1004" s="464">
        <v>61.601187830035428</v>
      </c>
      <c r="AV1004" s="29">
        <v>-0.20433352732342799</v>
      </c>
      <c r="AW1004" s="29">
        <v>-1.0754025802234199</v>
      </c>
      <c r="AX1004" s="29">
        <v>-1.2388153058748701</v>
      </c>
      <c r="AY1004" s="29">
        <v>-1.19120965876653</v>
      </c>
      <c r="AZ1004" s="60">
        <v>-0.56271051797997396</v>
      </c>
    </row>
    <row r="1005" spans="1:52" s="29" customFormat="1" ht="15" customHeight="1">
      <c r="A1005" s="59" t="s">
        <v>298</v>
      </c>
      <c r="B1005" s="27">
        <v>2009</v>
      </c>
      <c r="C1005" s="27" t="s">
        <v>294</v>
      </c>
      <c r="D1005" s="27" t="s">
        <v>81</v>
      </c>
      <c r="E1005" s="27" t="s">
        <v>19</v>
      </c>
      <c r="F1005" s="27" t="s">
        <v>566</v>
      </c>
      <c r="G1005" s="43">
        <f>((94037/365)*184)+((70584/365)*181)</f>
        <v>82406.882191780824</v>
      </c>
      <c r="H1005" s="43"/>
      <c r="I1005" s="43"/>
      <c r="J1005" s="43"/>
      <c r="K1005" s="27" t="s">
        <v>567</v>
      </c>
      <c r="L1005" s="28">
        <f>((107/365)*184)+((99/365)*181)</f>
        <v>103.03287671232877</v>
      </c>
      <c r="M1005" s="27" t="s">
        <v>568</v>
      </c>
      <c r="N1005" s="27" t="s">
        <v>1475</v>
      </c>
      <c r="O1005" s="18">
        <f>G1005*L1005</f>
        <v>8490618.1331131551</v>
      </c>
      <c r="P1005" s="214"/>
      <c r="Q1005" s="214"/>
      <c r="R1005" s="27"/>
      <c r="S1005" s="27"/>
      <c r="T1005" s="18"/>
      <c r="U1005" s="27"/>
      <c r="V1005" s="27"/>
      <c r="W1005" s="30"/>
      <c r="Y1005" s="27"/>
      <c r="Z1005" s="27"/>
      <c r="AA1005" s="27"/>
      <c r="AB1005" s="27"/>
      <c r="AC1005" s="273">
        <v>35425230</v>
      </c>
      <c r="AD1005" s="27">
        <v>1155146229.7859976</v>
      </c>
      <c r="AE1005" s="228">
        <v>3.0667312143297112E-2</v>
      </c>
      <c r="AF1005" s="27">
        <v>138282555.16768178</v>
      </c>
      <c r="AG1005" s="226">
        <v>0.25618003628182368</v>
      </c>
      <c r="AH1005" s="226" t="s">
        <v>2842</v>
      </c>
      <c r="AI1005" s="27">
        <v>512570000.00000006</v>
      </c>
      <c r="AJ1005" s="226">
        <v>6.9112960181048427E-2</v>
      </c>
      <c r="AK1005" s="27">
        <v>38530538.283585332</v>
      </c>
      <c r="AL1005" s="226">
        <v>0.91940656886934158</v>
      </c>
      <c r="AM1005" s="27" t="s">
        <v>2842</v>
      </c>
      <c r="AN1005" s="271" t="s">
        <v>2842</v>
      </c>
      <c r="AO1005" s="27">
        <v>3821440</v>
      </c>
      <c r="AP1005" s="27" t="s">
        <v>2842</v>
      </c>
      <c r="AQ1005" s="27">
        <v>58.859195121951224</v>
      </c>
      <c r="AR1005" s="27">
        <v>63.5</v>
      </c>
      <c r="AS1005" s="29">
        <v>40.164589999999997</v>
      </c>
      <c r="AT1005" s="270">
        <v>37</v>
      </c>
      <c r="AU1005" s="464">
        <v>61.601187830035428</v>
      </c>
      <c r="AV1005" s="29">
        <v>-0.20433352732342799</v>
      </c>
      <c r="AW1005" s="29">
        <v>-1.0754025802234199</v>
      </c>
      <c r="AX1005" s="29">
        <v>-1.2388153058748701</v>
      </c>
      <c r="AY1005" s="29">
        <v>-1.19120965876653</v>
      </c>
      <c r="AZ1005" s="60">
        <v>-0.56271051797997396</v>
      </c>
    </row>
    <row r="1006" spans="1:52" s="29" customFormat="1" ht="15" customHeight="1">
      <c r="A1006" s="59" t="s">
        <v>298</v>
      </c>
      <c r="B1006" s="27">
        <v>2009</v>
      </c>
      <c r="C1006" s="27" t="s">
        <v>294</v>
      </c>
      <c r="D1006" s="27" t="s">
        <v>81</v>
      </c>
      <c r="E1006" s="27" t="s">
        <v>19</v>
      </c>
      <c r="F1006" s="27" t="s">
        <v>904</v>
      </c>
      <c r="G1006" s="43">
        <f>((47007/365)*184)+((28368/365)*181)</f>
        <v>37764.098630136985</v>
      </c>
      <c r="H1006" s="43"/>
      <c r="I1006" s="43"/>
      <c r="J1006" s="43"/>
      <c r="K1006" s="27" t="s">
        <v>905</v>
      </c>
      <c r="L1006" s="28">
        <f>((210.43/365)*184)+((396.94/365)*181)</f>
        <v>302.91852054794526</v>
      </c>
      <c r="M1006" s="27" t="s">
        <v>906</v>
      </c>
      <c r="N1006" s="27" t="s">
        <v>1489</v>
      </c>
      <c r="O1006" s="18">
        <f>G1006*L1006</f>
        <v>11439444.886867782</v>
      </c>
      <c r="P1006" s="214"/>
      <c r="Q1006" s="214"/>
      <c r="R1006" s="27"/>
      <c r="S1006" s="27"/>
      <c r="T1006" s="18"/>
      <c r="U1006" s="27"/>
      <c r="V1006" s="27"/>
      <c r="W1006" s="30"/>
      <c r="Y1006" s="27"/>
      <c r="Z1006" s="27"/>
      <c r="AA1006" s="27"/>
      <c r="AB1006" s="27"/>
      <c r="AC1006" s="273">
        <v>35425230</v>
      </c>
      <c r="AD1006" s="27">
        <v>1155146229.7859976</v>
      </c>
      <c r="AE1006" s="228">
        <v>3.0667312143297112E-2</v>
      </c>
      <c r="AF1006" s="27">
        <v>138282555.16768178</v>
      </c>
      <c r="AG1006" s="226">
        <v>0.25618003628182368</v>
      </c>
      <c r="AH1006" s="226" t="s">
        <v>2842</v>
      </c>
      <c r="AI1006" s="27">
        <v>512570000.00000006</v>
      </c>
      <c r="AJ1006" s="226">
        <v>6.9112960181048427E-2</v>
      </c>
      <c r="AK1006" s="27">
        <v>38530538.283585332</v>
      </c>
      <c r="AL1006" s="226">
        <v>0.91940656886934158</v>
      </c>
      <c r="AM1006" s="27" t="s">
        <v>2842</v>
      </c>
      <c r="AN1006" s="271" t="s">
        <v>2842</v>
      </c>
      <c r="AO1006" s="27">
        <v>3821440</v>
      </c>
      <c r="AP1006" s="27" t="s">
        <v>2842</v>
      </c>
      <c r="AQ1006" s="27">
        <v>58.859195121951224</v>
      </c>
      <c r="AR1006" s="27">
        <v>63.5</v>
      </c>
      <c r="AS1006" s="29">
        <v>40.164589999999997</v>
      </c>
      <c r="AT1006" s="270">
        <v>37</v>
      </c>
      <c r="AU1006" s="464">
        <v>61.601187830035428</v>
      </c>
      <c r="AV1006" s="29">
        <v>-0.20433352732342799</v>
      </c>
      <c r="AW1006" s="29">
        <v>-1.0754025802234199</v>
      </c>
      <c r="AX1006" s="29">
        <v>-1.2388153058748701</v>
      </c>
      <c r="AY1006" s="29">
        <v>-1.19120965876653</v>
      </c>
      <c r="AZ1006" s="60">
        <v>-0.56271051797997396</v>
      </c>
    </row>
    <row r="1007" spans="1:52" s="29" customFormat="1" ht="15" customHeight="1">
      <c r="A1007" s="59" t="s">
        <v>298</v>
      </c>
      <c r="B1007" s="27">
        <v>2009</v>
      </c>
      <c r="C1007" s="27" t="s">
        <v>294</v>
      </c>
      <c r="D1007" s="27" t="s">
        <v>81</v>
      </c>
      <c r="E1007" s="27" t="s">
        <v>19</v>
      </c>
      <c r="F1007" s="27" t="s">
        <v>730</v>
      </c>
      <c r="G1007" s="43">
        <f>(((624/365)*184)+((524/365)*181))*32.150743126506</f>
        <v>18467.739188776024</v>
      </c>
      <c r="H1007" s="43"/>
      <c r="I1007" s="43"/>
      <c r="J1007" s="43"/>
      <c r="K1007" s="27" t="s">
        <v>731</v>
      </c>
      <c r="L1007" s="28">
        <f>(((871.71/365)*184)+((972.97/365)*181))*0.8663</f>
        <v>798.66264252876704</v>
      </c>
      <c r="M1007" s="27" t="s">
        <v>732</v>
      </c>
      <c r="N1007" s="27" t="s">
        <v>1478</v>
      </c>
      <c r="O1007" s="18">
        <f>G1007*L1007</f>
        <v>14749493.382039929</v>
      </c>
      <c r="P1007" s="214"/>
      <c r="Q1007" s="214"/>
      <c r="R1007" s="27"/>
      <c r="S1007" s="27"/>
      <c r="T1007" s="18"/>
      <c r="U1007" s="27"/>
      <c r="V1007" s="27"/>
      <c r="W1007" s="30"/>
      <c r="Y1007" s="27"/>
      <c r="Z1007" s="27"/>
      <c r="AA1007" s="27"/>
      <c r="AB1007" s="27"/>
      <c r="AC1007" s="273">
        <v>35425230</v>
      </c>
      <c r="AD1007" s="27">
        <v>1155146229.7859976</v>
      </c>
      <c r="AE1007" s="228">
        <v>3.0667312143297112E-2</v>
      </c>
      <c r="AF1007" s="27">
        <v>138282555.16768178</v>
      </c>
      <c r="AG1007" s="226">
        <v>0.25618003628182368</v>
      </c>
      <c r="AH1007" s="226" t="s">
        <v>2842</v>
      </c>
      <c r="AI1007" s="27">
        <v>512570000.00000006</v>
      </c>
      <c r="AJ1007" s="226">
        <v>6.9112960181048427E-2</v>
      </c>
      <c r="AK1007" s="27">
        <v>38530538.283585332</v>
      </c>
      <c r="AL1007" s="226">
        <v>0.91940656886934158</v>
      </c>
      <c r="AM1007" s="27" t="s">
        <v>2842</v>
      </c>
      <c r="AN1007" s="271" t="s">
        <v>2842</v>
      </c>
      <c r="AO1007" s="27">
        <v>3821440</v>
      </c>
      <c r="AP1007" s="27" t="s">
        <v>2842</v>
      </c>
      <c r="AQ1007" s="27">
        <v>58.859195121951224</v>
      </c>
      <c r="AR1007" s="27">
        <v>63.5</v>
      </c>
      <c r="AS1007" s="29">
        <v>40.164589999999997</v>
      </c>
      <c r="AT1007" s="270">
        <v>37</v>
      </c>
      <c r="AU1007" s="464">
        <v>61.601187830035428</v>
      </c>
      <c r="AV1007" s="29">
        <v>-0.20433352732342799</v>
      </c>
      <c r="AW1007" s="29">
        <v>-1.0754025802234199</v>
      </c>
      <c r="AX1007" s="29">
        <v>-1.2388153058748701</v>
      </c>
      <c r="AY1007" s="29">
        <v>-1.19120965876653</v>
      </c>
      <c r="AZ1007" s="60">
        <v>-0.56271051797997396</v>
      </c>
    </row>
    <row r="1008" spans="1:52" s="29" customFormat="1" ht="15" customHeight="1">
      <c r="A1008" s="59" t="s">
        <v>298</v>
      </c>
      <c r="B1008" s="27">
        <v>2009</v>
      </c>
      <c r="C1008" s="27" t="s">
        <v>294</v>
      </c>
      <c r="D1008" s="27" t="s">
        <v>81</v>
      </c>
      <c r="E1008" s="27" t="s">
        <v>19</v>
      </c>
      <c r="F1008" s="27" t="s">
        <v>897</v>
      </c>
      <c r="G1008" s="43">
        <f>((160000/365)*184)+((120000/365)*181)</f>
        <v>140164.38356164383</v>
      </c>
      <c r="H1008" s="43"/>
      <c r="I1008" s="43"/>
      <c r="J1008" s="43"/>
      <c r="K1008" s="27" t="s">
        <v>567</v>
      </c>
      <c r="L1008" s="28">
        <v>7.57</v>
      </c>
      <c r="M1008" s="27" t="s">
        <v>568</v>
      </c>
      <c r="N1008" s="27" t="s">
        <v>1480</v>
      </c>
      <c r="O1008" s="18">
        <f>G1008*L1008</f>
        <v>1061044.3835616438</v>
      </c>
      <c r="P1008" s="214"/>
      <c r="Q1008" s="214"/>
      <c r="R1008" s="27"/>
      <c r="S1008" s="27"/>
      <c r="T1008" s="18"/>
      <c r="U1008" s="27"/>
      <c r="V1008" s="27"/>
      <c r="W1008" s="30"/>
      <c r="Y1008" s="27"/>
      <c r="Z1008" s="27"/>
      <c r="AA1008" s="27"/>
      <c r="AB1008" s="27"/>
      <c r="AC1008" s="273">
        <v>35425230</v>
      </c>
      <c r="AD1008" s="27">
        <v>1155146229.7859976</v>
      </c>
      <c r="AE1008" s="228">
        <v>3.0667312143297112E-2</v>
      </c>
      <c r="AF1008" s="27">
        <v>138282555.16768178</v>
      </c>
      <c r="AG1008" s="226">
        <v>0.25618003628182368</v>
      </c>
      <c r="AH1008" s="226" t="s">
        <v>2842</v>
      </c>
      <c r="AI1008" s="27">
        <v>512570000.00000006</v>
      </c>
      <c r="AJ1008" s="226">
        <v>6.9112960181048427E-2</v>
      </c>
      <c r="AK1008" s="27">
        <v>38530538.283585332</v>
      </c>
      <c r="AL1008" s="226">
        <v>0.91940656886934158</v>
      </c>
      <c r="AM1008" s="27" t="s">
        <v>2842</v>
      </c>
      <c r="AN1008" s="271" t="s">
        <v>2842</v>
      </c>
      <c r="AO1008" s="27">
        <v>3821440</v>
      </c>
      <c r="AP1008" s="27" t="s">
        <v>2842</v>
      </c>
      <c r="AQ1008" s="27">
        <v>58.859195121951224</v>
      </c>
      <c r="AR1008" s="27">
        <v>63.5</v>
      </c>
      <c r="AS1008" s="29">
        <v>40.164589999999997</v>
      </c>
      <c r="AT1008" s="270">
        <v>37</v>
      </c>
      <c r="AU1008" s="464">
        <v>61.601187830035428</v>
      </c>
      <c r="AV1008" s="29">
        <v>-0.20433352732342799</v>
      </c>
      <c r="AW1008" s="29">
        <v>-1.0754025802234199</v>
      </c>
      <c r="AX1008" s="29">
        <v>-1.2388153058748701</v>
      </c>
      <c r="AY1008" s="29">
        <v>-1.19120965876653</v>
      </c>
      <c r="AZ1008" s="60">
        <v>-0.56271051797997396</v>
      </c>
    </row>
    <row r="1009" spans="1:52" s="29" customFormat="1" ht="15" customHeight="1">
      <c r="A1009" s="59" t="s">
        <v>298</v>
      </c>
      <c r="B1009" s="27">
        <v>2009</v>
      </c>
      <c r="C1009" s="27" t="s">
        <v>294</v>
      </c>
      <c r="D1009" s="27" t="s">
        <v>81</v>
      </c>
      <c r="E1009" s="27" t="s">
        <v>19</v>
      </c>
      <c r="F1009" s="27" t="s">
        <v>1481</v>
      </c>
      <c r="G1009" s="43">
        <f>((4000/365)*184)+((3000/365)*181)</f>
        <v>3504.1095890410961</v>
      </c>
      <c r="H1009" s="43"/>
      <c r="I1009" s="43"/>
      <c r="J1009" s="43"/>
      <c r="K1009" s="27" t="s">
        <v>567</v>
      </c>
      <c r="L1009" s="28">
        <v>9.44</v>
      </c>
      <c r="M1009" s="27" t="s">
        <v>568</v>
      </c>
      <c r="N1009" s="27" t="s">
        <v>1482</v>
      </c>
      <c r="O1009" s="18">
        <f>G1009*L1009</f>
        <v>33078.794520547948</v>
      </c>
      <c r="P1009" s="214"/>
      <c r="Q1009" s="214"/>
      <c r="R1009" s="27"/>
      <c r="S1009" s="27"/>
      <c r="T1009" s="18"/>
      <c r="U1009" s="27"/>
      <c r="V1009" s="27"/>
      <c r="W1009" s="30"/>
      <c r="Y1009" s="27"/>
      <c r="Z1009" s="27"/>
      <c r="AA1009" s="27"/>
      <c r="AB1009" s="27"/>
      <c r="AC1009" s="273">
        <v>35425230</v>
      </c>
      <c r="AD1009" s="27">
        <v>1155146229.7859976</v>
      </c>
      <c r="AE1009" s="228">
        <v>3.0667312143297112E-2</v>
      </c>
      <c r="AF1009" s="27">
        <v>138282555.16768178</v>
      </c>
      <c r="AG1009" s="226">
        <v>0.25618003628182368</v>
      </c>
      <c r="AH1009" s="226" t="s">
        <v>2842</v>
      </c>
      <c r="AI1009" s="27">
        <v>512570000.00000006</v>
      </c>
      <c r="AJ1009" s="226">
        <v>6.9112960181048427E-2</v>
      </c>
      <c r="AK1009" s="27">
        <v>38530538.283585332</v>
      </c>
      <c r="AL1009" s="226">
        <v>0.91940656886934158</v>
      </c>
      <c r="AM1009" s="27" t="s">
        <v>2842</v>
      </c>
      <c r="AN1009" s="271" t="s">
        <v>2842</v>
      </c>
      <c r="AO1009" s="27">
        <v>3821440</v>
      </c>
      <c r="AP1009" s="27" t="s">
        <v>2842</v>
      </c>
      <c r="AQ1009" s="27">
        <v>58.859195121951224</v>
      </c>
      <c r="AR1009" s="27">
        <v>63.5</v>
      </c>
      <c r="AS1009" s="29">
        <v>40.164589999999997</v>
      </c>
      <c r="AT1009" s="270">
        <v>37</v>
      </c>
      <c r="AU1009" s="464">
        <v>61.601187830035428</v>
      </c>
      <c r="AV1009" s="29">
        <v>-0.20433352732342799</v>
      </c>
      <c r="AW1009" s="29">
        <v>-1.0754025802234199</v>
      </c>
      <c r="AX1009" s="29">
        <v>-1.2388153058748701</v>
      </c>
      <c r="AY1009" s="29">
        <v>-1.19120965876653</v>
      </c>
      <c r="AZ1009" s="60">
        <v>-0.56271051797997396</v>
      </c>
    </row>
    <row r="1010" spans="1:52" s="29" customFormat="1" ht="15" customHeight="1">
      <c r="A1010" s="59" t="s">
        <v>298</v>
      </c>
      <c r="B1010" s="27">
        <v>2009</v>
      </c>
      <c r="C1010" s="27" t="s">
        <v>294</v>
      </c>
      <c r="D1010" s="27" t="s">
        <v>81</v>
      </c>
      <c r="E1010" s="27" t="s">
        <v>1483</v>
      </c>
      <c r="F1010" s="27" t="s">
        <v>1484</v>
      </c>
      <c r="G1010" s="43"/>
      <c r="H1010" s="43"/>
      <c r="I1010" s="43"/>
      <c r="J1010" s="43"/>
      <c r="K1010" s="27"/>
      <c r="L1010" s="28"/>
      <c r="M1010" s="27"/>
      <c r="N1010" s="27"/>
      <c r="O1010" s="18"/>
      <c r="P1010" s="214">
        <v>1889117</v>
      </c>
      <c r="Q1010" s="214">
        <v>1838558</v>
      </c>
      <c r="R1010" s="27"/>
      <c r="S1010" s="27"/>
      <c r="T1010" s="18"/>
      <c r="U1010" s="27"/>
      <c r="V1010" s="27"/>
      <c r="W1010" s="30"/>
      <c r="X1010" s="27">
        <v>20</v>
      </c>
      <c r="Y1010" s="27" t="s">
        <v>1490</v>
      </c>
      <c r="Z1010" s="27">
        <v>17</v>
      </c>
      <c r="AA1010" s="27">
        <v>5</v>
      </c>
      <c r="AB1010" s="27"/>
      <c r="AC1010" s="273">
        <v>35425230</v>
      </c>
      <c r="AD1010" s="27">
        <v>1155146229.7859976</v>
      </c>
      <c r="AE1010" s="228">
        <v>3.0667312143297112E-2</v>
      </c>
      <c r="AF1010" s="27">
        <v>138282555.16768178</v>
      </c>
      <c r="AG1010" s="226">
        <v>0.25618003628182368</v>
      </c>
      <c r="AH1010" s="226" t="s">
        <v>2842</v>
      </c>
      <c r="AI1010" s="27">
        <v>512570000.00000006</v>
      </c>
      <c r="AJ1010" s="226">
        <v>6.9112960181048427E-2</v>
      </c>
      <c r="AK1010" s="27">
        <v>38530538.283585332</v>
      </c>
      <c r="AL1010" s="226">
        <v>0.91940656886934158</v>
      </c>
      <c r="AM1010" s="27" t="s">
        <v>2842</v>
      </c>
      <c r="AN1010" s="271" t="s">
        <v>2842</v>
      </c>
      <c r="AO1010" s="27">
        <v>3821440</v>
      </c>
      <c r="AP1010" s="27" t="s">
        <v>2842</v>
      </c>
      <c r="AQ1010" s="27">
        <v>58.859195121951224</v>
      </c>
      <c r="AR1010" s="27">
        <v>63.5</v>
      </c>
      <c r="AS1010" s="29">
        <v>40.164589999999997</v>
      </c>
      <c r="AT1010" s="270">
        <v>37</v>
      </c>
      <c r="AU1010" s="464">
        <v>61.601187830035428</v>
      </c>
      <c r="AV1010" s="29">
        <v>-0.20433352732342799</v>
      </c>
      <c r="AW1010" s="29">
        <v>-1.0754025802234199</v>
      </c>
      <c r="AX1010" s="29">
        <v>-1.2388153058748701</v>
      </c>
      <c r="AY1010" s="29">
        <v>-1.19120965876653</v>
      </c>
      <c r="AZ1010" s="60">
        <v>-0.56271051797997396</v>
      </c>
    </row>
    <row r="1011" spans="1:52" s="287" customFormat="1" ht="15" customHeight="1">
      <c r="A1011" s="344" t="s">
        <v>298</v>
      </c>
      <c r="B1011" s="284">
        <v>2009</v>
      </c>
      <c r="C1011" s="284" t="s">
        <v>294</v>
      </c>
      <c r="D1011" s="284" t="s">
        <v>81</v>
      </c>
      <c r="E1011" s="284" t="s">
        <v>1483</v>
      </c>
      <c r="F1011" s="284" t="s">
        <v>1491</v>
      </c>
      <c r="G1011" s="303"/>
      <c r="H1011" s="303"/>
      <c r="I1011" s="303"/>
      <c r="J1011" s="303"/>
      <c r="K1011" s="284"/>
      <c r="L1011" s="304"/>
      <c r="M1011" s="284"/>
      <c r="N1011" s="284"/>
      <c r="O1011" s="305"/>
      <c r="P1011" s="346">
        <v>18259238</v>
      </c>
      <c r="Q1011" s="346">
        <v>18348391</v>
      </c>
      <c r="R1011" s="284"/>
      <c r="S1011" s="284"/>
      <c r="T1011" s="305"/>
      <c r="U1011" s="284"/>
      <c r="V1011" s="284"/>
      <c r="W1011" s="307"/>
      <c r="X1011" s="284">
        <v>9</v>
      </c>
      <c r="Y1011" s="284" t="s">
        <v>1492</v>
      </c>
      <c r="Z1011" s="284">
        <v>8</v>
      </c>
      <c r="AA1011" s="284">
        <v>5</v>
      </c>
      <c r="AB1011" s="284"/>
      <c r="AC1011" s="308">
        <v>35425230</v>
      </c>
      <c r="AD1011" s="284">
        <v>1155146229.7859976</v>
      </c>
      <c r="AE1011" s="309">
        <v>3.0667312143297112E-2</v>
      </c>
      <c r="AF1011" s="284">
        <v>138282555.16768178</v>
      </c>
      <c r="AG1011" s="310">
        <v>0.25618003628182368</v>
      </c>
      <c r="AH1011" s="310" t="s">
        <v>2842</v>
      </c>
      <c r="AI1011" s="284">
        <v>512570000.00000006</v>
      </c>
      <c r="AJ1011" s="310">
        <v>6.9112960181048427E-2</v>
      </c>
      <c r="AK1011" s="284">
        <v>38530538.283585332</v>
      </c>
      <c r="AL1011" s="310">
        <v>0.91940656886934158</v>
      </c>
      <c r="AM1011" s="284" t="s">
        <v>2842</v>
      </c>
      <c r="AN1011" s="311" t="s">
        <v>2842</v>
      </c>
      <c r="AO1011" s="284">
        <v>3821440</v>
      </c>
      <c r="AP1011" s="284" t="s">
        <v>2842</v>
      </c>
      <c r="AQ1011" s="284">
        <v>58.859195121951224</v>
      </c>
      <c r="AR1011" s="284">
        <v>63.5</v>
      </c>
      <c r="AS1011" s="287">
        <v>40.164589999999997</v>
      </c>
      <c r="AT1011" s="312">
        <v>37</v>
      </c>
      <c r="AU1011" s="465">
        <v>61.601187830035428</v>
      </c>
      <c r="AV1011" s="287">
        <v>-0.20433352732342799</v>
      </c>
      <c r="AW1011" s="287">
        <v>-1.0754025802234199</v>
      </c>
      <c r="AX1011" s="287">
        <v>-1.2388153058748701</v>
      </c>
      <c r="AY1011" s="287">
        <v>-1.19120965876653</v>
      </c>
      <c r="AZ1011" s="313">
        <v>-0.56271051797997396</v>
      </c>
    </row>
    <row r="1012" spans="1:52" ht="15" customHeight="1">
      <c r="A1012" s="59" t="s">
        <v>301</v>
      </c>
      <c r="B1012" s="27">
        <v>2010</v>
      </c>
      <c r="C1012" s="27" t="s">
        <v>294</v>
      </c>
      <c r="D1012" s="27" t="s">
        <v>81</v>
      </c>
      <c r="E1012" s="27" t="s">
        <v>512</v>
      </c>
      <c r="F1012" s="27" t="s">
        <v>659</v>
      </c>
      <c r="G1012" s="43"/>
      <c r="H1012" s="43"/>
      <c r="I1012" s="43"/>
      <c r="J1012" s="43"/>
      <c r="K1012" s="27"/>
      <c r="L1012" s="28"/>
      <c r="M1012" s="27"/>
      <c r="N1012" s="27"/>
      <c r="O1012" s="18">
        <f>O1013+O1014+O1020+O1021</f>
        <v>39516487.867241949</v>
      </c>
      <c r="P1012" s="246">
        <v>71896113</v>
      </c>
      <c r="Q1012" s="246">
        <v>69720697</v>
      </c>
      <c r="R1012" s="27" t="s">
        <v>619</v>
      </c>
      <c r="S1012" s="27"/>
      <c r="T1012" s="18"/>
      <c r="U1012" s="27" t="s">
        <v>917</v>
      </c>
      <c r="V1012" s="27" t="s">
        <v>802</v>
      </c>
      <c r="W1012" s="30"/>
      <c r="X1012" s="27">
        <v>119</v>
      </c>
      <c r="Y1012" s="27" t="s">
        <v>1493</v>
      </c>
      <c r="Z1012" s="27">
        <v>71</v>
      </c>
      <c r="AA1012" s="27">
        <v>5</v>
      </c>
      <c r="AB1012" s="27" t="s">
        <v>3696</v>
      </c>
      <c r="AC1012" s="273">
        <v>71896113</v>
      </c>
      <c r="AD1012" s="27">
        <v>1292696475.9587305</v>
      </c>
      <c r="AE1012" s="228">
        <v>5.5617164846587928E-2</v>
      </c>
      <c r="AF1012" s="27">
        <v>149190100.29039708</v>
      </c>
      <c r="AG1012" s="226">
        <v>0.4819094086005366</v>
      </c>
      <c r="AH1012" s="226" t="s">
        <v>2842</v>
      </c>
      <c r="AI1012" s="27">
        <v>1417010000</v>
      </c>
      <c r="AJ1012" s="226">
        <v>5.0737900932244659E-2</v>
      </c>
      <c r="AK1012" s="27">
        <v>30796614.621915426</v>
      </c>
      <c r="AL1012" s="226">
        <v>2.3345459844419856</v>
      </c>
      <c r="AM1012" s="27" t="s">
        <v>2842</v>
      </c>
      <c r="AN1012" s="271" t="s">
        <v>2842</v>
      </c>
      <c r="AO1012" s="27">
        <v>3957990</v>
      </c>
      <c r="AP1012" s="27" t="s">
        <v>2842</v>
      </c>
      <c r="AQ1012" s="27">
        <v>59.434317073170739</v>
      </c>
      <c r="AR1012" s="27">
        <v>60.4</v>
      </c>
      <c r="AS1012" s="29" t="s">
        <v>2842</v>
      </c>
      <c r="AT1012" s="270">
        <v>37</v>
      </c>
      <c r="AU1012" s="464">
        <v>61.601187830035428</v>
      </c>
      <c r="AV1012" s="29">
        <v>-0.25923041502880501</v>
      </c>
      <c r="AW1012" s="29">
        <v>-0.45823244394614299</v>
      </c>
      <c r="AX1012" s="29">
        <v>-1.26971615130245</v>
      </c>
      <c r="AY1012" s="29">
        <v>-1.05371982904254</v>
      </c>
      <c r="AZ1012" s="60">
        <v>-0.52783845709357602</v>
      </c>
    </row>
    <row r="1013" spans="1:52" ht="15" customHeight="1">
      <c r="A1013" s="59" t="s">
        <v>301</v>
      </c>
      <c r="B1013" s="27">
        <v>2010</v>
      </c>
      <c r="C1013" s="27" t="s">
        <v>294</v>
      </c>
      <c r="D1013" s="27" t="s">
        <v>81</v>
      </c>
      <c r="E1013" s="27" t="s">
        <v>98</v>
      </c>
      <c r="F1013" s="27" t="s">
        <v>98</v>
      </c>
      <c r="G1013" s="43">
        <v>0</v>
      </c>
      <c r="H1013" s="43"/>
      <c r="I1013" s="43"/>
      <c r="J1013" s="43"/>
      <c r="K1013" s="27" t="s">
        <v>603</v>
      </c>
      <c r="L1013" s="28"/>
      <c r="M1013" s="27"/>
      <c r="N1013" s="27" t="s">
        <v>604</v>
      </c>
      <c r="O1013" s="18">
        <f>G1013*L1013</f>
        <v>0</v>
      </c>
      <c r="P1013" s="214">
        <v>9035942</v>
      </c>
      <c r="Q1013" s="214">
        <v>9036042</v>
      </c>
      <c r="R1013" s="27"/>
      <c r="S1013" s="27"/>
      <c r="T1013" s="18"/>
      <c r="U1013" s="27"/>
      <c r="V1013" s="27"/>
      <c r="W1013" s="30"/>
      <c r="X1013" s="27">
        <v>6</v>
      </c>
      <c r="Y1013" s="27" t="s">
        <v>1494</v>
      </c>
      <c r="Z1013" s="27">
        <v>6</v>
      </c>
      <c r="AA1013" s="27">
        <v>9</v>
      </c>
      <c r="AB1013" s="27"/>
      <c r="AC1013" s="273">
        <v>71896113</v>
      </c>
      <c r="AD1013" s="27">
        <v>1292696475.9587305</v>
      </c>
      <c r="AE1013" s="228">
        <v>5.5617164846587928E-2</v>
      </c>
      <c r="AF1013" s="27">
        <v>149190100.29039708</v>
      </c>
      <c r="AG1013" s="226">
        <v>0.4819094086005366</v>
      </c>
      <c r="AH1013" s="226" t="s">
        <v>2842</v>
      </c>
      <c r="AI1013" s="27">
        <v>1417010000</v>
      </c>
      <c r="AJ1013" s="226">
        <v>5.0737900932244659E-2</v>
      </c>
      <c r="AK1013" s="27">
        <v>30796614.621915426</v>
      </c>
      <c r="AL1013" s="226">
        <v>2.3345459844419856</v>
      </c>
      <c r="AM1013" s="27" t="s">
        <v>2842</v>
      </c>
      <c r="AN1013" s="271" t="s">
        <v>2842</v>
      </c>
      <c r="AO1013" s="27">
        <v>3957990</v>
      </c>
      <c r="AP1013" s="27" t="s">
        <v>2842</v>
      </c>
      <c r="AQ1013" s="27">
        <v>59.434317073170739</v>
      </c>
      <c r="AR1013" s="27">
        <v>60.4</v>
      </c>
      <c r="AS1013" s="29" t="s">
        <v>2842</v>
      </c>
      <c r="AT1013" s="270">
        <v>37</v>
      </c>
      <c r="AU1013" s="464">
        <v>61.601187830035428</v>
      </c>
      <c r="AV1013" s="29">
        <v>-0.25923041502880501</v>
      </c>
      <c r="AW1013" s="29">
        <v>-0.45823244394614299</v>
      </c>
      <c r="AX1013" s="29">
        <v>-1.26971615130245</v>
      </c>
      <c r="AY1013" s="29">
        <v>-1.05371982904254</v>
      </c>
      <c r="AZ1013" s="60">
        <v>-0.52783845709357602</v>
      </c>
    </row>
    <row r="1014" spans="1:52" ht="15" customHeight="1">
      <c r="A1014" s="59" t="s">
        <v>301</v>
      </c>
      <c r="B1014" s="27">
        <v>2010</v>
      </c>
      <c r="C1014" s="27" t="s">
        <v>294</v>
      </c>
      <c r="D1014" s="27" t="s">
        <v>81</v>
      </c>
      <c r="E1014" s="27" t="s">
        <v>19</v>
      </c>
      <c r="F1014" s="27" t="s">
        <v>559</v>
      </c>
      <c r="G1014" s="43"/>
      <c r="H1014" s="43"/>
      <c r="I1014" s="43"/>
      <c r="J1014" s="43"/>
      <c r="K1014" s="27"/>
      <c r="L1014" s="28"/>
      <c r="M1014" s="27"/>
      <c r="N1014" s="27"/>
      <c r="O1014" s="18">
        <f>SUM(O1015:O1019)</f>
        <v>39516487.867241949</v>
      </c>
      <c r="P1014" s="214">
        <v>38382860</v>
      </c>
      <c r="Q1014" s="214">
        <v>37082120</v>
      </c>
      <c r="R1014" s="27"/>
      <c r="S1014" s="27"/>
      <c r="T1014" s="18"/>
      <c r="U1014" s="27"/>
      <c r="V1014" s="27"/>
      <c r="W1014" s="30"/>
      <c r="X1014" s="27">
        <v>78</v>
      </c>
      <c r="Y1014" s="27" t="s">
        <v>1495</v>
      </c>
      <c r="Z1014" s="27">
        <v>34</v>
      </c>
      <c r="AA1014" s="54" t="s">
        <v>1496</v>
      </c>
      <c r="AB1014" s="27"/>
      <c r="AC1014" s="273">
        <v>71896113</v>
      </c>
      <c r="AD1014" s="27">
        <v>1292696475.9587305</v>
      </c>
      <c r="AE1014" s="228">
        <v>5.5617164846587928E-2</v>
      </c>
      <c r="AF1014" s="27">
        <v>149190100.29039708</v>
      </c>
      <c r="AG1014" s="226">
        <v>0.4819094086005366</v>
      </c>
      <c r="AH1014" s="226" t="s">
        <v>2842</v>
      </c>
      <c r="AI1014" s="27">
        <v>1417010000</v>
      </c>
      <c r="AJ1014" s="226">
        <v>5.0737900932244659E-2</v>
      </c>
      <c r="AK1014" s="27">
        <v>30796614.621915426</v>
      </c>
      <c r="AL1014" s="226">
        <v>2.3345459844419856</v>
      </c>
      <c r="AM1014" s="27" t="s">
        <v>2842</v>
      </c>
      <c r="AN1014" s="271" t="s">
        <v>2842</v>
      </c>
      <c r="AO1014" s="27">
        <v>3957990</v>
      </c>
      <c r="AP1014" s="27" t="s">
        <v>2842</v>
      </c>
      <c r="AQ1014" s="27">
        <v>59.434317073170739</v>
      </c>
      <c r="AR1014" s="27">
        <v>60.4</v>
      </c>
      <c r="AS1014" s="29" t="s">
        <v>2842</v>
      </c>
      <c r="AT1014" s="270">
        <v>37</v>
      </c>
      <c r="AU1014" s="464">
        <v>61.601187830035428</v>
      </c>
      <c r="AV1014" s="29">
        <v>-0.25923041502880501</v>
      </c>
      <c r="AW1014" s="29">
        <v>-0.45823244394614299</v>
      </c>
      <c r="AX1014" s="29">
        <v>-1.26971615130245</v>
      </c>
      <c r="AY1014" s="29">
        <v>-1.05371982904254</v>
      </c>
      <c r="AZ1014" s="60">
        <v>-0.52783845709357602</v>
      </c>
    </row>
    <row r="1015" spans="1:52" ht="15" customHeight="1">
      <c r="A1015" s="59" t="s">
        <v>301</v>
      </c>
      <c r="B1015" s="27">
        <v>2010</v>
      </c>
      <c r="C1015" s="27" t="s">
        <v>294</v>
      </c>
      <c r="D1015" s="27" t="s">
        <v>81</v>
      </c>
      <c r="E1015" s="27" t="s">
        <v>19</v>
      </c>
      <c r="F1015" s="27" t="s">
        <v>566</v>
      </c>
      <c r="G1015" s="43">
        <f>((70584/365)*184)+((71733/365)*181)</f>
        <v>71153.778082191784</v>
      </c>
      <c r="H1015" s="43"/>
      <c r="I1015" s="43"/>
      <c r="J1015" s="43"/>
      <c r="K1015" s="27" t="s">
        <v>567</v>
      </c>
      <c r="L1015" s="28">
        <f>((99/365)*184)+((92/365)*181)</f>
        <v>95.528767123287679</v>
      </c>
      <c r="M1015" s="27" t="s">
        <v>568</v>
      </c>
      <c r="N1015" s="27" t="s">
        <v>1497</v>
      </c>
      <c r="O1015" s="18">
        <f>G1015*L1015</f>
        <v>6797232.6963557899</v>
      </c>
      <c r="P1015" s="214"/>
      <c r="Q1015" s="214"/>
      <c r="R1015" s="27"/>
      <c r="S1015" s="27"/>
      <c r="T1015" s="18"/>
      <c r="U1015" s="27"/>
      <c r="V1015" s="27"/>
      <c r="W1015" s="30"/>
      <c r="X1015" s="29"/>
      <c r="Y1015" s="27"/>
      <c r="Z1015" s="27"/>
      <c r="AA1015" s="27"/>
      <c r="AB1015" s="27"/>
      <c r="AC1015" s="273">
        <v>71896113</v>
      </c>
      <c r="AD1015" s="27">
        <v>1292696475.9587305</v>
      </c>
      <c r="AE1015" s="228">
        <v>5.5617164846587928E-2</v>
      </c>
      <c r="AF1015" s="27">
        <v>149190100.29039708</v>
      </c>
      <c r="AG1015" s="226">
        <v>0.4819094086005366</v>
      </c>
      <c r="AH1015" s="226" t="s">
        <v>2842</v>
      </c>
      <c r="AI1015" s="27">
        <v>1417010000</v>
      </c>
      <c r="AJ1015" s="226">
        <v>5.0737900932244659E-2</v>
      </c>
      <c r="AK1015" s="27">
        <v>30796614.621915426</v>
      </c>
      <c r="AL1015" s="226">
        <v>2.3345459844419856</v>
      </c>
      <c r="AM1015" s="27" t="s">
        <v>2842</v>
      </c>
      <c r="AN1015" s="271" t="s">
        <v>2842</v>
      </c>
      <c r="AO1015" s="27">
        <v>3957990</v>
      </c>
      <c r="AP1015" s="27" t="s">
        <v>2842</v>
      </c>
      <c r="AQ1015" s="27">
        <v>59.434317073170739</v>
      </c>
      <c r="AR1015" s="27">
        <v>60.4</v>
      </c>
      <c r="AS1015" s="29" t="s">
        <v>2842</v>
      </c>
      <c r="AT1015" s="270">
        <v>37</v>
      </c>
      <c r="AU1015" s="464">
        <v>61.601187830035428</v>
      </c>
      <c r="AV1015" s="29">
        <v>-0.25923041502880501</v>
      </c>
      <c r="AW1015" s="29">
        <v>-0.45823244394614299</v>
      </c>
      <c r="AX1015" s="29">
        <v>-1.26971615130245</v>
      </c>
      <c r="AY1015" s="29">
        <v>-1.05371982904254</v>
      </c>
      <c r="AZ1015" s="60">
        <v>-0.52783845709357602</v>
      </c>
    </row>
    <row r="1016" spans="1:52" ht="15" customHeight="1">
      <c r="A1016" s="59" t="s">
        <v>301</v>
      </c>
      <c r="B1016" s="27">
        <v>2010</v>
      </c>
      <c r="C1016" s="27" t="s">
        <v>294</v>
      </c>
      <c r="D1016" s="27" t="s">
        <v>81</v>
      </c>
      <c r="E1016" s="27" t="s">
        <v>19</v>
      </c>
      <c r="F1016" s="27" t="s">
        <v>904</v>
      </c>
      <c r="G1016" s="43">
        <f>((28368/365)*184)+((26591/365)*181)</f>
        <v>27486.80273972603</v>
      </c>
      <c r="H1016" s="43"/>
      <c r="I1016" s="43"/>
      <c r="J1016" s="43"/>
      <c r="K1016" s="27" t="s">
        <v>905</v>
      </c>
      <c r="L1016" s="28">
        <f>((396.94/365)*184)+((600/365)*181)</f>
        <v>497.63550684931505</v>
      </c>
      <c r="M1016" s="27" t="s">
        <v>906</v>
      </c>
      <c r="N1016" s="27" t="s">
        <v>1498</v>
      </c>
      <c r="O1016" s="18">
        <f>G1016*L1016</f>
        <v>13678409.013050705</v>
      </c>
      <c r="P1016" s="214"/>
      <c r="Q1016" s="214"/>
      <c r="R1016" s="27"/>
      <c r="S1016" s="27"/>
      <c r="T1016" s="18"/>
      <c r="U1016" s="27"/>
      <c r="V1016" s="27"/>
      <c r="W1016" s="30"/>
      <c r="X1016" s="29"/>
      <c r="Y1016" s="27"/>
      <c r="Z1016" s="27"/>
      <c r="AA1016" s="27"/>
      <c r="AB1016" s="27"/>
      <c r="AC1016" s="273">
        <v>71896113</v>
      </c>
      <c r="AD1016" s="27">
        <v>1292696475.9587305</v>
      </c>
      <c r="AE1016" s="228">
        <v>5.5617164846587928E-2</v>
      </c>
      <c r="AF1016" s="27">
        <v>149190100.29039708</v>
      </c>
      <c r="AG1016" s="226">
        <v>0.4819094086005366</v>
      </c>
      <c r="AH1016" s="226" t="s">
        <v>2842</v>
      </c>
      <c r="AI1016" s="27">
        <v>1417010000</v>
      </c>
      <c r="AJ1016" s="226">
        <v>5.0737900932244659E-2</v>
      </c>
      <c r="AK1016" s="27">
        <v>30796614.621915426</v>
      </c>
      <c r="AL1016" s="226">
        <v>2.3345459844419856</v>
      </c>
      <c r="AM1016" s="27" t="s">
        <v>2842</v>
      </c>
      <c r="AN1016" s="271" t="s">
        <v>2842</v>
      </c>
      <c r="AO1016" s="27">
        <v>3957990</v>
      </c>
      <c r="AP1016" s="27" t="s">
        <v>2842</v>
      </c>
      <c r="AQ1016" s="27">
        <v>59.434317073170739</v>
      </c>
      <c r="AR1016" s="27">
        <v>60.4</v>
      </c>
      <c r="AS1016" s="29" t="s">
        <v>2842</v>
      </c>
      <c r="AT1016" s="270">
        <v>37</v>
      </c>
      <c r="AU1016" s="464">
        <v>61.601187830035428</v>
      </c>
      <c r="AV1016" s="29">
        <v>-0.25923041502880501</v>
      </c>
      <c r="AW1016" s="29">
        <v>-0.45823244394614299</v>
      </c>
      <c r="AX1016" s="29">
        <v>-1.26971615130245</v>
      </c>
      <c r="AY1016" s="29">
        <v>-1.05371982904254</v>
      </c>
      <c r="AZ1016" s="60">
        <v>-0.52783845709357602</v>
      </c>
    </row>
    <row r="1017" spans="1:52" ht="15" customHeight="1">
      <c r="A1017" s="59" t="s">
        <v>301</v>
      </c>
      <c r="B1017" s="27">
        <v>2010</v>
      </c>
      <c r="C1017" s="27" t="s">
        <v>294</v>
      </c>
      <c r="D1017" s="27" t="s">
        <v>81</v>
      </c>
      <c r="E1017" s="27" t="s">
        <v>19</v>
      </c>
      <c r="F1017" s="27" t="s">
        <v>730</v>
      </c>
      <c r="G1017" s="43">
        <f>(((524/365)*184)+((666/365)*181))*32.150743126506</f>
        <v>19110.930219761631</v>
      </c>
      <c r="H1017" s="43"/>
      <c r="I1017" s="43"/>
      <c r="J1017" s="43"/>
      <c r="K1017" s="27" t="s">
        <v>731</v>
      </c>
      <c r="L1017" s="28">
        <f>(((972.97/365)*184)+((1224.66/365)*181))*0.8663</f>
        <v>951.00738362191771</v>
      </c>
      <c r="M1017" s="27" t="s">
        <v>732</v>
      </c>
      <c r="N1017" s="27" t="s">
        <v>1478</v>
      </c>
      <c r="O1017" s="18">
        <f>G1017*L1017</f>
        <v>18174635.746876549</v>
      </c>
      <c r="P1017" s="214"/>
      <c r="Q1017" s="214"/>
      <c r="R1017" s="27"/>
      <c r="S1017" s="27"/>
      <c r="T1017" s="18"/>
      <c r="U1017" s="27"/>
      <c r="V1017" s="27"/>
      <c r="W1017" s="30"/>
      <c r="X1017" s="29"/>
      <c r="Y1017" s="27"/>
      <c r="Z1017" s="27"/>
      <c r="AA1017" s="27"/>
      <c r="AB1017" s="27"/>
      <c r="AC1017" s="273">
        <v>71896113</v>
      </c>
      <c r="AD1017" s="27">
        <v>1292696475.9587305</v>
      </c>
      <c r="AE1017" s="228">
        <v>5.5617164846587928E-2</v>
      </c>
      <c r="AF1017" s="27">
        <v>149190100.29039708</v>
      </c>
      <c r="AG1017" s="226">
        <v>0.4819094086005366</v>
      </c>
      <c r="AH1017" s="226" t="s">
        <v>2842</v>
      </c>
      <c r="AI1017" s="27">
        <v>1417010000</v>
      </c>
      <c r="AJ1017" s="226">
        <v>5.0737900932244659E-2</v>
      </c>
      <c r="AK1017" s="27">
        <v>30796614.621915426</v>
      </c>
      <c r="AL1017" s="226">
        <v>2.3345459844419856</v>
      </c>
      <c r="AM1017" s="27" t="s">
        <v>2842</v>
      </c>
      <c r="AN1017" s="271" t="s">
        <v>2842</v>
      </c>
      <c r="AO1017" s="27">
        <v>3957990</v>
      </c>
      <c r="AP1017" s="27" t="s">
        <v>2842</v>
      </c>
      <c r="AQ1017" s="27">
        <v>59.434317073170739</v>
      </c>
      <c r="AR1017" s="27">
        <v>60.4</v>
      </c>
      <c r="AS1017" s="29" t="s">
        <v>2842</v>
      </c>
      <c r="AT1017" s="270">
        <v>37</v>
      </c>
      <c r="AU1017" s="464">
        <v>61.601187830035428</v>
      </c>
      <c r="AV1017" s="29">
        <v>-0.25923041502880501</v>
      </c>
      <c r="AW1017" s="29">
        <v>-0.45823244394614299</v>
      </c>
      <c r="AX1017" s="29">
        <v>-1.26971615130245</v>
      </c>
      <c r="AY1017" s="29">
        <v>-1.05371982904254</v>
      </c>
      <c r="AZ1017" s="60">
        <v>-0.52783845709357602</v>
      </c>
    </row>
    <row r="1018" spans="1:52" ht="15" customHeight="1">
      <c r="A1018" s="59" t="s">
        <v>301</v>
      </c>
      <c r="B1018" s="27">
        <v>2010</v>
      </c>
      <c r="C1018" s="27" t="s">
        <v>294</v>
      </c>
      <c r="D1018" s="27" t="s">
        <v>81</v>
      </c>
      <c r="E1018" s="27" t="s">
        <v>19</v>
      </c>
      <c r="F1018" s="27" t="s">
        <v>897</v>
      </c>
      <c r="G1018" s="43">
        <f>((120000/365)*184)+((110000/365)*181)</f>
        <v>115041.09589041096</v>
      </c>
      <c r="H1018" s="43"/>
      <c r="I1018" s="43"/>
      <c r="J1018" s="43"/>
      <c r="K1018" s="27" t="s">
        <v>567</v>
      </c>
      <c r="L1018" s="28">
        <v>7.31</v>
      </c>
      <c r="M1018" s="27" t="s">
        <v>568</v>
      </c>
      <c r="N1018" s="27" t="s">
        <v>1499</v>
      </c>
      <c r="O1018" s="18">
        <f>G1018*L1018</f>
        <v>840950.41095890407</v>
      </c>
      <c r="P1018" s="214"/>
      <c r="Q1018" s="214"/>
      <c r="R1018" s="27"/>
      <c r="S1018" s="27"/>
      <c r="T1018" s="18"/>
      <c r="U1018" s="27"/>
      <c r="V1018" s="27"/>
      <c r="W1018" s="30"/>
      <c r="X1018" s="29"/>
      <c r="Y1018" s="27"/>
      <c r="Z1018" s="27"/>
      <c r="AA1018" s="27"/>
      <c r="AB1018" s="27"/>
      <c r="AC1018" s="273">
        <v>71896113</v>
      </c>
      <c r="AD1018" s="27">
        <v>1292696475.9587305</v>
      </c>
      <c r="AE1018" s="228">
        <v>5.5617164846587928E-2</v>
      </c>
      <c r="AF1018" s="27">
        <v>149190100.29039708</v>
      </c>
      <c r="AG1018" s="226">
        <v>0.4819094086005366</v>
      </c>
      <c r="AH1018" s="226" t="s">
        <v>2842</v>
      </c>
      <c r="AI1018" s="27">
        <v>1417010000</v>
      </c>
      <c r="AJ1018" s="226">
        <v>5.0737900932244659E-2</v>
      </c>
      <c r="AK1018" s="27">
        <v>30796614.621915426</v>
      </c>
      <c r="AL1018" s="226">
        <v>2.3345459844419856</v>
      </c>
      <c r="AM1018" s="27" t="s">
        <v>2842</v>
      </c>
      <c r="AN1018" s="271" t="s">
        <v>2842</v>
      </c>
      <c r="AO1018" s="27">
        <v>3957990</v>
      </c>
      <c r="AP1018" s="27" t="s">
        <v>2842</v>
      </c>
      <c r="AQ1018" s="27">
        <v>59.434317073170739</v>
      </c>
      <c r="AR1018" s="27">
        <v>60.4</v>
      </c>
      <c r="AS1018" s="29" t="s">
        <v>2842</v>
      </c>
      <c r="AT1018" s="270">
        <v>37</v>
      </c>
      <c r="AU1018" s="464">
        <v>61.601187830035428</v>
      </c>
      <c r="AV1018" s="29">
        <v>-0.25923041502880501</v>
      </c>
      <c r="AW1018" s="29">
        <v>-0.45823244394614299</v>
      </c>
      <c r="AX1018" s="29">
        <v>-1.26971615130245</v>
      </c>
      <c r="AY1018" s="29">
        <v>-1.05371982904254</v>
      </c>
      <c r="AZ1018" s="60">
        <v>-0.52783845709357602</v>
      </c>
    </row>
    <row r="1019" spans="1:52" ht="15" customHeight="1">
      <c r="A1019" s="59" t="s">
        <v>301</v>
      </c>
      <c r="B1019" s="27">
        <v>2010</v>
      </c>
      <c r="C1019" s="27" t="s">
        <v>294</v>
      </c>
      <c r="D1019" s="27" t="s">
        <v>81</v>
      </c>
      <c r="E1019" s="27" t="s">
        <v>19</v>
      </c>
      <c r="F1019" s="27" t="s">
        <v>1481</v>
      </c>
      <c r="G1019" s="43">
        <f>((3000/365)*184)+((3000/365)*181)</f>
        <v>3000.0000000000005</v>
      </c>
      <c r="H1019" s="43"/>
      <c r="I1019" s="43"/>
      <c r="J1019" s="43"/>
      <c r="K1019" s="27" t="s">
        <v>567</v>
      </c>
      <c r="L1019" s="28">
        <v>8.42</v>
      </c>
      <c r="M1019" s="27" t="s">
        <v>568</v>
      </c>
      <c r="N1019" s="27" t="s">
        <v>1500</v>
      </c>
      <c r="O1019" s="18">
        <f>G1019*L1019</f>
        <v>25260.000000000004</v>
      </c>
      <c r="P1019" s="214"/>
      <c r="Q1019" s="214"/>
      <c r="R1019" s="27"/>
      <c r="S1019" s="27"/>
      <c r="T1019" s="18"/>
      <c r="U1019" s="27"/>
      <c r="V1019" s="27"/>
      <c r="W1019" s="30"/>
      <c r="X1019" s="29"/>
      <c r="Y1019" s="27"/>
      <c r="Z1019" s="27"/>
      <c r="AA1019" s="27"/>
      <c r="AB1019" s="27"/>
      <c r="AC1019" s="273">
        <v>71896113</v>
      </c>
      <c r="AD1019" s="27">
        <v>1292696475.9587305</v>
      </c>
      <c r="AE1019" s="228">
        <v>5.5617164846587928E-2</v>
      </c>
      <c r="AF1019" s="27">
        <v>149190100.29039708</v>
      </c>
      <c r="AG1019" s="226">
        <v>0.4819094086005366</v>
      </c>
      <c r="AH1019" s="226" t="s">
        <v>2842</v>
      </c>
      <c r="AI1019" s="27">
        <v>1417010000</v>
      </c>
      <c r="AJ1019" s="226">
        <v>5.0737900932244659E-2</v>
      </c>
      <c r="AK1019" s="27">
        <v>30796614.621915426</v>
      </c>
      <c r="AL1019" s="226">
        <v>2.3345459844419856</v>
      </c>
      <c r="AM1019" s="27" t="s">
        <v>2842</v>
      </c>
      <c r="AN1019" s="271" t="s">
        <v>2842</v>
      </c>
      <c r="AO1019" s="27">
        <v>3957990</v>
      </c>
      <c r="AP1019" s="27" t="s">
        <v>2842</v>
      </c>
      <c r="AQ1019" s="27">
        <v>59.434317073170739</v>
      </c>
      <c r="AR1019" s="27">
        <v>60.4</v>
      </c>
      <c r="AS1019" s="29" t="s">
        <v>2842</v>
      </c>
      <c r="AT1019" s="270">
        <v>37</v>
      </c>
      <c r="AU1019" s="464">
        <v>61.601187830035428</v>
      </c>
      <c r="AV1019" s="29">
        <v>-0.25923041502880501</v>
      </c>
      <c r="AW1019" s="29">
        <v>-0.45823244394614299</v>
      </c>
      <c r="AX1019" s="29">
        <v>-1.26971615130245</v>
      </c>
      <c r="AY1019" s="29">
        <v>-1.05371982904254</v>
      </c>
      <c r="AZ1019" s="60">
        <v>-0.52783845709357602</v>
      </c>
    </row>
    <row r="1020" spans="1:52" ht="15" customHeight="1">
      <c r="A1020" s="59" t="s">
        <v>301</v>
      </c>
      <c r="B1020" s="27">
        <v>2010</v>
      </c>
      <c r="C1020" s="27" t="s">
        <v>294</v>
      </c>
      <c r="D1020" s="27" t="s">
        <v>81</v>
      </c>
      <c r="E1020" s="27" t="s">
        <v>1483</v>
      </c>
      <c r="F1020" s="27" t="s">
        <v>1484</v>
      </c>
      <c r="G1020" s="43"/>
      <c r="H1020" s="43"/>
      <c r="I1020" s="43"/>
      <c r="J1020" s="43"/>
      <c r="K1020" s="27"/>
      <c r="L1020" s="28"/>
      <c r="M1020" s="27"/>
      <c r="N1020" s="27"/>
      <c r="O1020" s="18"/>
      <c r="P1020" s="214">
        <v>12177453</v>
      </c>
      <c r="Q1020" s="214">
        <v>11504265</v>
      </c>
      <c r="R1020" s="27"/>
      <c r="S1020" s="27"/>
      <c r="T1020" s="18"/>
      <c r="U1020" s="27"/>
      <c r="V1020" s="27"/>
      <c r="W1020" s="30"/>
      <c r="X1020" s="27">
        <v>21</v>
      </c>
      <c r="Y1020" s="27" t="s">
        <v>1501</v>
      </c>
      <c r="Z1020" s="27">
        <v>19</v>
      </c>
      <c r="AA1020" s="54" t="s">
        <v>1502</v>
      </c>
      <c r="AB1020" s="27"/>
      <c r="AC1020" s="273">
        <v>71896113</v>
      </c>
      <c r="AD1020" s="27">
        <v>1292696475.9587305</v>
      </c>
      <c r="AE1020" s="228">
        <v>5.5617164846587928E-2</v>
      </c>
      <c r="AF1020" s="27">
        <v>149190100.29039708</v>
      </c>
      <c r="AG1020" s="226">
        <v>0.4819094086005366</v>
      </c>
      <c r="AH1020" s="226" t="s">
        <v>2842</v>
      </c>
      <c r="AI1020" s="27">
        <v>1417010000</v>
      </c>
      <c r="AJ1020" s="226">
        <v>5.0737900932244659E-2</v>
      </c>
      <c r="AK1020" s="27">
        <v>30796614.621915426</v>
      </c>
      <c r="AL1020" s="226">
        <v>2.3345459844419856</v>
      </c>
      <c r="AM1020" s="27" t="s">
        <v>2842</v>
      </c>
      <c r="AN1020" s="271" t="s">
        <v>2842</v>
      </c>
      <c r="AO1020" s="27">
        <v>3957990</v>
      </c>
      <c r="AP1020" s="27" t="s">
        <v>2842</v>
      </c>
      <c r="AQ1020" s="27">
        <v>59.434317073170739</v>
      </c>
      <c r="AR1020" s="27">
        <v>60.4</v>
      </c>
      <c r="AS1020" s="29" t="s">
        <v>2842</v>
      </c>
      <c r="AT1020" s="270">
        <v>37</v>
      </c>
      <c r="AU1020" s="464">
        <v>61.601187830035428</v>
      </c>
      <c r="AV1020" s="29">
        <v>-0.25923041502880501</v>
      </c>
      <c r="AW1020" s="29">
        <v>-0.45823244394614299</v>
      </c>
      <c r="AX1020" s="29">
        <v>-1.26971615130245</v>
      </c>
      <c r="AY1020" s="29">
        <v>-1.05371982904254</v>
      </c>
      <c r="AZ1020" s="60">
        <v>-0.52783845709357602</v>
      </c>
    </row>
    <row r="1021" spans="1:52" s="287" customFormat="1" ht="15" customHeight="1">
      <c r="A1021" s="344" t="s">
        <v>301</v>
      </c>
      <c r="B1021" s="284">
        <v>2010</v>
      </c>
      <c r="C1021" s="284" t="s">
        <v>294</v>
      </c>
      <c r="D1021" s="284" t="s">
        <v>81</v>
      </c>
      <c r="E1021" s="284" t="s">
        <v>1483</v>
      </c>
      <c r="F1021" s="284" t="s">
        <v>1491</v>
      </c>
      <c r="G1021" s="303"/>
      <c r="H1021" s="303"/>
      <c r="I1021" s="303"/>
      <c r="J1021" s="303"/>
      <c r="K1021" s="284"/>
      <c r="L1021" s="304"/>
      <c r="M1021" s="284"/>
      <c r="N1021" s="284"/>
      <c r="O1021" s="305"/>
      <c r="P1021" s="346">
        <v>12299858</v>
      </c>
      <c r="Q1021" s="346">
        <v>12098270</v>
      </c>
      <c r="R1021" s="284"/>
      <c r="S1021" s="284"/>
      <c r="T1021" s="305"/>
      <c r="U1021" s="284"/>
      <c r="V1021" s="284"/>
      <c r="W1021" s="307"/>
      <c r="X1021" s="284">
        <v>14</v>
      </c>
      <c r="Y1021" s="284" t="s">
        <v>1503</v>
      </c>
      <c r="Z1021" s="284">
        <v>12</v>
      </c>
      <c r="AA1021" s="284">
        <v>8</v>
      </c>
      <c r="AB1021" s="284"/>
      <c r="AC1021" s="308">
        <v>71896113</v>
      </c>
      <c r="AD1021" s="284">
        <v>1292696475.9587305</v>
      </c>
      <c r="AE1021" s="309">
        <v>5.5617164846587928E-2</v>
      </c>
      <c r="AF1021" s="284">
        <v>149190100.29039708</v>
      </c>
      <c r="AG1021" s="310">
        <v>0.4819094086005366</v>
      </c>
      <c r="AH1021" s="310" t="s">
        <v>2842</v>
      </c>
      <c r="AI1021" s="284">
        <v>1417010000</v>
      </c>
      <c r="AJ1021" s="310">
        <v>5.0737900932244659E-2</v>
      </c>
      <c r="AK1021" s="284">
        <v>30796614.621915426</v>
      </c>
      <c r="AL1021" s="310">
        <v>2.3345459844419856</v>
      </c>
      <c r="AM1021" s="284" t="s">
        <v>2842</v>
      </c>
      <c r="AN1021" s="311" t="s">
        <v>2842</v>
      </c>
      <c r="AO1021" s="284">
        <v>3957990</v>
      </c>
      <c r="AP1021" s="284" t="s">
        <v>2842</v>
      </c>
      <c r="AQ1021" s="284">
        <v>59.434317073170739</v>
      </c>
      <c r="AR1021" s="284">
        <v>60.4</v>
      </c>
      <c r="AS1021" s="287" t="s">
        <v>2842</v>
      </c>
      <c r="AT1021" s="312">
        <v>37</v>
      </c>
      <c r="AU1021" s="465">
        <v>61.601187830035428</v>
      </c>
      <c r="AV1021" s="287">
        <v>-0.25923041502880501</v>
      </c>
      <c r="AW1021" s="287">
        <v>-0.45823244394614299</v>
      </c>
      <c r="AX1021" s="287">
        <v>-1.26971615130245</v>
      </c>
      <c r="AY1021" s="287">
        <v>-1.05371982904254</v>
      </c>
      <c r="AZ1021" s="313">
        <v>-0.52783845709357602</v>
      </c>
    </row>
    <row r="1022" spans="1:52" s="29" customFormat="1" ht="15" customHeight="1">
      <c r="A1022" s="332" t="s">
        <v>304</v>
      </c>
      <c r="B1022" s="27">
        <v>2011</v>
      </c>
      <c r="C1022" s="27" t="s">
        <v>294</v>
      </c>
      <c r="D1022" s="27" t="s">
        <v>81</v>
      </c>
      <c r="E1022" s="27" t="s">
        <v>512</v>
      </c>
      <c r="F1022" s="27" t="s">
        <v>659</v>
      </c>
      <c r="G1022" s="43"/>
      <c r="H1022" s="43"/>
      <c r="I1022" s="43"/>
      <c r="J1022" s="43"/>
      <c r="K1022" s="27"/>
      <c r="L1022" s="28"/>
      <c r="M1022" s="27"/>
      <c r="N1022" s="27"/>
      <c r="O1022" s="18">
        <f>O1023+O1024+O1031+O1032</f>
        <v>147332348.74315965</v>
      </c>
      <c r="P1022" s="246">
        <v>102802566.91</v>
      </c>
      <c r="Q1022" s="246">
        <v>115407282</v>
      </c>
      <c r="R1022" s="27" t="s">
        <v>3746</v>
      </c>
      <c r="S1022" s="27" t="s">
        <v>1504</v>
      </c>
      <c r="T1022" s="18">
        <v>12958352</v>
      </c>
      <c r="U1022" s="27" t="s">
        <v>917</v>
      </c>
      <c r="V1022" s="27" t="s">
        <v>802</v>
      </c>
      <c r="W1022" s="30"/>
      <c r="X1022" s="27">
        <v>111</v>
      </c>
      <c r="Y1022" s="27" t="s">
        <v>1505</v>
      </c>
      <c r="Z1022" s="27">
        <v>65</v>
      </c>
      <c r="AA1022" s="27" t="s">
        <v>1507</v>
      </c>
      <c r="AB1022" s="27" t="s">
        <v>3698</v>
      </c>
      <c r="AC1022" s="273">
        <v>102802566.91</v>
      </c>
      <c r="AD1022" s="27">
        <v>1537753884.5750225</v>
      </c>
      <c r="AE1022" s="228">
        <v>6.6852418934653365E-2</v>
      </c>
      <c r="AF1022" s="27">
        <v>235906823.43265417</v>
      </c>
      <c r="AG1022" s="226">
        <v>0.43577614845612</v>
      </c>
      <c r="AH1022" s="226" t="s">
        <v>2842</v>
      </c>
      <c r="AI1022" s="27">
        <v>764840000</v>
      </c>
      <c r="AJ1022" s="226">
        <v>0.13441055241619163</v>
      </c>
      <c r="AK1022" s="27">
        <v>71219014.989440084</v>
      </c>
      <c r="AL1022" s="226">
        <v>1.4434707770845037</v>
      </c>
      <c r="AM1022" s="27" t="s">
        <v>2842</v>
      </c>
      <c r="AN1022" s="271" t="s">
        <v>2842</v>
      </c>
      <c r="AO1022" s="27">
        <v>4079697</v>
      </c>
      <c r="AP1022" s="27" t="s">
        <v>2842</v>
      </c>
      <c r="AQ1022" s="27">
        <v>59.859878048780494</v>
      </c>
      <c r="AR1022" s="27">
        <v>57.9</v>
      </c>
      <c r="AS1022" s="29">
        <v>40.915999999999997</v>
      </c>
      <c r="AT1022" s="270">
        <v>37</v>
      </c>
      <c r="AU1022" s="464">
        <v>61.601187830035428</v>
      </c>
      <c r="AV1022" s="29">
        <v>-0.31685403331256001</v>
      </c>
      <c r="AW1022" s="29">
        <v>-0.42485539628227698</v>
      </c>
      <c r="AX1022" s="29">
        <v>-1.24471848937616</v>
      </c>
      <c r="AY1022" s="29">
        <v>-1.0947736633522001</v>
      </c>
      <c r="AZ1022" s="60">
        <v>-0.60890822259611399</v>
      </c>
    </row>
    <row r="1023" spans="1:52" s="29" customFormat="1" ht="15" customHeight="1">
      <c r="A1023" s="59" t="s">
        <v>304</v>
      </c>
      <c r="B1023" s="27">
        <v>2011</v>
      </c>
      <c r="C1023" s="27" t="s">
        <v>294</v>
      </c>
      <c r="D1023" s="27" t="s">
        <v>81</v>
      </c>
      <c r="E1023" s="27" t="s">
        <v>98</v>
      </c>
      <c r="F1023" s="27" t="s">
        <v>98</v>
      </c>
      <c r="G1023" s="43">
        <v>0</v>
      </c>
      <c r="H1023" s="43"/>
      <c r="I1023" s="43"/>
      <c r="J1023" s="43"/>
      <c r="K1023" s="27" t="s">
        <v>603</v>
      </c>
      <c r="L1023" s="28"/>
      <c r="M1023" s="27"/>
      <c r="N1023" s="27" t="s">
        <v>604</v>
      </c>
      <c r="O1023" s="18">
        <f>G1023*L1023</f>
        <v>0</v>
      </c>
      <c r="P1023" s="214">
        <v>49681073.859999999</v>
      </c>
      <c r="Q1023" s="214">
        <v>49911073.859999999</v>
      </c>
      <c r="R1023" s="27"/>
      <c r="S1023" s="27" t="s">
        <v>1508</v>
      </c>
      <c r="T1023" s="18">
        <v>701600</v>
      </c>
      <c r="U1023" s="27"/>
      <c r="V1023" s="27"/>
      <c r="W1023" s="30"/>
      <c r="X1023" s="27">
        <v>6</v>
      </c>
      <c r="Y1023" s="27" t="s">
        <v>1509</v>
      </c>
      <c r="Z1023" s="27">
        <v>5</v>
      </c>
      <c r="AA1023" s="27" t="s">
        <v>1510</v>
      </c>
      <c r="AB1023" s="27"/>
      <c r="AC1023" s="273">
        <v>102802566.91</v>
      </c>
      <c r="AD1023" s="27">
        <v>1537753884.5750225</v>
      </c>
      <c r="AE1023" s="228">
        <v>6.6852418934653365E-2</v>
      </c>
      <c r="AF1023" s="27">
        <v>235906823.43265417</v>
      </c>
      <c r="AG1023" s="226">
        <v>0.43577614845612</v>
      </c>
      <c r="AH1023" s="226" t="s">
        <v>2842</v>
      </c>
      <c r="AI1023" s="27">
        <v>764840000</v>
      </c>
      <c r="AJ1023" s="226">
        <v>0.13441055241619163</v>
      </c>
      <c r="AK1023" s="27">
        <v>71219014.989440084</v>
      </c>
      <c r="AL1023" s="226">
        <v>1.4434707770845037</v>
      </c>
      <c r="AM1023" s="27" t="s">
        <v>2842</v>
      </c>
      <c r="AN1023" s="271" t="s">
        <v>2842</v>
      </c>
      <c r="AO1023" s="27">
        <v>4079697</v>
      </c>
      <c r="AP1023" s="27" t="s">
        <v>2842</v>
      </c>
      <c r="AQ1023" s="27">
        <v>59.859878048780494</v>
      </c>
      <c r="AR1023" s="27">
        <v>57.9</v>
      </c>
      <c r="AS1023" s="29">
        <v>40.915999999999997</v>
      </c>
      <c r="AT1023" s="270">
        <v>37</v>
      </c>
      <c r="AU1023" s="464">
        <v>61.601187830035428</v>
      </c>
      <c r="AV1023" s="29">
        <v>-0.31685403331256001</v>
      </c>
      <c r="AW1023" s="29">
        <v>-0.42485539628227698</v>
      </c>
      <c r="AX1023" s="29">
        <v>-1.24471848937616</v>
      </c>
      <c r="AY1023" s="29">
        <v>-1.0947736633522001</v>
      </c>
      <c r="AZ1023" s="60">
        <v>-0.60890822259611399</v>
      </c>
    </row>
    <row r="1024" spans="1:52" s="29" customFormat="1" ht="15" customHeight="1">
      <c r="A1024" s="59" t="s">
        <v>304</v>
      </c>
      <c r="B1024" s="27">
        <v>2011</v>
      </c>
      <c r="C1024" s="27" t="s">
        <v>294</v>
      </c>
      <c r="D1024" s="27" t="s">
        <v>81</v>
      </c>
      <c r="E1024" s="27" t="s">
        <v>19</v>
      </c>
      <c r="F1024" s="27" t="s">
        <v>559</v>
      </c>
      <c r="G1024" s="43"/>
      <c r="H1024" s="43"/>
      <c r="I1024" s="43"/>
      <c r="J1024" s="43"/>
      <c r="K1024" s="27"/>
      <c r="L1024" s="28"/>
      <c r="M1024" s="27"/>
      <c r="N1024" s="27"/>
      <c r="O1024" s="18">
        <f>SUM(O1025:O1030)</f>
        <v>147332348.74315965</v>
      </c>
      <c r="P1024" s="214">
        <v>44223697.119999997</v>
      </c>
      <c r="Q1024" s="214">
        <v>43798764.75</v>
      </c>
      <c r="R1024" s="27"/>
      <c r="S1024" s="27" t="s">
        <v>1511</v>
      </c>
      <c r="T1024" s="18">
        <v>6123779</v>
      </c>
      <c r="U1024" s="27"/>
      <c r="V1024" s="27"/>
      <c r="W1024" s="30"/>
      <c r="X1024" s="27">
        <v>75</v>
      </c>
      <c r="Y1024" s="27" t="s">
        <v>1512</v>
      </c>
      <c r="Z1024" s="27">
        <v>32</v>
      </c>
      <c r="AA1024" s="27" t="s">
        <v>1513</v>
      </c>
      <c r="AB1024" s="27"/>
      <c r="AC1024" s="273">
        <v>102802566.91</v>
      </c>
      <c r="AD1024" s="27">
        <v>1537753884.5750225</v>
      </c>
      <c r="AE1024" s="228">
        <v>6.6852418934653365E-2</v>
      </c>
      <c r="AF1024" s="27">
        <v>235906823.43265417</v>
      </c>
      <c r="AG1024" s="226">
        <v>0.43577614845612</v>
      </c>
      <c r="AH1024" s="226" t="s">
        <v>2842</v>
      </c>
      <c r="AI1024" s="27">
        <v>764840000</v>
      </c>
      <c r="AJ1024" s="226">
        <v>0.13441055241619163</v>
      </c>
      <c r="AK1024" s="27">
        <v>71219014.989440084</v>
      </c>
      <c r="AL1024" s="226">
        <v>1.4434707770845037</v>
      </c>
      <c r="AM1024" s="27" t="s">
        <v>2842</v>
      </c>
      <c r="AN1024" s="271" t="s">
        <v>2842</v>
      </c>
      <c r="AO1024" s="27">
        <v>4079697</v>
      </c>
      <c r="AP1024" s="27" t="s">
        <v>2842</v>
      </c>
      <c r="AQ1024" s="27">
        <v>59.859878048780494</v>
      </c>
      <c r="AR1024" s="27">
        <v>57.9</v>
      </c>
      <c r="AS1024" s="29">
        <v>40.915999999999997</v>
      </c>
      <c r="AT1024" s="270">
        <v>37</v>
      </c>
      <c r="AU1024" s="464">
        <v>61.601187830035428</v>
      </c>
      <c r="AV1024" s="29">
        <v>-0.31685403331256001</v>
      </c>
      <c r="AW1024" s="29">
        <v>-0.42485539628227698</v>
      </c>
      <c r="AX1024" s="29">
        <v>-1.24471848937616</v>
      </c>
      <c r="AY1024" s="29">
        <v>-1.0947736633522001</v>
      </c>
      <c r="AZ1024" s="60">
        <v>-0.60890822259611399</v>
      </c>
    </row>
    <row r="1025" spans="1:52" s="29" customFormat="1" ht="15" customHeight="1">
      <c r="A1025" s="59" t="s">
        <v>304</v>
      </c>
      <c r="B1025" s="27">
        <v>2011</v>
      </c>
      <c r="C1025" s="27" t="s">
        <v>294</v>
      </c>
      <c r="D1025" s="27" t="s">
        <v>81</v>
      </c>
      <c r="E1025" s="27" t="s">
        <v>19</v>
      </c>
      <c r="F1025" s="27" t="s">
        <v>566</v>
      </c>
      <c r="G1025" s="43">
        <f>((71733/365)*184)+((80594/365)*181)</f>
        <v>76127.084931506848</v>
      </c>
      <c r="H1025" s="43"/>
      <c r="I1025" s="43"/>
      <c r="J1025" s="43"/>
      <c r="K1025" s="27" t="s">
        <v>567</v>
      </c>
      <c r="L1025" s="28">
        <f>((92/365)*184)+((89.5/365)*181)</f>
        <v>90.760273972602747</v>
      </c>
      <c r="M1025" s="27" t="s">
        <v>568</v>
      </c>
      <c r="N1025" s="27" t="s">
        <v>1497</v>
      </c>
      <c r="O1025" s="18">
        <f t="shared" ref="O1025:O1030" si="12">G1025*L1025</f>
        <v>6909315.0851191599</v>
      </c>
      <c r="P1025" s="214"/>
      <c r="Q1025" s="214"/>
      <c r="R1025" s="27"/>
      <c r="S1025" s="27"/>
      <c r="T1025" s="18"/>
      <c r="U1025" s="27"/>
      <c r="V1025" s="27"/>
      <c r="W1025" s="30"/>
      <c r="Y1025" s="27"/>
      <c r="Z1025" s="27"/>
      <c r="AA1025" s="27"/>
      <c r="AB1025" s="27"/>
      <c r="AC1025" s="273">
        <v>102802566.91</v>
      </c>
      <c r="AD1025" s="27">
        <v>1537753884.5750225</v>
      </c>
      <c r="AE1025" s="228">
        <v>6.6852418934653365E-2</v>
      </c>
      <c r="AF1025" s="27">
        <v>235906823.43265417</v>
      </c>
      <c r="AG1025" s="226">
        <v>0.43577614845612</v>
      </c>
      <c r="AH1025" s="226" t="s">
        <v>2842</v>
      </c>
      <c r="AI1025" s="27">
        <v>764840000</v>
      </c>
      <c r="AJ1025" s="226">
        <v>0.13441055241619163</v>
      </c>
      <c r="AK1025" s="27">
        <v>71219014.989440084</v>
      </c>
      <c r="AL1025" s="226">
        <v>1.4434707770845037</v>
      </c>
      <c r="AM1025" s="27" t="s">
        <v>2842</v>
      </c>
      <c r="AN1025" s="271" t="s">
        <v>2842</v>
      </c>
      <c r="AO1025" s="27">
        <v>4079697</v>
      </c>
      <c r="AP1025" s="27" t="s">
        <v>2842</v>
      </c>
      <c r="AQ1025" s="27">
        <v>59.859878048780494</v>
      </c>
      <c r="AR1025" s="27">
        <v>57.9</v>
      </c>
      <c r="AS1025" s="29">
        <v>40.915999999999997</v>
      </c>
      <c r="AT1025" s="270">
        <v>37</v>
      </c>
      <c r="AU1025" s="464">
        <v>61.601187830035428</v>
      </c>
      <c r="AV1025" s="29">
        <v>-0.31685403331256001</v>
      </c>
      <c r="AW1025" s="29">
        <v>-0.42485539628227698</v>
      </c>
      <c r="AX1025" s="29">
        <v>-1.24471848937616</v>
      </c>
      <c r="AY1025" s="29">
        <v>-1.0947736633522001</v>
      </c>
      <c r="AZ1025" s="60">
        <v>-0.60890822259611399</v>
      </c>
    </row>
    <row r="1026" spans="1:52" s="29" customFormat="1" ht="15" customHeight="1">
      <c r="A1026" s="59" t="s">
        <v>304</v>
      </c>
      <c r="B1026" s="27">
        <v>2011</v>
      </c>
      <c r="C1026" s="27" t="s">
        <v>294</v>
      </c>
      <c r="D1026" s="27" t="s">
        <v>81</v>
      </c>
      <c r="E1026" s="27" t="s">
        <v>19</v>
      </c>
      <c r="F1026" s="27" t="s">
        <v>904</v>
      </c>
      <c r="G1026" s="43">
        <f>((26591/365)*184)+((41932/365)*181)</f>
        <v>34198.454794520549</v>
      </c>
      <c r="H1026" s="43"/>
      <c r="I1026" s="43"/>
      <c r="J1026" s="43"/>
      <c r="K1026" s="27" t="s">
        <v>905</v>
      </c>
      <c r="L1026" s="28">
        <f>((600/365)*184)+((385.94/365)*181)</f>
        <v>493.84969863013703</v>
      </c>
      <c r="M1026" s="27" t="s">
        <v>906</v>
      </c>
      <c r="N1026" s="27" t="s">
        <v>1514</v>
      </c>
      <c r="O1026" s="18">
        <f t="shared" si="12"/>
        <v>16888896.593890339</v>
      </c>
      <c r="P1026" s="214"/>
      <c r="Q1026" s="214"/>
      <c r="R1026" s="27"/>
      <c r="S1026" s="27"/>
      <c r="T1026" s="18"/>
      <c r="U1026" s="27"/>
      <c r="V1026" s="27"/>
      <c r="W1026" s="30"/>
      <c r="Y1026" s="27"/>
      <c r="Z1026" s="27"/>
      <c r="AA1026" s="27"/>
      <c r="AB1026" s="27"/>
      <c r="AC1026" s="273">
        <v>102802566.91</v>
      </c>
      <c r="AD1026" s="27">
        <v>1537753884.5750225</v>
      </c>
      <c r="AE1026" s="228">
        <v>6.6852418934653365E-2</v>
      </c>
      <c r="AF1026" s="27">
        <v>235906823.43265417</v>
      </c>
      <c r="AG1026" s="226">
        <v>0.43577614845612</v>
      </c>
      <c r="AH1026" s="226" t="s">
        <v>2842</v>
      </c>
      <c r="AI1026" s="27">
        <v>764840000</v>
      </c>
      <c r="AJ1026" s="226">
        <v>0.13441055241619163</v>
      </c>
      <c r="AK1026" s="27">
        <v>71219014.989440084</v>
      </c>
      <c r="AL1026" s="226">
        <v>1.4434707770845037</v>
      </c>
      <c r="AM1026" s="27" t="s">
        <v>2842</v>
      </c>
      <c r="AN1026" s="271" t="s">
        <v>2842</v>
      </c>
      <c r="AO1026" s="27">
        <v>4079697</v>
      </c>
      <c r="AP1026" s="27" t="s">
        <v>2842</v>
      </c>
      <c r="AQ1026" s="27">
        <v>59.859878048780494</v>
      </c>
      <c r="AR1026" s="27">
        <v>57.9</v>
      </c>
      <c r="AS1026" s="29">
        <v>40.915999999999997</v>
      </c>
      <c r="AT1026" s="270">
        <v>37</v>
      </c>
      <c r="AU1026" s="464">
        <v>61.601187830035428</v>
      </c>
      <c r="AV1026" s="29">
        <v>-0.31685403331256001</v>
      </c>
      <c r="AW1026" s="29">
        <v>-0.42485539628227698</v>
      </c>
      <c r="AX1026" s="29">
        <v>-1.24471848937616</v>
      </c>
      <c r="AY1026" s="29">
        <v>-1.0947736633522001</v>
      </c>
      <c r="AZ1026" s="60">
        <v>-0.60890822259611399</v>
      </c>
    </row>
    <row r="1027" spans="1:52" s="29" customFormat="1" ht="15" customHeight="1">
      <c r="A1027" s="59" t="s">
        <v>304</v>
      </c>
      <c r="B1027" s="27">
        <v>2011</v>
      </c>
      <c r="C1027" s="27" t="s">
        <v>294</v>
      </c>
      <c r="D1027" s="27" t="s">
        <v>81</v>
      </c>
      <c r="E1027" s="27" t="s">
        <v>19</v>
      </c>
      <c r="F1027" s="27" t="s">
        <v>730</v>
      </c>
      <c r="G1027" s="43">
        <f>(((666/365)*184)+((448/365)*181))*32.150743126506</f>
        <v>17936.767463936085</v>
      </c>
      <c r="H1027" s="43"/>
      <c r="I1027" s="43"/>
      <c r="J1027" s="43"/>
      <c r="K1027" s="27" t="s">
        <v>731</v>
      </c>
      <c r="L1027" s="28">
        <f>(((1224.66/365)*184)+((1569.21/365)*181))*0.8663</f>
        <v>1208.9381453013698</v>
      </c>
      <c r="M1027" s="27" t="s">
        <v>732</v>
      </c>
      <c r="N1027" s="27" t="s">
        <v>1478</v>
      </c>
      <c r="O1027" s="18">
        <f t="shared" si="12"/>
        <v>21684442.390552845</v>
      </c>
      <c r="P1027" s="214"/>
      <c r="Q1027" s="214"/>
      <c r="R1027" s="27"/>
      <c r="S1027" s="27"/>
      <c r="T1027" s="18"/>
      <c r="U1027" s="27"/>
      <c r="V1027" s="27"/>
      <c r="W1027" s="30"/>
      <c r="Y1027" s="27"/>
      <c r="Z1027" s="27"/>
      <c r="AA1027" s="27"/>
      <c r="AB1027" s="27"/>
      <c r="AC1027" s="273">
        <v>102802566.91</v>
      </c>
      <c r="AD1027" s="27">
        <v>1537753884.5750225</v>
      </c>
      <c r="AE1027" s="228">
        <v>6.6852418934653365E-2</v>
      </c>
      <c r="AF1027" s="27">
        <v>235906823.43265417</v>
      </c>
      <c r="AG1027" s="226">
        <v>0.43577614845612</v>
      </c>
      <c r="AH1027" s="226" t="s">
        <v>2842</v>
      </c>
      <c r="AI1027" s="27">
        <v>764840000</v>
      </c>
      <c r="AJ1027" s="226">
        <v>0.13441055241619163</v>
      </c>
      <c r="AK1027" s="27">
        <v>71219014.989440084</v>
      </c>
      <c r="AL1027" s="226">
        <v>1.4434707770845037</v>
      </c>
      <c r="AM1027" s="27" t="s">
        <v>2842</v>
      </c>
      <c r="AN1027" s="271" t="s">
        <v>2842</v>
      </c>
      <c r="AO1027" s="27">
        <v>4079697</v>
      </c>
      <c r="AP1027" s="27" t="s">
        <v>2842</v>
      </c>
      <c r="AQ1027" s="27">
        <v>59.859878048780494</v>
      </c>
      <c r="AR1027" s="27">
        <v>57.9</v>
      </c>
      <c r="AS1027" s="29">
        <v>40.915999999999997</v>
      </c>
      <c r="AT1027" s="270">
        <v>37</v>
      </c>
      <c r="AU1027" s="464">
        <v>61.601187830035428</v>
      </c>
      <c r="AV1027" s="29">
        <v>-0.31685403331256001</v>
      </c>
      <c r="AW1027" s="29">
        <v>-0.42485539628227698</v>
      </c>
      <c r="AX1027" s="29">
        <v>-1.24471848937616</v>
      </c>
      <c r="AY1027" s="29">
        <v>-1.0947736633522001</v>
      </c>
      <c r="AZ1027" s="60">
        <v>-0.60890822259611399</v>
      </c>
    </row>
    <row r="1028" spans="1:52" s="29" customFormat="1" ht="15" customHeight="1">
      <c r="A1028" s="59" t="s">
        <v>304</v>
      </c>
      <c r="B1028" s="27">
        <v>2011</v>
      </c>
      <c r="C1028" s="27" t="s">
        <v>294</v>
      </c>
      <c r="D1028" s="27" t="s">
        <v>81</v>
      </c>
      <c r="E1028" s="27" t="s">
        <v>19</v>
      </c>
      <c r="F1028" s="27" t="s">
        <v>1133</v>
      </c>
      <c r="G1028" s="43">
        <f>((0/365)*184)+((1300000/365)*181)</f>
        <v>644657.53424657532</v>
      </c>
      <c r="H1028" s="43"/>
      <c r="I1028" s="43"/>
      <c r="J1028" s="43"/>
      <c r="K1028" s="27" t="s">
        <v>567</v>
      </c>
      <c r="L1028" s="28">
        <f>((145.86/365)*184)+((167.75/365)*181)</f>
        <v>156.7150410958904</v>
      </c>
      <c r="M1028" s="27" t="s">
        <v>568</v>
      </c>
      <c r="N1028" s="27" t="s">
        <v>1515</v>
      </c>
      <c r="O1028" s="18">
        <f t="shared" si="12"/>
        <v>101027531.97222742</v>
      </c>
      <c r="P1028" s="214"/>
      <c r="Q1028" s="214"/>
      <c r="R1028" s="27"/>
      <c r="S1028" s="27"/>
      <c r="T1028" s="18"/>
      <c r="U1028" s="27"/>
      <c r="V1028" s="27"/>
      <c r="W1028" s="30"/>
      <c r="Y1028" s="27"/>
      <c r="Z1028" s="27"/>
      <c r="AA1028" s="27"/>
      <c r="AB1028" s="27"/>
      <c r="AC1028" s="273">
        <v>102802566.91</v>
      </c>
      <c r="AD1028" s="27">
        <v>1537753884.5750225</v>
      </c>
      <c r="AE1028" s="228">
        <v>6.6852418934653365E-2</v>
      </c>
      <c r="AF1028" s="27">
        <v>235906823.43265417</v>
      </c>
      <c r="AG1028" s="226">
        <v>0.43577614845612</v>
      </c>
      <c r="AH1028" s="226" t="s">
        <v>2842</v>
      </c>
      <c r="AI1028" s="27">
        <v>764840000</v>
      </c>
      <c r="AJ1028" s="226">
        <v>0.13441055241619163</v>
      </c>
      <c r="AK1028" s="27">
        <v>71219014.989440084</v>
      </c>
      <c r="AL1028" s="226">
        <v>1.4434707770845037</v>
      </c>
      <c r="AM1028" s="27" t="s">
        <v>2842</v>
      </c>
      <c r="AN1028" s="271" t="s">
        <v>2842</v>
      </c>
      <c r="AO1028" s="27">
        <v>4079697</v>
      </c>
      <c r="AP1028" s="27" t="s">
        <v>2842</v>
      </c>
      <c r="AQ1028" s="27">
        <v>59.859878048780494</v>
      </c>
      <c r="AR1028" s="27">
        <v>57.9</v>
      </c>
      <c r="AS1028" s="29">
        <v>40.915999999999997</v>
      </c>
      <c r="AT1028" s="270">
        <v>37</v>
      </c>
      <c r="AU1028" s="464">
        <v>61.601187830035428</v>
      </c>
      <c r="AV1028" s="29">
        <v>-0.31685403331256001</v>
      </c>
      <c r="AW1028" s="29">
        <v>-0.42485539628227698</v>
      </c>
      <c r="AX1028" s="29">
        <v>-1.24471848937616</v>
      </c>
      <c r="AY1028" s="29">
        <v>-1.0947736633522001</v>
      </c>
      <c r="AZ1028" s="60">
        <v>-0.60890822259611399</v>
      </c>
    </row>
    <row r="1029" spans="1:52" s="29" customFormat="1" ht="15" customHeight="1">
      <c r="A1029" s="59" t="s">
        <v>304</v>
      </c>
      <c r="B1029" s="27">
        <v>2011</v>
      </c>
      <c r="C1029" s="27" t="s">
        <v>294</v>
      </c>
      <c r="D1029" s="27" t="s">
        <v>81</v>
      </c>
      <c r="E1029" s="27" t="s">
        <v>19</v>
      </c>
      <c r="F1029" s="27" t="s">
        <v>897</v>
      </c>
      <c r="G1029" s="43">
        <f>((110000/365)*184)+((103000/365)*181)</f>
        <v>106528.76712328767</v>
      </c>
      <c r="H1029" s="43"/>
      <c r="I1029" s="43"/>
      <c r="J1029" s="43"/>
      <c r="K1029" s="27" t="s">
        <v>567</v>
      </c>
      <c r="L1029" s="28">
        <v>7.49</v>
      </c>
      <c r="M1029" s="27" t="s">
        <v>568</v>
      </c>
      <c r="N1029" s="27" t="s">
        <v>1516</v>
      </c>
      <c r="O1029" s="18">
        <f t="shared" si="12"/>
        <v>797900.46575342468</v>
      </c>
      <c r="P1029" s="214"/>
      <c r="Q1029" s="214"/>
      <c r="R1029" s="27"/>
      <c r="S1029" s="27"/>
      <c r="T1029" s="18"/>
      <c r="U1029" s="27"/>
      <c r="V1029" s="27"/>
      <c r="W1029" s="30"/>
      <c r="Y1029" s="27"/>
      <c r="Z1029" s="27"/>
      <c r="AA1029" s="27"/>
      <c r="AB1029" s="27"/>
      <c r="AC1029" s="273">
        <v>102802566.91</v>
      </c>
      <c r="AD1029" s="27">
        <v>1537753884.5750225</v>
      </c>
      <c r="AE1029" s="228">
        <v>6.6852418934653365E-2</v>
      </c>
      <c r="AF1029" s="27">
        <v>235906823.43265417</v>
      </c>
      <c r="AG1029" s="226">
        <v>0.43577614845612</v>
      </c>
      <c r="AH1029" s="226" t="s">
        <v>2842</v>
      </c>
      <c r="AI1029" s="27">
        <v>764840000</v>
      </c>
      <c r="AJ1029" s="226">
        <v>0.13441055241619163</v>
      </c>
      <c r="AK1029" s="27">
        <v>71219014.989440084</v>
      </c>
      <c r="AL1029" s="226">
        <v>1.4434707770845037</v>
      </c>
      <c r="AM1029" s="27" t="s">
        <v>2842</v>
      </c>
      <c r="AN1029" s="271" t="s">
        <v>2842</v>
      </c>
      <c r="AO1029" s="27">
        <v>4079697</v>
      </c>
      <c r="AP1029" s="27" t="s">
        <v>2842</v>
      </c>
      <c r="AQ1029" s="27">
        <v>59.859878048780494</v>
      </c>
      <c r="AR1029" s="27">
        <v>57.9</v>
      </c>
      <c r="AS1029" s="29">
        <v>40.915999999999997</v>
      </c>
      <c r="AT1029" s="270">
        <v>37</v>
      </c>
      <c r="AU1029" s="464">
        <v>61.601187830035428</v>
      </c>
      <c r="AV1029" s="29">
        <v>-0.31685403331256001</v>
      </c>
      <c r="AW1029" s="29">
        <v>-0.42485539628227698</v>
      </c>
      <c r="AX1029" s="29">
        <v>-1.24471848937616</v>
      </c>
      <c r="AY1029" s="29">
        <v>-1.0947736633522001</v>
      </c>
      <c r="AZ1029" s="60">
        <v>-0.60890822259611399</v>
      </c>
    </row>
    <row r="1030" spans="1:52" s="29" customFormat="1" ht="15" customHeight="1">
      <c r="A1030" s="59" t="s">
        <v>304</v>
      </c>
      <c r="B1030" s="27">
        <v>2011</v>
      </c>
      <c r="C1030" s="27" t="s">
        <v>294</v>
      </c>
      <c r="D1030" s="27" t="s">
        <v>81</v>
      </c>
      <c r="E1030" s="27" t="s">
        <v>19</v>
      </c>
      <c r="F1030" s="27" t="s">
        <v>1481</v>
      </c>
      <c r="G1030" s="43">
        <f>((3000/365)*184)+((2600/365)*181)</f>
        <v>2801.6438356164385</v>
      </c>
      <c r="H1030" s="43"/>
      <c r="I1030" s="43"/>
      <c r="J1030" s="43"/>
      <c r="K1030" s="27" t="s">
        <v>567</v>
      </c>
      <c r="L1030" s="28">
        <v>8.66</v>
      </c>
      <c r="M1030" s="27" t="s">
        <v>568</v>
      </c>
      <c r="N1030" s="27" t="s">
        <v>1517</v>
      </c>
      <c r="O1030" s="18">
        <f t="shared" si="12"/>
        <v>24262.235616438356</v>
      </c>
      <c r="P1030" s="214"/>
      <c r="Q1030" s="214"/>
      <c r="R1030" s="27"/>
      <c r="S1030" s="27"/>
      <c r="T1030" s="18"/>
      <c r="U1030" s="27"/>
      <c r="V1030" s="27"/>
      <c r="W1030" s="30"/>
      <c r="Y1030" s="27"/>
      <c r="Z1030" s="27"/>
      <c r="AA1030" s="27"/>
      <c r="AB1030" s="27"/>
      <c r="AC1030" s="273">
        <v>102802566.91</v>
      </c>
      <c r="AD1030" s="27">
        <v>1537753884.5750225</v>
      </c>
      <c r="AE1030" s="228">
        <v>6.6852418934653365E-2</v>
      </c>
      <c r="AF1030" s="27">
        <v>235906823.43265417</v>
      </c>
      <c r="AG1030" s="226">
        <v>0.43577614845612</v>
      </c>
      <c r="AH1030" s="226" t="s">
        <v>2842</v>
      </c>
      <c r="AI1030" s="27">
        <v>764840000</v>
      </c>
      <c r="AJ1030" s="226">
        <v>0.13441055241619163</v>
      </c>
      <c r="AK1030" s="27">
        <v>71219014.989440084</v>
      </c>
      <c r="AL1030" s="226">
        <v>1.4434707770845037</v>
      </c>
      <c r="AM1030" s="27" t="s">
        <v>2842</v>
      </c>
      <c r="AN1030" s="271" t="s">
        <v>2842</v>
      </c>
      <c r="AO1030" s="27">
        <v>4079697</v>
      </c>
      <c r="AP1030" s="27" t="s">
        <v>2842</v>
      </c>
      <c r="AQ1030" s="27">
        <v>59.859878048780494</v>
      </c>
      <c r="AR1030" s="27">
        <v>57.9</v>
      </c>
      <c r="AS1030" s="29">
        <v>40.915999999999997</v>
      </c>
      <c r="AT1030" s="270">
        <v>37</v>
      </c>
      <c r="AU1030" s="464">
        <v>61.601187830035428</v>
      </c>
      <c r="AV1030" s="29">
        <v>-0.31685403331256001</v>
      </c>
      <c r="AW1030" s="29">
        <v>-0.42485539628227698</v>
      </c>
      <c r="AX1030" s="29">
        <v>-1.24471848937616</v>
      </c>
      <c r="AY1030" s="29">
        <v>-1.0947736633522001</v>
      </c>
      <c r="AZ1030" s="60">
        <v>-0.60890822259611399</v>
      </c>
    </row>
    <row r="1031" spans="1:52" s="29" customFormat="1" ht="15" customHeight="1">
      <c r="A1031" s="59" t="s">
        <v>304</v>
      </c>
      <c r="B1031" s="27">
        <v>2011</v>
      </c>
      <c r="C1031" s="27" t="s">
        <v>294</v>
      </c>
      <c r="D1031" s="27" t="s">
        <v>81</v>
      </c>
      <c r="E1031" s="27" t="s">
        <v>1483</v>
      </c>
      <c r="F1031" s="27" t="s">
        <v>1484</v>
      </c>
      <c r="G1031" s="43"/>
      <c r="H1031" s="43"/>
      <c r="I1031" s="43"/>
      <c r="J1031" s="43"/>
      <c r="K1031" s="27"/>
      <c r="L1031" s="28"/>
      <c r="M1031" s="27"/>
      <c r="N1031" s="27"/>
      <c r="O1031" s="18"/>
      <c r="P1031" s="214">
        <v>5616076.2300000004</v>
      </c>
      <c r="Q1031" s="214">
        <v>5408592.1799999997</v>
      </c>
      <c r="R1031" s="27"/>
      <c r="S1031" s="27" t="s">
        <v>1518</v>
      </c>
      <c r="T1031" s="18">
        <v>78000</v>
      </c>
      <c r="U1031" s="27"/>
      <c r="V1031" s="27"/>
      <c r="W1031" s="30"/>
      <c r="X1031" s="27">
        <v>20</v>
      </c>
      <c r="Y1031" s="27" t="s">
        <v>1519</v>
      </c>
      <c r="Z1031" s="27">
        <v>17</v>
      </c>
      <c r="AA1031" s="27" t="s">
        <v>1520</v>
      </c>
      <c r="AB1031" s="27"/>
      <c r="AC1031" s="273">
        <v>102802566.91</v>
      </c>
      <c r="AD1031" s="27">
        <v>1537753884.5750225</v>
      </c>
      <c r="AE1031" s="228">
        <v>6.6852418934653365E-2</v>
      </c>
      <c r="AF1031" s="27">
        <v>235906823.43265417</v>
      </c>
      <c r="AG1031" s="226">
        <v>0.43577614845612</v>
      </c>
      <c r="AH1031" s="226" t="s">
        <v>2842</v>
      </c>
      <c r="AI1031" s="27">
        <v>764840000</v>
      </c>
      <c r="AJ1031" s="226">
        <v>0.13441055241619163</v>
      </c>
      <c r="AK1031" s="27">
        <v>71219014.989440084</v>
      </c>
      <c r="AL1031" s="226">
        <v>1.4434707770845037</v>
      </c>
      <c r="AM1031" s="27" t="s">
        <v>2842</v>
      </c>
      <c r="AN1031" s="271" t="s">
        <v>2842</v>
      </c>
      <c r="AO1031" s="27">
        <v>4079697</v>
      </c>
      <c r="AP1031" s="27" t="s">
        <v>2842</v>
      </c>
      <c r="AQ1031" s="27">
        <v>59.859878048780494</v>
      </c>
      <c r="AR1031" s="27">
        <v>57.9</v>
      </c>
      <c r="AS1031" s="29">
        <v>40.915999999999997</v>
      </c>
      <c r="AT1031" s="270">
        <v>37</v>
      </c>
      <c r="AU1031" s="464">
        <v>61.601187830035428</v>
      </c>
      <c r="AV1031" s="29">
        <v>-0.31685403331256001</v>
      </c>
      <c r="AW1031" s="29">
        <v>-0.42485539628227698</v>
      </c>
      <c r="AX1031" s="29">
        <v>-1.24471848937616</v>
      </c>
      <c r="AY1031" s="29">
        <v>-1.0947736633522001</v>
      </c>
      <c r="AZ1031" s="60">
        <v>-0.60890822259611399</v>
      </c>
    </row>
    <row r="1032" spans="1:52" s="287" customFormat="1" ht="15" customHeight="1">
      <c r="A1032" s="344" t="s">
        <v>304</v>
      </c>
      <c r="B1032" s="284">
        <v>2011</v>
      </c>
      <c r="C1032" s="284" t="s">
        <v>294</v>
      </c>
      <c r="D1032" s="284" t="s">
        <v>81</v>
      </c>
      <c r="E1032" s="284" t="s">
        <v>1483</v>
      </c>
      <c r="F1032" s="284" t="s">
        <v>1491</v>
      </c>
      <c r="G1032" s="303"/>
      <c r="H1032" s="303"/>
      <c r="I1032" s="303"/>
      <c r="J1032" s="303"/>
      <c r="K1032" s="284"/>
      <c r="L1032" s="304"/>
      <c r="M1032" s="284"/>
      <c r="N1032" s="284"/>
      <c r="O1032" s="305"/>
      <c r="P1032" s="346">
        <v>18281719.699999999</v>
      </c>
      <c r="Q1032" s="346">
        <v>18330499.66</v>
      </c>
      <c r="R1032" s="284"/>
      <c r="S1032" s="284" t="s">
        <v>1521</v>
      </c>
      <c r="T1032" s="305">
        <v>6054973</v>
      </c>
      <c r="U1032" s="284"/>
      <c r="V1032" s="284"/>
      <c r="W1032" s="307"/>
      <c r="X1032" s="284">
        <v>11</v>
      </c>
      <c r="Y1032" s="284" t="s">
        <v>1522</v>
      </c>
      <c r="Z1032" s="284">
        <v>11</v>
      </c>
      <c r="AA1032" s="284" t="s">
        <v>1523</v>
      </c>
      <c r="AB1032" s="284"/>
      <c r="AC1032" s="308">
        <v>102802566.91</v>
      </c>
      <c r="AD1032" s="284">
        <v>1537753884.5750225</v>
      </c>
      <c r="AE1032" s="309">
        <v>6.6852418934653365E-2</v>
      </c>
      <c r="AF1032" s="284">
        <v>235906823.43265417</v>
      </c>
      <c r="AG1032" s="310">
        <v>0.43577614845612</v>
      </c>
      <c r="AH1032" s="310" t="s">
        <v>2842</v>
      </c>
      <c r="AI1032" s="284">
        <v>764840000</v>
      </c>
      <c r="AJ1032" s="310">
        <v>0.13441055241619163</v>
      </c>
      <c r="AK1032" s="284">
        <v>71219014.989440084</v>
      </c>
      <c r="AL1032" s="310">
        <v>1.4434707770845037</v>
      </c>
      <c r="AM1032" s="284" t="s">
        <v>2842</v>
      </c>
      <c r="AN1032" s="311" t="s">
        <v>2842</v>
      </c>
      <c r="AO1032" s="284">
        <v>4079697</v>
      </c>
      <c r="AP1032" s="284" t="s">
        <v>2842</v>
      </c>
      <c r="AQ1032" s="284">
        <v>59.859878048780494</v>
      </c>
      <c r="AR1032" s="284">
        <v>57.9</v>
      </c>
      <c r="AS1032" s="287">
        <v>40.915999999999997</v>
      </c>
      <c r="AT1032" s="312">
        <v>37</v>
      </c>
      <c r="AU1032" s="465">
        <v>61.601187830035428</v>
      </c>
      <c r="AV1032" s="287">
        <v>-0.31685403331256001</v>
      </c>
      <c r="AW1032" s="287">
        <v>-0.42485539628227698</v>
      </c>
      <c r="AX1032" s="287">
        <v>-1.24471848937616</v>
      </c>
      <c r="AY1032" s="287">
        <v>-1.0947736633522001</v>
      </c>
      <c r="AZ1032" s="313">
        <v>-0.60890822259611399</v>
      </c>
    </row>
    <row r="1033" spans="1:52" ht="15" customHeight="1">
      <c r="A1033" s="59" t="s">
        <v>306</v>
      </c>
      <c r="B1033" s="27">
        <v>2012</v>
      </c>
      <c r="C1033" s="27" t="s">
        <v>294</v>
      </c>
      <c r="D1033" s="27" t="s">
        <v>81</v>
      </c>
      <c r="E1033" s="27" t="s">
        <v>512</v>
      </c>
      <c r="F1033" s="27" t="s">
        <v>659</v>
      </c>
      <c r="G1033" s="43"/>
      <c r="H1033" s="43"/>
      <c r="I1033" s="43"/>
      <c r="J1033" s="43"/>
      <c r="K1033" s="27"/>
      <c r="L1033" s="28"/>
      <c r="M1033" s="27"/>
      <c r="N1033" s="27"/>
      <c r="O1033" s="18">
        <f>O1034+O1035+O1042+O1045</f>
        <v>386039338.55077028</v>
      </c>
      <c r="P1033" s="246">
        <v>110146657</v>
      </c>
      <c r="Q1033" s="246">
        <v>100809819</v>
      </c>
      <c r="R1033" s="27" t="s">
        <v>619</v>
      </c>
      <c r="S1033" s="27" t="s">
        <v>1524</v>
      </c>
      <c r="T1033" s="18" t="s">
        <v>871</v>
      </c>
      <c r="U1033" s="27" t="s">
        <v>917</v>
      </c>
      <c r="V1033" s="27" t="s">
        <v>802</v>
      </c>
      <c r="W1033" s="30"/>
      <c r="X1033" s="27">
        <v>149</v>
      </c>
      <c r="Y1033" s="27" t="s">
        <v>1525</v>
      </c>
      <c r="Z1033" s="27">
        <v>80</v>
      </c>
      <c r="AA1033" s="27">
        <v>58</v>
      </c>
      <c r="AB1033" s="27" t="s">
        <v>3697</v>
      </c>
      <c r="AC1033" s="273">
        <v>110146657</v>
      </c>
      <c r="AD1033" s="27">
        <v>1733828404.7414153</v>
      </c>
      <c r="AE1033" s="228">
        <v>6.3528003520294946E-2</v>
      </c>
      <c r="AF1033" s="27">
        <v>327017375.41827834</v>
      </c>
      <c r="AG1033" s="226">
        <v>0.33682203234343328</v>
      </c>
      <c r="AH1033" s="226" t="s">
        <v>2842</v>
      </c>
      <c r="AI1033" s="27">
        <v>570970000</v>
      </c>
      <c r="AJ1033" s="226">
        <v>0.19291146119761107</v>
      </c>
      <c r="AK1033" s="27">
        <v>80238357.275572315</v>
      </c>
      <c r="AL1033" s="226">
        <v>1.3727431709713347</v>
      </c>
      <c r="AM1033" s="27">
        <v>48905924.429700628</v>
      </c>
      <c r="AN1033" s="271">
        <v>2.2522150083949297</v>
      </c>
      <c r="AO1033" s="27">
        <v>4190435</v>
      </c>
      <c r="AP1033" s="27" t="s">
        <v>2842</v>
      </c>
      <c r="AQ1033" s="27">
        <v>60.206390243902447</v>
      </c>
      <c r="AR1033" s="27">
        <v>55.6</v>
      </c>
      <c r="AS1033" s="29" t="s">
        <v>2842</v>
      </c>
      <c r="AT1033" s="270">
        <v>37</v>
      </c>
      <c r="AU1033" s="464">
        <v>61.601187830035428</v>
      </c>
      <c r="AV1033" s="29">
        <v>-0.36000126064831101</v>
      </c>
      <c r="AW1033" s="29">
        <v>-0.47485979537934597</v>
      </c>
      <c r="AX1033" s="29">
        <v>-1.1795661163166</v>
      </c>
      <c r="AY1033" s="29">
        <v>-1.05284207395271</v>
      </c>
      <c r="AZ1033" s="60">
        <v>-0.57292022809860899</v>
      </c>
    </row>
    <row r="1034" spans="1:52" ht="15" customHeight="1">
      <c r="A1034" s="59" t="s">
        <v>306</v>
      </c>
      <c r="B1034" s="27">
        <v>2012</v>
      </c>
      <c r="C1034" s="27" t="s">
        <v>294</v>
      </c>
      <c r="D1034" s="27" t="s">
        <v>81</v>
      </c>
      <c r="E1034" s="27" t="s">
        <v>98</v>
      </c>
      <c r="F1034" s="27" t="s">
        <v>98</v>
      </c>
      <c r="G1034" s="43">
        <v>0</v>
      </c>
      <c r="H1034" s="43"/>
      <c r="I1034" s="43"/>
      <c r="J1034" s="43"/>
      <c r="K1034" s="27" t="s">
        <v>603</v>
      </c>
      <c r="L1034" s="28"/>
      <c r="M1034" s="27"/>
      <c r="N1034" s="27" t="s">
        <v>604</v>
      </c>
      <c r="O1034" s="18">
        <f>G1034*L1034</f>
        <v>0</v>
      </c>
      <c r="P1034" s="214">
        <v>14071894</v>
      </c>
      <c r="Q1034" s="214">
        <v>14089915</v>
      </c>
      <c r="R1034" s="27"/>
      <c r="S1034" s="27"/>
      <c r="T1034" s="18"/>
      <c r="U1034" s="27"/>
      <c r="V1034" s="27"/>
      <c r="W1034" s="30"/>
      <c r="X1034" s="27">
        <v>6</v>
      </c>
      <c r="Y1034" s="27" t="s">
        <v>1526</v>
      </c>
      <c r="Z1034" s="27">
        <v>5</v>
      </c>
      <c r="AA1034" s="27">
        <v>58</v>
      </c>
      <c r="AB1034" s="27"/>
      <c r="AC1034" s="273">
        <v>110146657</v>
      </c>
      <c r="AD1034" s="27">
        <v>1733828404.7414153</v>
      </c>
      <c r="AE1034" s="228">
        <v>6.3528003520294946E-2</v>
      </c>
      <c r="AF1034" s="27">
        <v>327017375.41827834</v>
      </c>
      <c r="AG1034" s="226">
        <v>0.33682203234343328</v>
      </c>
      <c r="AH1034" s="226" t="s">
        <v>2842</v>
      </c>
      <c r="AI1034" s="27">
        <v>570970000</v>
      </c>
      <c r="AJ1034" s="226">
        <v>0.19291146119761107</v>
      </c>
      <c r="AK1034" s="27">
        <v>80238357.275572315</v>
      </c>
      <c r="AL1034" s="226">
        <v>1.3727431709713347</v>
      </c>
      <c r="AM1034" s="27">
        <v>48905924.429700628</v>
      </c>
      <c r="AN1034" s="271">
        <v>2.2522150083949297</v>
      </c>
      <c r="AO1034" s="27">
        <v>4190435</v>
      </c>
      <c r="AP1034" s="27" t="s">
        <v>2842</v>
      </c>
      <c r="AQ1034" s="27">
        <v>60.206390243902447</v>
      </c>
      <c r="AR1034" s="27">
        <v>55.6</v>
      </c>
      <c r="AS1034" s="29" t="s">
        <v>2842</v>
      </c>
      <c r="AT1034" s="270">
        <v>37</v>
      </c>
      <c r="AU1034" s="464">
        <v>61.601187830035428</v>
      </c>
      <c r="AV1034" s="29">
        <v>-0.36000126064831101</v>
      </c>
      <c r="AW1034" s="29">
        <v>-0.47485979537934597</v>
      </c>
      <c r="AX1034" s="29">
        <v>-1.1795661163166</v>
      </c>
      <c r="AY1034" s="29">
        <v>-1.05284207395271</v>
      </c>
      <c r="AZ1034" s="60">
        <v>-0.57292022809860899</v>
      </c>
    </row>
    <row r="1035" spans="1:52" ht="15" customHeight="1">
      <c r="A1035" s="59" t="s">
        <v>306</v>
      </c>
      <c r="B1035" s="27">
        <v>2012</v>
      </c>
      <c r="C1035" s="27" t="s">
        <v>294</v>
      </c>
      <c r="D1035" s="27" t="s">
        <v>81</v>
      </c>
      <c r="E1035" s="27" t="s">
        <v>19</v>
      </c>
      <c r="F1035" s="27" t="s">
        <v>559</v>
      </c>
      <c r="G1035" s="43"/>
      <c r="H1035" s="43"/>
      <c r="I1035" s="43"/>
      <c r="J1035" s="43"/>
      <c r="K1035" s="27"/>
      <c r="L1035" s="28"/>
      <c r="M1035" s="27"/>
      <c r="N1035" s="27"/>
      <c r="O1035" s="18">
        <f>SUM(O1036:O1041)</f>
        <v>386039338.55077028</v>
      </c>
      <c r="P1035" s="214">
        <v>56961469</v>
      </c>
      <c r="Q1035" s="214">
        <v>53429371</v>
      </c>
      <c r="R1035" s="27"/>
      <c r="S1035" s="27"/>
      <c r="T1035" s="18"/>
      <c r="U1035" s="27"/>
      <c r="V1035" s="27"/>
      <c r="W1035" s="30"/>
      <c r="X1035" s="27">
        <v>102</v>
      </c>
      <c r="Y1035" s="27" t="s">
        <v>1527</v>
      </c>
      <c r="Z1035" s="27">
        <v>51</v>
      </c>
      <c r="AA1035" s="27">
        <v>58</v>
      </c>
      <c r="AB1035" s="27"/>
      <c r="AC1035" s="273">
        <v>110146657</v>
      </c>
      <c r="AD1035" s="27">
        <v>1733828404.7414153</v>
      </c>
      <c r="AE1035" s="228">
        <v>6.3528003520294946E-2</v>
      </c>
      <c r="AF1035" s="27">
        <v>327017375.41827834</v>
      </c>
      <c r="AG1035" s="226">
        <v>0.33682203234343328</v>
      </c>
      <c r="AH1035" s="226" t="s">
        <v>2842</v>
      </c>
      <c r="AI1035" s="27">
        <v>570970000</v>
      </c>
      <c r="AJ1035" s="226">
        <v>0.19291146119761107</v>
      </c>
      <c r="AK1035" s="27">
        <v>80238357.275572315</v>
      </c>
      <c r="AL1035" s="226">
        <v>1.3727431709713347</v>
      </c>
      <c r="AM1035" s="27">
        <v>48905924.429700628</v>
      </c>
      <c r="AN1035" s="271">
        <v>2.2522150083949297</v>
      </c>
      <c r="AO1035" s="27">
        <v>4190435</v>
      </c>
      <c r="AP1035" s="27" t="s">
        <v>2842</v>
      </c>
      <c r="AQ1035" s="27">
        <v>60.206390243902447</v>
      </c>
      <c r="AR1035" s="27">
        <v>55.6</v>
      </c>
      <c r="AS1035" s="29" t="s">
        <v>2842</v>
      </c>
      <c r="AT1035" s="270">
        <v>37</v>
      </c>
      <c r="AU1035" s="464">
        <v>61.601187830035428</v>
      </c>
      <c r="AV1035" s="29">
        <v>-0.36000126064831101</v>
      </c>
      <c r="AW1035" s="29">
        <v>-0.47485979537934597</v>
      </c>
      <c r="AX1035" s="29">
        <v>-1.1795661163166</v>
      </c>
      <c r="AY1035" s="29">
        <v>-1.05284207395271</v>
      </c>
      <c r="AZ1035" s="60">
        <v>-0.57292022809860899</v>
      </c>
    </row>
    <row r="1036" spans="1:52" ht="15" customHeight="1">
      <c r="A1036" s="59" t="s">
        <v>306</v>
      </c>
      <c r="B1036" s="27">
        <v>2012</v>
      </c>
      <c r="C1036" s="27" t="s">
        <v>294</v>
      </c>
      <c r="D1036" s="27" t="s">
        <v>81</v>
      </c>
      <c r="E1036" s="27" t="s">
        <v>19</v>
      </c>
      <c r="F1036" s="27" t="s">
        <v>566</v>
      </c>
      <c r="G1036" s="43">
        <f>((80594/365)*184)+((108840/365)*181)</f>
        <v>94600.920547945192</v>
      </c>
      <c r="H1036" s="43"/>
      <c r="I1036" s="43"/>
      <c r="J1036" s="43"/>
      <c r="K1036" s="27" t="s">
        <v>567</v>
      </c>
      <c r="L1036" s="28">
        <f>((89.5/365)*184)+((89.5/365)*181)</f>
        <v>89.5</v>
      </c>
      <c r="M1036" s="27" t="s">
        <v>568</v>
      </c>
      <c r="N1036" s="27" t="s">
        <v>1497</v>
      </c>
      <c r="O1036" s="18">
        <f t="shared" ref="O1036:O1041" si="13">G1036*L1036</f>
        <v>8466782.3890410941</v>
      </c>
      <c r="P1036" s="214"/>
      <c r="Q1036" s="214"/>
      <c r="R1036" s="27"/>
      <c r="S1036" s="27"/>
      <c r="T1036" s="18"/>
      <c r="U1036" s="27"/>
      <c r="V1036" s="27"/>
      <c r="W1036" s="30"/>
      <c r="X1036" s="29"/>
      <c r="Y1036" s="27"/>
      <c r="Z1036" s="27"/>
      <c r="AA1036" s="27"/>
      <c r="AB1036" s="27"/>
      <c r="AC1036" s="273">
        <v>110146657</v>
      </c>
      <c r="AD1036" s="27">
        <v>1733828404.7414153</v>
      </c>
      <c r="AE1036" s="228">
        <v>6.3528003520294946E-2</v>
      </c>
      <c r="AF1036" s="27">
        <v>327017375.41827834</v>
      </c>
      <c r="AG1036" s="226">
        <v>0.33682203234343328</v>
      </c>
      <c r="AH1036" s="226" t="s">
        <v>2842</v>
      </c>
      <c r="AI1036" s="27">
        <v>570970000</v>
      </c>
      <c r="AJ1036" s="226">
        <v>0.19291146119761107</v>
      </c>
      <c r="AK1036" s="27">
        <v>80238357.275572315</v>
      </c>
      <c r="AL1036" s="226">
        <v>1.3727431709713347</v>
      </c>
      <c r="AM1036" s="27">
        <v>48905924.429700628</v>
      </c>
      <c r="AN1036" s="271">
        <v>2.2522150083949297</v>
      </c>
      <c r="AO1036" s="27">
        <v>4190435</v>
      </c>
      <c r="AP1036" s="27" t="s">
        <v>2842</v>
      </c>
      <c r="AQ1036" s="27">
        <v>60.206390243902447</v>
      </c>
      <c r="AR1036" s="27">
        <v>55.6</v>
      </c>
      <c r="AS1036" s="29" t="s">
        <v>2842</v>
      </c>
      <c r="AT1036" s="270">
        <v>37</v>
      </c>
      <c r="AU1036" s="464">
        <v>61.601187830035428</v>
      </c>
      <c r="AV1036" s="29">
        <v>-0.36000126064831101</v>
      </c>
      <c r="AW1036" s="29">
        <v>-0.47485979537934597</v>
      </c>
      <c r="AX1036" s="29">
        <v>-1.1795661163166</v>
      </c>
      <c r="AY1036" s="29">
        <v>-1.05284207395271</v>
      </c>
      <c r="AZ1036" s="60">
        <v>-0.57292022809860899</v>
      </c>
    </row>
    <row r="1037" spans="1:52" ht="15" customHeight="1">
      <c r="A1037" s="59" t="s">
        <v>306</v>
      </c>
      <c r="B1037" s="27">
        <v>2012</v>
      </c>
      <c r="C1037" s="27" t="s">
        <v>294</v>
      </c>
      <c r="D1037" s="27" t="s">
        <v>81</v>
      </c>
      <c r="E1037" s="27" t="s">
        <v>19</v>
      </c>
      <c r="F1037" s="27" t="s">
        <v>904</v>
      </c>
      <c r="G1037" s="43">
        <f>((41932/365)*184)+((34271/365)*181)</f>
        <v>38132.983561643836</v>
      </c>
      <c r="H1037" s="43"/>
      <c r="I1037" s="43"/>
      <c r="J1037" s="43"/>
      <c r="K1037" s="27" t="s">
        <v>905</v>
      </c>
      <c r="L1037" s="28">
        <v>317.39999999999998</v>
      </c>
      <c r="M1037" s="27" t="s">
        <v>906</v>
      </c>
      <c r="N1037" s="27" t="s">
        <v>1528</v>
      </c>
      <c r="O1037" s="18">
        <f t="shared" si="13"/>
        <v>12103408.982465753</v>
      </c>
      <c r="P1037" s="214"/>
      <c r="Q1037" s="214"/>
      <c r="R1037" s="27"/>
      <c r="S1037" s="27"/>
      <c r="T1037" s="18"/>
      <c r="U1037" s="27"/>
      <c r="V1037" s="27"/>
      <c r="W1037" s="30"/>
      <c r="X1037" s="29"/>
      <c r="Y1037" s="27"/>
      <c r="Z1037" s="27"/>
      <c r="AA1037" s="27"/>
      <c r="AB1037" s="27"/>
      <c r="AC1037" s="273">
        <v>110146657</v>
      </c>
      <c r="AD1037" s="27">
        <v>1733828404.7414153</v>
      </c>
      <c r="AE1037" s="228">
        <v>6.3528003520294946E-2</v>
      </c>
      <c r="AF1037" s="27">
        <v>327017375.41827834</v>
      </c>
      <c r="AG1037" s="226">
        <v>0.33682203234343328</v>
      </c>
      <c r="AH1037" s="226" t="s">
        <v>2842</v>
      </c>
      <c r="AI1037" s="27">
        <v>570970000</v>
      </c>
      <c r="AJ1037" s="226">
        <v>0.19291146119761107</v>
      </c>
      <c r="AK1037" s="27">
        <v>80238357.275572315</v>
      </c>
      <c r="AL1037" s="226">
        <v>1.3727431709713347</v>
      </c>
      <c r="AM1037" s="27">
        <v>48905924.429700628</v>
      </c>
      <c r="AN1037" s="271">
        <v>2.2522150083949297</v>
      </c>
      <c r="AO1037" s="27">
        <v>4190435</v>
      </c>
      <c r="AP1037" s="27" t="s">
        <v>2842</v>
      </c>
      <c r="AQ1037" s="27">
        <v>60.206390243902447</v>
      </c>
      <c r="AR1037" s="27">
        <v>55.6</v>
      </c>
      <c r="AS1037" s="29" t="s">
        <v>2842</v>
      </c>
      <c r="AT1037" s="270">
        <v>37</v>
      </c>
      <c r="AU1037" s="464">
        <v>61.601187830035428</v>
      </c>
      <c r="AV1037" s="29">
        <v>-0.36000126064831101</v>
      </c>
      <c r="AW1037" s="29">
        <v>-0.47485979537934597</v>
      </c>
      <c r="AX1037" s="29">
        <v>-1.1795661163166</v>
      </c>
      <c r="AY1037" s="29">
        <v>-1.05284207395271</v>
      </c>
      <c r="AZ1037" s="60">
        <v>-0.57292022809860899</v>
      </c>
    </row>
    <row r="1038" spans="1:52" ht="15" customHeight="1">
      <c r="A1038" s="59" t="s">
        <v>306</v>
      </c>
      <c r="B1038" s="27">
        <v>2012</v>
      </c>
      <c r="C1038" s="27" t="s">
        <v>294</v>
      </c>
      <c r="D1038" s="27" t="s">
        <v>81</v>
      </c>
      <c r="E1038" s="27" t="s">
        <v>19</v>
      </c>
      <c r="F1038" s="27" t="s">
        <v>730</v>
      </c>
      <c r="G1038" s="43">
        <f>(((448/365)*184)+((641/365)*181))*32.150743126506</f>
        <v>17480.579248450675</v>
      </c>
      <c r="H1038" s="43"/>
      <c r="I1038" s="43"/>
      <c r="J1038" s="43"/>
      <c r="K1038" s="27" t="s">
        <v>731</v>
      </c>
      <c r="L1038" s="28">
        <f>1278.29/0.911458333</f>
        <v>1402.4667433700449</v>
      </c>
      <c r="M1038" s="27" t="s">
        <v>732</v>
      </c>
      <c r="N1038" s="27" t="s">
        <v>1529</v>
      </c>
      <c r="O1038" s="18">
        <f t="shared" si="13"/>
        <v>24515931.050796606</v>
      </c>
      <c r="P1038" s="214"/>
      <c r="Q1038" s="214"/>
      <c r="R1038" s="27"/>
      <c r="S1038" s="27"/>
      <c r="T1038" s="18"/>
      <c r="U1038" s="28"/>
      <c r="V1038" s="27"/>
      <c r="W1038" s="30"/>
      <c r="X1038" s="29"/>
      <c r="Y1038" s="27"/>
      <c r="Z1038" s="27"/>
      <c r="AA1038" s="27"/>
      <c r="AB1038" s="27"/>
      <c r="AC1038" s="273">
        <v>110146657</v>
      </c>
      <c r="AD1038" s="27">
        <v>1733828404.7414153</v>
      </c>
      <c r="AE1038" s="228">
        <v>6.3528003520294946E-2</v>
      </c>
      <c r="AF1038" s="27">
        <v>327017375.41827834</v>
      </c>
      <c r="AG1038" s="226">
        <v>0.33682203234343328</v>
      </c>
      <c r="AH1038" s="226" t="s">
        <v>2842</v>
      </c>
      <c r="AI1038" s="27">
        <v>570970000</v>
      </c>
      <c r="AJ1038" s="226">
        <v>0.19291146119761107</v>
      </c>
      <c r="AK1038" s="27">
        <v>80238357.275572315</v>
      </c>
      <c r="AL1038" s="226">
        <v>1.3727431709713347</v>
      </c>
      <c r="AM1038" s="27">
        <v>48905924.429700628</v>
      </c>
      <c r="AN1038" s="271">
        <v>2.2522150083949297</v>
      </c>
      <c r="AO1038" s="27">
        <v>4190435</v>
      </c>
      <c r="AP1038" s="27" t="s">
        <v>2842</v>
      </c>
      <c r="AQ1038" s="27">
        <v>60.206390243902447</v>
      </c>
      <c r="AR1038" s="27">
        <v>55.6</v>
      </c>
      <c r="AS1038" s="29" t="s">
        <v>2842</v>
      </c>
      <c r="AT1038" s="270">
        <v>37</v>
      </c>
      <c r="AU1038" s="464">
        <v>61.601187830035428</v>
      </c>
      <c r="AV1038" s="29">
        <v>-0.36000126064831101</v>
      </c>
      <c r="AW1038" s="29">
        <v>-0.47485979537934597</v>
      </c>
      <c r="AX1038" s="29">
        <v>-1.1795661163166</v>
      </c>
      <c r="AY1038" s="29">
        <v>-1.05284207395271</v>
      </c>
      <c r="AZ1038" s="60">
        <v>-0.57292022809860899</v>
      </c>
    </row>
    <row r="1039" spans="1:52" ht="15" customHeight="1">
      <c r="A1039" s="59" t="s">
        <v>306</v>
      </c>
      <c r="B1039" s="27">
        <v>2012</v>
      </c>
      <c r="C1039" s="27" t="s">
        <v>294</v>
      </c>
      <c r="D1039" s="27" t="s">
        <v>81</v>
      </c>
      <c r="E1039" s="27" t="s">
        <v>19</v>
      </c>
      <c r="F1039" s="27" t="s">
        <v>1133</v>
      </c>
      <c r="G1039" s="43">
        <f>((1300000/365)*184)+((3300000/365)*181)</f>
        <v>2291780.8219178086</v>
      </c>
      <c r="H1039" s="43"/>
      <c r="I1039" s="43"/>
      <c r="J1039" s="43"/>
      <c r="K1039" s="27" t="s">
        <v>567</v>
      </c>
      <c r="L1039" s="28">
        <f>((167.75/365)*184)+((128.5/365)*181)</f>
        <v>148.286301369863</v>
      </c>
      <c r="M1039" s="27" t="s">
        <v>568</v>
      </c>
      <c r="N1039" s="27" t="s">
        <v>1530</v>
      </c>
      <c r="O1039" s="18">
        <f t="shared" si="13"/>
        <v>339839701.63257647</v>
      </c>
      <c r="P1039" s="214"/>
      <c r="Q1039" s="214"/>
      <c r="R1039" s="27"/>
      <c r="S1039" s="27"/>
      <c r="T1039" s="18"/>
      <c r="U1039" s="27"/>
      <c r="V1039" s="27"/>
      <c r="W1039" s="30"/>
      <c r="X1039" s="29"/>
      <c r="Y1039" s="27"/>
      <c r="Z1039" s="27"/>
      <c r="AA1039" s="27"/>
      <c r="AB1039" s="27"/>
      <c r="AC1039" s="273">
        <v>110146657</v>
      </c>
      <c r="AD1039" s="27">
        <v>1733828404.7414153</v>
      </c>
      <c r="AE1039" s="228">
        <v>6.3528003520294946E-2</v>
      </c>
      <c r="AF1039" s="27">
        <v>327017375.41827834</v>
      </c>
      <c r="AG1039" s="226">
        <v>0.33682203234343328</v>
      </c>
      <c r="AH1039" s="226" t="s">
        <v>2842</v>
      </c>
      <c r="AI1039" s="27">
        <v>570970000</v>
      </c>
      <c r="AJ1039" s="226">
        <v>0.19291146119761107</v>
      </c>
      <c r="AK1039" s="27">
        <v>80238357.275572315</v>
      </c>
      <c r="AL1039" s="226">
        <v>1.3727431709713347</v>
      </c>
      <c r="AM1039" s="27">
        <v>48905924.429700628</v>
      </c>
      <c r="AN1039" s="271">
        <v>2.2522150083949297</v>
      </c>
      <c r="AO1039" s="27">
        <v>4190435</v>
      </c>
      <c r="AP1039" s="27" t="s">
        <v>2842</v>
      </c>
      <c r="AQ1039" s="27">
        <v>60.206390243902447</v>
      </c>
      <c r="AR1039" s="27">
        <v>55.6</v>
      </c>
      <c r="AS1039" s="29" t="s">
        <v>2842</v>
      </c>
      <c r="AT1039" s="270">
        <v>37</v>
      </c>
      <c r="AU1039" s="464">
        <v>61.601187830035428</v>
      </c>
      <c r="AV1039" s="29">
        <v>-0.36000126064831101</v>
      </c>
      <c r="AW1039" s="29">
        <v>-0.47485979537934597</v>
      </c>
      <c r="AX1039" s="29">
        <v>-1.1795661163166</v>
      </c>
      <c r="AY1039" s="29">
        <v>-1.05284207395271</v>
      </c>
      <c r="AZ1039" s="60">
        <v>-0.57292022809860899</v>
      </c>
    </row>
    <row r="1040" spans="1:52" ht="15" customHeight="1">
      <c r="A1040" s="59" t="s">
        <v>306</v>
      </c>
      <c r="B1040" s="27">
        <v>2012</v>
      </c>
      <c r="C1040" s="27" t="s">
        <v>294</v>
      </c>
      <c r="D1040" s="27" t="s">
        <v>81</v>
      </c>
      <c r="E1040" s="27" t="s">
        <v>19</v>
      </c>
      <c r="F1040" s="27" t="s">
        <v>897</v>
      </c>
      <c r="G1040" s="43">
        <f>((103000/365)*184)+((180700/365)*181)</f>
        <v>141530.68493150687</v>
      </c>
      <c r="H1040" s="43"/>
      <c r="I1040" s="43"/>
      <c r="J1040" s="43"/>
      <c r="K1040" s="27" t="s">
        <v>567</v>
      </c>
      <c r="L1040" s="28">
        <v>7.65</v>
      </c>
      <c r="M1040" s="27" t="s">
        <v>568</v>
      </c>
      <c r="N1040" s="27" t="s">
        <v>1516</v>
      </c>
      <c r="O1040" s="18">
        <f t="shared" si="13"/>
        <v>1082709.7397260277</v>
      </c>
      <c r="P1040" s="214"/>
      <c r="Q1040" s="214"/>
      <c r="R1040" s="27"/>
      <c r="S1040" s="27"/>
      <c r="T1040" s="18"/>
      <c r="U1040" s="27"/>
      <c r="V1040" s="27"/>
      <c r="W1040" s="30"/>
      <c r="X1040" s="29"/>
      <c r="Y1040" s="27"/>
      <c r="Z1040" s="27"/>
      <c r="AA1040" s="27"/>
      <c r="AB1040" s="27"/>
      <c r="AC1040" s="273">
        <v>110146657</v>
      </c>
      <c r="AD1040" s="27">
        <v>1733828404.7414153</v>
      </c>
      <c r="AE1040" s="228">
        <v>6.3528003520294946E-2</v>
      </c>
      <c r="AF1040" s="27">
        <v>327017375.41827834</v>
      </c>
      <c r="AG1040" s="226">
        <v>0.33682203234343328</v>
      </c>
      <c r="AH1040" s="226" t="s">
        <v>2842</v>
      </c>
      <c r="AI1040" s="27">
        <v>570970000</v>
      </c>
      <c r="AJ1040" s="226">
        <v>0.19291146119761107</v>
      </c>
      <c r="AK1040" s="27">
        <v>80238357.275572315</v>
      </c>
      <c r="AL1040" s="226">
        <v>1.3727431709713347</v>
      </c>
      <c r="AM1040" s="27">
        <v>48905924.429700628</v>
      </c>
      <c r="AN1040" s="271">
        <v>2.2522150083949297</v>
      </c>
      <c r="AO1040" s="27">
        <v>4190435</v>
      </c>
      <c r="AP1040" s="27" t="s">
        <v>2842</v>
      </c>
      <c r="AQ1040" s="27">
        <v>60.206390243902447</v>
      </c>
      <c r="AR1040" s="27">
        <v>55.6</v>
      </c>
      <c r="AS1040" s="29" t="s">
        <v>2842</v>
      </c>
      <c r="AT1040" s="270">
        <v>37</v>
      </c>
      <c r="AU1040" s="464">
        <v>61.601187830035428</v>
      </c>
      <c r="AV1040" s="29">
        <v>-0.36000126064831101</v>
      </c>
      <c r="AW1040" s="29">
        <v>-0.47485979537934597</v>
      </c>
      <c r="AX1040" s="29">
        <v>-1.1795661163166</v>
      </c>
      <c r="AY1040" s="29">
        <v>-1.05284207395271</v>
      </c>
      <c r="AZ1040" s="60">
        <v>-0.57292022809860899</v>
      </c>
    </row>
    <row r="1041" spans="1:52" ht="15" customHeight="1">
      <c r="A1041" s="59" t="s">
        <v>306</v>
      </c>
      <c r="B1041" s="27">
        <v>2012</v>
      </c>
      <c r="C1041" s="27" t="s">
        <v>294</v>
      </c>
      <c r="D1041" s="27" t="s">
        <v>81</v>
      </c>
      <c r="E1041" s="27" t="s">
        <v>19</v>
      </c>
      <c r="F1041" s="27" t="s">
        <v>1481</v>
      </c>
      <c r="G1041" s="43">
        <f>((2600/365)*184)+((4400/365)*181)</f>
        <v>3492.6027397260273</v>
      </c>
      <c r="H1041" s="43"/>
      <c r="I1041" s="43"/>
      <c r="J1041" s="43"/>
      <c r="K1041" s="27" t="s">
        <v>567</v>
      </c>
      <c r="L1041" s="28">
        <v>8.82</v>
      </c>
      <c r="M1041" s="27" t="s">
        <v>568</v>
      </c>
      <c r="N1041" s="27" t="s">
        <v>1517</v>
      </c>
      <c r="O1041" s="18">
        <f t="shared" si="13"/>
        <v>30804.756164383562</v>
      </c>
      <c r="P1041" s="214"/>
      <c r="Q1041" s="214"/>
      <c r="R1041" s="27"/>
      <c r="S1041" s="27"/>
      <c r="T1041" s="18"/>
      <c r="U1041" s="27"/>
      <c r="V1041" s="27"/>
      <c r="W1041" s="30"/>
      <c r="X1041" s="29"/>
      <c r="Y1041" s="27"/>
      <c r="Z1041" s="27"/>
      <c r="AA1041" s="27"/>
      <c r="AB1041" s="27"/>
      <c r="AC1041" s="273">
        <v>110146657</v>
      </c>
      <c r="AD1041" s="27">
        <v>1733828404.7414153</v>
      </c>
      <c r="AE1041" s="228">
        <v>6.3528003520294946E-2</v>
      </c>
      <c r="AF1041" s="27">
        <v>327017375.41827834</v>
      </c>
      <c r="AG1041" s="226">
        <v>0.33682203234343328</v>
      </c>
      <c r="AH1041" s="226" t="s">
        <v>2842</v>
      </c>
      <c r="AI1041" s="27">
        <v>570970000</v>
      </c>
      <c r="AJ1041" s="226">
        <v>0.19291146119761107</v>
      </c>
      <c r="AK1041" s="27">
        <v>80238357.275572315</v>
      </c>
      <c r="AL1041" s="226">
        <v>1.3727431709713347</v>
      </c>
      <c r="AM1041" s="27">
        <v>48905924.429700628</v>
      </c>
      <c r="AN1041" s="271">
        <v>2.2522150083949297</v>
      </c>
      <c r="AO1041" s="27">
        <v>4190435</v>
      </c>
      <c r="AP1041" s="27" t="s">
        <v>2842</v>
      </c>
      <c r="AQ1041" s="27">
        <v>60.206390243902447</v>
      </c>
      <c r="AR1041" s="27">
        <v>55.6</v>
      </c>
      <c r="AS1041" s="29" t="s">
        <v>2842</v>
      </c>
      <c r="AT1041" s="270">
        <v>37</v>
      </c>
      <c r="AU1041" s="464">
        <v>61.601187830035428</v>
      </c>
      <c r="AV1041" s="29">
        <v>-0.36000126064831101</v>
      </c>
      <c r="AW1041" s="29">
        <v>-0.47485979537934597</v>
      </c>
      <c r="AX1041" s="29">
        <v>-1.1795661163166</v>
      </c>
      <c r="AY1041" s="29">
        <v>-1.05284207395271</v>
      </c>
      <c r="AZ1041" s="60">
        <v>-0.57292022809860899</v>
      </c>
    </row>
    <row r="1042" spans="1:52" ht="15" customHeight="1">
      <c r="A1042" s="59" t="s">
        <v>306</v>
      </c>
      <c r="B1042" s="27">
        <v>2012</v>
      </c>
      <c r="C1042" s="27" t="s">
        <v>294</v>
      </c>
      <c r="D1042" s="27" t="s">
        <v>81</v>
      </c>
      <c r="E1042" s="27" t="s">
        <v>1483</v>
      </c>
      <c r="F1042" s="27" t="s">
        <v>1531</v>
      </c>
      <c r="G1042" s="43"/>
      <c r="H1042" s="43"/>
      <c r="I1042" s="43"/>
      <c r="J1042" s="43"/>
      <c r="K1042" s="27"/>
      <c r="L1042" s="28"/>
      <c r="M1042" s="27"/>
      <c r="N1042" s="27"/>
      <c r="O1042" s="18"/>
      <c r="P1042" s="214">
        <v>11110035</v>
      </c>
      <c r="Q1042" s="214">
        <v>6072631</v>
      </c>
      <c r="R1042" s="27"/>
      <c r="S1042" s="27"/>
      <c r="T1042" s="18"/>
      <c r="U1042" s="27"/>
      <c r="V1042" s="27"/>
      <c r="W1042" s="30"/>
      <c r="X1042" s="27">
        <v>28</v>
      </c>
      <c r="Y1042" s="27" t="s">
        <v>1532</v>
      </c>
      <c r="Z1042" s="27">
        <v>14</v>
      </c>
      <c r="AA1042" s="27">
        <v>58</v>
      </c>
      <c r="AB1042" s="27"/>
      <c r="AC1042" s="273">
        <v>110146657</v>
      </c>
      <c r="AD1042" s="27">
        <v>1733828404.7414153</v>
      </c>
      <c r="AE1042" s="228">
        <v>6.3528003520294946E-2</v>
      </c>
      <c r="AF1042" s="27">
        <v>327017375.41827834</v>
      </c>
      <c r="AG1042" s="226">
        <v>0.33682203234343328</v>
      </c>
      <c r="AH1042" s="226" t="s">
        <v>2842</v>
      </c>
      <c r="AI1042" s="27">
        <v>570970000</v>
      </c>
      <c r="AJ1042" s="226">
        <v>0.19291146119761107</v>
      </c>
      <c r="AK1042" s="27">
        <v>80238357.275572315</v>
      </c>
      <c r="AL1042" s="226">
        <v>1.3727431709713347</v>
      </c>
      <c r="AM1042" s="27">
        <v>48905924.429700628</v>
      </c>
      <c r="AN1042" s="271">
        <v>2.2522150083949297</v>
      </c>
      <c r="AO1042" s="27">
        <v>4190435</v>
      </c>
      <c r="AP1042" s="27" t="s">
        <v>2842</v>
      </c>
      <c r="AQ1042" s="27">
        <v>60.206390243902447</v>
      </c>
      <c r="AR1042" s="27">
        <v>55.6</v>
      </c>
      <c r="AS1042" s="29" t="s">
        <v>2842</v>
      </c>
      <c r="AT1042" s="270">
        <v>37</v>
      </c>
      <c r="AU1042" s="464">
        <v>61.601187830035428</v>
      </c>
      <c r="AV1042" s="29">
        <v>-0.36000126064831101</v>
      </c>
      <c r="AW1042" s="29">
        <v>-0.47485979537934597</v>
      </c>
      <c r="AX1042" s="29">
        <v>-1.1795661163166</v>
      </c>
      <c r="AY1042" s="29">
        <v>-1.05284207395271</v>
      </c>
      <c r="AZ1042" s="60">
        <v>-0.57292022809860899</v>
      </c>
    </row>
    <row r="1043" spans="1:52" ht="15" customHeight="1">
      <c r="A1043" s="59" t="s">
        <v>306</v>
      </c>
      <c r="B1043" s="27">
        <v>2012</v>
      </c>
      <c r="C1043" s="27" t="s">
        <v>294</v>
      </c>
      <c r="D1043" s="27" t="s">
        <v>81</v>
      </c>
      <c r="E1043" s="27" t="s">
        <v>1483</v>
      </c>
      <c r="F1043" s="27" t="s">
        <v>1533</v>
      </c>
      <c r="G1043" s="43">
        <v>135741</v>
      </c>
      <c r="H1043" s="43"/>
      <c r="I1043" s="43"/>
      <c r="J1043" s="43"/>
      <c r="K1043" s="27" t="s">
        <v>599</v>
      </c>
      <c r="L1043" s="28"/>
      <c r="M1043" s="27"/>
      <c r="N1043" s="27" t="s">
        <v>674</v>
      </c>
      <c r="O1043" s="18"/>
      <c r="P1043" s="214"/>
      <c r="Q1043" s="214"/>
      <c r="R1043" s="27"/>
      <c r="S1043" s="27"/>
      <c r="T1043" s="18"/>
      <c r="U1043" s="27"/>
      <c r="V1043" s="27"/>
      <c r="W1043" s="30"/>
      <c r="X1043" s="27"/>
      <c r="Y1043" s="27"/>
      <c r="Z1043" s="27"/>
      <c r="AA1043" s="27">
        <v>23</v>
      </c>
      <c r="AB1043" s="27"/>
      <c r="AC1043" s="273">
        <v>110146657</v>
      </c>
      <c r="AD1043" s="27">
        <v>1733828404.7414153</v>
      </c>
      <c r="AE1043" s="228">
        <v>6.3528003520294946E-2</v>
      </c>
      <c r="AF1043" s="27">
        <v>327017375.41827834</v>
      </c>
      <c r="AG1043" s="226">
        <v>0.33682203234343328</v>
      </c>
      <c r="AH1043" s="226" t="s">
        <v>2842</v>
      </c>
      <c r="AI1043" s="27">
        <v>570970000</v>
      </c>
      <c r="AJ1043" s="226">
        <v>0.19291146119761107</v>
      </c>
      <c r="AK1043" s="27">
        <v>80238357.275572315</v>
      </c>
      <c r="AL1043" s="226">
        <v>1.3727431709713347</v>
      </c>
      <c r="AM1043" s="27">
        <v>48905924.429700628</v>
      </c>
      <c r="AN1043" s="271">
        <v>2.2522150083949297</v>
      </c>
      <c r="AO1043" s="27">
        <v>4190435</v>
      </c>
      <c r="AP1043" s="27" t="s">
        <v>2842</v>
      </c>
      <c r="AQ1043" s="27">
        <v>60.206390243902447</v>
      </c>
      <c r="AR1043" s="27">
        <v>55.6</v>
      </c>
      <c r="AS1043" s="29" t="s">
        <v>2842</v>
      </c>
      <c r="AT1043" s="270">
        <v>37</v>
      </c>
      <c r="AU1043" s="464">
        <v>61.601187830035428</v>
      </c>
      <c r="AV1043" s="29">
        <v>-0.36000126064831101</v>
      </c>
      <c r="AW1043" s="29">
        <v>-0.47485979537934597</v>
      </c>
      <c r="AX1043" s="29">
        <v>-1.1795661163166</v>
      </c>
      <c r="AY1043" s="29">
        <v>-1.05284207395271</v>
      </c>
      <c r="AZ1043" s="60">
        <v>-0.57292022809860899</v>
      </c>
    </row>
    <row r="1044" spans="1:52" ht="15" customHeight="1">
      <c r="A1044" s="59" t="s">
        <v>306</v>
      </c>
      <c r="B1044" s="27">
        <v>2012</v>
      </c>
      <c r="C1044" s="27" t="s">
        <v>294</v>
      </c>
      <c r="D1044" s="27" t="s">
        <v>81</v>
      </c>
      <c r="E1044" s="27" t="s">
        <v>1483</v>
      </c>
      <c r="F1044" s="27" t="s">
        <v>1534</v>
      </c>
      <c r="G1044" s="43">
        <v>247453</v>
      </c>
      <c r="H1044" s="43"/>
      <c r="I1044" s="43"/>
      <c r="J1044" s="43"/>
      <c r="K1044" s="27" t="s">
        <v>1535</v>
      </c>
      <c r="L1044" s="28"/>
      <c r="M1044" s="27"/>
      <c r="N1044" s="27" t="s">
        <v>674</v>
      </c>
      <c r="O1044" s="18"/>
      <c r="P1044" s="214"/>
      <c r="Q1044" s="214"/>
      <c r="R1044" s="27"/>
      <c r="S1044" s="27"/>
      <c r="T1044" s="18"/>
      <c r="U1044" s="27"/>
      <c r="V1044" s="27"/>
      <c r="W1044" s="30"/>
      <c r="X1044" s="27"/>
      <c r="Y1044" s="27"/>
      <c r="Z1044" s="27"/>
      <c r="AA1044" s="27">
        <v>23</v>
      </c>
      <c r="AB1044" s="27"/>
      <c r="AC1044" s="273">
        <v>110146657</v>
      </c>
      <c r="AD1044" s="27">
        <v>1733828404.7414153</v>
      </c>
      <c r="AE1044" s="228">
        <v>6.3528003520294946E-2</v>
      </c>
      <c r="AF1044" s="27">
        <v>327017375.41827834</v>
      </c>
      <c r="AG1044" s="226">
        <v>0.33682203234343328</v>
      </c>
      <c r="AH1044" s="226" t="s">
        <v>2842</v>
      </c>
      <c r="AI1044" s="27">
        <v>570970000</v>
      </c>
      <c r="AJ1044" s="226">
        <v>0.19291146119761107</v>
      </c>
      <c r="AK1044" s="27">
        <v>80238357.275572315</v>
      </c>
      <c r="AL1044" s="226">
        <v>1.3727431709713347</v>
      </c>
      <c r="AM1044" s="27">
        <v>48905924.429700628</v>
      </c>
      <c r="AN1044" s="271">
        <v>2.2522150083949297</v>
      </c>
      <c r="AO1044" s="27">
        <v>4190435</v>
      </c>
      <c r="AP1044" s="27" t="s">
        <v>2842</v>
      </c>
      <c r="AQ1044" s="27">
        <v>60.206390243902447</v>
      </c>
      <c r="AR1044" s="27">
        <v>55.6</v>
      </c>
      <c r="AS1044" s="29" t="s">
        <v>2842</v>
      </c>
      <c r="AT1044" s="270">
        <v>37</v>
      </c>
      <c r="AU1044" s="464">
        <v>61.601187830035428</v>
      </c>
      <c r="AV1044" s="29">
        <v>-0.36000126064831101</v>
      </c>
      <c r="AW1044" s="29">
        <v>-0.47485979537934597</v>
      </c>
      <c r="AX1044" s="29">
        <v>-1.1795661163166</v>
      </c>
      <c r="AY1044" s="29">
        <v>-1.05284207395271</v>
      </c>
      <c r="AZ1044" s="60">
        <v>-0.57292022809860899</v>
      </c>
    </row>
    <row r="1045" spans="1:52" ht="15" customHeight="1">
      <c r="A1045" s="59" t="s">
        <v>306</v>
      </c>
      <c r="B1045" s="27">
        <v>2012</v>
      </c>
      <c r="C1045" s="27" t="s">
        <v>294</v>
      </c>
      <c r="D1045" s="27" t="s">
        <v>81</v>
      </c>
      <c r="E1045" s="27" t="s">
        <v>1483</v>
      </c>
      <c r="F1045" s="27" t="s">
        <v>1536</v>
      </c>
      <c r="G1045" s="43"/>
      <c r="H1045" s="43"/>
      <c r="I1045" s="43"/>
      <c r="J1045" s="43"/>
      <c r="K1045" s="27"/>
      <c r="L1045" s="28"/>
      <c r="M1045" s="27"/>
      <c r="N1045" s="27"/>
      <c r="O1045" s="18"/>
      <c r="P1045" s="214">
        <v>28003258</v>
      </c>
      <c r="Q1045" s="214">
        <v>27217903</v>
      </c>
      <c r="R1045" s="27"/>
      <c r="S1045" s="27"/>
      <c r="T1045" s="18"/>
      <c r="U1045" s="27"/>
      <c r="V1045" s="27"/>
      <c r="W1045" s="30"/>
      <c r="X1045" s="27">
        <v>13</v>
      </c>
      <c r="Y1045" s="27" t="s">
        <v>1537</v>
      </c>
      <c r="Z1045" s="27">
        <v>10</v>
      </c>
      <c r="AA1045" s="27">
        <v>58</v>
      </c>
      <c r="AB1045" s="27"/>
      <c r="AC1045" s="273">
        <v>110146657</v>
      </c>
      <c r="AD1045" s="27">
        <v>1733828404.7414153</v>
      </c>
      <c r="AE1045" s="228">
        <v>6.3528003520294946E-2</v>
      </c>
      <c r="AF1045" s="27">
        <v>327017375.41827834</v>
      </c>
      <c r="AG1045" s="226">
        <v>0.33682203234343328</v>
      </c>
      <c r="AH1045" s="226" t="s">
        <v>2842</v>
      </c>
      <c r="AI1045" s="27">
        <v>570970000</v>
      </c>
      <c r="AJ1045" s="226">
        <v>0.19291146119761107</v>
      </c>
      <c r="AK1045" s="27">
        <v>80238357.275572315</v>
      </c>
      <c r="AL1045" s="226">
        <v>1.3727431709713347</v>
      </c>
      <c r="AM1045" s="27">
        <v>48905924.429700628</v>
      </c>
      <c r="AN1045" s="271">
        <v>2.2522150083949297</v>
      </c>
      <c r="AO1045" s="27">
        <v>4190435</v>
      </c>
      <c r="AP1045" s="27" t="s">
        <v>2842</v>
      </c>
      <c r="AQ1045" s="27">
        <v>60.206390243902447</v>
      </c>
      <c r="AR1045" s="27">
        <v>55.6</v>
      </c>
      <c r="AS1045" s="29" t="s">
        <v>2842</v>
      </c>
      <c r="AT1045" s="270">
        <v>37</v>
      </c>
      <c r="AU1045" s="464">
        <v>61.601187830035428</v>
      </c>
      <c r="AV1045" s="29">
        <v>-0.36000126064831101</v>
      </c>
      <c r="AW1045" s="29">
        <v>-0.47485979537934597</v>
      </c>
      <c r="AX1045" s="29">
        <v>-1.1795661163166</v>
      </c>
      <c r="AY1045" s="29">
        <v>-1.05284207395271</v>
      </c>
      <c r="AZ1045" s="60">
        <v>-0.57292022809860899</v>
      </c>
    </row>
    <row r="1046" spans="1:52" ht="15" customHeight="1">
      <c r="A1046" s="59" t="s">
        <v>306</v>
      </c>
      <c r="B1046" s="27">
        <v>2012</v>
      </c>
      <c r="C1046" s="27" t="s">
        <v>294</v>
      </c>
      <c r="D1046" s="27" t="s">
        <v>81</v>
      </c>
      <c r="E1046" s="27" t="s">
        <v>1483</v>
      </c>
      <c r="F1046" s="27" t="s">
        <v>1538</v>
      </c>
      <c r="G1046" s="43">
        <v>12589</v>
      </c>
      <c r="H1046" s="43"/>
      <c r="I1046" s="43"/>
      <c r="J1046" s="43"/>
      <c r="K1046" s="27" t="s">
        <v>567</v>
      </c>
      <c r="L1046" s="28"/>
      <c r="M1046" s="27"/>
      <c r="N1046" s="27" t="s">
        <v>674</v>
      </c>
      <c r="O1046" s="18"/>
      <c r="P1046" s="214"/>
      <c r="Q1046" s="214"/>
      <c r="R1046" s="27"/>
      <c r="S1046" s="27"/>
      <c r="T1046" s="18"/>
      <c r="U1046" s="27"/>
      <c r="V1046" s="27"/>
      <c r="W1046" s="30"/>
      <c r="X1046" s="27"/>
      <c r="Y1046" s="27"/>
      <c r="Z1046" s="27"/>
      <c r="AA1046" s="27">
        <v>23</v>
      </c>
      <c r="AB1046" s="27"/>
      <c r="AC1046" s="273">
        <v>110146657</v>
      </c>
      <c r="AD1046" s="27">
        <v>1733828404.7414153</v>
      </c>
      <c r="AE1046" s="228">
        <v>6.3528003520294946E-2</v>
      </c>
      <c r="AF1046" s="27">
        <v>327017375.41827834</v>
      </c>
      <c r="AG1046" s="226">
        <v>0.33682203234343328</v>
      </c>
      <c r="AH1046" s="226" t="s">
        <v>2842</v>
      </c>
      <c r="AI1046" s="27">
        <v>570970000</v>
      </c>
      <c r="AJ1046" s="226">
        <v>0.19291146119761107</v>
      </c>
      <c r="AK1046" s="27">
        <v>80238357.275572315</v>
      </c>
      <c r="AL1046" s="226">
        <v>1.3727431709713347</v>
      </c>
      <c r="AM1046" s="27">
        <v>48905924.429700628</v>
      </c>
      <c r="AN1046" s="271">
        <v>2.2522150083949297</v>
      </c>
      <c r="AO1046" s="27">
        <v>4190435</v>
      </c>
      <c r="AP1046" s="27" t="s">
        <v>2842</v>
      </c>
      <c r="AQ1046" s="27">
        <v>60.206390243902447</v>
      </c>
      <c r="AR1046" s="27">
        <v>55.6</v>
      </c>
      <c r="AS1046" s="29" t="s">
        <v>2842</v>
      </c>
      <c r="AT1046" s="270">
        <v>37</v>
      </c>
      <c r="AU1046" s="464">
        <v>61.601187830035428</v>
      </c>
      <c r="AV1046" s="29">
        <v>-0.36000126064831101</v>
      </c>
      <c r="AW1046" s="29">
        <v>-0.47485979537934597</v>
      </c>
      <c r="AX1046" s="29">
        <v>-1.1795661163166</v>
      </c>
      <c r="AY1046" s="29">
        <v>-1.05284207395271</v>
      </c>
      <c r="AZ1046" s="60">
        <v>-0.57292022809860899</v>
      </c>
    </row>
    <row r="1047" spans="1:52" ht="15" customHeight="1">
      <c r="A1047" s="59" t="s">
        <v>306</v>
      </c>
      <c r="B1047" s="27">
        <v>2012</v>
      </c>
      <c r="C1047" s="27" t="s">
        <v>294</v>
      </c>
      <c r="D1047" s="27" t="s">
        <v>81</v>
      </c>
      <c r="E1047" s="27" t="s">
        <v>1483</v>
      </c>
      <c r="F1047" s="27" t="s">
        <v>1539</v>
      </c>
      <c r="G1047" s="43">
        <v>162</v>
      </c>
      <c r="H1047" s="43"/>
      <c r="I1047" s="43"/>
      <c r="J1047" s="43"/>
      <c r="K1047" s="27" t="s">
        <v>567</v>
      </c>
      <c r="L1047" s="28"/>
      <c r="M1047" s="27"/>
      <c r="N1047" s="27" t="s">
        <v>674</v>
      </c>
      <c r="O1047" s="18"/>
      <c r="P1047" s="214"/>
      <c r="Q1047" s="214"/>
      <c r="R1047" s="27"/>
      <c r="S1047" s="27"/>
      <c r="T1047" s="18"/>
      <c r="U1047" s="27"/>
      <c r="V1047" s="27"/>
      <c r="W1047" s="30"/>
      <c r="X1047" s="27"/>
      <c r="Y1047" s="27"/>
      <c r="Z1047" s="27"/>
      <c r="AA1047" s="27">
        <v>23</v>
      </c>
      <c r="AB1047" s="27"/>
      <c r="AC1047" s="273">
        <v>110146657</v>
      </c>
      <c r="AD1047" s="27">
        <v>1733828404.7414153</v>
      </c>
      <c r="AE1047" s="228">
        <v>6.3528003520294946E-2</v>
      </c>
      <c r="AF1047" s="27">
        <v>327017375.41827834</v>
      </c>
      <c r="AG1047" s="226">
        <v>0.33682203234343328</v>
      </c>
      <c r="AH1047" s="226" t="s">
        <v>2842</v>
      </c>
      <c r="AI1047" s="27">
        <v>570970000</v>
      </c>
      <c r="AJ1047" s="226">
        <v>0.19291146119761107</v>
      </c>
      <c r="AK1047" s="27">
        <v>80238357.275572315</v>
      </c>
      <c r="AL1047" s="226">
        <v>1.3727431709713347</v>
      </c>
      <c r="AM1047" s="27">
        <v>48905924.429700628</v>
      </c>
      <c r="AN1047" s="271">
        <v>2.2522150083949297</v>
      </c>
      <c r="AO1047" s="27">
        <v>4190435</v>
      </c>
      <c r="AP1047" s="27" t="s">
        <v>2842</v>
      </c>
      <c r="AQ1047" s="27">
        <v>60.206390243902447</v>
      </c>
      <c r="AR1047" s="27">
        <v>55.6</v>
      </c>
      <c r="AS1047" s="29" t="s">
        <v>2842</v>
      </c>
      <c r="AT1047" s="270">
        <v>37</v>
      </c>
      <c r="AU1047" s="464">
        <v>61.601187830035428</v>
      </c>
      <c r="AV1047" s="29">
        <v>-0.36000126064831101</v>
      </c>
      <c r="AW1047" s="29">
        <v>-0.47485979537934597</v>
      </c>
      <c r="AX1047" s="29">
        <v>-1.1795661163166</v>
      </c>
      <c r="AY1047" s="29">
        <v>-1.05284207395271</v>
      </c>
      <c r="AZ1047" s="60">
        <v>-0.57292022809860899</v>
      </c>
    </row>
    <row r="1048" spans="1:52" s="232" customFormat="1" ht="15" customHeight="1" thickBot="1">
      <c r="A1048" s="360" t="s">
        <v>306</v>
      </c>
      <c r="B1048" s="230">
        <v>2012</v>
      </c>
      <c r="C1048" s="230" t="s">
        <v>294</v>
      </c>
      <c r="D1048" s="230" t="s">
        <v>81</v>
      </c>
      <c r="E1048" s="230" t="s">
        <v>1483</v>
      </c>
      <c r="F1048" s="230" t="s">
        <v>1540</v>
      </c>
      <c r="G1048" s="297">
        <v>77959</v>
      </c>
      <c r="H1048" s="297"/>
      <c r="I1048" s="297"/>
      <c r="J1048" s="297"/>
      <c r="K1048" s="230" t="s">
        <v>567</v>
      </c>
      <c r="L1048" s="298"/>
      <c r="M1048" s="230"/>
      <c r="N1048" s="230" t="s">
        <v>674</v>
      </c>
      <c r="O1048" s="285"/>
      <c r="P1048" s="387"/>
      <c r="Q1048" s="387"/>
      <c r="R1048" s="230"/>
      <c r="S1048" s="230"/>
      <c r="T1048" s="285"/>
      <c r="U1048" s="230"/>
      <c r="V1048" s="230"/>
      <c r="W1048" s="300"/>
      <c r="X1048" s="230"/>
      <c r="Y1048" s="230"/>
      <c r="Z1048" s="230"/>
      <c r="AA1048" s="230">
        <v>23</v>
      </c>
      <c r="AB1048" s="230"/>
      <c r="AC1048" s="274">
        <v>110146657</v>
      </c>
      <c r="AD1048" s="230">
        <v>1733828404.7414153</v>
      </c>
      <c r="AE1048" s="229">
        <v>6.3528003520294946E-2</v>
      </c>
      <c r="AF1048" s="230">
        <v>327017375.41827834</v>
      </c>
      <c r="AG1048" s="231">
        <v>0.33682203234343328</v>
      </c>
      <c r="AH1048" s="231" t="s">
        <v>2842</v>
      </c>
      <c r="AI1048" s="230">
        <v>570970000</v>
      </c>
      <c r="AJ1048" s="231">
        <v>0.19291146119761107</v>
      </c>
      <c r="AK1048" s="230">
        <v>80238357.275572315</v>
      </c>
      <c r="AL1048" s="231">
        <v>1.3727431709713347</v>
      </c>
      <c r="AM1048" s="230">
        <v>48905924.429700628</v>
      </c>
      <c r="AN1048" s="275">
        <v>2.2522150083949297</v>
      </c>
      <c r="AO1048" s="230">
        <v>4190435</v>
      </c>
      <c r="AP1048" s="230" t="s">
        <v>2842</v>
      </c>
      <c r="AQ1048" s="230">
        <v>60.206390243902447</v>
      </c>
      <c r="AR1048" s="230">
        <v>55.6</v>
      </c>
      <c r="AS1048" s="232" t="s">
        <v>2842</v>
      </c>
      <c r="AT1048" s="276">
        <v>37</v>
      </c>
      <c r="AU1048" s="466">
        <v>61.601187830035428</v>
      </c>
      <c r="AV1048" s="232">
        <v>-0.36000126064831101</v>
      </c>
      <c r="AW1048" s="232">
        <v>-0.47485979537934597</v>
      </c>
      <c r="AX1048" s="232">
        <v>-1.1795661163166</v>
      </c>
      <c r="AY1048" s="232">
        <v>-1.05284207395271</v>
      </c>
      <c r="AZ1048" s="293">
        <v>-0.57292022809860899</v>
      </c>
    </row>
    <row r="1049" spans="1:52" s="29" customFormat="1" ht="15" customHeight="1">
      <c r="A1049" s="347" t="s">
        <v>308</v>
      </c>
      <c r="B1049" s="53">
        <v>2007</v>
      </c>
      <c r="C1049" s="146" t="s">
        <v>309</v>
      </c>
      <c r="D1049" s="69" t="s">
        <v>81</v>
      </c>
      <c r="E1049" s="27" t="s">
        <v>19</v>
      </c>
      <c r="F1049" s="27" t="s">
        <v>659</v>
      </c>
      <c r="G1049" s="43"/>
      <c r="H1049" s="43"/>
      <c r="I1049" s="43"/>
      <c r="J1049" s="43"/>
      <c r="K1049" s="27"/>
      <c r="L1049" s="28"/>
      <c r="M1049" s="27"/>
      <c r="N1049" s="27"/>
      <c r="O1049" s="18">
        <f>SUM(O1050:O1051)</f>
        <v>455689038</v>
      </c>
      <c r="P1049" s="213">
        <v>48300000</v>
      </c>
      <c r="Q1049" s="213">
        <v>48100000</v>
      </c>
      <c r="R1049" s="27" t="s">
        <v>619</v>
      </c>
      <c r="S1049" s="27"/>
      <c r="T1049" s="18"/>
      <c r="U1049" s="27" t="s">
        <v>917</v>
      </c>
      <c r="V1049" s="27"/>
      <c r="W1049" s="30">
        <v>1823.41</v>
      </c>
      <c r="X1049" s="27"/>
      <c r="Y1049" s="27"/>
      <c r="Z1049" s="27">
        <v>3</v>
      </c>
      <c r="AA1049" s="41"/>
      <c r="AB1049" s="27" t="s">
        <v>1542</v>
      </c>
      <c r="AC1049" s="273">
        <v>48300000</v>
      </c>
      <c r="AD1049" s="27">
        <v>7342923619.7152653</v>
      </c>
      <c r="AE1049" s="228">
        <v>6.5777614614317501E-3</v>
      </c>
      <c r="AF1049" s="27">
        <v>746261327.4716624</v>
      </c>
      <c r="AG1049" s="226">
        <v>6.4722635653170824E-2</v>
      </c>
      <c r="AH1049" s="226">
        <v>4.3596896579515293E-2</v>
      </c>
      <c r="AI1049" s="27">
        <v>894070000</v>
      </c>
      <c r="AJ1049" s="226">
        <v>5.4022615678861831E-2</v>
      </c>
      <c r="AK1049" s="27">
        <v>201183507.60123527</v>
      </c>
      <c r="AL1049" s="226">
        <v>0.24007932149058245</v>
      </c>
      <c r="AM1049" s="27">
        <v>247447714.47606078</v>
      </c>
      <c r="AN1049" s="271">
        <v>0.19519275052618343</v>
      </c>
      <c r="AO1049" s="27">
        <v>19371023</v>
      </c>
      <c r="AP1049" s="27" t="s">
        <v>2842</v>
      </c>
      <c r="AQ1049" s="27">
        <v>62.048000000000009</v>
      </c>
      <c r="AR1049" s="27">
        <v>49.2</v>
      </c>
      <c r="AS1049" s="29" t="s">
        <v>2842</v>
      </c>
      <c r="AT1049" s="270">
        <v>28</v>
      </c>
      <c r="AU1049" s="464" t="s">
        <v>2842</v>
      </c>
      <c r="AV1049" s="29">
        <v>-0.15247788956795899</v>
      </c>
      <c r="AW1049" s="29">
        <v>2.5216456663315699E-2</v>
      </c>
      <c r="AX1049" s="29">
        <v>-0.44094837296616501</v>
      </c>
      <c r="AY1049" s="29">
        <v>-0.198541322995683</v>
      </c>
      <c r="AZ1049" s="60">
        <v>-9.9298636558795603E-2</v>
      </c>
    </row>
    <row r="1050" spans="1:52" s="29" customFormat="1" ht="15" customHeight="1">
      <c r="A1050" s="63" t="s">
        <v>308</v>
      </c>
      <c r="B1050" s="53">
        <v>2007</v>
      </c>
      <c r="C1050" s="146" t="s">
        <v>309</v>
      </c>
      <c r="D1050" s="69" t="s">
        <v>81</v>
      </c>
      <c r="E1050" s="27" t="s">
        <v>19</v>
      </c>
      <c r="F1050" s="27" t="s">
        <v>675</v>
      </c>
      <c r="G1050" s="18">
        <v>54698</v>
      </c>
      <c r="H1050" s="18"/>
      <c r="I1050" s="18"/>
      <c r="J1050" s="18"/>
      <c r="K1050" s="43" t="s">
        <v>567</v>
      </c>
      <c r="L1050" s="28">
        <v>8331</v>
      </c>
      <c r="M1050" s="27" t="s">
        <v>568</v>
      </c>
      <c r="N1050" s="68" t="s">
        <v>1543</v>
      </c>
      <c r="O1050" s="18">
        <f>G1050*L1050</f>
        <v>455689038</v>
      </c>
      <c r="P1050" s="213"/>
      <c r="Q1050" s="213"/>
      <c r="R1050" s="27"/>
      <c r="S1050" s="27"/>
      <c r="T1050" s="18"/>
      <c r="U1050" s="27"/>
      <c r="V1050" s="27"/>
      <c r="W1050" s="30"/>
      <c r="X1050" s="27"/>
      <c r="Y1050" s="27"/>
      <c r="Z1050" s="27"/>
      <c r="AA1050" s="27"/>
      <c r="AB1050" s="68"/>
      <c r="AC1050" s="273">
        <v>48300000</v>
      </c>
      <c r="AD1050" s="27">
        <v>7342923619.7152653</v>
      </c>
      <c r="AE1050" s="228">
        <v>6.5777614614317501E-3</v>
      </c>
      <c r="AF1050" s="27">
        <v>746261327.4716624</v>
      </c>
      <c r="AG1050" s="226">
        <v>6.4722635653170824E-2</v>
      </c>
      <c r="AH1050" s="226">
        <v>4.3596896579515293E-2</v>
      </c>
      <c r="AI1050" s="27">
        <v>894070000</v>
      </c>
      <c r="AJ1050" s="226">
        <v>5.4022615678861831E-2</v>
      </c>
      <c r="AK1050" s="27">
        <v>201183507.60123527</v>
      </c>
      <c r="AL1050" s="226">
        <v>0.24007932149058245</v>
      </c>
      <c r="AM1050" s="27">
        <v>247447714.47606078</v>
      </c>
      <c r="AN1050" s="271">
        <v>0.19519275052618343</v>
      </c>
      <c r="AO1050" s="27">
        <v>19371023</v>
      </c>
      <c r="AP1050" s="27" t="s">
        <v>2842</v>
      </c>
      <c r="AQ1050" s="27">
        <v>62.048000000000009</v>
      </c>
      <c r="AR1050" s="27">
        <v>49.2</v>
      </c>
      <c r="AS1050" s="29" t="s">
        <v>2842</v>
      </c>
      <c r="AT1050" s="270">
        <v>28</v>
      </c>
      <c r="AU1050" s="464" t="s">
        <v>2842</v>
      </c>
      <c r="AV1050" s="29">
        <v>-0.15247788956795899</v>
      </c>
      <c r="AW1050" s="29">
        <v>2.5216456663315699E-2</v>
      </c>
      <c r="AX1050" s="29">
        <v>-0.44094837296616501</v>
      </c>
      <c r="AY1050" s="29">
        <v>-0.198541322995683</v>
      </c>
      <c r="AZ1050" s="60">
        <v>-9.9298636558795603E-2</v>
      </c>
    </row>
    <row r="1051" spans="1:52" s="287" customFormat="1" ht="15" customHeight="1">
      <c r="A1051" s="359" t="s">
        <v>308</v>
      </c>
      <c r="B1051" s="302">
        <v>2007</v>
      </c>
      <c r="C1051" s="383" t="s">
        <v>309</v>
      </c>
      <c r="D1051" s="369" t="s">
        <v>81</v>
      </c>
      <c r="E1051" s="284" t="s">
        <v>19</v>
      </c>
      <c r="F1051" s="284" t="s">
        <v>638</v>
      </c>
      <c r="G1051" s="305">
        <v>0</v>
      </c>
      <c r="H1051" s="305"/>
      <c r="I1051" s="305"/>
      <c r="J1051" s="305"/>
      <c r="K1051" s="303" t="s">
        <v>567</v>
      </c>
      <c r="L1051" s="304"/>
      <c r="M1051" s="284"/>
      <c r="N1051" s="286" t="s">
        <v>788</v>
      </c>
      <c r="O1051" s="305">
        <f>G1051*L1051</f>
        <v>0</v>
      </c>
      <c r="P1051" s="306"/>
      <c r="Q1051" s="306"/>
      <c r="R1051" s="284"/>
      <c r="S1051" s="284"/>
      <c r="T1051" s="305"/>
      <c r="U1051" s="284"/>
      <c r="V1051" s="284"/>
      <c r="W1051" s="307"/>
      <c r="X1051" s="284"/>
      <c r="Y1051" s="284"/>
      <c r="Z1051" s="284"/>
      <c r="AA1051" s="284"/>
      <c r="AB1051" s="286"/>
      <c r="AC1051" s="308">
        <v>48300000</v>
      </c>
      <c r="AD1051" s="284">
        <v>7342923619.7152653</v>
      </c>
      <c r="AE1051" s="309">
        <v>6.5777614614317501E-3</v>
      </c>
      <c r="AF1051" s="284">
        <v>746261327.4716624</v>
      </c>
      <c r="AG1051" s="310">
        <v>6.4722635653170824E-2</v>
      </c>
      <c r="AH1051" s="310">
        <v>4.3596896579515293E-2</v>
      </c>
      <c r="AI1051" s="284">
        <v>894070000</v>
      </c>
      <c r="AJ1051" s="310">
        <v>5.4022615678861831E-2</v>
      </c>
      <c r="AK1051" s="284">
        <v>201183507.60123527</v>
      </c>
      <c r="AL1051" s="310">
        <v>0.24007932149058245</v>
      </c>
      <c r="AM1051" s="284">
        <v>247447714.47606078</v>
      </c>
      <c r="AN1051" s="311">
        <v>0.19519275052618343</v>
      </c>
      <c r="AO1051" s="284">
        <v>19371023</v>
      </c>
      <c r="AP1051" s="284" t="s">
        <v>2842</v>
      </c>
      <c r="AQ1051" s="284">
        <v>62.048000000000009</v>
      </c>
      <c r="AR1051" s="284">
        <v>49.2</v>
      </c>
      <c r="AS1051" s="287" t="s">
        <v>2842</v>
      </c>
      <c r="AT1051" s="312">
        <v>28</v>
      </c>
      <c r="AU1051" s="465" t="s">
        <v>2842</v>
      </c>
      <c r="AV1051" s="287">
        <v>-0.15247788956795899</v>
      </c>
      <c r="AW1051" s="287">
        <v>2.5216456663315699E-2</v>
      </c>
      <c r="AX1051" s="287">
        <v>-0.44094837296616501</v>
      </c>
      <c r="AY1051" s="287">
        <v>-0.198541322995683</v>
      </c>
      <c r="AZ1051" s="313">
        <v>-9.9298636558795603E-2</v>
      </c>
    </row>
    <row r="1052" spans="1:52" ht="15" customHeight="1">
      <c r="A1052" s="347" t="s">
        <v>311</v>
      </c>
      <c r="B1052" s="53">
        <v>2008</v>
      </c>
      <c r="C1052" s="146" t="s">
        <v>309</v>
      </c>
      <c r="D1052" s="69" t="s">
        <v>81</v>
      </c>
      <c r="E1052" s="27" t="s">
        <v>19</v>
      </c>
      <c r="F1052" s="27" t="s">
        <v>659</v>
      </c>
      <c r="G1052" s="18"/>
      <c r="H1052" s="18"/>
      <c r="I1052" s="18"/>
      <c r="J1052" s="18"/>
      <c r="K1052" s="43"/>
      <c r="L1052" s="28"/>
      <c r="M1052" s="27"/>
      <c r="N1052" s="27"/>
      <c r="O1052" s="18">
        <f>SUM(O1053:O1053)</f>
        <v>1247526814</v>
      </c>
      <c r="P1052" s="213">
        <v>55300000</v>
      </c>
      <c r="Q1052" s="213">
        <v>54900000</v>
      </c>
      <c r="R1052" s="27" t="s">
        <v>619</v>
      </c>
      <c r="S1052" s="27"/>
      <c r="T1052" s="18"/>
      <c r="U1052" s="27" t="s">
        <v>917</v>
      </c>
      <c r="V1052" s="27"/>
      <c r="W1052" s="30">
        <v>1669.76</v>
      </c>
      <c r="X1052" s="27"/>
      <c r="Y1052" s="27"/>
      <c r="Z1052" s="27">
        <v>3</v>
      </c>
      <c r="AA1052" s="41"/>
      <c r="AB1052" s="27" t="s">
        <v>1542</v>
      </c>
      <c r="AC1052" s="273">
        <v>55300000</v>
      </c>
      <c r="AD1052" s="27">
        <v>9413002737.3057842</v>
      </c>
      <c r="AE1052" s="228">
        <v>5.8748522170119031E-3</v>
      </c>
      <c r="AF1052" s="27">
        <v>1451014371.9556868</v>
      </c>
      <c r="AG1052" s="226">
        <v>3.8111269653012668E-2</v>
      </c>
      <c r="AH1052" s="226">
        <v>4.6834531874669245E-2</v>
      </c>
      <c r="AI1052" s="27">
        <v>842550000</v>
      </c>
      <c r="AJ1052" s="226">
        <v>6.5634086997804278E-2</v>
      </c>
      <c r="AK1052" s="27">
        <v>209213160.08812541</v>
      </c>
      <c r="AL1052" s="226">
        <v>0.26432371642733354</v>
      </c>
      <c r="AM1052" s="27">
        <v>274501044.52503753</v>
      </c>
      <c r="AN1052" s="271">
        <v>0.20145642831955063</v>
      </c>
      <c r="AO1052" s="27">
        <v>19926785</v>
      </c>
      <c r="AP1052" s="27" t="s">
        <v>2842</v>
      </c>
      <c r="AQ1052" s="27">
        <v>62.474756097560984</v>
      </c>
      <c r="AR1052" s="27">
        <v>47</v>
      </c>
      <c r="AS1052" s="29" t="s">
        <v>2842</v>
      </c>
      <c r="AT1052" s="270">
        <v>28</v>
      </c>
      <c r="AU1052" s="464" t="s">
        <v>2842</v>
      </c>
      <c r="AV1052" s="29">
        <v>-0.341382652673071</v>
      </c>
      <c r="AW1052" s="29">
        <v>-0.48923298872943299</v>
      </c>
      <c r="AX1052" s="29">
        <v>-0.634681864637611</v>
      </c>
      <c r="AY1052" s="29">
        <v>-0.31582826479456</v>
      </c>
      <c r="AZ1052" s="60">
        <v>-0.15971013101624701</v>
      </c>
    </row>
    <row r="1053" spans="1:52" s="287" customFormat="1" ht="15" customHeight="1">
      <c r="A1053" s="359" t="s">
        <v>311</v>
      </c>
      <c r="B1053" s="302">
        <v>2008</v>
      </c>
      <c r="C1053" s="383" t="s">
        <v>309</v>
      </c>
      <c r="D1053" s="369" t="s">
        <v>81</v>
      </c>
      <c r="E1053" s="284" t="s">
        <v>19</v>
      </c>
      <c r="F1053" s="284" t="s">
        <v>675</v>
      </c>
      <c r="G1053" s="305">
        <v>112613</v>
      </c>
      <c r="H1053" s="305"/>
      <c r="I1053" s="305"/>
      <c r="J1053" s="305"/>
      <c r="K1053" s="303" t="s">
        <v>567</v>
      </c>
      <c r="L1053" s="304">
        <v>11078</v>
      </c>
      <c r="M1053" s="284" t="s">
        <v>568</v>
      </c>
      <c r="N1053" s="286" t="s">
        <v>1544</v>
      </c>
      <c r="O1053" s="305">
        <f>G1053*L1053</f>
        <v>1247526814</v>
      </c>
      <c r="P1053" s="306"/>
      <c r="Q1053" s="306"/>
      <c r="R1053" s="284"/>
      <c r="S1053" s="284"/>
      <c r="T1053" s="305"/>
      <c r="U1053" s="284"/>
      <c r="V1053" s="284"/>
      <c r="W1053" s="307"/>
      <c r="X1053" s="284"/>
      <c r="Y1053" s="284"/>
      <c r="Z1053" s="284"/>
      <c r="AA1053" s="284"/>
      <c r="AB1053" s="286"/>
      <c r="AC1053" s="308">
        <v>55300000</v>
      </c>
      <c r="AD1053" s="284">
        <v>9413002737.3057842</v>
      </c>
      <c r="AE1053" s="309">
        <v>5.8748522170119031E-3</v>
      </c>
      <c r="AF1053" s="284">
        <v>1451014371.9556868</v>
      </c>
      <c r="AG1053" s="310">
        <v>3.8111269653012668E-2</v>
      </c>
      <c r="AH1053" s="310">
        <v>4.6834531874669245E-2</v>
      </c>
      <c r="AI1053" s="284">
        <v>842550000</v>
      </c>
      <c r="AJ1053" s="310">
        <v>6.5634086997804278E-2</v>
      </c>
      <c r="AK1053" s="284">
        <v>209213160.08812541</v>
      </c>
      <c r="AL1053" s="310">
        <v>0.26432371642733354</v>
      </c>
      <c r="AM1053" s="284">
        <v>274501044.52503753</v>
      </c>
      <c r="AN1053" s="311">
        <v>0.20145642831955063</v>
      </c>
      <c r="AO1053" s="284">
        <v>19926785</v>
      </c>
      <c r="AP1053" s="284" t="s">
        <v>2842</v>
      </c>
      <c r="AQ1053" s="284">
        <v>62.474756097560984</v>
      </c>
      <c r="AR1053" s="284">
        <v>47</v>
      </c>
      <c r="AS1053" s="287" t="s">
        <v>2842</v>
      </c>
      <c r="AT1053" s="312">
        <v>28</v>
      </c>
      <c r="AU1053" s="465" t="s">
        <v>2842</v>
      </c>
      <c r="AV1053" s="287">
        <v>-0.341382652673071</v>
      </c>
      <c r="AW1053" s="287">
        <v>-0.48923298872943299</v>
      </c>
      <c r="AX1053" s="287">
        <v>-0.634681864637611</v>
      </c>
      <c r="AY1053" s="287">
        <v>-0.31582826479456</v>
      </c>
      <c r="AZ1053" s="313">
        <v>-0.15971013101624701</v>
      </c>
    </row>
    <row r="1054" spans="1:52" s="29" customFormat="1" ht="15" customHeight="1">
      <c r="A1054" s="347" t="s">
        <v>313</v>
      </c>
      <c r="B1054" s="53">
        <v>2009</v>
      </c>
      <c r="C1054" s="146" t="s">
        <v>309</v>
      </c>
      <c r="D1054" s="69" t="s">
        <v>81</v>
      </c>
      <c r="E1054" s="27" t="s">
        <v>19</v>
      </c>
      <c r="F1054" s="27" t="s">
        <v>659</v>
      </c>
      <c r="G1054" s="18"/>
      <c r="H1054" s="18"/>
      <c r="I1054" s="18"/>
      <c r="J1054" s="18"/>
      <c r="K1054" s="43"/>
      <c r="L1054" s="28"/>
      <c r="M1054" s="27"/>
      <c r="N1054" s="27"/>
      <c r="O1054" s="18">
        <f>SUM(O1055:O1056)</f>
        <v>1327848000</v>
      </c>
      <c r="P1054" s="213">
        <v>20900000</v>
      </c>
      <c r="Q1054" s="213">
        <v>21000000</v>
      </c>
      <c r="R1054" s="27" t="s">
        <v>619</v>
      </c>
      <c r="S1054" s="27"/>
      <c r="T1054" s="18"/>
      <c r="U1054" s="27" t="s">
        <v>917</v>
      </c>
      <c r="V1054" s="27"/>
      <c r="W1054" s="30">
        <v>1932.2</v>
      </c>
      <c r="X1054" s="27"/>
      <c r="Y1054" s="27"/>
      <c r="Z1054" s="27">
        <v>3</v>
      </c>
      <c r="AA1054" s="41"/>
      <c r="AB1054" s="27" t="s">
        <v>1542</v>
      </c>
      <c r="AC1054" s="273">
        <v>20900000</v>
      </c>
      <c r="AD1054" s="27">
        <v>8550363829.0960493</v>
      </c>
      <c r="AE1054" s="228">
        <v>2.444340430155656E-3</v>
      </c>
      <c r="AF1054" s="27">
        <v>1733500762.710933</v>
      </c>
      <c r="AG1054" s="226">
        <v>1.2056527721000573E-2</v>
      </c>
      <c r="AH1054" s="226">
        <v>4.3000401117906414E-2</v>
      </c>
      <c r="AI1054" s="27">
        <v>443960000</v>
      </c>
      <c r="AJ1054" s="226">
        <v>4.7076313181367693E-2</v>
      </c>
      <c r="AK1054" s="27">
        <v>188072671.51421991</v>
      </c>
      <c r="AL1054" s="226">
        <v>0.11112725645745815</v>
      </c>
      <c r="AM1054" s="27">
        <v>270448862.95069098</v>
      </c>
      <c r="AN1054" s="271">
        <v>7.7278934627321938E-2</v>
      </c>
      <c r="AO1054" s="27">
        <v>20495695</v>
      </c>
      <c r="AP1054" s="27" t="s">
        <v>2842</v>
      </c>
      <c r="AQ1054" s="27">
        <v>62.907658536585373</v>
      </c>
      <c r="AR1054" s="27">
        <v>45.2</v>
      </c>
      <c r="AS1054" s="29" t="s">
        <v>2842</v>
      </c>
      <c r="AT1054" s="270">
        <v>28</v>
      </c>
      <c r="AU1054" s="464" t="s">
        <v>2842</v>
      </c>
      <c r="AV1054" s="29">
        <v>-0.85846779147558006</v>
      </c>
      <c r="AW1054" s="29">
        <v>-0.74802950066964702</v>
      </c>
      <c r="AX1054" s="29">
        <v>-0.78264603631290597</v>
      </c>
      <c r="AY1054" s="29">
        <v>-0.49934270444890499</v>
      </c>
      <c r="AZ1054" s="60">
        <v>-0.19241468597101799</v>
      </c>
    </row>
    <row r="1055" spans="1:52" s="29" customFormat="1" ht="15" customHeight="1">
      <c r="A1055" s="63" t="s">
        <v>313</v>
      </c>
      <c r="B1055" s="53">
        <v>2009</v>
      </c>
      <c r="C1055" s="146" t="s">
        <v>309</v>
      </c>
      <c r="D1055" s="69" t="s">
        <v>81</v>
      </c>
      <c r="E1055" s="27" t="s">
        <v>19</v>
      </c>
      <c r="F1055" s="27" t="s">
        <v>675</v>
      </c>
      <c r="G1055" s="18">
        <v>133000</v>
      </c>
      <c r="H1055" s="18"/>
      <c r="I1055" s="18"/>
      <c r="J1055" s="18"/>
      <c r="K1055" s="43" t="s">
        <v>567</v>
      </c>
      <c r="L1055" s="28">
        <v>9896</v>
      </c>
      <c r="M1055" s="27" t="s">
        <v>568</v>
      </c>
      <c r="N1055" s="68" t="s">
        <v>1544</v>
      </c>
      <c r="O1055" s="18">
        <f>G1055*L1055</f>
        <v>1316168000</v>
      </c>
      <c r="P1055" s="213"/>
      <c r="Q1055" s="213"/>
      <c r="R1055" s="27"/>
      <c r="S1055" s="27"/>
      <c r="T1055" s="18"/>
      <c r="U1055" s="27"/>
      <c r="V1055" s="27"/>
      <c r="W1055" s="30"/>
      <c r="X1055" s="27"/>
      <c r="Y1055" s="27"/>
      <c r="Z1055" s="27"/>
      <c r="AA1055" s="27"/>
      <c r="AB1055" s="68"/>
      <c r="AC1055" s="273">
        <v>20900000</v>
      </c>
      <c r="AD1055" s="27">
        <v>8550363829.0960493</v>
      </c>
      <c r="AE1055" s="228">
        <v>2.444340430155656E-3</v>
      </c>
      <c r="AF1055" s="27">
        <v>1733500762.710933</v>
      </c>
      <c r="AG1055" s="226">
        <v>1.2056527721000573E-2</v>
      </c>
      <c r="AH1055" s="226">
        <v>4.3000401117906414E-2</v>
      </c>
      <c r="AI1055" s="27">
        <v>443960000</v>
      </c>
      <c r="AJ1055" s="226">
        <v>4.7076313181367693E-2</v>
      </c>
      <c r="AK1055" s="27">
        <v>188072671.51421991</v>
      </c>
      <c r="AL1055" s="226">
        <v>0.11112725645745815</v>
      </c>
      <c r="AM1055" s="27">
        <v>270448862.95069098</v>
      </c>
      <c r="AN1055" s="271">
        <v>7.7278934627321938E-2</v>
      </c>
      <c r="AO1055" s="27">
        <v>20495695</v>
      </c>
      <c r="AP1055" s="27" t="s">
        <v>2842</v>
      </c>
      <c r="AQ1055" s="27">
        <v>62.907658536585373</v>
      </c>
      <c r="AR1055" s="27">
        <v>45.2</v>
      </c>
      <c r="AS1055" s="29" t="s">
        <v>2842</v>
      </c>
      <c r="AT1055" s="270">
        <v>28</v>
      </c>
      <c r="AU1055" s="464" t="s">
        <v>2842</v>
      </c>
      <c r="AV1055" s="29">
        <v>-0.85846779147558006</v>
      </c>
      <c r="AW1055" s="29">
        <v>-0.74802950066964702</v>
      </c>
      <c r="AX1055" s="29">
        <v>-0.78264603631290597</v>
      </c>
      <c r="AY1055" s="29">
        <v>-0.49934270444890499</v>
      </c>
      <c r="AZ1055" s="60">
        <v>-0.19241468597101799</v>
      </c>
    </row>
    <row r="1056" spans="1:52" s="287" customFormat="1" ht="15" customHeight="1">
      <c r="A1056" s="359" t="s">
        <v>313</v>
      </c>
      <c r="B1056" s="302">
        <v>2009</v>
      </c>
      <c r="C1056" s="383" t="s">
        <v>309</v>
      </c>
      <c r="D1056" s="369" t="s">
        <v>81</v>
      </c>
      <c r="E1056" s="284" t="s">
        <v>19</v>
      </c>
      <c r="F1056" s="284" t="s">
        <v>1545</v>
      </c>
      <c r="G1056" s="305">
        <v>160000</v>
      </c>
      <c r="H1056" s="305"/>
      <c r="I1056" s="305"/>
      <c r="J1056" s="305"/>
      <c r="K1056" s="303" t="s">
        <v>567</v>
      </c>
      <c r="L1056" s="304">
        <v>73</v>
      </c>
      <c r="M1056" s="284" t="s">
        <v>568</v>
      </c>
      <c r="N1056" s="284" t="s">
        <v>1546</v>
      </c>
      <c r="O1056" s="305">
        <f>G1056*L1056</f>
        <v>11680000</v>
      </c>
      <c r="P1056" s="306"/>
      <c r="Q1056" s="306"/>
      <c r="R1056" s="284"/>
      <c r="S1056" s="284"/>
      <c r="T1056" s="305"/>
      <c r="U1056" s="284"/>
      <c r="V1056" s="284"/>
      <c r="W1056" s="307"/>
      <c r="X1056" s="284"/>
      <c r="Y1056" s="284"/>
      <c r="Z1056" s="284"/>
      <c r="AA1056" s="284"/>
      <c r="AB1056" s="286"/>
      <c r="AC1056" s="308">
        <v>20900000</v>
      </c>
      <c r="AD1056" s="284">
        <v>8550363829.0960493</v>
      </c>
      <c r="AE1056" s="309">
        <v>2.444340430155656E-3</v>
      </c>
      <c r="AF1056" s="284">
        <v>1733500762.710933</v>
      </c>
      <c r="AG1056" s="310">
        <v>1.2056527721000573E-2</v>
      </c>
      <c r="AH1056" s="310">
        <v>4.3000401117906414E-2</v>
      </c>
      <c r="AI1056" s="284">
        <v>443960000</v>
      </c>
      <c r="AJ1056" s="310">
        <v>4.7076313181367693E-2</v>
      </c>
      <c r="AK1056" s="284">
        <v>188072671.51421991</v>
      </c>
      <c r="AL1056" s="310">
        <v>0.11112725645745815</v>
      </c>
      <c r="AM1056" s="284">
        <v>270448862.95069098</v>
      </c>
      <c r="AN1056" s="311">
        <v>7.7278934627321938E-2</v>
      </c>
      <c r="AO1056" s="284">
        <v>20495695</v>
      </c>
      <c r="AP1056" s="284" t="s">
        <v>2842</v>
      </c>
      <c r="AQ1056" s="284">
        <v>62.907658536585373</v>
      </c>
      <c r="AR1056" s="284">
        <v>45.2</v>
      </c>
      <c r="AS1056" s="287" t="s">
        <v>2842</v>
      </c>
      <c r="AT1056" s="312">
        <v>28</v>
      </c>
      <c r="AU1056" s="465" t="s">
        <v>2842</v>
      </c>
      <c r="AV1056" s="287">
        <v>-0.85846779147558006</v>
      </c>
      <c r="AW1056" s="287">
        <v>-0.74802950066964702</v>
      </c>
      <c r="AX1056" s="287">
        <v>-0.78264603631290597</v>
      </c>
      <c r="AY1056" s="287">
        <v>-0.49934270444890499</v>
      </c>
      <c r="AZ1056" s="313">
        <v>-0.19241468597101799</v>
      </c>
    </row>
    <row r="1057" spans="1:52" ht="15" customHeight="1">
      <c r="A1057" s="347" t="s">
        <v>315</v>
      </c>
      <c r="B1057" s="53">
        <v>2010</v>
      </c>
      <c r="C1057" s="146" t="s">
        <v>309</v>
      </c>
      <c r="D1057" s="69" t="s">
        <v>81</v>
      </c>
      <c r="E1057" s="27" t="s">
        <v>19</v>
      </c>
      <c r="F1057" s="27" t="s">
        <v>659</v>
      </c>
      <c r="G1057" s="18"/>
      <c r="H1057" s="18"/>
      <c r="I1057" s="18"/>
      <c r="J1057" s="18"/>
      <c r="K1057" s="43"/>
      <c r="L1057" s="28"/>
      <c r="M1057" s="27"/>
      <c r="N1057" s="27"/>
      <c r="O1057" s="18">
        <f>SUM(O1058:O1064)</f>
        <v>2188697379.9664097</v>
      </c>
      <c r="P1057" s="213">
        <v>160705175.417741</v>
      </c>
      <c r="Q1057" s="213">
        <v>151591513.6386776</v>
      </c>
      <c r="R1057" s="27" t="s">
        <v>3699</v>
      </c>
      <c r="S1057" s="27" t="s">
        <v>1548</v>
      </c>
      <c r="T1057" s="18">
        <v>31041.01489624293</v>
      </c>
      <c r="U1057" s="27"/>
      <c r="V1057" s="27" t="s">
        <v>1547</v>
      </c>
      <c r="W1057" s="30">
        <v>2090.46</v>
      </c>
      <c r="X1057" s="27">
        <v>9</v>
      </c>
      <c r="Y1057" s="27" t="s">
        <v>1549</v>
      </c>
      <c r="Z1057" s="27">
        <v>9</v>
      </c>
      <c r="AA1057" s="27" t="s">
        <v>1550</v>
      </c>
      <c r="AB1057" s="41" t="s">
        <v>1551</v>
      </c>
      <c r="AC1057" s="273">
        <v>160705175.41774061</v>
      </c>
      <c r="AD1057" s="27">
        <v>8729936135.744875</v>
      </c>
      <c r="AE1057" s="228">
        <v>1.8408516731265707E-2</v>
      </c>
      <c r="AF1057" s="27">
        <v>1611720809.3812189</v>
      </c>
      <c r="AG1057" s="226">
        <v>9.9710306203367488E-2</v>
      </c>
      <c r="AH1057" s="226">
        <v>8.7800331130581513E-2</v>
      </c>
      <c r="AI1057" s="27">
        <v>470080000</v>
      </c>
      <c r="AJ1057" s="226">
        <v>0.34186771489478518</v>
      </c>
      <c r="AK1057" s="27">
        <v>194738078.57007453</v>
      </c>
      <c r="AL1057" s="226">
        <v>0.82523755291090894</v>
      </c>
      <c r="AM1057" s="27" t="s">
        <v>2842</v>
      </c>
      <c r="AN1057" s="271" t="s">
        <v>2842</v>
      </c>
      <c r="AO1057" s="27">
        <v>21079532</v>
      </c>
      <c r="AP1057" s="27">
        <v>75.3</v>
      </c>
      <c r="AQ1057" s="27">
        <v>63.349731707317083</v>
      </c>
      <c r="AR1057" s="27">
        <v>43.6</v>
      </c>
      <c r="AS1057" s="29" t="s">
        <v>2842</v>
      </c>
      <c r="AT1057" s="270">
        <v>28</v>
      </c>
      <c r="AU1057" s="464" t="s">
        <v>2842</v>
      </c>
      <c r="AV1057" s="29">
        <v>-0.82966071240465</v>
      </c>
      <c r="AW1057" s="29">
        <v>-1.0456766205424599</v>
      </c>
      <c r="AX1057" s="29">
        <v>-0.94658297744993203</v>
      </c>
      <c r="AY1057" s="29">
        <v>-0.55728847014559002</v>
      </c>
      <c r="AZ1057" s="60">
        <v>-0.27423074953917298</v>
      </c>
    </row>
    <row r="1058" spans="1:52" ht="15" customHeight="1">
      <c r="A1058" s="63" t="s">
        <v>315</v>
      </c>
      <c r="B1058" s="53">
        <v>2010</v>
      </c>
      <c r="C1058" s="146" t="s">
        <v>309</v>
      </c>
      <c r="D1058" s="69" t="s">
        <v>81</v>
      </c>
      <c r="E1058" s="27" t="s">
        <v>19</v>
      </c>
      <c r="F1058" s="27" t="s">
        <v>566</v>
      </c>
      <c r="G1058" s="18">
        <v>410000</v>
      </c>
      <c r="H1058" s="18"/>
      <c r="I1058" s="18"/>
      <c r="J1058" s="18"/>
      <c r="K1058" s="43" t="s">
        <v>567</v>
      </c>
      <c r="L1058" s="28">
        <v>92</v>
      </c>
      <c r="M1058" s="27" t="s">
        <v>568</v>
      </c>
      <c r="N1058" s="27" t="s">
        <v>1122</v>
      </c>
      <c r="O1058" s="18">
        <f t="shared" ref="O1058:O1064" si="14">G1058*L1058</f>
        <v>37720000</v>
      </c>
      <c r="P1058" s="213"/>
      <c r="Q1058" s="213"/>
      <c r="R1058" s="27"/>
      <c r="S1058" s="27"/>
      <c r="T1058" s="18"/>
      <c r="U1058" s="27"/>
      <c r="V1058" s="27"/>
      <c r="W1058" s="30"/>
      <c r="X1058" s="27"/>
      <c r="Y1058" s="27"/>
      <c r="Z1058" s="27"/>
      <c r="AA1058" s="27"/>
      <c r="AB1058" s="68"/>
      <c r="AC1058" s="273">
        <v>160705175.41774061</v>
      </c>
      <c r="AD1058" s="27">
        <v>8729936135.744875</v>
      </c>
      <c r="AE1058" s="228">
        <v>1.8408516731265707E-2</v>
      </c>
      <c r="AF1058" s="27">
        <v>1611720809.3812189</v>
      </c>
      <c r="AG1058" s="226">
        <v>9.9710306203367488E-2</v>
      </c>
      <c r="AH1058" s="226">
        <v>8.7800331130581513E-2</v>
      </c>
      <c r="AI1058" s="27">
        <v>470080000</v>
      </c>
      <c r="AJ1058" s="226">
        <v>0.34186771489478518</v>
      </c>
      <c r="AK1058" s="27">
        <v>194738078.57007453</v>
      </c>
      <c r="AL1058" s="226">
        <v>0.82523755291090894</v>
      </c>
      <c r="AM1058" s="27" t="s">
        <v>2842</v>
      </c>
      <c r="AN1058" s="271" t="s">
        <v>2842</v>
      </c>
      <c r="AO1058" s="27">
        <v>21079532</v>
      </c>
      <c r="AP1058" s="27">
        <v>75.3</v>
      </c>
      <c r="AQ1058" s="27">
        <v>63.349731707317083</v>
      </c>
      <c r="AR1058" s="27">
        <v>43.6</v>
      </c>
      <c r="AS1058" s="29" t="s">
        <v>2842</v>
      </c>
      <c r="AT1058" s="270">
        <v>28</v>
      </c>
      <c r="AU1058" s="464" t="s">
        <v>2842</v>
      </c>
      <c r="AV1058" s="29">
        <v>-0.82966071240465</v>
      </c>
      <c r="AW1058" s="29">
        <v>-1.0456766205424599</v>
      </c>
      <c r="AX1058" s="29">
        <v>-0.94658297744993203</v>
      </c>
      <c r="AY1058" s="29">
        <v>-0.55728847014559002</v>
      </c>
      <c r="AZ1058" s="60">
        <v>-0.27423074953917298</v>
      </c>
    </row>
    <row r="1059" spans="1:52" ht="15" customHeight="1">
      <c r="A1059" s="63" t="s">
        <v>315</v>
      </c>
      <c r="B1059" s="53">
        <v>2010</v>
      </c>
      <c r="C1059" s="146" t="s">
        <v>309</v>
      </c>
      <c r="D1059" s="69" t="s">
        <v>81</v>
      </c>
      <c r="E1059" s="27" t="s">
        <v>19</v>
      </c>
      <c r="F1059" s="27" t="s">
        <v>675</v>
      </c>
      <c r="G1059" s="18">
        <v>134500</v>
      </c>
      <c r="H1059" s="18"/>
      <c r="I1059" s="18"/>
      <c r="J1059" s="18"/>
      <c r="K1059" s="43" t="s">
        <v>567</v>
      </c>
      <c r="L1059" s="28">
        <v>11322</v>
      </c>
      <c r="M1059" s="27" t="s">
        <v>568</v>
      </c>
      <c r="N1059" s="68" t="s">
        <v>1544</v>
      </c>
      <c r="O1059" s="18">
        <f t="shared" si="14"/>
        <v>1522809000</v>
      </c>
      <c r="P1059" s="213"/>
      <c r="Q1059" s="213"/>
      <c r="R1059" s="27"/>
      <c r="S1059" s="27"/>
      <c r="T1059" s="18"/>
      <c r="U1059" s="27"/>
      <c r="V1059" s="27"/>
      <c r="W1059" s="30"/>
      <c r="X1059" s="27"/>
      <c r="Y1059" s="27"/>
      <c r="Z1059" s="27"/>
      <c r="AA1059" s="27"/>
      <c r="AB1059" s="68"/>
      <c r="AC1059" s="273">
        <v>160705175.41774061</v>
      </c>
      <c r="AD1059" s="27">
        <v>8729936135.744875</v>
      </c>
      <c r="AE1059" s="228">
        <v>1.8408516731265707E-2</v>
      </c>
      <c r="AF1059" s="27">
        <v>1611720809.3812189</v>
      </c>
      <c r="AG1059" s="226">
        <v>9.9710306203367488E-2</v>
      </c>
      <c r="AH1059" s="226">
        <v>8.7800331130581513E-2</v>
      </c>
      <c r="AI1059" s="27">
        <v>470080000</v>
      </c>
      <c r="AJ1059" s="226">
        <v>0.34186771489478518</v>
      </c>
      <c r="AK1059" s="27">
        <v>194738078.57007453</v>
      </c>
      <c r="AL1059" s="226">
        <v>0.82523755291090894</v>
      </c>
      <c r="AM1059" s="27" t="s">
        <v>2842</v>
      </c>
      <c r="AN1059" s="271" t="s">
        <v>2842</v>
      </c>
      <c r="AO1059" s="27">
        <v>21079532</v>
      </c>
      <c r="AP1059" s="27">
        <v>75.3</v>
      </c>
      <c r="AQ1059" s="27">
        <v>63.349731707317083</v>
      </c>
      <c r="AR1059" s="27">
        <v>43.6</v>
      </c>
      <c r="AS1059" s="29" t="s">
        <v>2842</v>
      </c>
      <c r="AT1059" s="270">
        <v>28</v>
      </c>
      <c r="AU1059" s="464" t="s">
        <v>2842</v>
      </c>
      <c r="AV1059" s="29">
        <v>-0.82966071240465</v>
      </c>
      <c r="AW1059" s="29">
        <v>-1.0456766205424599</v>
      </c>
      <c r="AX1059" s="29">
        <v>-0.94658297744993203</v>
      </c>
      <c r="AY1059" s="29">
        <v>-0.55728847014559002</v>
      </c>
      <c r="AZ1059" s="60">
        <v>-0.27423074953917298</v>
      </c>
    </row>
    <row r="1060" spans="1:52" ht="15" customHeight="1">
      <c r="A1060" s="63" t="s">
        <v>315</v>
      </c>
      <c r="B1060" s="53">
        <v>2010</v>
      </c>
      <c r="C1060" s="146" t="s">
        <v>309</v>
      </c>
      <c r="D1060" s="69" t="s">
        <v>81</v>
      </c>
      <c r="E1060" s="27" t="s">
        <v>19</v>
      </c>
      <c r="F1060" s="27" t="s">
        <v>977</v>
      </c>
      <c r="G1060" s="597">
        <v>165</v>
      </c>
      <c r="H1060" s="597">
        <v>5600</v>
      </c>
      <c r="I1060" s="18"/>
      <c r="J1060" s="18"/>
      <c r="K1060" s="43" t="s">
        <v>567</v>
      </c>
      <c r="L1060" s="28">
        <f>20.85/0.000453592</f>
        <v>45966.419160831763</v>
      </c>
      <c r="M1060" s="27" t="s">
        <v>568</v>
      </c>
      <c r="N1060" s="27" t="s">
        <v>1552</v>
      </c>
      <c r="O1060" s="18">
        <f t="shared" si="14"/>
        <v>7584459.1615372412</v>
      </c>
      <c r="P1060" s="213"/>
      <c r="Q1060" s="213"/>
      <c r="R1060" s="27"/>
      <c r="S1060" s="27"/>
      <c r="T1060" s="18"/>
      <c r="U1060" s="27"/>
      <c r="V1060" s="27"/>
      <c r="W1060" s="30"/>
      <c r="X1060" s="27"/>
      <c r="Y1060" s="27"/>
      <c r="Z1060" s="27"/>
      <c r="AA1060" s="27"/>
      <c r="AB1060" s="68" t="s">
        <v>3789</v>
      </c>
      <c r="AC1060" s="273">
        <v>160705175.41774061</v>
      </c>
      <c r="AD1060" s="27">
        <v>8729936135.744875</v>
      </c>
      <c r="AE1060" s="228">
        <v>1.8408516731265707E-2</v>
      </c>
      <c r="AF1060" s="27">
        <v>1611720809.3812189</v>
      </c>
      <c r="AG1060" s="226">
        <v>9.9710306203367488E-2</v>
      </c>
      <c r="AH1060" s="226">
        <v>8.7800331130581513E-2</v>
      </c>
      <c r="AI1060" s="27">
        <v>470080000</v>
      </c>
      <c r="AJ1060" s="226">
        <v>0.34186771489478518</v>
      </c>
      <c r="AK1060" s="27">
        <v>194738078.57007453</v>
      </c>
      <c r="AL1060" s="226">
        <v>0.82523755291090894</v>
      </c>
      <c r="AM1060" s="27" t="s">
        <v>2842</v>
      </c>
      <c r="AN1060" s="271" t="s">
        <v>2842</v>
      </c>
      <c r="AO1060" s="27">
        <v>21079532</v>
      </c>
      <c r="AP1060" s="27">
        <v>75.3</v>
      </c>
      <c r="AQ1060" s="27">
        <v>63.349731707317083</v>
      </c>
      <c r="AR1060" s="27">
        <v>43.6</v>
      </c>
      <c r="AS1060" s="29" t="s">
        <v>2842</v>
      </c>
      <c r="AT1060" s="270">
        <v>28</v>
      </c>
      <c r="AU1060" s="464" t="s">
        <v>2842</v>
      </c>
      <c r="AV1060" s="29">
        <v>-0.82966071240465</v>
      </c>
      <c r="AW1060" s="29">
        <v>-1.0456766205424599</v>
      </c>
      <c r="AX1060" s="29">
        <v>-0.94658297744993203</v>
      </c>
      <c r="AY1060" s="29">
        <v>-0.55728847014559002</v>
      </c>
      <c r="AZ1060" s="60">
        <v>-0.27423074953917298</v>
      </c>
    </row>
    <row r="1061" spans="1:52" ht="15" customHeight="1">
      <c r="A1061" s="63" t="s">
        <v>315</v>
      </c>
      <c r="B1061" s="53">
        <v>2010</v>
      </c>
      <c r="C1061" s="146" t="s">
        <v>309</v>
      </c>
      <c r="D1061" s="69" t="s">
        <v>81</v>
      </c>
      <c r="E1061" s="27" t="s">
        <v>19</v>
      </c>
      <c r="F1061" s="27" t="s">
        <v>730</v>
      </c>
      <c r="G1061" s="18">
        <f>30*32.150743126506</f>
        <v>964.52229379518008</v>
      </c>
      <c r="H1061" s="18"/>
      <c r="I1061" s="18"/>
      <c r="J1061" s="18"/>
      <c r="K1061" s="43" t="s">
        <v>731</v>
      </c>
      <c r="L1061" s="28">
        <v>1224.66425</v>
      </c>
      <c r="M1061" s="27" t="s">
        <v>732</v>
      </c>
      <c r="N1061" s="68" t="s">
        <v>733</v>
      </c>
      <c r="O1061" s="18">
        <f t="shared" si="14"/>
        <v>1181215.9715389539</v>
      </c>
      <c r="P1061" s="213"/>
      <c r="Q1061" s="213"/>
      <c r="R1061" s="27"/>
      <c r="S1061" s="27"/>
      <c r="T1061" s="18"/>
      <c r="U1061" s="27"/>
      <c r="V1061" s="27"/>
      <c r="W1061" s="30"/>
      <c r="X1061" s="27"/>
      <c r="Y1061" s="27"/>
      <c r="Z1061" s="27"/>
      <c r="AA1061" s="27"/>
      <c r="AB1061" s="68"/>
      <c r="AC1061" s="273">
        <v>160705175.41774061</v>
      </c>
      <c r="AD1061" s="27">
        <v>8729936135.744875</v>
      </c>
      <c r="AE1061" s="228">
        <v>1.8408516731265707E-2</v>
      </c>
      <c r="AF1061" s="27">
        <v>1611720809.3812189</v>
      </c>
      <c r="AG1061" s="226">
        <v>9.9710306203367488E-2</v>
      </c>
      <c r="AH1061" s="226">
        <v>8.7800331130581513E-2</v>
      </c>
      <c r="AI1061" s="27">
        <v>470080000</v>
      </c>
      <c r="AJ1061" s="226">
        <v>0.34186771489478518</v>
      </c>
      <c r="AK1061" s="27">
        <v>194738078.57007453</v>
      </c>
      <c r="AL1061" s="226">
        <v>0.82523755291090894</v>
      </c>
      <c r="AM1061" s="27" t="s">
        <v>2842</v>
      </c>
      <c r="AN1061" s="271" t="s">
        <v>2842</v>
      </c>
      <c r="AO1061" s="27">
        <v>21079532</v>
      </c>
      <c r="AP1061" s="27">
        <v>75.3</v>
      </c>
      <c r="AQ1061" s="27">
        <v>63.349731707317083</v>
      </c>
      <c r="AR1061" s="27">
        <v>43.6</v>
      </c>
      <c r="AS1061" s="29" t="s">
        <v>2842</v>
      </c>
      <c r="AT1061" s="270">
        <v>28</v>
      </c>
      <c r="AU1061" s="464" t="s">
        <v>2842</v>
      </c>
      <c r="AV1061" s="29">
        <v>-0.82966071240465</v>
      </c>
      <c r="AW1061" s="29">
        <v>-1.0456766205424599</v>
      </c>
      <c r="AX1061" s="29">
        <v>-0.94658297744993203</v>
      </c>
      <c r="AY1061" s="29">
        <v>-0.55728847014559002</v>
      </c>
      <c r="AZ1061" s="60">
        <v>-0.27423074953917298</v>
      </c>
    </row>
    <row r="1062" spans="1:52" ht="15" customHeight="1">
      <c r="A1062" s="63" t="s">
        <v>315</v>
      </c>
      <c r="B1062" s="53">
        <v>2010</v>
      </c>
      <c r="C1062" s="146" t="s">
        <v>309</v>
      </c>
      <c r="D1062" s="69" t="s">
        <v>81</v>
      </c>
      <c r="E1062" s="27" t="s">
        <v>19</v>
      </c>
      <c r="F1062" s="27" t="s">
        <v>1545</v>
      </c>
      <c r="G1062" s="18">
        <v>287000</v>
      </c>
      <c r="H1062" s="18"/>
      <c r="I1062" s="18"/>
      <c r="J1062" s="18"/>
      <c r="K1062" s="43" t="s">
        <v>567</v>
      </c>
      <c r="L1062" s="28">
        <v>75</v>
      </c>
      <c r="M1062" s="27" t="s">
        <v>568</v>
      </c>
      <c r="N1062" s="27" t="s">
        <v>1546</v>
      </c>
      <c r="O1062" s="18">
        <f t="shared" si="14"/>
        <v>21525000</v>
      </c>
      <c r="P1062" s="213"/>
      <c r="Q1062" s="213"/>
      <c r="R1062" s="27"/>
      <c r="S1062" s="27"/>
      <c r="T1062" s="18"/>
      <c r="U1062" s="27"/>
      <c r="V1062" s="27"/>
      <c r="W1062" s="30"/>
      <c r="X1062" s="27"/>
      <c r="Y1062" s="27"/>
      <c r="Z1062" s="27"/>
      <c r="AA1062" s="27"/>
      <c r="AB1062" s="68"/>
      <c r="AC1062" s="273">
        <v>160705175.41774061</v>
      </c>
      <c r="AD1062" s="27">
        <v>8729936135.744875</v>
      </c>
      <c r="AE1062" s="228">
        <v>1.8408516731265707E-2</v>
      </c>
      <c r="AF1062" s="27">
        <v>1611720809.3812189</v>
      </c>
      <c r="AG1062" s="226">
        <v>9.9710306203367488E-2</v>
      </c>
      <c r="AH1062" s="226">
        <v>8.7800331130581513E-2</v>
      </c>
      <c r="AI1062" s="27">
        <v>470080000</v>
      </c>
      <c r="AJ1062" s="226">
        <v>0.34186771489478518</v>
      </c>
      <c r="AK1062" s="27">
        <v>194738078.57007453</v>
      </c>
      <c r="AL1062" s="226">
        <v>0.82523755291090894</v>
      </c>
      <c r="AM1062" s="27" t="s">
        <v>2842</v>
      </c>
      <c r="AN1062" s="271" t="s">
        <v>2842</v>
      </c>
      <c r="AO1062" s="27">
        <v>21079532</v>
      </c>
      <c r="AP1062" s="27">
        <v>75.3</v>
      </c>
      <c r="AQ1062" s="27">
        <v>63.349731707317083</v>
      </c>
      <c r="AR1062" s="27">
        <v>43.6</v>
      </c>
      <c r="AS1062" s="29" t="s">
        <v>2842</v>
      </c>
      <c r="AT1062" s="270">
        <v>28</v>
      </c>
      <c r="AU1062" s="464" t="s">
        <v>2842</v>
      </c>
      <c r="AV1062" s="29">
        <v>-0.82966071240465</v>
      </c>
      <c r="AW1062" s="29">
        <v>-1.0456766205424599</v>
      </c>
      <c r="AX1062" s="29">
        <v>-0.94658297744993203</v>
      </c>
      <c r="AY1062" s="29">
        <v>-0.55728847014559002</v>
      </c>
      <c r="AZ1062" s="60">
        <v>-0.27423074953917298</v>
      </c>
    </row>
    <row r="1063" spans="1:52" ht="15" customHeight="1">
      <c r="A1063" s="63" t="s">
        <v>315</v>
      </c>
      <c r="B1063" s="53">
        <v>2010</v>
      </c>
      <c r="C1063" s="146" t="s">
        <v>309</v>
      </c>
      <c r="D1063" s="69" t="s">
        <v>81</v>
      </c>
      <c r="E1063" s="27" t="s">
        <v>19</v>
      </c>
      <c r="F1063" s="27" t="s">
        <v>1553</v>
      </c>
      <c r="G1063" s="597">
        <v>2000</v>
      </c>
      <c r="H1063" s="597">
        <v>60000</v>
      </c>
      <c r="I1063" s="18"/>
      <c r="J1063" s="18"/>
      <c r="K1063" s="43" t="s">
        <v>567</v>
      </c>
      <c r="L1063" s="44">
        <v>21808.852416666701</v>
      </c>
      <c r="M1063" s="27" t="s">
        <v>568</v>
      </c>
      <c r="N1063" s="27" t="s">
        <v>1554</v>
      </c>
      <c r="O1063" s="18">
        <f t="shared" si="14"/>
        <v>43617704.833333403</v>
      </c>
      <c r="P1063" s="213"/>
      <c r="Q1063" s="213"/>
      <c r="R1063" s="27"/>
      <c r="S1063" s="27"/>
      <c r="T1063" s="18"/>
      <c r="U1063" s="27"/>
      <c r="V1063" s="27"/>
      <c r="W1063" s="30"/>
      <c r="X1063" s="27"/>
      <c r="Y1063" s="27"/>
      <c r="Z1063" s="27"/>
      <c r="AA1063" s="27"/>
      <c r="AB1063" s="68"/>
      <c r="AC1063" s="273">
        <v>160705175.41774061</v>
      </c>
      <c r="AD1063" s="27">
        <v>8729936135.744875</v>
      </c>
      <c r="AE1063" s="228">
        <v>1.8408516731265707E-2</v>
      </c>
      <c r="AF1063" s="27">
        <v>1611720809.3812189</v>
      </c>
      <c r="AG1063" s="226">
        <v>9.9710306203367488E-2</v>
      </c>
      <c r="AH1063" s="226">
        <v>8.7800331130581513E-2</v>
      </c>
      <c r="AI1063" s="27">
        <v>470080000</v>
      </c>
      <c r="AJ1063" s="226">
        <v>0.34186771489478518</v>
      </c>
      <c r="AK1063" s="27">
        <v>194738078.57007453</v>
      </c>
      <c r="AL1063" s="226">
        <v>0.82523755291090894</v>
      </c>
      <c r="AM1063" s="27" t="s">
        <v>2842</v>
      </c>
      <c r="AN1063" s="271" t="s">
        <v>2842</v>
      </c>
      <c r="AO1063" s="27">
        <v>21079532</v>
      </c>
      <c r="AP1063" s="27">
        <v>75.3</v>
      </c>
      <c r="AQ1063" s="27">
        <v>63.349731707317083</v>
      </c>
      <c r="AR1063" s="27">
        <v>43.6</v>
      </c>
      <c r="AS1063" s="29" t="s">
        <v>2842</v>
      </c>
      <c r="AT1063" s="270">
        <v>28</v>
      </c>
      <c r="AU1063" s="464" t="s">
        <v>2842</v>
      </c>
      <c r="AV1063" s="29">
        <v>-0.82966071240465</v>
      </c>
      <c r="AW1063" s="29">
        <v>-1.0456766205424599</v>
      </c>
      <c r="AX1063" s="29">
        <v>-0.94658297744993203</v>
      </c>
      <c r="AY1063" s="29">
        <v>-0.55728847014559002</v>
      </c>
      <c r="AZ1063" s="60">
        <v>-0.27423074953917298</v>
      </c>
    </row>
    <row r="1064" spans="1:52" s="287" customFormat="1" ht="15" customHeight="1">
      <c r="A1064" s="359" t="s">
        <v>315</v>
      </c>
      <c r="B1064" s="302">
        <v>2010</v>
      </c>
      <c r="C1064" s="383" t="s">
        <v>309</v>
      </c>
      <c r="D1064" s="369" t="s">
        <v>81</v>
      </c>
      <c r="E1064" s="284" t="s">
        <v>19</v>
      </c>
      <c r="F1064" s="284" t="s">
        <v>1555</v>
      </c>
      <c r="G1064" s="305">
        <v>7490</v>
      </c>
      <c r="H1064" s="305"/>
      <c r="I1064" s="305"/>
      <c r="J1064" s="305"/>
      <c r="K1064" s="303" t="s">
        <v>567</v>
      </c>
      <c r="L1064" s="304">
        <v>74000</v>
      </c>
      <c r="M1064" s="284" t="s">
        <v>568</v>
      </c>
      <c r="N1064" s="284" t="s">
        <v>1556</v>
      </c>
      <c r="O1064" s="305">
        <f t="shared" si="14"/>
        <v>554260000</v>
      </c>
      <c r="P1064" s="306"/>
      <c r="Q1064" s="306"/>
      <c r="R1064" s="284"/>
      <c r="S1064" s="284"/>
      <c r="T1064" s="305"/>
      <c r="U1064" s="284"/>
      <c r="V1064" s="284"/>
      <c r="W1064" s="307"/>
      <c r="X1064" s="284"/>
      <c r="Y1064" s="284"/>
      <c r="Z1064" s="284"/>
      <c r="AA1064" s="284"/>
      <c r="AB1064" s="286"/>
      <c r="AC1064" s="308">
        <v>160705175.41774061</v>
      </c>
      <c r="AD1064" s="284">
        <v>8729936135.744875</v>
      </c>
      <c r="AE1064" s="309">
        <v>1.8408516731265707E-2</v>
      </c>
      <c r="AF1064" s="284">
        <v>1611720809.3812189</v>
      </c>
      <c r="AG1064" s="310">
        <v>9.9710306203367488E-2</v>
      </c>
      <c r="AH1064" s="310">
        <v>8.7800331130581513E-2</v>
      </c>
      <c r="AI1064" s="284">
        <v>470080000</v>
      </c>
      <c r="AJ1064" s="310">
        <v>0.34186771489478518</v>
      </c>
      <c r="AK1064" s="284">
        <v>194738078.57007453</v>
      </c>
      <c r="AL1064" s="310">
        <v>0.82523755291090894</v>
      </c>
      <c r="AM1064" s="284" t="s">
        <v>2842</v>
      </c>
      <c r="AN1064" s="311" t="s">
        <v>2842</v>
      </c>
      <c r="AO1064" s="284">
        <v>21079532</v>
      </c>
      <c r="AP1064" s="284">
        <v>75.3</v>
      </c>
      <c r="AQ1064" s="284">
        <v>63.349731707317083</v>
      </c>
      <c r="AR1064" s="284">
        <v>43.6</v>
      </c>
      <c r="AS1064" s="287" t="s">
        <v>2842</v>
      </c>
      <c r="AT1064" s="312">
        <v>28</v>
      </c>
      <c r="AU1064" s="465" t="s">
        <v>2842</v>
      </c>
      <c r="AV1064" s="287">
        <v>-0.82966071240465</v>
      </c>
      <c r="AW1064" s="287">
        <v>-1.0456766205424599</v>
      </c>
      <c r="AX1064" s="287">
        <v>-0.94658297744993203</v>
      </c>
      <c r="AY1064" s="287">
        <v>-0.55728847014559002</v>
      </c>
      <c r="AZ1064" s="313">
        <v>-0.27423074953917298</v>
      </c>
    </row>
    <row r="1065" spans="1:52" s="29" customFormat="1" ht="15" customHeight="1">
      <c r="A1065" s="347" t="s">
        <v>318</v>
      </c>
      <c r="B1065" s="53">
        <v>2011</v>
      </c>
      <c r="C1065" s="146" t="s">
        <v>309</v>
      </c>
      <c r="D1065" s="69" t="s">
        <v>81</v>
      </c>
      <c r="E1065" s="27" t="s">
        <v>19</v>
      </c>
      <c r="F1065" s="27" t="s">
        <v>659</v>
      </c>
      <c r="G1065" s="18"/>
      <c r="H1065" s="18"/>
      <c r="I1065" s="18"/>
      <c r="J1065" s="18"/>
      <c r="K1065" s="43"/>
      <c r="L1065" s="28"/>
      <c r="M1065" s="27"/>
      <c r="N1065" s="27"/>
      <c r="O1065" s="18">
        <f>SUM(O1066:O1074)</f>
        <v>2066182713.6794395</v>
      </c>
      <c r="P1065" s="213">
        <v>87349503.051701158</v>
      </c>
      <c r="Q1065" s="213">
        <v>83461011.17475681</v>
      </c>
      <c r="R1065" s="27" t="s">
        <v>3699</v>
      </c>
      <c r="S1065" s="27" t="s">
        <v>1548</v>
      </c>
      <c r="T1065" s="18">
        <v>112736.1301762876</v>
      </c>
      <c r="U1065" s="27"/>
      <c r="V1065" s="27" t="s">
        <v>1547</v>
      </c>
      <c r="W1065" s="74">
        <v>2025.1</v>
      </c>
      <c r="X1065" s="27">
        <v>37</v>
      </c>
      <c r="Y1065" s="75" t="s">
        <v>1557</v>
      </c>
      <c r="Z1065" s="27">
        <v>34</v>
      </c>
      <c r="AA1065" s="27" t="s">
        <v>1558</v>
      </c>
      <c r="AB1065" s="41" t="s">
        <v>1559</v>
      </c>
      <c r="AC1065" s="273">
        <v>87349503.051701158</v>
      </c>
      <c r="AD1065" s="27">
        <v>9892702357.566906</v>
      </c>
      <c r="AE1065" s="228">
        <v>8.8296908058582927E-3</v>
      </c>
      <c r="AF1065" s="27">
        <v>2077467495.0890503</v>
      </c>
      <c r="AG1065" s="226">
        <v>4.2046146694563295E-2</v>
      </c>
      <c r="AH1065" s="226">
        <v>0.10116810925083194</v>
      </c>
      <c r="AI1065" s="27">
        <v>443270000</v>
      </c>
      <c r="AJ1065" s="226">
        <v>0.19705710526699563</v>
      </c>
      <c r="AK1065" s="27">
        <v>227208125.98951122</v>
      </c>
      <c r="AL1065" s="226">
        <v>0.3844470908392314</v>
      </c>
      <c r="AM1065" s="27">
        <v>274597674.96039915</v>
      </c>
      <c r="AN1065" s="271">
        <v>0.31809993680499365</v>
      </c>
      <c r="AO1065" s="27">
        <v>21678934</v>
      </c>
      <c r="AP1065" s="27" t="s">
        <v>2842</v>
      </c>
      <c r="AQ1065" s="27">
        <v>63.798902439024403</v>
      </c>
      <c r="AR1065" s="27">
        <v>42.2</v>
      </c>
      <c r="AS1065" s="29" t="s">
        <v>2842</v>
      </c>
      <c r="AT1065" s="270">
        <v>28</v>
      </c>
      <c r="AU1065" s="464" t="s">
        <v>2842</v>
      </c>
      <c r="AV1065" s="29">
        <v>-0.83520059982190498</v>
      </c>
      <c r="AW1065" s="29">
        <v>-0.75758673171867297</v>
      </c>
      <c r="AX1065" s="29">
        <v>-1.0081230410484601</v>
      </c>
      <c r="AY1065" s="29">
        <v>-0.51927994058632299</v>
      </c>
      <c r="AZ1065" s="60">
        <v>-0.35861885356144402</v>
      </c>
    </row>
    <row r="1066" spans="1:52" s="29" customFormat="1" ht="15" customHeight="1">
      <c r="A1066" s="63" t="s">
        <v>318</v>
      </c>
      <c r="B1066" s="53">
        <v>2011</v>
      </c>
      <c r="C1066" s="146" t="s">
        <v>309</v>
      </c>
      <c r="D1066" s="69" t="s">
        <v>81</v>
      </c>
      <c r="E1066" s="27" t="s">
        <v>19</v>
      </c>
      <c r="F1066" s="27" t="s">
        <v>566</v>
      </c>
      <c r="G1066" s="18">
        <v>410000</v>
      </c>
      <c r="H1066" s="18"/>
      <c r="I1066" s="18"/>
      <c r="J1066" s="18"/>
      <c r="K1066" s="43" t="s">
        <v>567</v>
      </c>
      <c r="L1066" s="28">
        <v>89.5</v>
      </c>
      <c r="M1066" s="27" t="s">
        <v>568</v>
      </c>
      <c r="N1066" s="27" t="s">
        <v>1122</v>
      </c>
      <c r="O1066" s="18">
        <f t="shared" ref="O1066:O1071" si="15">G1066*L1066</f>
        <v>36695000</v>
      </c>
      <c r="P1066" s="213"/>
      <c r="Q1066" s="213"/>
      <c r="R1066" s="27"/>
      <c r="S1066" s="27"/>
      <c r="T1066" s="27"/>
      <c r="U1066" s="27"/>
      <c r="V1066" s="27"/>
      <c r="W1066" s="30"/>
      <c r="X1066" s="27"/>
      <c r="Y1066" s="31"/>
      <c r="Z1066" s="27"/>
      <c r="AC1066" s="273">
        <v>87349503.051701158</v>
      </c>
      <c r="AD1066" s="27">
        <v>9892702357.566906</v>
      </c>
      <c r="AE1066" s="228">
        <v>8.8296908058582927E-3</v>
      </c>
      <c r="AF1066" s="27">
        <v>2077467495.0890503</v>
      </c>
      <c r="AG1066" s="226">
        <v>4.2046146694563295E-2</v>
      </c>
      <c r="AH1066" s="226">
        <v>0.10116810925083194</v>
      </c>
      <c r="AI1066" s="27">
        <v>443270000</v>
      </c>
      <c r="AJ1066" s="226">
        <v>0.19705710526699563</v>
      </c>
      <c r="AK1066" s="27">
        <v>227208125.98951122</v>
      </c>
      <c r="AL1066" s="226">
        <v>0.3844470908392314</v>
      </c>
      <c r="AM1066" s="27">
        <v>274597674.96039915</v>
      </c>
      <c r="AN1066" s="271">
        <v>0.31809993680499365</v>
      </c>
      <c r="AO1066" s="27">
        <v>21678934</v>
      </c>
      <c r="AP1066" s="27" t="s">
        <v>2842</v>
      </c>
      <c r="AQ1066" s="27">
        <v>63.798902439024403</v>
      </c>
      <c r="AR1066" s="27">
        <v>42.2</v>
      </c>
      <c r="AS1066" s="29" t="s">
        <v>2842</v>
      </c>
      <c r="AT1066" s="270">
        <v>28</v>
      </c>
      <c r="AU1066" s="464" t="s">
        <v>2842</v>
      </c>
      <c r="AV1066" s="29">
        <v>-0.83520059982190498</v>
      </c>
      <c r="AW1066" s="29">
        <v>-0.75758673171867297</v>
      </c>
      <c r="AX1066" s="29">
        <v>-1.0081230410484601</v>
      </c>
      <c r="AY1066" s="29">
        <v>-0.51927994058632299</v>
      </c>
      <c r="AZ1066" s="60">
        <v>-0.35861885356144402</v>
      </c>
    </row>
    <row r="1067" spans="1:52" s="29" customFormat="1" ht="15" customHeight="1">
      <c r="A1067" s="63" t="s">
        <v>318</v>
      </c>
      <c r="B1067" s="53">
        <v>2011</v>
      </c>
      <c r="C1067" s="146" t="s">
        <v>309</v>
      </c>
      <c r="D1067" s="69" t="s">
        <v>81</v>
      </c>
      <c r="E1067" s="27" t="s">
        <v>19</v>
      </c>
      <c r="F1067" s="27" t="s">
        <v>675</v>
      </c>
      <c r="G1067" s="18">
        <v>66700</v>
      </c>
      <c r="H1067" s="76">
        <f>47200+38222.99</f>
        <v>85422.989999999991</v>
      </c>
      <c r="I1067" s="76"/>
      <c r="J1067" s="76"/>
      <c r="K1067" s="43" t="s">
        <v>567</v>
      </c>
      <c r="L1067" s="28">
        <v>14090</v>
      </c>
      <c r="M1067" s="27" t="s">
        <v>568</v>
      </c>
      <c r="N1067" s="68" t="s">
        <v>1544</v>
      </c>
      <c r="O1067" s="18">
        <f t="shared" si="15"/>
        <v>939803000</v>
      </c>
      <c r="P1067" s="213"/>
      <c r="Q1067" s="213"/>
      <c r="R1067" s="27"/>
      <c r="S1067" s="27"/>
      <c r="T1067" s="27"/>
      <c r="U1067" s="27"/>
      <c r="V1067" s="27"/>
      <c r="W1067" s="30"/>
      <c r="X1067" s="27"/>
      <c r="Y1067" s="31"/>
      <c r="Z1067" s="27"/>
      <c r="AB1067" s="29" t="s">
        <v>1560</v>
      </c>
      <c r="AC1067" s="273">
        <v>87349503.051701158</v>
      </c>
      <c r="AD1067" s="27">
        <v>9892702357.566906</v>
      </c>
      <c r="AE1067" s="228">
        <v>8.8296908058582927E-3</v>
      </c>
      <c r="AF1067" s="27">
        <v>2077467495.0890503</v>
      </c>
      <c r="AG1067" s="226">
        <v>4.2046146694563295E-2</v>
      </c>
      <c r="AH1067" s="226">
        <v>0.10116810925083194</v>
      </c>
      <c r="AI1067" s="27">
        <v>443270000</v>
      </c>
      <c r="AJ1067" s="226">
        <v>0.19705710526699563</v>
      </c>
      <c r="AK1067" s="27">
        <v>227208125.98951122</v>
      </c>
      <c r="AL1067" s="226">
        <v>0.3844470908392314</v>
      </c>
      <c r="AM1067" s="27">
        <v>274597674.96039915</v>
      </c>
      <c r="AN1067" s="271">
        <v>0.31809993680499365</v>
      </c>
      <c r="AO1067" s="27">
        <v>21678934</v>
      </c>
      <c r="AP1067" s="27" t="s">
        <v>2842</v>
      </c>
      <c r="AQ1067" s="27">
        <v>63.798902439024403</v>
      </c>
      <c r="AR1067" s="27">
        <v>42.2</v>
      </c>
      <c r="AS1067" s="29" t="s">
        <v>2842</v>
      </c>
      <c r="AT1067" s="270">
        <v>28</v>
      </c>
      <c r="AU1067" s="464" t="s">
        <v>2842</v>
      </c>
      <c r="AV1067" s="29">
        <v>-0.83520059982190498</v>
      </c>
      <c r="AW1067" s="29">
        <v>-0.75758673171867297</v>
      </c>
      <c r="AX1067" s="29">
        <v>-1.0081230410484601</v>
      </c>
      <c r="AY1067" s="29">
        <v>-0.51927994058632299</v>
      </c>
      <c r="AZ1067" s="60">
        <v>-0.35861885356144402</v>
      </c>
    </row>
    <row r="1068" spans="1:52" s="29" customFormat="1" ht="15" customHeight="1">
      <c r="A1068" s="63" t="s">
        <v>318</v>
      </c>
      <c r="B1068" s="53">
        <v>2011</v>
      </c>
      <c r="C1068" s="146" t="s">
        <v>309</v>
      </c>
      <c r="D1068" s="69" t="s">
        <v>81</v>
      </c>
      <c r="E1068" s="27" t="s">
        <v>19</v>
      </c>
      <c r="F1068" s="27" t="s">
        <v>977</v>
      </c>
      <c r="G1068" s="18">
        <v>500</v>
      </c>
      <c r="H1068" s="18"/>
      <c r="I1068" s="18"/>
      <c r="J1068" s="18"/>
      <c r="K1068" s="43" t="s">
        <v>567</v>
      </c>
      <c r="L1068" s="28">
        <f>17.99/0.000453592</f>
        <v>39661.193319106154</v>
      </c>
      <c r="M1068" s="27" t="s">
        <v>568</v>
      </c>
      <c r="N1068" s="27" t="s">
        <v>1552</v>
      </c>
      <c r="O1068" s="18">
        <f t="shared" si="15"/>
        <v>19830596.659553077</v>
      </c>
      <c r="P1068" s="213"/>
      <c r="Q1068" s="213"/>
      <c r="R1068" s="27"/>
      <c r="S1068" s="27"/>
      <c r="T1068" s="27"/>
      <c r="U1068" s="27"/>
      <c r="V1068" s="27"/>
      <c r="W1068" s="30"/>
      <c r="X1068" s="27"/>
      <c r="Y1068" s="31"/>
      <c r="Z1068" s="27"/>
      <c r="AC1068" s="273">
        <v>87349503.051701158</v>
      </c>
      <c r="AD1068" s="27">
        <v>9892702357.566906</v>
      </c>
      <c r="AE1068" s="228">
        <v>8.8296908058582927E-3</v>
      </c>
      <c r="AF1068" s="27">
        <v>2077467495.0890503</v>
      </c>
      <c r="AG1068" s="226">
        <v>4.2046146694563295E-2</v>
      </c>
      <c r="AH1068" s="226">
        <v>0.10116810925083194</v>
      </c>
      <c r="AI1068" s="27">
        <v>443270000</v>
      </c>
      <c r="AJ1068" s="226">
        <v>0.19705710526699563</v>
      </c>
      <c r="AK1068" s="27">
        <v>227208125.98951122</v>
      </c>
      <c r="AL1068" s="226">
        <v>0.3844470908392314</v>
      </c>
      <c r="AM1068" s="27">
        <v>274597674.96039915</v>
      </c>
      <c r="AN1068" s="271">
        <v>0.31809993680499365</v>
      </c>
      <c r="AO1068" s="27">
        <v>21678934</v>
      </c>
      <c r="AP1068" s="27" t="s">
        <v>2842</v>
      </c>
      <c r="AQ1068" s="27">
        <v>63.798902439024403</v>
      </c>
      <c r="AR1068" s="27">
        <v>42.2</v>
      </c>
      <c r="AS1068" s="29" t="s">
        <v>2842</v>
      </c>
      <c r="AT1068" s="270">
        <v>28</v>
      </c>
      <c r="AU1068" s="464" t="s">
        <v>2842</v>
      </c>
      <c r="AV1068" s="29">
        <v>-0.83520059982190498</v>
      </c>
      <c r="AW1068" s="29">
        <v>-0.75758673171867297</v>
      </c>
      <c r="AX1068" s="29">
        <v>-1.0081230410484601</v>
      </c>
      <c r="AY1068" s="29">
        <v>-0.51927994058632299</v>
      </c>
      <c r="AZ1068" s="60">
        <v>-0.35861885356144402</v>
      </c>
    </row>
    <row r="1069" spans="1:52" s="29" customFormat="1" ht="15" customHeight="1">
      <c r="A1069" s="63" t="s">
        <v>318</v>
      </c>
      <c r="B1069" s="53">
        <v>2011</v>
      </c>
      <c r="C1069" s="146" t="s">
        <v>309</v>
      </c>
      <c r="D1069" s="69" t="s">
        <v>81</v>
      </c>
      <c r="E1069" s="27" t="s">
        <v>19</v>
      </c>
      <c r="F1069" s="27" t="s">
        <v>730</v>
      </c>
      <c r="G1069" s="18">
        <f>40*32.150743126506</f>
        <v>1286.02972506024</v>
      </c>
      <c r="H1069" s="18"/>
      <c r="I1069" s="18"/>
      <c r="J1069" s="18"/>
      <c r="K1069" s="43" t="s">
        <v>731</v>
      </c>
      <c r="L1069" s="28">
        <v>1569.2108333333299</v>
      </c>
      <c r="M1069" s="27" t="s">
        <v>732</v>
      </c>
      <c r="N1069" s="68" t="s">
        <v>733</v>
      </c>
      <c r="O1069" s="18">
        <f t="shared" si="15"/>
        <v>2018051.7765532124</v>
      </c>
      <c r="P1069" s="213"/>
      <c r="Q1069" s="213"/>
      <c r="R1069" s="27"/>
      <c r="S1069" s="27"/>
      <c r="T1069" s="27"/>
      <c r="U1069" s="27"/>
      <c r="V1069" s="27"/>
      <c r="W1069" s="30"/>
      <c r="X1069" s="27"/>
      <c r="Y1069" s="31"/>
      <c r="Z1069" s="27"/>
      <c r="AC1069" s="273">
        <v>87349503.051701158</v>
      </c>
      <c r="AD1069" s="27">
        <v>9892702357.566906</v>
      </c>
      <c r="AE1069" s="228">
        <v>8.8296908058582927E-3</v>
      </c>
      <c r="AF1069" s="27">
        <v>2077467495.0890503</v>
      </c>
      <c r="AG1069" s="226">
        <v>4.2046146694563295E-2</v>
      </c>
      <c r="AH1069" s="226">
        <v>0.10116810925083194</v>
      </c>
      <c r="AI1069" s="27">
        <v>443270000</v>
      </c>
      <c r="AJ1069" s="226">
        <v>0.19705710526699563</v>
      </c>
      <c r="AK1069" s="27">
        <v>227208125.98951122</v>
      </c>
      <c r="AL1069" s="226">
        <v>0.3844470908392314</v>
      </c>
      <c r="AM1069" s="27">
        <v>274597674.96039915</v>
      </c>
      <c r="AN1069" s="271">
        <v>0.31809993680499365</v>
      </c>
      <c r="AO1069" s="27">
        <v>21678934</v>
      </c>
      <c r="AP1069" s="27" t="s">
        <v>2842</v>
      </c>
      <c r="AQ1069" s="27">
        <v>63.798902439024403</v>
      </c>
      <c r="AR1069" s="27">
        <v>42.2</v>
      </c>
      <c r="AS1069" s="29" t="s">
        <v>2842</v>
      </c>
      <c r="AT1069" s="270">
        <v>28</v>
      </c>
      <c r="AU1069" s="464" t="s">
        <v>2842</v>
      </c>
      <c r="AV1069" s="29">
        <v>-0.83520059982190498</v>
      </c>
      <c r="AW1069" s="29">
        <v>-0.75758673171867297</v>
      </c>
      <c r="AX1069" s="29">
        <v>-1.0081230410484601</v>
      </c>
      <c r="AY1069" s="29">
        <v>-0.51927994058632299</v>
      </c>
      <c r="AZ1069" s="60">
        <v>-0.35861885356144402</v>
      </c>
    </row>
    <row r="1070" spans="1:52" s="29" customFormat="1" ht="15" customHeight="1">
      <c r="A1070" s="63" t="s">
        <v>318</v>
      </c>
      <c r="B1070" s="53">
        <v>2011</v>
      </c>
      <c r="C1070" s="146" t="s">
        <v>309</v>
      </c>
      <c r="D1070" s="69" t="s">
        <v>81</v>
      </c>
      <c r="E1070" s="27" t="s">
        <v>19</v>
      </c>
      <c r="F1070" s="27" t="s">
        <v>1561</v>
      </c>
      <c r="G1070" s="18">
        <v>3573</v>
      </c>
      <c r="H1070" s="76">
        <v>3853</v>
      </c>
      <c r="I1070" s="76"/>
      <c r="J1070" s="76"/>
      <c r="K1070" s="43" t="s">
        <v>567</v>
      </c>
      <c r="L1070" s="28">
        <v>1179.67</v>
      </c>
      <c r="M1070" s="27" t="s">
        <v>568</v>
      </c>
      <c r="N1070" s="68" t="s">
        <v>1562</v>
      </c>
      <c r="O1070" s="18">
        <f t="shared" si="15"/>
        <v>4214960.91</v>
      </c>
      <c r="P1070" s="213"/>
      <c r="Q1070" s="213"/>
      <c r="R1070" s="27"/>
      <c r="S1070" s="27"/>
      <c r="T1070" s="27"/>
      <c r="U1070" s="27"/>
      <c r="V1070" s="27"/>
      <c r="W1070" s="30"/>
      <c r="X1070" s="27"/>
      <c r="Y1070" s="31"/>
      <c r="Z1070" s="27"/>
      <c r="AB1070" s="29" t="s">
        <v>1563</v>
      </c>
      <c r="AC1070" s="273">
        <v>87349503.051701158</v>
      </c>
      <c r="AD1070" s="27">
        <v>9892702357.566906</v>
      </c>
      <c r="AE1070" s="228">
        <v>8.8296908058582927E-3</v>
      </c>
      <c r="AF1070" s="27">
        <v>2077467495.0890503</v>
      </c>
      <c r="AG1070" s="226">
        <v>4.2046146694563295E-2</v>
      </c>
      <c r="AH1070" s="226">
        <v>0.10116810925083194</v>
      </c>
      <c r="AI1070" s="27">
        <v>443270000</v>
      </c>
      <c r="AJ1070" s="226">
        <v>0.19705710526699563</v>
      </c>
      <c r="AK1070" s="27">
        <v>227208125.98951122</v>
      </c>
      <c r="AL1070" s="226">
        <v>0.3844470908392314</v>
      </c>
      <c r="AM1070" s="27">
        <v>274597674.96039915</v>
      </c>
      <c r="AN1070" s="271">
        <v>0.31809993680499365</v>
      </c>
      <c r="AO1070" s="27">
        <v>21678934</v>
      </c>
      <c r="AP1070" s="27" t="s">
        <v>2842</v>
      </c>
      <c r="AQ1070" s="27">
        <v>63.798902439024403</v>
      </c>
      <c r="AR1070" s="27">
        <v>42.2</v>
      </c>
      <c r="AS1070" s="29" t="s">
        <v>2842</v>
      </c>
      <c r="AT1070" s="270">
        <v>28</v>
      </c>
      <c r="AU1070" s="464" t="s">
        <v>2842</v>
      </c>
      <c r="AV1070" s="29">
        <v>-0.83520059982190498</v>
      </c>
      <c r="AW1070" s="29">
        <v>-0.75758673171867297</v>
      </c>
      <c r="AX1070" s="29">
        <v>-1.0081230410484601</v>
      </c>
      <c r="AY1070" s="29">
        <v>-0.51927994058632299</v>
      </c>
      <c r="AZ1070" s="60">
        <v>-0.35861885356144402</v>
      </c>
    </row>
    <row r="1071" spans="1:52" s="29" customFormat="1" ht="15" customHeight="1">
      <c r="A1071" s="63" t="s">
        <v>318</v>
      </c>
      <c r="B1071" s="53">
        <v>2011</v>
      </c>
      <c r="C1071" s="146" t="s">
        <v>309</v>
      </c>
      <c r="D1071" s="69" t="s">
        <v>81</v>
      </c>
      <c r="E1071" s="27" t="s">
        <v>19</v>
      </c>
      <c r="F1071" s="27" t="s">
        <v>1545</v>
      </c>
      <c r="G1071" s="18">
        <v>470000</v>
      </c>
      <c r="H1071" s="76">
        <f>70952+450675</f>
        <v>521627</v>
      </c>
      <c r="I1071" s="76"/>
      <c r="J1071" s="76"/>
      <c r="K1071" s="43" t="s">
        <v>567</v>
      </c>
      <c r="L1071" s="28">
        <v>195</v>
      </c>
      <c r="M1071" s="27" t="s">
        <v>568</v>
      </c>
      <c r="N1071" s="27" t="s">
        <v>1546</v>
      </c>
      <c r="O1071" s="18">
        <f t="shared" si="15"/>
        <v>91650000</v>
      </c>
      <c r="P1071" s="213"/>
      <c r="Q1071" s="213"/>
      <c r="R1071" s="27"/>
      <c r="S1071" s="27"/>
      <c r="T1071" s="27"/>
      <c r="U1071" s="27"/>
      <c r="V1071" s="27"/>
      <c r="W1071" s="30"/>
      <c r="X1071" s="27"/>
      <c r="Y1071" s="31"/>
      <c r="Z1071" s="27"/>
      <c r="AB1071" s="29" t="s">
        <v>1564</v>
      </c>
      <c r="AC1071" s="273">
        <v>87349503.051701158</v>
      </c>
      <c r="AD1071" s="27">
        <v>9892702357.566906</v>
      </c>
      <c r="AE1071" s="228">
        <v>8.8296908058582927E-3</v>
      </c>
      <c r="AF1071" s="27">
        <v>2077467495.0890503</v>
      </c>
      <c r="AG1071" s="226">
        <v>4.2046146694563295E-2</v>
      </c>
      <c r="AH1071" s="226">
        <v>0.10116810925083194</v>
      </c>
      <c r="AI1071" s="27">
        <v>443270000</v>
      </c>
      <c r="AJ1071" s="226">
        <v>0.19705710526699563</v>
      </c>
      <c r="AK1071" s="27">
        <v>227208125.98951122</v>
      </c>
      <c r="AL1071" s="226">
        <v>0.3844470908392314</v>
      </c>
      <c r="AM1071" s="27">
        <v>274597674.96039915</v>
      </c>
      <c r="AN1071" s="271">
        <v>0.31809993680499365</v>
      </c>
      <c r="AO1071" s="27">
        <v>21678934</v>
      </c>
      <c r="AP1071" s="27" t="s">
        <v>2842</v>
      </c>
      <c r="AQ1071" s="27">
        <v>63.798902439024403</v>
      </c>
      <c r="AR1071" s="27">
        <v>42.2</v>
      </c>
      <c r="AS1071" s="29" t="s">
        <v>2842</v>
      </c>
      <c r="AT1071" s="270">
        <v>28</v>
      </c>
      <c r="AU1071" s="464" t="s">
        <v>2842</v>
      </c>
      <c r="AV1071" s="29">
        <v>-0.83520059982190498</v>
      </c>
      <c r="AW1071" s="29">
        <v>-0.75758673171867297</v>
      </c>
      <c r="AX1071" s="29">
        <v>-1.0081230410484601</v>
      </c>
      <c r="AY1071" s="29">
        <v>-0.51927994058632299</v>
      </c>
      <c r="AZ1071" s="60">
        <v>-0.35861885356144402</v>
      </c>
    </row>
    <row r="1072" spans="1:52" s="29" customFormat="1" ht="15" customHeight="1">
      <c r="A1072" s="63" t="s">
        <v>318</v>
      </c>
      <c r="B1072" s="53">
        <v>2011</v>
      </c>
      <c r="C1072" s="146" t="s">
        <v>309</v>
      </c>
      <c r="D1072" s="69" t="s">
        <v>81</v>
      </c>
      <c r="E1072" s="27" t="s">
        <v>19</v>
      </c>
      <c r="F1072" s="27" t="s">
        <v>1565</v>
      </c>
      <c r="G1072" s="597">
        <v>7000</v>
      </c>
      <c r="H1072" s="598">
        <f>602+2565.44</f>
        <v>3167.44</v>
      </c>
      <c r="I1072" s="76"/>
      <c r="J1072" s="76"/>
      <c r="K1072" s="43" t="s">
        <v>567</v>
      </c>
      <c r="L1072" s="28"/>
      <c r="M1072" s="27"/>
      <c r="N1072" s="68" t="s">
        <v>636</v>
      </c>
      <c r="O1072" s="18"/>
      <c r="P1072" s="213"/>
      <c r="Q1072" s="213"/>
      <c r="R1072" s="27"/>
      <c r="S1072" s="27"/>
      <c r="T1072" s="27"/>
      <c r="U1072" s="27"/>
      <c r="V1072" s="27"/>
      <c r="W1072" s="30"/>
      <c r="X1072" s="27"/>
      <c r="Y1072" s="31"/>
      <c r="Z1072" s="27"/>
      <c r="AB1072" s="29" t="s">
        <v>1566</v>
      </c>
      <c r="AC1072" s="273">
        <v>87349503.051701158</v>
      </c>
      <c r="AD1072" s="27">
        <v>9892702357.566906</v>
      </c>
      <c r="AE1072" s="228">
        <v>8.8296908058582927E-3</v>
      </c>
      <c r="AF1072" s="27">
        <v>2077467495.0890503</v>
      </c>
      <c r="AG1072" s="226">
        <v>4.2046146694563295E-2</v>
      </c>
      <c r="AH1072" s="226">
        <v>0.10116810925083194</v>
      </c>
      <c r="AI1072" s="27">
        <v>443270000</v>
      </c>
      <c r="AJ1072" s="226">
        <v>0.19705710526699563</v>
      </c>
      <c r="AK1072" s="27">
        <v>227208125.98951122</v>
      </c>
      <c r="AL1072" s="226">
        <v>0.3844470908392314</v>
      </c>
      <c r="AM1072" s="27">
        <v>274597674.96039915</v>
      </c>
      <c r="AN1072" s="271">
        <v>0.31809993680499365</v>
      </c>
      <c r="AO1072" s="27">
        <v>21678934</v>
      </c>
      <c r="AP1072" s="27" t="s">
        <v>2842</v>
      </c>
      <c r="AQ1072" s="27">
        <v>63.798902439024403</v>
      </c>
      <c r="AR1072" s="27">
        <v>42.2</v>
      </c>
      <c r="AS1072" s="29" t="s">
        <v>2842</v>
      </c>
      <c r="AT1072" s="270">
        <v>28</v>
      </c>
      <c r="AU1072" s="464" t="s">
        <v>2842</v>
      </c>
      <c r="AV1072" s="29">
        <v>-0.83520059982190498</v>
      </c>
      <c r="AW1072" s="29">
        <v>-0.75758673171867297</v>
      </c>
      <c r="AX1072" s="29">
        <v>-1.0081230410484601</v>
      </c>
      <c r="AY1072" s="29">
        <v>-0.51927994058632299</v>
      </c>
      <c r="AZ1072" s="60">
        <v>-0.35861885356144402</v>
      </c>
    </row>
    <row r="1073" spans="1:52" s="29" customFormat="1" ht="15" customHeight="1">
      <c r="A1073" s="63" t="s">
        <v>318</v>
      </c>
      <c r="B1073" s="53">
        <v>2011</v>
      </c>
      <c r="C1073" s="146" t="s">
        <v>309</v>
      </c>
      <c r="D1073" s="69" t="s">
        <v>81</v>
      </c>
      <c r="E1073" s="27" t="s">
        <v>19</v>
      </c>
      <c r="F1073" s="27" t="s">
        <v>1553</v>
      </c>
      <c r="G1073" s="18">
        <v>5900</v>
      </c>
      <c r="H1073" s="18"/>
      <c r="I1073" s="18"/>
      <c r="J1073" s="18"/>
      <c r="K1073" s="43" t="s">
        <v>567</v>
      </c>
      <c r="L1073" s="44">
        <v>22910.356666666699</v>
      </c>
      <c r="M1073" s="27" t="s">
        <v>568</v>
      </c>
      <c r="N1073" s="27" t="s">
        <v>1554</v>
      </c>
      <c r="O1073" s="18">
        <f>G1073*L1073</f>
        <v>135171104.33333352</v>
      </c>
      <c r="P1073" s="213"/>
      <c r="Q1073" s="213"/>
      <c r="R1073" s="27"/>
      <c r="S1073" s="27"/>
      <c r="T1073" s="27"/>
      <c r="U1073" s="27"/>
      <c r="V1073" s="27"/>
      <c r="W1073" s="30"/>
      <c r="X1073" s="27"/>
      <c r="Y1073" s="31"/>
      <c r="Z1073" s="27"/>
      <c r="AC1073" s="273">
        <v>87349503.051701158</v>
      </c>
      <c r="AD1073" s="27">
        <v>9892702357.566906</v>
      </c>
      <c r="AE1073" s="228">
        <v>8.8296908058582927E-3</v>
      </c>
      <c r="AF1073" s="27">
        <v>2077467495.0890503</v>
      </c>
      <c r="AG1073" s="226">
        <v>4.2046146694563295E-2</v>
      </c>
      <c r="AH1073" s="226">
        <v>0.10116810925083194</v>
      </c>
      <c r="AI1073" s="27">
        <v>443270000</v>
      </c>
      <c r="AJ1073" s="226">
        <v>0.19705710526699563</v>
      </c>
      <c r="AK1073" s="27">
        <v>227208125.98951122</v>
      </c>
      <c r="AL1073" s="226">
        <v>0.3844470908392314</v>
      </c>
      <c r="AM1073" s="27">
        <v>274597674.96039915</v>
      </c>
      <c r="AN1073" s="271">
        <v>0.31809993680499365</v>
      </c>
      <c r="AO1073" s="27">
        <v>21678934</v>
      </c>
      <c r="AP1073" s="27" t="s">
        <v>2842</v>
      </c>
      <c r="AQ1073" s="27">
        <v>63.798902439024403</v>
      </c>
      <c r="AR1073" s="27">
        <v>42.2</v>
      </c>
      <c r="AS1073" s="29" t="s">
        <v>2842</v>
      </c>
      <c r="AT1073" s="270">
        <v>28</v>
      </c>
      <c r="AU1073" s="464" t="s">
        <v>2842</v>
      </c>
      <c r="AV1073" s="29">
        <v>-0.83520059982190498</v>
      </c>
      <c r="AW1073" s="29">
        <v>-0.75758673171867297</v>
      </c>
      <c r="AX1073" s="29">
        <v>-1.0081230410484601</v>
      </c>
      <c r="AY1073" s="29">
        <v>-0.51927994058632299</v>
      </c>
      <c r="AZ1073" s="60">
        <v>-0.35861885356144402</v>
      </c>
    </row>
    <row r="1074" spans="1:52" s="232" customFormat="1" ht="15" customHeight="1" thickBot="1">
      <c r="A1074" s="363" t="s">
        <v>318</v>
      </c>
      <c r="B1074" s="296">
        <v>2011</v>
      </c>
      <c r="C1074" s="384" t="s">
        <v>309</v>
      </c>
      <c r="D1074" s="385" t="s">
        <v>81</v>
      </c>
      <c r="E1074" s="230" t="s">
        <v>19</v>
      </c>
      <c r="F1074" s="230" t="s">
        <v>1555</v>
      </c>
      <c r="G1074" s="599">
        <v>13075</v>
      </c>
      <c r="H1074" s="600">
        <f>18242</f>
        <v>18242</v>
      </c>
      <c r="I1074" s="402"/>
      <c r="J1074" s="402"/>
      <c r="K1074" s="297" t="s">
        <v>567</v>
      </c>
      <c r="L1074" s="298">
        <v>64000</v>
      </c>
      <c r="M1074" s="230" t="s">
        <v>568</v>
      </c>
      <c r="N1074" s="230" t="s">
        <v>1556</v>
      </c>
      <c r="O1074" s="285">
        <f>G1074*L1074</f>
        <v>836800000</v>
      </c>
      <c r="P1074" s="299"/>
      <c r="Q1074" s="299"/>
      <c r="R1074" s="230"/>
      <c r="S1074" s="230"/>
      <c r="T1074" s="230"/>
      <c r="U1074" s="230"/>
      <c r="V1074" s="230"/>
      <c r="W1074" s="300"/>
      <c r="X1074" s="230"/>
      <c r="Y1074" s="403"/>
      <c r="Z1074" s="230"/>
      <c r="AB1074" s="232" t="s">
        <v>1567</v>
      </c>
      <c r="AC1074" s="274">
        <v>87349503.051701158</v>
      </c>
      <c r="AD1074" s="230">
        <v>9892702357.566906</v>
      </c>
      <c r="AE1074" s="229">
        <v>8.8296908058582927E-3</v>
      </c>
      <c r="AF1074" s="230">
        <v>2077467495.0890503</v>
      </c>
      <c r="AG1074" s="231">
        <v>4.2046146694563295E-2</v>
      </c>
      <c r="AH1074" s="231">
        <v>0.10116810925083194</v>
      </c>
      <c r="AI1074" s="230">
        <v>443270000</v>
      </c>
      <c r="AJ1074" s="231">
        <v>0.19705710526699563</v>
      </c>
      <c r="AK1074" s="230">
        <v>227208125.98951122</v>
      </c>
      <c r="AL1074" s="231">
        <v>0.3844470908392314</v>
      </c>
      <c r="AM1074" s="230">
        <v>274597674.96039915</v>
      </c>
      <c r="AN1074" s="275">
        <v>0.31809993680499365</v>
      </c>
      <c r="AO1074" s="230">
        <v>21678934</v>
      </c>
      <c r="AP1074" s="230" t="s">
        <v>2842</v>
      </c>
      <c r="AQ1074" s="230">
        <v>63.798902439024403</v>
      </c>
      <c r="AR1074" s="230">
        <v>42.2</v>
      </c>
      <c r="AS1074" s="232" t="s">
        <v>2842</v>
      </c>
      <c r="AT1074" s="276">
        <v>28</v>
      </c>
      <c r="AU1074" s="466" t="s">
        <v>2842</v>
      </c>
      <c r="AV1074" s="232">
        <v>-0.83520059982190498</v>
      </c>
      <c r="AW1074" s="232">
        <v>-0.75758673171867297</v>
      </c>
      <c r="AX1074" s="232">
        <v>-1.0081230410484601</v>
      </c>
      <c r="AY1074" s="232">
        <v>-0.51927994058632299</v>
      </c>
      <c r="AZ1074" s="293">
        <v>-0.35861885356144402</v>
      </c>
    </row>
    <row r="1075" spans="1:52" s="66" customFormat="1" ht="15" customHeight="1">
      <c r="A1075" s="179" t="s">
        <v>321</v>
      </c>
      <c r="B1075" s="180">
        <v>2006</v>
      </c>
      <c r="C1075" s="191" t="s">
        <v>322</v>
      </c>
      <c r="D1075" s="192" t="s">
        <v>81</v>
      </c>
      <c r="E1075" s="77" t="s">
        <v>19</v>
      </c>
      <c r="F1075" s="77" t="s">
        <v>730</v>
      </c>
      <c r="G1075" s="182">
        <f>51957*32.150743126506</f>
        <v>1670456.1606238722</v>
      </c>
      <c r="H1075" s="193">
        <v>1768291</v>
      </c>
      <c r="I1075" s="193"/>
      <c r="J1075" s="193"/>
      <c r="K1075" s="77" t="s">
        <v>731</v>
      </c>
      <c r="L1075" s="83">
        <f>604.33583333333*1.135</f>
        <v>685.9211708333296</v>
      </c>
      <c r="M1075" s="77" t="s">
        <v>732</v>
      </c>
      <c r="N1075" s="194" t="s">
        <v>1568</v>
      </c>
      <c r="O1075" s="84">
        <f>H1075*L1075</f>
        <v>1212908233.0940392</v>
      </c>
      <c r="P1075" s="251">
        <v>221333358.83264166</v>
      </c>
      <c r="Q1075" s="251">
        <v>230105758.38130391</v>
      </c>
      <c r="R1075" s="77" t="s">
        <v>619</v>
      </c>
      <c r="S1075" s="77"/>
      <c r="T1075" s="84"/>
      <c r="U1075" s="77"/>
      <c r="V1075" s="77"/>
      <c r="W1075" s="85">
        <v>522.89</v>
      </c>
      <c r="X1075" s="77"/>
      <c r="Y1075" s="77"/>
      <c r="Z1075" s="77">
        <v>7</v>
      </c>
      <c r="AA1075" s="77"/>
      <c r="AB1075" s="77" t="s">
        <v>1570</v>
      </c>
      <c r="AC1075" s="328">
        <v>221333358.83264166</v>
      </c>
      <c r="AD1075" s="77">
        <v>6122644014.7868376</v>
      </c>
      <c r="AE1075" s="233">
        <v>3.6149963691845879E-2</v>
      </c>
      <c r="AF1075" s="77">
        <v>1092891956.6394506</v>
      </c>
      <c r="AG1075" s="234">
        <v>0.20252080499633546</v>
      </c>
      <c r="AH1075" s="234">
        <v>2.0182385089597011E-2</v>
      </c>
      <c r="AI1075" s="77">
        <v>865790000</v>
      </c>
      <c r="AJ1075" s="234">
        <v>0.25564323777433517</v>
      </c>
      <c r="AK1075" s="77">
        <v>194058637.66355607</v>
      </c>
      <c r="AL1075" s="234">
        <v>1.1405488644951347</v>
      </c>
      <c r="AM1075" s="77" t="s">
        <v>2842</v>
      </c>
      <c r="AN1075" s="329" t="s">
        <v>2842</v>
      </c>
      <c r="AO1075" s="77">
        <v>12325545</v>
      </c>
      <c r="AP1075" s="77">
        <v>47.5</v>
      </c>
      <c r="AQ1075" s="77">
        <v>51.994439024390246</v>
      </c>
      <c r="AR1075" s="77">
        <v>93.4</v>
      </c>
      <c r="AS1075" s="66">
        <v>62.712319999999998</v>
      </c>
      <c r="AT1075" s="330">
        <v>32</v>
      </c>
      <c r="AU1075" s="467" t="s">
        <v>2842</v>
      </c>
      <c r="AV1075" s="66">
        <v>0.274335139359417</v>
      </c>
      <c r="AW1075" s="66">
        <v>0.373848367126215</v>
      </c>
      <c r="AX1075" s="66">
        <v>-0.68218677629911095</v>
      </c>
      <c r="AY1075" s="66">
        <v>-0.43863016905879698</v>
      </c>
      <c r="AZ1075" s="331">
        <v>-0.40528407343105999</v>
      </c>
    </row>
    <row r="1076" spans="1:52" s="238" customFormat="1" ht="15" customHeight="1">
      <c r="A1076" s="404" t="s">
        <v>324</v>
      </c>
      <c r="B1076" s="405">
        <v>2007</v>
      </c>
      <c r="C1076" s="406" t="s">
        <v>322</v>
      </c>
      <c r="D1076" s="386" t="s">
        <v>81</v>
      </c>
      <c r="E1076" s="236" t="s">
        <v>19</v>
      </c>
      <c r="F1076" s="236" t="s">
        <v>730</v>
      </c>
      <c r="G1076" s="335">
        <f>43850*32.150743126506</f>
        <v>1409810.0860972882</v>
      </c>
      <c r="H1076" s="335"/>
      <c r="I1076" s="335"/>
      <c r="J1076" s="335"/>
      <c r="K1076" s="236" t="s">
        <v>731</v>
      </c>
      <c r="L1076" s="336">
        <f>696.72025*1.135</f>
        <v>790.77748374999999</v>
      </c>
      <c r="M1076" s="236" t="s">
        <v>732</v>
      </c>
      <c r="N1076" s="407" t="s">
        <v>1571</v>
      </c>
      <c r="O1076" s="337">
        <f>G1076*L1076</f>
        <v>1114846072.4493845</v>
      </c>
      <c r="P1076" s="408">
        <v>283774774.17844975</v>
      </c>
      <c r="Q1076" s="408">
        <v>287602068.42591846</v>
      </c>
      <c r="R1076" s="236" t="s">
        <v>619</v>
      </c>
      <c r="S1076" s="236"/>
      <c r="T1076" s="337"/>
      <c r="U1076" s="236"/>
      <c r="V1076" s="236"/>
      <c r="W1076" s="339">
        <v>466.14</v>
      </c>
      <c r="X1076" s="236"/>
      <c r="Y1076" s="236"/>
      <c r="Z1076" s="236">
        <v>9</v>
      </c>
      <c r="AA1076" s="236"/>
      <c r="AB1076" s="236"/>
      <c r="AC1076" s="340">
        <v>283774774.17844975</v>
      </c>
      <c r="AD1076" s="236">
        <v>7145394015.2315435</v>
      </c>
      <c r="AE1076" s="235">
        <v>3.9714363347009091E-2</v>
      </c>
      <c r="AF1076" s="236">
        <v>1468092654.369473</v>
      </c>
      <c r="AG1076" s="237">
        <v>0.19329486686950789</v>
      </c>
      <c r="AH1076" s="237">
        <v>2.1696408193001445E-2</v>
      </c>
      <c r="AI1076" s="236">
        <v>1018680000</v>
      </c>
      <c r="AJ1076" s="237">
        <v>0.2785710666533649</v>
      </c>
      <c r="AK1076" s="236">
        <v>241248958.44153279</v>
      </c>
      <c r="AL1076" s="237">
        <v>1.1762735723778188</v>
      </c>
      <c r="AM1076" s="236" t="s">
        <v>2842</v>
      </c>
      <c r="AN1076" s="341" t="s">
        <v>2842</v>
      </c>
      <c r="AO1076" s="236">
        <v>12725629</v>
      </c>
      <c r="AP1076" s="236" t="s">
        <v>2842</v>
      </c>
      <c r="AQ1076" s="236">
        <v>52.453829268292687</v>
      </c>
      <c r="AR1076" s="236">
        <v>90.3</v>
      </c>
      <c r="AS1076" s="238">
        <v>64.880319999999998</v>
      </c>
      <c r="AT1076" s="342">
        <v>32</v>
      </c>
      <c r="AU1076" s="468" t="s">
        <v>2842</v>
      </c>
      <c r="AV1076" s="238">
        <v>0.19094234886332601</v>
      </c>
      <c r="AW1076" s="238">
        <v>0.202976626682392</v>
      </c>
      <c r="AX1076" s="238">
        <v>-0.72544348087435595</v>
      </c>
      <c r="AY1076" s="238">
        <v>-0.338940735037212</v>
      </c>
      <c r="AZ1076" s="343">
        <v>-0.33515432636821102</v>
      </c>
    </row>
    <row r="1077" spans="1:52" s="238" customFormat="1" ht="15" customHeight="1">
      <c r="A1077" s="404" t="s">
        <v>326</v>
      </c>
      <c r="B1077" s="405">
        <v>2008</v>
      </c>
      <c r="C1077" s="406" t="s">
        <v>322</v>
      </c>
      <c r="D1077" s="386" t="s">
        <v>81</v>
      </c>
      <c r="E1077" s="236" t="s">
        <v>19</v>
      </c>
      <c r="F1077" s="236" t="s">
        <v>730</v>
      </c>
      <c r="G1077" s="335">
        <f>41160*32.150743126506</f>
        <v>1323324.587086987</v>
      </c>
      <c r="H1077" s="335"/>
      <c r="I1077" s="335"/>
      <c r="J1077" s="335"/>
      <c r="K1077" s="236" t="s">
        <v>731</v>
      </c>
      <c r="L1077" s="336">
        <f>871.70725*1.135</f>
        <v>989.38772875000006</v>
      </c>
      <c r="M1077" s="236" t="s">
        <v>732</v>
      </c>
      <c r="N1077" s="407" t="s">
        <v>1571</v>
      </c>
      <c r="O1077" s="337">
        <f>G1077*L1077</f>
        <v>1309281107.6170256</v>
      </c>
      <c r="P1077" s="408">
        <v>281237313.39930284</v>
      </c>
      <c r="Q1077" s="408">
        <v>290993478.4861306</v>
      </c>
      <c r="R1077" s="236" t="s">
        <v>619</v>
      </c>
      <c r="S1077" s="236"/>
      <c r="T1077" s="337"/>
      <c r="U1077" s="236"/>
      <c r="V1077" s="236"/>
      <c r="W1077" s="339">
        <v>439.25700000000001</v>
      </c>
      <c r="X1077" s="236"/>
      <c r="Y1077" s="236"/>
      <c r="Z1077" s="236">
        <v>9</v>
      </c>
      <c r="AA1077" s="236"/>
      <c r="AB1077" s="236"/>
      <c r="AC1077" s="340">
        <v>281237313.39930284</v>
      </c>
      <c r="AD1077" s="236">
        <v>8737687352.7007885</v>
      </c>
      <c r="AE1077" s="235">
        <v>3.2186699071164795E-2</v>
      </c>
      <c r="AF1077" s="236">
        <v>1910670093.4150815</v>
      </c>
      <c r="AG1077" s="237">
        <v>0.14719302634638859</v>
      </c>
      <c r="AH1077" s="237">
        <v>5.5640163685718239E-2</v>
      </c>
      <c r="AI1077" s="236">
        <v>964090000</v>
      </c>
      <c r="AJ1077" s="237">
        <v>0.29171271706925994</v>
      </c>
      <c r="AK1077" s="236">
        <v>273988267.73996919</v>
      </c>
      <c r="AL1077" s="237">
        <v>1.0264575038892301</v>
      </c>
      <c r="AM1077" s="236">
        <v>333506167.25903058</v>
      </c>
      <c r="AN1077" s="341">
        <v>0.8432747007669843</v>
      </c>
      <c r="AO1077" s="236">
        <v>13138299</v>
      </c>
      <c r="AP1077" s="236" t="s">
        <v>2842</v>
      </c>
      <c r="AQ1077" s="236">
        <v>52.90324390243903</v>
      </c>
      <c r="AR1077" s="236">
        <v>87.6</v>
      </c>
      <c r="AS1077" s="238" t="s">
        <v>2842</v>
      </c>
      <c r="AT1077" s="342">
        <v>32</v>
      </c>
      <c r="AU1077" s="468" t="s">
        <v>2842</v>
      </c>
      <c r="AV1077" s="238">
        <v>0.16001620449619899</v>
      </c>
      <c r="AW1077" s="238">
        <v>0.175061686104585</v>
      </c>
      <c r="AX1077" s="238">
        <v>-0.76085238777154496</v>
      </c>
      <c r="AY1077" s="238">
        <v>-0.396028357384625</v>
      </c>
      <c r="AZ1077" s="343">
        <v>-0.45502382441147099</v>
      </c>
    </row>
    <row r="1078" spans="1:52" s="238" customFormat="1" ht="15" customHeight="1">
      <c r="A1078" s="404" t="s">
        <v>328</v>
      </c>
      <c r="B1078" s="405">
        <v>2009</v>
      </c>
      <c r="C1078" s="406" t="s">
        <v>322</v>
      </c>
      <c r="D1078" s="386" t="s">
        <v>81</v>
      </c>
      <c r="E1078" s="236" t="s">
        <v>19</v>
      </c>
      <c r="F1078" s="236" t="s">
        <v>730</v>
      </c>
      <c r="G1078" s="335">
        <f>42364*32.150743126506</f>
        <v>1362034.0818113002</v>
      </c>
      <c r="H1078" s="335">
        <f>(7.287+13.488+12.833+0.5+1.376+12.317+1.741+1.712)*32150.7466</f>
        <v>1647854.3662363999</v>
      </c>
      <c r="I1078" s="335"/>
      <c r="J1078" s="335"/>
      <c r="K1078" s="236" t="s">
        <v>731</v>
      </c>
      <c r="L1078" s="336">
        <f>972.96591666667*1.135</f>
        <v>1104.3163154166705</v>
      </c>
      <c r="M1078" s="236" t="s">
        <v>732</v>
      </c>
      <c r="N1078" s="407" t="s">
        <v>1571</v>
      </c>
      <c r="O1078" s="337">
        <f>G1078*L1078</f>
        <v>1504116458.697783</v>
      </c>
      <c r="P1078" s="338">
        <v>380403587.30837423</v>
      </c>
      <c r="Q1078" s="338">
        <v>370973010.96793836</v>
      </c>
      <c r="R1078" s="236" t="s">
        <v>619</v>
      </c>
      <c r="S1078" s="236"/>
      <c r="T1078" s="337"/>
      <c r="U1078" s="236"/>
      <c r="V1078" s="236" t="s">
        <v>778</v>
      </c>
      <c r="W1078" s="339">
        <v>463.077</v>
      </c>
      <c r="X1078" s="236">
        <v>40</v>
      </c>
      <c r="Y1078" s="236" t="s">
        <v>1572</v>
      </c>
      <c r="Z1078" s="236">
        <v>27</v>
      </c>
      <c r="AA1078" s="236" t="s">
        <v>1573</v>
      </c>
      <c r="AB1078" s="236" t="s">
        <v>1574</v>
      </c>
      <c r="AC1078" s="340">
        <v>380403587.30837423</v>
      </c>
      <c r="AD1078" s="236">
        <v>8964480570.3252125</v>
      </c>
      <c r="AE1078" s="235">
        <v>4.2434537542265428E-2</v>
      </c>
      <c r="AF1078" s="236">
        <v>1900380236.1032419</v>
      </c>
      <c r="AG1078" s="237">
        <v>0.20017235502743255</v>
      </c>
      <c r="AH1078" s="237" t="s">
        <v>2842</v>
      </c>
      <c r="AI1078" s="236">
        <v>984390000</v>
      </c>
      <c r="AJ1078" s="237">
        <v>0.38643585094157218</v>
      </c>
      <c r="AK1078" s="236">
        <v>282290781.78863478</v>
      </c>
      <c r="AL1078" s="237">
        <v>1.3475593673235897</v>
      </c>
      <c r="AM1078" s="236">
        <v>394291024.06101304</v>
      </c>
      <c r="AN1078" s="341">
        <v>0.96477871443888141</v>
      </c>
      <c r="AO1078" s="236">
        <v>13559296</v>
      </c>
      <c r="AP1078" s="236" t="s">
        <v>2842</v>
      </c>
      <c r="AQ1078" s="236">
        <v>53.342195121951235</v>
      </c>
      <c r="AR1078" s="236">
        <v>85.2</v>
      </c>
      <c r="AS1078" s="238">
        <v>72.530910000000006</v>
      </c>
      <c r="AT1078" s="342">
        <v>32</v>
      </c>
      <c r="AU1078" s="468" t="s">
        <v>2842</v>
      </c>
      <c r="AV1078" s="238">
        <v>4.1858658624007797E-2</v>
      </c>
      <c r="AW1078" s="238">
        <v>-7.8052068174738101E-2</v>
      </c>
      <c r="AX1078" s="238">
        <v>-0.78967362376063399</v>
      </c>
      <c r="AY1078" s="238">
        <v>-0.39061964217212403</v>
      </c>
      <c r="AZ1078" s="343">
        <v>-0.63568132290367696</v>
      </c>
    </row>
    <row r="1079" spans="1:52" s="238" customFormat="1" ht="15" customHeight="1">
      <c r="A1079" s="404" t="s">
        <v>331</v>
      </c>
      <c r="B1079" s="405">
        <v>2010</v>
      </c>
      <c r="C1079" s="406" t="s">
        <v>322</v>
      </c>
      <c r="D1079" s="386" t="s">
        <v>81</v>
      </c>
      <c r="E1079" s="236" t="s">
        <v>19</v>
      </c>
      <c r="F1079" s="236" t="s">
        <v>730</v>
      </c>
      <c r="G1079" s="335">
        <f>36360*32.150743126506</f>
        <v>1169001.0200797583</v>
      </c>
      <c r="H1079" s="335">
        <f>42.033*32150.7466</f>
        <v>1351392.3318377999</v>
      </c>
      <c r="I1079" s="335"/>
      <c r="J1079" s="335"/>
      <c r="K1079" s="236" t="s">
        <v>731</v>
      </c>
      <c r="L1079" s="336">
        <v>1390</v>
      </c>
      <c r="M1079" s="236" t="s">
        <v>732</v>
      </c>
      <c r="N1079" s="407" t="s">
        <v>1575</v>
      </c>
      <c r="O1079" s="337">
        <f>G1079*L1079</f>
        <v>1624911417.9108639</v>
      </c>
      <c r="P1079" s="338">
        <v>346547621.39714646</v>
      </c>
      <c r="Q1079" s="338">
        <v>351835136.30196124</v>
      </c>
      <c r="R1079" s="236" t="s">
        <v>619</v>
      </c>
      <c r="S1079" s="236"/>
      <c r="T1079" s="337"/>
      <c r="U1079" s="236"/>
      <c r="V1079" s="236" t="s">
        <v>778</v>
      </c>
      <c r="W1079" s="339">
        <v>486.42</v>
      </c>
      <c r="X1079" s="236">
        <v>9</v>
      </c>
      <c r="Y1079" s="236" t="s">
        <v>1576</v>
      </c>
      <c r="Z1079" s="236">
        <v>9</v>
      </c>
      <c r="AA1079" s="236" t="s">
        <v>1577</v>
      </c>
      <c r="AB1079" s="236" t="s">
        <v>1578</v>
      </c>
      <c r="AC1079" s="340">
        <v>346547621.39714646</v>
      </c>
      <c r="AD1079" s="236">
        <v>9422267259.989397</v>
      </c>
      <c r="AE1079" s="235">
        <v>3.677964250374452E-2</v>
      </c>
      <c r="AF1079" s="236">
        <v>2023903007.4457223</v>
      </c>
      <c r="AG1079" s="237">
        <v>0.17122738595784229</v>
      </c>
      <c r="AH1079" s="237">
        <v>6.4993767532222999E-3</v>
      </c>
      <c r="AI1079" s="236">
        <v>1088620000</v>
      </c>
      <c r="AJ1079" s="237">
        <v>0.31833662930788198</v>
      </c>
      <c r="AK1079" s="236">
        <v>264133486.93301803</v>
      </c>
      <c r="AL1079" s="237">
        <v>1.312016985884974</v>
      </c>
      <c r="AM1079" s="236">
        <v>405775592.91179937</v>
      </c>
      <c r="AN1079" s="341">
        <v>0.85403761943975054</v>
      </c>
      <c r="AO1079" s="236">
        <v>13985961</v>
      </c>
      <c r="AP1079" s="236">
        <v>43.6</v>
      </c>
      <c r="AQ1079" s="236">
        <v>53.770731707317083</v>
      </c>
      <c r="AR1079" s="236">
        <v>83.1</v>
      </c>
      <c r="AS1079" s="238">
        <v>73.91301</v>
      </c>
      <c r="AT1079" s="342">
        <v>32</v>
      </c>
      <c r="AU1079" s="468" t="s">
        <v>2842</v>
      </c>
      <c r="AV1079" s="238">
        <v>0.13439042718963601</v>
      </c>
      <c r="AW1079" s="238">
        <v>-0.20779757745033001</v>
      </c>
      <c r="AX1079" s="238">
        <v>-0.83993646042701697</v>
      </c>
      <c r="AY1079" s="238">
        <v>-0.479235599865941</v>
      </c>
      <c r="AZ1079" s="343">
        <v>-0.65076666130662397</v>
      </c>
    </row>
    <row r="1080" spans="1:52" s="238" customFormat="1" ht="15" customHeight="1">
      <c r="A1080" s="404" t="s">
        <v>333</v>
      </c>
      <c r="B1080" s="405">
        <v>2011</v>
      </c>
      <c r="C1080" s="406" t="s">
        <v>322</v>
      </c>
      <c r="D1080" s="386" t="s">
        <v>81</v>
      </c>
      <c r="E1080" s="236" t="s">
        <v>19</v>
      </c>
      <c r="F1080" s="236" t="s">
        <v>730</v>
      </c>
      <c r="G1080" s="335">
        <f>35728*32.150743126506</f>
        <v>1148681.7504238065</v>
      </c>
      <c r="H1080" s="335">
        <v>1143280</v>
      </c>
      <c r="I1080" s="335"/>
      <c r="J1080" s="335"/>
      <c r="K1080" s="236" t="s">
        <v>731</v>
      </c>
      <c r="L1080" s="336">
        <f>1569.21083333333*1.135</f>
        <v>1781.0542958333294</v>
      </c>
      <c r="M1080" s="236" t="s">
        <v>732</v>
      </c>
      <c r="N1080" s="407" t="s">
        <v>1571</v>
      </c>
      <c r="O1080" s="337">
        <f>G1080*L1080</f>
        <v>2045864566.1376688</v>
      </c>
      <c r="P1080" s="338">
        <v>425193486.59834021</v>
      </c>
      <c r="Q1080" s="338">
        <v>423052152.71608418</v>
      </c>
      <c r="R1080" s="236" t="s">
        <v>619</v>
      </c>
      <c r="S1080" s="236"/>
      <c r="T1080" s="337"/>
      <c r="U1080" s="236"/>
      <c r="V1080" s="236" t="s">
        <v>778</v>
      </c>
      <c r="W1080" s="339">
        <v>461.51</v>
      </c>
      <c r="X1080" s="236">
        <v>10</v>
      </c>
      <c r="Y1080" s="409" t="s">
        <v>1579</v>
      </c>
      <c r="Z1080" s="236">
        <v>10</v>
      </c>
      <c r="AA1080" s="236" t="s">
        <v>1580</v>
      </c>
      <c r="AB1080" s="236" t="s">
        <v>1581</v>
      </c>
      <c r="AC1080" s="340">
        <v>425193486.59834021</v>
      </c>
      <c r="AD1080" s="236">
        <v>10647545670.176308</v>
      </c>
      <c r="AE1080" s="235">
        <v>3.9933473851096392E-2</v>
      </c>
      <c r="AF1080" s="236">
        <v>5982110583.8751554</v>
      </c>
      <c r="AG1080" s="237">
        <v>7.1077503606244583E-2</v>
      </c>
      <c r="AH1080" s="237">
        <v>2.856254042918566E-2</v>
      </c>
      <c r="AI1080" s="236">
        <v>1280610000</v>
      </c>
      <c r="AJ1080" s="237">
        <v>0.33202418113113297</v>
      </c>
      <c r="AK1080" s="236">
        <v>316200188.06963122</v>
      </c>
      <c r="AL1080" s="237">
        <v>1.3446971337812972</v>
      </c>
      <c r="AM1080" s="236">
        <v>510642448.5322845</v>
      </c>
      <c r="AN1080" s="341">
        <v>0.83266380971745257</v>
      </c>
      <c r="AO1080" s="236">
        <v>14416737</v>
      </c>
      <c r="AP1080" s="236" t="s">
        <v>2842</v>
      </c>
      <c r="AQ1080" s="236">
        <v>54.190829268292696</v>
      </c>
      <c r="AR1080" s="236">
        <v>81.099999999999994</v>
      </c>
      <c r="AS1080" s="238">
        <v>75.413700000000006</v>
      </c>
      <c r="AT1080" s="342">
        <v>32</v>
      </c>
      <c r="AU1080" s="468" t="s">
        <v>2842</v>
      </c>
      <c r="AV1080" s="238">
        <v>0.14714594906619799</v>
      </c>
      <c r="AW1080" s="238">
        <v>-0.679071283298046</v>
      </c>
      <c r="AX1080" s="238">
        <v>-0.78936097727087995</v>
      </c>
      <c r="AY1080" s="238">
        <v>-0.38253966216507201</v>
      </c>
      <c r="AZ1080" s="343">
        <v>-0.55176089448371601</v>
      </c>
    </row>
    <row r="1081" spans="1:52" s="238" customFormat="1" ht="15" customHeight="1">
      <c r="A1081" s="404" t="s">
        <v>333</v>
      </c>
      <c r="B1081" s="405">
        <v>2011</v>
      </c>
      <c r="C1081" s="406" t="s">
        <v>322</v>
      </c>
      <c r="D1081" s="386" t="s">
        <v>81</v>
      </c>
      <c r="E1081" s="236" t="s">
        <v>19</v>
      </c>
      <c r="F1081" s="236" t="s">
        <v>735</v>
      </c>
      <c r="G1081" s="335"/>
      <c r="H1081" s="335">
        <f>3.04*32150.7466</f>
        <v>97738.269663999992</v>
      </c>
      <c r="I1081" s="335"/>
      <c r="J1081" s="335"/>
      <c r="K1081" s="236" t="s">
        <v>731</v>
      </c>
      <c r="L1081" s="336"/>
      <c r="M1081" s="236"/>
      <c r="N1081" s="236" t="s">
        <v>674</v>
      </c>
      <c r="O1081" s="337"/>
      <c r="P1081" s="410"/>
      <c r="Q1081" s="410"/>
      <c r="R1081" s="236"/>
      <c r="S1081" s="236"/>
      <c r="T1081" s="337"/>
      <c r="U1081" s="236"/>
      <c r="V1081" s="236"/>
      <c r="W1081" s="339"/>
      <c r="X1081" s="236"/>
      <c r="Y1081" s="236"/>
      <c r="Z1081" s="236"/>
      <c r="AA1081" s="236"/>
      <c r="AB1081" s="236"/>
      <c r="AC1081" s="340">
        <v>425193486.59834021</v>
      </c>
      <c r="AD1081" s="236">
        <v>10647545670.176308</v>
      </c>
      <c r="AE1081" s="235">
        <v>3.9933473851096392E-2</v>
      </c>
      <c r="AF1081" s="236">
        <v>5982110583.8751554</v>
      </c>
      <c r="AG1081" s="237">
        <v>7.1077503606244583E-2</v>
      </c>
      <c r="AH1081" s="237">
        <v>2.856254042918566E-2</v>
      </c>
      <c r="AI1081" s="236">
        <v>1280610000</v>
      </c>
      <c r="AJ1081" s="237">
        <v>0.33202418113113297</v>
      </c>
      <c r="AK1081" s="236">
        <v>316200188.06963122</v>
      </c>
      <c r="AL1081" s="237">
        <v>1.3446971337812972</v>
      </c>
      <c r="AM1081" s="236">
        <v>510642448.5322845</v>
      </c>
      <c r="AN1081" s="341">
        <v>0.83266380971745257</v>
      </c>
      <c r="AO1081" s="236">
        <v>14416737</v>
      </c>
      <c r="AP1081" s="236" t="s">
        <v>2842</v>
      </c>
      <c r="AQ1081" s="236">
        <v>54.190829268292696</v>
      </c>
      <c r="AR1081" s="236">
        <v>81.099999999999994</v>
      </c>
      <c r="AS1081" s="238">
        <v>75.413700000000006</v>
      </c>
      <c r="AT1081" s="342">
        <v>32</v>
      </c>
      <c r="AU1081" s="468" t="s">
        <v>2842</v>
      </c>
      <c r="AV1081" s="238">
        <v>0.14714594906619799</v>
      </c>
      <c r="AW1081" s="238">
        <v>-0.679071283298046</v>
      </c>
      <c r="AX1081" s="238">
        <v>-0.78936097727087995</v>
      </c>
      <c r="AY1081" s="238">
        <v>-0.38253966216507201</v>
      </c>
      <c r="AZ1081" s="343">
        <v>-0.55176089448371601</v>
      </c>
    </row>
    <row r="1082" spans="1:52" s="242" customFormat="1" ht="15" customHeight="1" thickBot="1">
      <c r="A1082" s="348" t="s">
        <v>335</v>
      </c>
      <c r="B1082" s="240">
        <v>2012</v>
      </c>
      <c r="C1082" s="240" t="s">
        <v>322</v>
      </c>
      <c r="D1082" s="240" t="s">
        <v>81</v>
      </c>
      <c r="E1082" s="240" t="s">
        <v>19</v>
      </c>
      <c r="F1082" s="240" t="s">
        <v>730</v>
      </c>
      <c r="G1082" s="411"/>
      <c r="H1082" s="411"/>
      <c r="I1082" s="350">
        <v>1487615</v>
      </c>
      <c r="J1082" s="350">
        <v>1157426</v>
      </c>
      <c r="K1082" s="240" t="s">
        <v>731</v>
      </c>
      <c r="L1082" s="351">
        <v>1688.5</v>
      </c>
      <c r="M1082" s="240" t="s">
        <v>732</v>
      </c>
      <c r="N1082" s="240" t="s">
        <v>799</v>
      </c>
      <c r="O1082" s="353">
        <f>I1082*L1082</f>
        <v>2511837927.5</v>
      </c>
      <c r="P1082" s="394">
        <v>481528351</v>
      </c>
      <c r="Q1082" s="394">
        <v>443716630</v>
      </c>
      <c r="R1082" s="240" t="s">
        <v>619</v>
      </c>
      <c r="S1082" s="240"/>
      <c r="T1082" s="353"/>
      <c r="U1082" s="240" t="s">
        <v>852</v>
      </c>
      <c r="V1082" s="240" t="s">
        <v>778</v>
      </c>
      <c r="W1082" s="354">
        <v>503.07</v>
      </c>
      <c r="X1082" s="240">
        <v>15</v>
      </c>
      <c r="Y1082" s="240" t="s">
        <v>1583</v>
      </c>
      <c r="Z1082" s="240">
        <v>14</v>
      </c>
      <c r="AA1082" s="240"/>
      <c r="AB1082" s="240" t="s">
        <v>1584</v>
      </c>
      <c r="AC1082" s="355">
        <v>481528351</v>
      </c>
      <c r="AD1082" s="240">
        <v>10340794110.136602</v>
      </c>
      <c r="AE1082" s="239">
        <v>4.6565896764928338E-2</v>
      </c>
      <c r="AF1082" s="240">
        <v>2205070936.0455294</v>
      </c>
      <c r="AG1082" s="241">
        <v>0.21837317935156786</v>
      </c>
      <c r="AH1082" s="241">
        <v>2.8488715705554831E-2</v>
      </c>
      <c r="AI1082" s="240">
        <v>1001300000</v>
      </c>
      <c r="AJ1082" s="241">
        <v>0.48090317687006889</v>
      </c>
      <c r="AK1082" s="240">
        <v>234658048.83378908</v>
      </c>
      <c r="AL1082" s="241">
        <v>2.0520427634726985</v>
      </c>
      <c r="AM1082" s="240" t="s">
        <v>2842</v>
      </c>
      <c r="AN1082" s="356" t="s">
        <v>2842</v>
      </c>
      <c r="AO1082" s="240">
        <v>14853572</v>
      </c>
      <c r="AP1082" s="240" t="s">
        <v>2842</v>
      </c>
      <c r="AQ1082" s="240">
        <v>54.603926829268296</v>
      </c>
      <c r="AR1082" s="240">
        <v>79.400000000000006</v>
      </c>
      <c r="AS1082" s="242">
        <v>73.326729999999998</v>
      </c>
      <c r="AT1082" s="357">
        <v>32</v>
      </c>
      <c r="AU1082" s="469" t="s">
        <v>2842</v>
      </c>
      <c r="AV1082" s="242">
        <v>-0.54678503894798403</v>
      </c>
      <c r="AW1082" s="242">
        <v>-1.9774860266219201</v>
      </c>
      <c r="AX1082" s="242">
        <v>-0.98866028673950701</v>
      </c>
      <c r="AY1082" s="242">
        <v>-0.42303211632404703</v>
      </c>
      <c r="AZ1082" s="358">
        <v>-0.76139982934015304</v>
      </c>
    </row>
    <row r="1083" spans="1:52" ht="16.5" customHeight="1">
      <c r="A1083" s="63" t="s">
        <v>337</v>
      </c>
      <c r="B1083" s="53">
        <v>2005</v>
      </c>
      <c r="C1083" s="146" t="s">
        <v>338</v>
      </c>
      <c r="D1083" s="69" t="s">
        <v>81</v>
      </c>
      <c r="E1083" s="27" t="s">
        <v>36</v>
      </c>
      <c r="F1083" s="27" t="s">
        <v>659</v>
      </c>
      <c r="G1083" s="43"/>
      <c r="H1083" s="43"/>
      <c r="I1083" s="43"/>
      <c r="J1083" s="43"/>
      <c r="K1083" s="27"/>
      <c r="L1083" s="28"/>
      <c r="M1083" s="27"/>
      <c r="N1083" s="27"/>
      <c r="O1083" s="18">
        <f>O1084+O1085</f>
        <v>431581878.00000006</v>
      </c>
      <c r="P1083" s="246">
        <v>29636377.094866872</v>
      </c>
      <c r="Q1083" s="246">
        <v>28035804.654841263</v>
      </c>
      <c r="R1083" s="27" t="s">
        <v>619</v>
      </c>
      <c r="S1083" s="27"/>
      <c r="T1083" s="18"/>
      <c r="U1083" s="27" t="s">
        <v>1586</v>
      </c>
      <c r="V1083" s="27"/>
      <c r="W1083" s="30">
        <v>265.52999999999997</v>
      </c>
      <c r="X1083" s="27"/>
      <c r="Y1083" s="27"/>
      <c r="Z1083" s="27">
        <v>14</v>
      </c>
      <c r="AA1083" s="27"/>
      <c r="AB1083" s="27"/>
      <c r="AC1083" s="273">
        <v>29636377.094866872</v>
      </c>
      <c r="AD1083" s="27">
        <v>1857835643.1310711</v>
      </c>
      <c r="AE1083" s="228">
        <v>1.5952098456308933E-2</v>
      </c>
      <c r="AF1083" s="27">
        <v>458866825.49694324</v>
      </c>
      <c r="AG1083" s="226">
        <v>6.4586009378148637E-2</v>
      </c>
      <c r="AH1083" s="226" t="s">
        <v>2842</v>
      </c>
      <c r="AI1083" s="27">
        <v>188700000</v>
      </c>
      <c r="AJ1083" s="226">
        <v>0.15705552249531993</v>
      </c>
      <c r="AK1083" s="27">
        <v>58743777.634570166</v>
      </c>
      <c r="AL1083" s="226">
        <v>0.50450240499048427</v>
      </c>
      <c r="AM1083" s="27" t="s">
        <v>2842</v>
      </c>
      <c r="AN1083" s="271" t="s">
        <v>2842</v>
      </c>
      <c r="AO1083" s="27">
        <v>3146164</v>
      </c>
      <c r="AP1083" s="27" t="s">
        <v>2842</v>
      </c>
      <c r="AQ1083" s="27">
        <v>60.242609756097572</v>
      </c>
      <c r="AR1083" s="27">
        <v>74.8</v>
      </c>
      <c r="AS1083" s="29">
        <v>71.079509999999999</v>
      </c>
      <c r="AT1083" s="270">
        <v>30</v>
      </c>
      <c r="AU1083" s="464" t="s">
        <v>2842</v>
      </c>
      <c r="AV1083" s="29">
        <v>-0.96929629828576602</v>
      </c>
      <c r="AW1083" s="29">
        <v>-0.23782928121267499</v>
      </c>
      <c r="AX1083" s="29">
        <v>-0.33235950864759101</v>
      </c>
      <c r="AY1083" s="29">
        <v>-0.37568791975201998</v>
      </c>
      <c r="AZ1083" s="60">
        <v>-0.35977094999669301</v>
      </c>
    </row>
    <row r="1084" spans="1:52" ht="15" customHeight="1">
      <c r="A1084" s="63" t="s">
        <v>337</v>
      </c>
      <c r="B1084" s="53">
        <v>2005</v>
      </c>
      <c r="C1084" s="146" t="s">
        <v>338</v>
      </c>
      <c r="D1084" s="69" t="s">
        <v>81</v>
      </c>
      <c r="E1084" s="27" t="s">
        <v>98</v>
      </c>
      <c r="F1084" s="27" t="s">
        <v>98</v>
      </c>
      <c r="G1084" s="43"/>
      <c r="H1084" s="43"/>
      <c r="I1084" s="43"/>
      <c r="J1084" s="43"/>
      <c r="K1084" s="27"/>
      <c r="L1084" s="28"/>
      <c r="M1084" s="27"/>
      <c r="N1084" s="27"/>
      <c r="O1084" s="18">
        <v>0</v>
      </c>
      <c r="P1084" s="246">
        <v>457000</v>
      </c>
      <c r="Q1084" s="246">
        <v>457000</v>
      </c>
      <c r="R1084" s="27"/>
      <c r="S1084" s="27"/>
      <c r="T1084" s="18"/>
      <c r="U1084" s="27"/>
      <c r="V1084" s="27"/>
      <c r="W1084" s="30"/>
      <c r="X1084" s="27"/>
      <c r="Y1084" s="27"/>
      <c r="Z1084" s="27"/>
      <c r="AA1084" s="27"/>
      <c r="AB1084" s="27"/>
      <c r="AC1084" s="273">
        <v>29636377.094866872</v>
      </c>
      <c r="AD1084" s="27">
        <v>1857835643.1310711</v>
      </c>
      <c r="AE1084" s="228">
        <v>1.5952098456308933E-2</v>
      </c>
      <c r="AF1084" s="27">
        <v>458866825.49694324</v>
      </c>
      <c r="AG1084" s="226">
        <v>6.4586009378148637E-2</v>
      </c>
      <c r="AH1084" s="226" t="s">
        <v>2842</v>
      </c>
      <c r="AI1084" s="27">
        <v>188700000</v>
      </c>
      <c r="AJ1084" s="226">
        <v>0.15705552249531993</v>
      </c>
      <c r="AK1084" s="27">
        <v>58743777.634570166</v>
      </c>
      <c r="AL1084" s="226">
        <v>0.50450240499048427</v>
      </c>
      <c r="AM1084" s="27" t="s">
        <v>2842</v>
      </c>
      <c r="AN1084" s="271" t="s">
        <v>2842</v>
      </c>
      <c r="AO1084" s="27">
        <v>3146164</v>
      </c>
      <c r="AP1084" s="27" t="s">
        <v>2842</v>
      </c>
      <c r="AQ1084" s="27">
        <v>60.242609756097572</v>
      </c>
      <c r="AR1084" s="27">
        <v>74.8</v>
      </c>
      <c r="AS1084" s="29">
        <v>71.079509999999999</v>
      </c>
      <c r="AT1084" s="270">
        <v>30</v>
      </c>
      <c r="AU1084" s="464" t="s">
        <v>2842</v>
      </c>
      <c r="AV1084" s="29">
        <v>-0.96929629828576602</v>
      </c>
      <c r="AW1084" s="29">
        <v>-0.23782928121267499</v>
      </c>
      <c r="AX1084" s="29">
        <v>-0.33235950864759101</v>
      </c>
      <c r="AY1084" s="29">
        <v>-0.37568791975201998</v>
      </c>
      <c r="AZ1084" s="60">
        <v>-0.35977094999669301</v>
      </c>
    </row>
    <row r="1085" spans="1:52" ht="15" customHeight="1">
      <c r="A1085" s="63" t="s">
        <v>337</v>
      </c>
      <c r="B1085" s="53">
        <v>2005</v>
      </c>
      <c r="C1085" s="146" t="s">
        <v>338</v>
      </c>
      <c r="D1085" s="69" t="s">
        <v>81</v>
      </c>
      <c r="E1085" s="27" t="s">
        <v>19</v>
      </c>
      <c r="F1085" s="27" t="s">
        <v>559</v>
      </c>
      <c r="G1085" s="43"/>
      <c r="H1085" s="43"/>
      <c r="I1085" s="43"/>
      <c r="J1085" s="43"/>
      <c r="K1085" s="27"/>
      <c r="L1085" s="28"/>
      <c r="M1085" s="27"/>
      <c r="N1085" s="27"/>
      <c r="O1085" s="18">
        <f>SUM(O1086:O1086)</f>
        <v>431581878.00000006</v>
      </c>
      <c r="P1085" s="246">
        <v>29179377.094866872</v>
      </c>
      <c r="Q1085" s="246">
        <v>27578804.654841263</v>
      </c>
      <c r="R1085" s="27"/>
      <c r="S1085" s="27"/>
      <c r="T1085" s="18"/>
      <c r="U1085" s="27"/>
      <c r="V1085" s="27"/>
      <c r="W1085" s="30"/>
      <c r="X1085" s="27"/>
      <c r="Y1085" s="27"/>
      <c r="Z1085" s="27"/>
      <c r="AA1085" s="27"/>
      <c r="AB1085" s="27"/>
      <c r="AC1085" s="273">
        <v>29636377.094866872</v>
      </c>
      <c r="AD1085" s="27">
        <v>1857835643.1310711</v>
      </c>
      <c r="AE1085" s="228">
        <v>1.5952098456308933E-2</v>
      </c>
      <c r="AF1085" s="27">
        <v>458866825.49694324</v>
      </c>
      <c r="AG1085" s="226">
        <v>6.4586009378148637E-2</v>
      </c>
      <c r="AH1085" s="226" t="s">
        <v>2842</v>
      </c>
      <c r="AI1085" s="27">
        <v>188700000</v>
      </c>
      <c r="AJ1085" s="226">
        <v>0.15705552249531993</v>
      </c>
      <c r="AK1085" s="27">
        <v>58743777.634570166</v>
      </c>
      <c r="AL1085" s="226">
        <v>0.50450240499048427</v>
      </c>
      <c r="AM1085" s="27" t="s">
        <v>2842</v>
      </c>
      <c r="AN1085" s="271" t="s">
        <v>2842</v>
      </c>
      <c r="AO1085" s="27">
        <v>3146164</v>
      </c>
      <c r="AP1085" s="27" t="s">
        <v>2842</v>
      </c>
      <c r="AQ1085" s="27">
        <v>60.242609756097572</v>
      </c>
      <c r="AR1085" s="27">
        <v>74.8</v>
      </c>
      <c r="AS1085" s="29">
        <v>71.079509999999999</v>
      </c>
      <c r="AT1085" s="270">
        <v>30</v>
      </c>
      <c r="AU1085" s="464" t="s">
        <v>2842</v>
      </c>
      <c r="AV1085" s="29">
        <v>-0.96929629828576602</v>
      </c>
      <c r="AW1085" s="29">
        <v>-0.23782928121267499</v>
      </c>
      <c r="AX1085" s="29">
        <v>-0.33235950864759101</v>
      </c>
      <c r="AY1085" s="29">
        <v>-0.37568791975201998</v>
      </c>
      <c r="AZ1085" s="60">
        <v>-0.35977094999669301</v>
      </c>
    </row>
    <row r="1086" spans="1:52" s="287" customFormat="1" ht="15" customHeight="1">
      <c r="A1086" s="359" t="s">
        <v>337</v>
      </c>
      <c r="B1086" s="302">
        <v>2005</v>
      </c>
      <c r="C1086" s="383" t="s">
        <v>338</v>
      </c>
      <c r="D1086" s="369" t="s">
        <v>81</v>
      </c>
      <c r="E1086" s="284" t="s">
        <v>19</v>
      </c>
      <c r="F1086" s="284" t="s">
        <v>1133</v>
      </c>
      <c r="G1086" s="303">
        <v>11133000</v>
      </c>
      <c r="H1086" s="303"/>
      <c r="I1086" s="303"/>
      <c r="J1086" s="303"/>
      <c r="K1086" s="284" t="s">
        <v>567</v>
      </c>
      <c r="L1086" s="304">
        <f>65*0.5964</f>
        <v>38.766000000000005</v>
      </c>
      <c r="M1086" s="284" t="s">
        <v>568</v>
      </c>
      <c r="N1086" s="286" t="s">
        <v>1587</v>
      </c>
      <c r="O1086" s="305">
        <f>G1086*L1086</f>
        <v>431581878.00000006</v>
      </c>
      <c r="P1086" s="320"/>
      <c r="Q1086" s="320"/>
      <c r="R1086" s="284"/>
      <c r="S1086" s="284"/>
      <c r="T1086" s="305"/>
      <c r="U1086" s="284"/>
      <c r="V1086" s="284"/>
      <c r="W1086" s="307"/>
      <c r="X1086" s="284"/>
      <c r="Y1086" s="284"/>
      <c r="Z1086" s="284"/>
      <c r="AA1086" s="284"/>
      <c r="AB1086" s="284"/>
      <c r="AC1086" s="308">
        <v>29636377.094866872</v>
      </c>
      <c r="AD1086" s="284">
        <v>1857835643.1310711</v>
      </c>
      <c r="AE1086" s="309">
        <v>1.5952098456308933E-2</v>
      </c>
      <c r="AF1086" s="284">
        <v>458866825.49694324</v>
      </c>
      <c r="AG1086" s="310">
        <v>6.4586009378148637E-2</v>
      </c>
      <c r="AH1086" s="310" t="s">
        <v>2842</v>
      </c>
      <c r="AI1086" s="284">
        <v>188700000</v>
      </c>
      <c r="AJ1086" s="310">
        <v>0.15705552249531993</v>
      </c>
      <c r="AK1086" s="284">
        <v>58743777.634570166</v>
      </c>
      <c r="AL1086" s="310">
        <v>0.50450240499048427</v>
      </c>
      <c r="AM1086" s="284" t="s">
        <v>2842</v>
      </c>
      <c r="AN1086" s="311" t="s">
        <v>2842</v>
      </c>
      <c r="AO1086" s="284">
        <v>3146164</v>
      </c>
      <c r="AP1086" s="284" t="s">
        <v>2842</v>
      </c>
      <c r="AQ1086" s="284">
        <v>60.242609756097572</v>
      </c>
      <c r="AR1086" s="284">
        <v>74.8</v>
      </c>
      <c r="AS1086" s="287">
        <v>71.079509999999999</v>
      </c>
      <c r="AT1086" s="312">
        <v>30</v>
      </c>
      <c r="AU1086" s="465" t="s">
        <v>2842</v>
      </c>
      <c r="AV1086" s="287">
        <v>-0.96929629828576602</v>
      </c>
      <c r="AW1086" s="287">
        <v>-0.23782928121267499</v>
      </c>
      <c r="AX1086" s="287">
        <v>-0.33235950864759101</v>
      </c>
      <c r="AY1086" s="287">
        <v>-0.37568791975201998</v>
      </c>
      <c r="AZ1086" s="313">
        <v>-0.35977094999669301</v>
      </c>
    </row>
    <row r="1087" spans="1:52" s="29" customFormat="1" ht="15" customHeight="1">
      <c r="A1087" s="63" t="s">
        <v>340</v>
      </c>
      <c r="B1087" s="53">
        <v>2006</v>
      </c>
      <c r="C1087" s="146" t="s">
        <v>338</v>
      </c>
      <c r="D1087" s="69" t="s">
        <v>81</v>
      </c>
      <c r="E1087" s="27" t="s">
        <v>36</v>
      </c>
      <c r="F1087" s="27" t="s">
        <v>659</v>
      </c>
      <c r="G1087" s="43"/>
      <c r="H1087" s="43"/>
      <c r="I1087" s="43"/>
      <c r="J1087" s="43"/>
      <c r="K1087" s="27"/>
      <c r="L1087" s="28"/>
      <c r="M1087" s="27"/>
      <c r="N1087" s="27"/>
      <c r="O1087" s="18">
        <f>O1088+O1089</f>
        <v>1207060431.040113</v>
      </c>
      <c r="P1087" s="246">
        <v>280165029.78406549</v>
      </c>
      <c r="Q1087" s="246">
        <v>273414760.23827255</v>
      </c>
      <c r="R1087" s="27" t="s">
        <v>619</v>
      </c>
      <c r="S1087" s="27"/>
      <c r="T1087" s="18"/>
      <c r="U1087" s="27" t="s">
        <v>948</v>
      </c>
      <c r="V1087" s="27"/>
      <c r="W1087" s="30">
        <v>268.60000000000002</v>
      </c>
      <c r="X1087" s="27"/>
      <c r="Y1087" s="27"/>
      <c r="Z1087" s="27">
        <v>27</v>
      </c>
      <c r="AA1087" s="27"/>
      <c r="AB1087" s="27"/>
      <c r="AC1087" s="273">
        <v>280165029.78406549</v>
      </c>
      <c r="AD1087" s="27">
        <v>2699181754.65376</v>
      </c>
      <c r="AE1087" s="228">
        <v>0.10379628170686264</v>
      </c>
      <c r="AF1087" s="27">
        <v>665969114.32572222</v>
      </c>
      <c r="AG1087" s="226">
        <v>0.42068772223427486</v>
      </c>
      <c r="AH1087" s="226" t="s">
        <v>2842</v>
      </c>
      <c r="AI1087" s="27">
        <v>225610000</v>
      </c>
      <c r="AJ1087" s="226">
        <v>1.241811221949672</v>
      </c>
      <c r="AK1087" s="27">
        <v>58574842.376535751</v>
      </c>
      <c r="AL1087" s="226">
        <v>4.7830266103506514</v>
      </c>
      <c r="AM1087" s="27">
        <v>68142732.823462442</v>
      </c>
      <c r="AN1087" s="271">
        <v>4.111443996675181</v>
      </c>
      <c r="AO1087" s="27">
        <v>3237713</v>
      </c>
      <c r="AP1087" s="27" t="s">
        <v>2842</v>
      </c>
      <c r="AQ1087" s="27">
        <v>60.386804878048778</v>
      </c>
      <c r="AR1087" s="27">
        <v>74</v>
      </c>
      <c r="AS1087" s="29">
        <v>73.66189</v>
      </c>
      <c r="AT1087" s="270">
        <v>30</v>
      </c>
      <c r="AU1087" s="464" t="s">
        <v>2842</v>
      </c>
      <c r="AV1087" s="29">
        <v>-0.89761016856863196</v>
      </c>
      <c r="AW1087" s="29">
        <v>0.22146606212303999</v>
      </c>
      <c r="AX1087" s="29">
        <v>-0.77444590348986198</v>
      </c>
      <c r="AY1087" s="29">
        <v>-0.40404070074577803</v>
      </c>
      <c r="AZ1087" s="60">
        <v>-0.67571661273399497</v>
      </c>
    </row>
    <row r="1088" spans="1:52" s="29" customFormat="1" ht="15" customHeight="1">
      <c r="A1088" s="63" t="s">
        <v>340</v>
      </c>
      <c r="B1088" s="53">
        <v>2006</v>
      </c>
      <c r="C1088" s="146" t="s">
        <v>338</v>
      </c>
      <c r="D1088" s="69" t="s">
        <v>81</v>
      </c>
      <c r="E1088" s="27" t="s">
        <v>98</v>
      </c>
      <c r="F1088" s="27" t="s">
        <v>98</v>
      </c>
      <c r="G1088" s="43">
        <v>11169000</v>
      </c>
      <c r="H1088" s="43"/>
      <c r="I1088" s="43"/>
      <c r="J1088" s="43"/>
      <c r="K1088" s="27" t="s">
        <v>603</v>
      </c>
      <c r="L1088" s="28">
        <f>64.9340625*1.0164</f>
        <v>65.998981125</v>
      </c>
      <c r="M1088" s="27" t="s">
        <v>626</v>
      </c>
      <c r="N1088" s="27" t="s">
        <v>1588</v>
      </c>
      <c r="O1088" s="18">
        <f>G1088*L1088</f>
        <v>737142620.18512499</v>
      </c>
      <c r="P1088" s="246">
        <v>208445000</v>
      </c>
      <c r="Q1088" s="246">
        <v>203761000</v>
      </c>
      <c r="R1088" s="27"/>
      <c r="S1088" s="27"/>
      <c r="T1088" s="18"/>
      <c r="U1088" s="27"/>
      <c r="V1088" s="27"/>
      <c r="W1088" s="30"/>
      <c r="X1088" s="27"/>
      <c r="Y1088" s="27"/>
      <c r="Z1088" s="27"/>
      <c r="AA1088" s="27"/>
      <c r="AB1088" s="27"/>
      <c r="AC1088" s="273">
        <v>280165029.78406549</v>
      </c>
      <c r="AD1088" s="27">
        <v>2699181754.65376</v>
      </c>
      <c r="AE1088" s="228">
        <v>0.10379628170686264</v>
      </c>
      <c r="AF1088" s="27">
        <v>665969114.32572222</v>
      </c>
      <c r="AG1088" s="226">
        <v>0.42068772223427486</v>
      </c>
      <c r="AH1088" s="226" t="s">
        <v>2842</v>
      </c>
      <c r="AI1088" s="27">
        <v>225610000</v>
      </c>
      <c r="AJ1088" s="226">
        <v>1.241811221949672</v>
      </c>
      <c r="AK1088" s="27">
        <v>58574842.376535751</v>
      </c>
      <c r="AL1088" s="226">
        <v>4.7830266103506514</v>
      </c>
      <c r="AM1088" s="27">
        <v>68142732.823462442</v>
      </c>
      <c r="AN1088" s="271">
        <v>4.111443996675181</v>
      </c>
      <c r="AO1088" s="27">
        <v>3237713</v>
      </c>
      <c r="AP1088" s="27" t="s">
        <v>2842</v>
      </c>
      <c r="AQ1088" s="27">
        <v>60.386804878048778</v>
      </c>
      <c r="AR1088" s="27">
        <v>74</v>
      </c>
      <c r="AS1088" s="29">
        <v>73.66189</v>
      </c>
      <c r="AT1088" s="270">
        <v>30</v>
      </c>
      <c r="AU1088" s="464" t="s">
        <v>2842</v>
      </c>
      <c r="AV1088" s="29">
        <v>-0.89761016856863196</v>
      </c>
      <c r="AW1088" s="29">
        <v>0.22146606212303999</v>
      </c>
      <c r="AX1088" s="29">
        <v>-0.77444590348986198</v>
      </c>
      <c r="AY1088" s="29">
        <v>-0.40404070074577803</v>
      </c>
      <c r="AZ1088" s="60">
        <v>-0.67571661273399497</v>
      </c>
    </row>
    <row r="1089" spans="1:52" s="29" customFormat="1" ht="15" customHeight="1">
      <c r="A1089" s="63" t="s">
        <v>340</v>
      </c>
      <c r="B1089" s="53">
        <v>2006</v>
      </c>
      <c r="C1089" s="146" t="s">
        <v>338</v>
      </c>
      <c r="D1089" s="69" t="s">
        <v>81</v>
      </c>
      <c r="E1089" s="27" t="s">
        <v>19</v>
      </c>
      <c r="F1089" s="27" t="s">
        <v>559</v>
      </c>
      <c r="G1089" s="43"/>
      <c r="H1089" s="43"/>
      <c r="I1089" s="43"/>
      <c r="J1089" s="43"/>
      <c r="K1089" s="27"/>
      <c r="L1089" s="28"/>
      <c r="M1089" s="27"/>
      <c r="N1089" s="27"/>
      <c r="O1089" s="18">
        <f>SUM(O1090:O1092)</f>
        <v>469917810.8549881</v>
      </c>
      <c r="P1089" s="246">
        <v>71720029.784065515</v>
      </c>
      <c r="Q1089" s="246">
        <v>69653760.238272518</v>
      </c>
      <c r="R1089" s="27"/>
      <c r="S1089" s="27"/>
      <c r="T1089" s="18"/>
      <c r="U1089" s="27"/>
      <c r="V1089" s="27"/>
      <c r="W1089" s="30"/>
      <c r="X1089" s="27"/>
      <c r="Y1089" s="27"/>
      <c r="Z1089" s="27"/>
      <c r="AA1089" s="27"/>
      <c r="AB1089" s="27"/>
      <c r="AC1089" s="273">
        <v>280165029.78406549</v>
      </c>
      <c r="AD1089" s="27">
        <v>2699181754.65376</v>
      </c>
      <c r="AE1089" s="228">
        <v>0.10379628170686264</v>
      </c>
      <c r="AF1089" s="27">
        <v>665969114.32572222</v>
      </c>
      <c r="AG1089" s="226">
        <v>0.42068772223427486</v>
      </c>
      <c r="AH1089" s="226" t="s">
        <v>2842</v>
      </c>
      <c r="AI1089" s="27">
        <v>225610000</v>
      </c>
      <c r="AJ1089" s="226">
        <v>1.241811221949672</v>
      </c>
      <c r="AK1089" s="27">
        <v>58574842.376535751</v>
      </c>
      <c r="AL1089" s="226">
        <v>4.7830266103506514</v>
      </c>
      <c r="AM1089" s="27">
        <v>68142732.823462442</v>
      </c>
      <c r="AN1089" s="271">
        <v>4.111443996675181</v>
      </c>
      <c r="AO1089" s="27">
        <v>3237713</v>
      </c>
      <c r="AP1089" s="27" t="s">
        <v>2842</v>
      </c>
      <c r="AQ1089" s="27">
        <v>60.386804878048778</v>
      </c>
      <c r="AR1089" s="27">
        <v>74</v>
      </c>
      <c r="AS1089" s="29">
        <v>73.66189</v>
      </c>
      <c r="AT1089" s="270">
        <v>30</v>
      </c>
      <c r="AU1089" s="464" t="s">
        <v>2842</v>
      </c>
      <c r="AV1089" s="29">
        <v>-0.89761016856863196</v>
      </c>
      <c r="AW1089" s="29">
        <v>0.22146606212303999</v>
      </c>
      <c r="AX1089" s="29">
        <v>-0.77444590348986198</v>
      </c>
      <c r="AY1089" s="29">
        <v>-0.40404070074577803</v>
      </c>
      <c r="AZ1089" s="60">
        <v>-0.67571661273399497</v>
      </c>
    </row>
    <row r="1090" spans="1:52" s="29" customFormat="1" ht="15" customHeight="1">
      <c r="A1090" s="63" t="s">
        <v>340</v>
      </c>
      <c r="B1090" s="53">
        <v>2006</v>
      </c>
      <c r="C1090" s="146" t="s">
        <v>338</v>
      </c>
      <c r="D1090" s="69" t="s">
        <v>81</v>
      </c>
      <c r="E1090" s="27" t="s">
        <v>19</v>
      </c>
      <c r="F1090" s="27" t="s">
        <v>1589</v>
      </c>
      <c r="G1090" s="43">
        <v>5031</v>
      </c>
      <c r="H1090" s="43"/>
      <c r="I1090" s="43"/>
      <c r="J1090" s="43"/>
      <c r="K1090" s="27" t="s">
        <v>567</v>
      </c>
      <c r="L1090" s="44">
        <f>6722.1345*0.6815</f>
        <v>4581.1346617500003</v>
      </c>
      <c r="M1090" s="27" t="s">
        <v>568</v>
      </c>
      <c r="N1090" s="68" t="s">
        <v>1590</v>
      </c>
      <c r="O1090" s="18">
        <f>G1090*L1090</f>
        <v>23047688.483264253</v>
      </c>
      <c r="P1090" s="246"/>
      <c r="Q1090" s="246"/>
      <c r="R1090" s="27"/>
      <c r="S1090" s="27"/>
      <c r="T1090" s="18"/>
      <c r="U1090" s="27"/>
      <c r="V1090" s="27"/>
      <c r="W1090" s="30"/>
      <c r="X1090" s="27"/>
      <c r="Y1090" s="27"/>
      <c r="Z1090" s="27"/>
      <c r="AA1090" s="27"/>
      <c r="AB1090" s="27"/>
      <c r="AC1090" s="273">
        <v>280165029.78406549</v>
      </c>
      <c r="AD1090" s="27">
        <v>2699181754.65376</v>
      </c>
      <c r="AE1090" s="228">
        <v>0.10379628170686264</v>
      </c>
      <c r="AF1090" s="27">
        <v>665969114.32572222</v>
      </c>
      <c r="AG1090" s="226">
        <v>0.42068772223427486</v>
      </c>
      <c r="AH1090" s="226" t="s">
        <v>2842</v>
      </c>
      <c r="AI1090" s="27">
        <v>225610000</v>
      </c>
      <c r="AJ1090" s="226">
        <v>1.241811221949672</v>
      </c>
      <c r="AK1090" s="27">
        <v>58574842.376535751</v>
      </c>
      <c r="AL1090" s="226">
        <v>4.7830266103506514</v>
      </c>
      <c r="AM1090" s="27">
        <v>68142732.823462442</v>
      </c>
      <c r="AN1090" s="271">
        <v>4.111443996675181</v>
      </c>
      <c r="AO1090" s="27">
        <v>3237713</v>
      </c>
      <c r="AP1090" s="27" t="s">
        <v>2842</v>
      </c>
      <c r="AQ1090" s="27">
        <v>60.386804878048778</v>
      </c>
      <c r="AR1090" s="27">
        <v>74</v>
      </c>
      <c r="AS1090" s="29">
        <v>73.66189</v>
      </c>
      <c r="AT1090" s="270">
        <v>30</v>
      </c>
      <c r="AU1090" s="464" t="s">
        <v>2842</v>
      </c>
      <c r="AV1090" s="29">
        <v>-0.89761016856863196</v>
      </c>
      <c r="AW1090" s="29">
        <v>0.22146606212303999</v>
      </c>
      <c r="AX1090" s="29">
        <v>-0.77444590348986198</v>
      </c>
      <c r="AY1090" s="29">
        <v>-0.40404070074577803</v>
      </c>
      <c r="AZ1090" s="60">
        <v>-0.67571661273399497</v>
      </c>
    </row>
    <row r="1091" spans="1:52" s="29" customFormat="1" ht="15" customHeight="1">
      <c r="A1091" s="63" t="s">
        <v>340</v>
      </c>
      <c r="B1091" s="53">
        <v>2006</v>
      </c>
      <c r="C1091" s="146" t="s">
        <v>338</v>
      </c>
      <c r="D1091" s="69" t="s">
        <v>81</v>
      </c>
      <c r="E1091" s="27" t="s">
        <v>19</v>
      </c>
      <c r="F1091" s="27" t="s">
        <v>730</v>
      </c>
      <c r="G1091" s="43">
        <f>322*32.150743126506</f>
        <v>10352.539286734933</v>
      </c>
      <c r="H1091" s="43"/>
      <c r="I1091" s="43"/>
      <c r="J1091" s="43"/>
      <c r="K1091" s="27" t="s">
        <v>731</v>
      </c>
      <c r="L1091" s="28">
        <f>604.33583333333*0.9842</f>
        <v>594.78732716666343</v>
      </c>
      <c r="M1091" s="27" t="s">
        <v>732</v>
      </c>
      <c r="N1091" s="68" t="s">
        <v>1591</v>
      </c>
      <c r="O1091" s="18">
        <f>G1091*L1091</f>
        <v>6157559.1717449473</v>
      </c>
      <c r="P1091" s="246"/>
      <c r="Q1091" s="246"/>
      <c r="R1091" s="27"/>
      <c r="S1091" s="27"/>
      <c r="T1091" s="18"/>
      <c r="U1091" s="27"/>
      <c r="V1091" s="27"/>
      <c r="W1091" s="30"/>
      <c r="X1091" s="27"/>
      <c r="Y1091" s="27"/>
      <c r="Z1091" s="27"/>
      <c r="AA1091" s="27"/>
      <c r="AB1091" s="27"/>
      <c r="AC1091" s="273">
        <v>280165029.78406549</v>
      </c>
      <c r="AD1091" s="27">
        <v>2699181754.65376</v>
      </c>
      <c r="AE1091" s="228">
        <v>0.10379628170686264</v>
      </c>
      <c r="AF1091" s="27">
        <v>665969114.32572222</v>
      </c>
      <c r="AG1091" s="226">
        <v>0.42068772223427486</v>
      </c>
      <c r="AH1091" s="226" t="s">
        <v>2842</v>
      </c>
      <c r="AI1091" s="27">
        <v>225610000</v>
      </c>
      <c r="AJ1091" s="226">
        <v>1.241811221949672</v>
      </c>
      <c r="AK1091" s="27">
        <v>58574842.376535751</v>
      </c>
      <c r="AL1091" s="226">
        <v>4.7830266103506514</v>
      </c>
      <c r="AM1091" s="27">
        <v>68142732.823462442</v>
      </c>
      <c r="AN1091" s="271">
        <v>4.111443996675181</v>
      </c>
      <c r="AO1091" s="27">
        <v>3237713</v>
      </c>
      <c r="AP1091" s="27" t="s">
        <v>2842</v>
      </c>
      <c r="AQ1091" s="27">
        <v>60.386804878048778</v>
      </c>
      <c r="AR1091" s="27">
        <v>74</v>
      </c>
      <c r="AS1091" s="29">
        <v>73.66189</v>
      </c>
      <c r="AT1091" s="270">
        <v>30</v>
      </c>
      <c r="AU1091" s="464" t="s">
        <v>2842</v>
      </c>
      <c r="AV1091" s="29">
        <v>-0.89761016856863196</v>
      </c>
      <c r="AW1091" s="29">
        <v>0.22146606212303999</v>
      </c>
      <c r="AX1091" s="29">
        <v>-0.77444590348986198</v>
      </c>
      <c r="AY1091" s="29">
        <v>-0.40404070074577803</v>
      </c>
      <c r="AZ1091" s="60">
        <v>-0.67571661273399497</v>
      </c>
    </row>
    <row r="1092" spans="1:52" s="287" customFormat="1" ht="15" customHeight="1">
      <c r="A1092" s="359" t="s">
        <v>340</v>
      </c>
      <c r="B1092" s="302">
        <v>2006</v>
      </c>
      <c r="C1092" s="383" t="s">
        <v>338</v>
      </c>
      <c r="D1092" s="369" t="s">
        <v>81</v>
      </c>
      <c r="E1092" s="284" t="s">
        <v>19</v>
      </c>
      <c r="F1092" s="284" t="s">
        <v>1133</v>
      </c>
      <c r="G1092" s="303">
        <v>10658000</v>
      </c>
      <c r="H1092" s="303"/>
      <c r="I1092" s="303"/>
      <c r="J1092" s="303"/>
      <c r="K1092" s="284" t="s">
        <v>567</v>
      </c>
      <c r="L1092" s="304">
        <f>69.33333333333*0.5964</f>
        <v>41.350399999998018</v>
      </c>
      <c r="M1092" s="284" t="s">
        <v>568</v>
      </c>
      <c r="N1092" s="286" t="s">
        <v>1587</v>
      </c>
      <c r="O1092" s="305">
        <f>G1092*L1092</f>
        <v>440712563.19997889</v>
      </c>
      <c r="P1092" s="320"/>
      <c r="Q1092" s="320"/>
      <c r="R1092" s="284"/>
      <c r="S1092" s="284"/>
      <c r="T1092" s="305"/>
      <c r="U1092" s="284"/>
      <c r="V1092" s="284"/>
      <c r="W1092" s="307"/>
      <c r="X1092" s="284"/>
      <c r="Y1092" s="284"/>
      <c r="Z1092" s="284"/>
      <c r="AA1092" s="284"/>
      <c r="AB1092" s="284"/>
      <c r="AC1092" s="308">
        <v>280165029.78406549</v>
      </c>
      <c r="AD1092" s="284">
        <v>2699181754.65376</v>
      </c>
      <c r="AE1092" s="309">
        <v>0.10379628170686264</v>
      </c>
      <c r="AF1092" s="284">
        <v>665969114.32572222</v>
      </c>
      <c r="AG1092" s="310">
        <v>0.42068772223427486</v>
      </c>
      <c r="AH1092" s="310" t="s">
        <v>2842</v>
      </c>
      <c r="AI1092" s="284">
        <v>225610000</v>
      </c>
      <c r="AJ1092" s="310">
        <v>1.241811221949672</v>
      </c>
      <c r="AK1092" s="284">
        <v>58574842.376535751</v>
      </c>
      <c r="AL1092" s="310">
        <v>4.7830266103506514</v>
      </c>
      <c r="AM1092" s="284">
        <v>68142732.823462442</v>
      </c>
      <c r="AN1092" s="311">
        <v>4.111443996675181</v>
      </c>
      <c r="AO1092" s="284">
        <v>3237713</v>
      </c>
      <c r="AP1092" s="284" t="s">
        <v>2842</v>
      </c>
      <c r="AQ1092" s="284">
        <v>60.386804878048778</v>
      </c>
      <c r="AR1092" s="284">
        <v>74</v>
      </c>
      <c r="AS1092" s="287">
        <v>73.66189</v>
      </c>
      <c r="AT1092" s="312">
        <v>30</v>
      </c>
      <c r="AU1092" s="465" t="s">
        <v>2842</v>
      </c>
      <c r="AV1092" s="287">
        <v>-0.89761016856863196</v>
      </c>
      <c r="AW1092" s="287">
        <v>0.22146606212303999</v>
      </c>
      <c r="AX1092" s="287">
        <v>-0.77444590348986198</v>
      </c>
      <c r="AY1092" s="287">
        <v>-0.40404070074577803</v>
      </c>
      <c r="AZ1092" s="313">
        <v>-0.67571661273399497</v>
      </c>
    </row>
    <row r="1093" spans="1:52" ht="15" customHeight="1">
      <c r="A1093" s="63" t="s">
        <v>343</v>
      </c>
      <c r="B1093" s="53">
        <v>2007</v>
      </c>
      <c r="C1093" s="146" t="s">
        <v>338</v>
      </c>
      <c r="D1093" s="69" t="s">
        <v>81</v>
      </c>
      <c r="E1093" s="27" t="s">
        <v>36</v>
      </c>
      <c r="F1093" s="27" t="s">
        <v>659</v>
      </c>
      <c r="G1093" s="43"/>
      <c r="H1093" s="43"/>
      <c r="I1093" s="43"/>
      <c r="J1093" s="43"/>
      <c r="K1093" s="27"/>
      <c r="L1093" s="28"/>
      <c r="M1093" s="27"/>
      <c r="N1093" s="27"/>
      <c r="O1093" s="18">
        <f>O1094+O1095</f>
        <v>1471083869.5023618</v>
      </c>
      <c r="P1093" s="246">
        <v>175753291.2240898</v>
      </c>
      <c r="Q1093" s="246">
        <v>182576278.74600381</v>
      </c>
      <c r="R1093" s="27" t="s">
        <v>619</v>
      </c>
      <c r="S1093" s="27"/>
      <c r="T1093" s="18"/>
      <c r="U1093" s="27" t="s">
        <v>643</v>
      </c>
      <c r="V1093" s="27"/>
      <c r="W1093" s="30">
        <v>253.30600000000001</v>
      </c>
      <c r="X1093" s="27"/>
      <c r="Y1093" s="27"/>
      <c r="Z1093" s="27">
        <v>36</v>
      </c>
      <c r="AA1093" s="27"/>
      <c r="AB1093" s="27"/>
      <c r="AC1093" s="273">
        <v>175753291.2240898</v>
      </c>
      <c r="AD1093" s="27">
        <v>2837533270.0921087</v>
      </c>
      <c r="AE1093" s="228">
        <v>6.193875965316336E-2</v>
      </c>
      <c r="AF1093" s="27">
        <v>986127937.35511053</v>
      </c>
      <c r="AG1093" s="226">
        <v>0.17822564858620368</v>
      </c>
      <c r="AH1093" s="226">
        <v>0.79404470684381823</v>
      </c>
      <c r="AI1093" s="27">
        <v>347230000</v>
      </c>
      <c r="AJ1093" s="226">
        <v>0.50615814078302512</v>
      </c>
      <c r="AK1093" s="27">
        <v>71804810.570867032</v>
      </c>
      <c r="AL1093" s="226">
        <v>2.4476534347323691</v>
      </c>
      <c r="AM1093" s="27" t="s">
        <v>2842</v>
      </c>
      <c r="AN1093" s="271" t="s">
        <v>2842</v>
      </c>
      <c r="AO1093" s="27">
        <v>3330037</v>
      </c>
      <c r="AP1093" s="27" t="s">
        <v>2842</v>
      </c>
      <c r="AQ1093" s="27">
        <v>60.539463414634156</v>
      </c>
      <c r="AR1093" s="27">
        <v>73.2</v>
      </c>
      <c r="AS1093" s="29">
        <v>74.513229999999993</v>
      </c>
      <c r="AT1093" s="270">
        <v>30</v>
      </c>
      <c r="AU1093" s="464" t="s">
        <v>2842</v>
      </c>
      <c r="AV1093" s="29">
        <v>-0.719411845774661</v>
      </c>
      <c r="AW1093" s="29">
        <v>-0.270483202789224</v>
      </c>
      <c r="AX1093" s="29">
        <v>-0.861156861425044</v>
      </c>
      <c r="AY1093" s="29">
        <v>-0.43931534333615602</v>
      </c>
      <c r="AZ1093" s="60">
        <v>-0.50439882982934003</v>
      </c>
    </row>
    <row r="1094" spans="1:52" ht="15" customHeight="1">
      <c r="A1094" s="63" t="s">
        <v>343</v>
      </c>
      <c r="B1094" s="53">
        <v>2007</v>
      </c>
      <c r="C1094" s="146" t="s">
        <v>338</v>
      </c>
      <c r="D1094" s="69" t="s">
        <v>81</v>
      </c>
      <c r="E1094" s="27" t="s">
        <v>98</v>
      </c>
      <c r="F1094" s="27" t="s">
        <v>98</v>
      </c>
      <c r="G1094" s="43">
        <v>5475000</v>
      </c>
      <c r="H1094" s="43"/>
      <c r="I1094" s="43"/>
      <c r="J1094" s="43"/>
      <c r="K1094" s="27" t="s">
        <v>603</v>
      </c>
      <c r="L1094" s="28">
        <f>71.82*1.0164</f>
        <v>72.997847999999991</v>
      </c>
      <c r="M1094" s="27" t="s">
        <v>626</v>
      </c>
      <c r="N1094" s="27" t="s">
        <v>1588</v>
      </c>
      <c r="O1094" s="18">
        <f>G1094*L1094</f>
        <v>399663217.79999995</v>
      </c>
      <c r="P1094" s="246">
        <v>91445000</v>
      </c>
      <c r="Q1094" s="246">
        <v>91775000</v>
      </c>
      <c r="R1094" s="27"/>
      <c r="S1094" s="27"/>
      <c r="T1094" s="18"/>
      <c r="U1094" s="27"/>
      <c r="V1094" s="27"/>
      <c r="W1094" s="30"/>
      <c r="X1094" s="27"/>
      <c r="Y1094" s="27"/>
      <c r="Z1094" s="27"/>
      <c r="AA1094" s="27"/>
      <c r="AB1094" s="27"/>
      <c r="AC1094" s="273">
        <v>175753291.2240898</v>
      </c>
      <c r="AD1094" s="27">
        <v>2837533270.0921087</v>
      </c>
      <c r="AE1094" s="228">
        <v>6.193875965316336E-2</v>
      </c>
      <c r="AF1094" s="27">
        <v>986127937.35511053</v>
      </c>
      <c r="AG1094" s="226">
        <v>0.17822564858620368</v>
      </c>
      <c r="AH1094" s="226">
        <v>0.79404470684381823</v>
      </c>
      <c r="AI1094" s="27">
        <v>347230000</v>
      </c>
      <c r="AJ1094" s="226">
        <v>0.50615814078302512</v>
      </c>
      <c r="AK1094" s="27">
        <v>71804810.570867032</v>
      </c>
      <c r="AL1094" s="226">
        <v>2.4476534347323691</v>
      </c>
      <c r="AM1094" s="27" t="s">
        <v>2842</v>
      </c>
      <c r="AN1094" s="271" t="s">
        <v>2842</v>
      </c>
      <c r="AO1094" s="27">
        <v>3330037</v>
      </c>
      <c r="AP1094" s="27" t="s">
        <v>2842</v>
      </c>
      <c r="AQ1094" s="27">
        <v>60.539463414634156</v>
      </c>
      <c r="AR1094" s="27">
        <v>73.2</v>
      </c>
      <c r="AS1094" s="29">
        <v>74.513229999999993</v>
      </c>
      <c r="AT1094" s="270">
        <v>30</v>
      </c>
      <c r="AU1094" s="464" t="s">
        <v>2842</v>
      </c>
      <c r="AV1094" s="29">
        <v>-0.719411845774661</v>
      </c>
      <c r="AW1094" s="29">
        <v>-0.270483202789224</v>
      </c>
      <c r="AX1094" s="29">
        <v>-0.861156861425044</v>
      </c>
      <c r="AY1094" s="29">
        <v>-0.43931534333615602</v>
      </c>
      <c r="AZ1094" s="60">
        <v>-0.50439882982934003</v>
      </c>
    </row>
    <row r="1095" spans="1:52" ht="15" customHeight="1">
      <c r="A1095" s="63" t="s">
        <v>343</v>
      </c>
      <c r="B1095" s="53">
        <v>2007</v>
      </c>
      <c r="C1095" s="146" t="s">
        <v>338</v>
      </c>
      <c r="D1095" s="69" t="s">
        <v>81</v>
      </c>
      <c r="E1095" s="27" t="s">
        <v>19</v>
      </c>
      <c r="F1095" s="27" t="s">
        <v>559</v>
      </c>
      <c r="G1095" s="43"/>
      <c r="H1095" s="43"/>
      <c r="I1095" s="43"/>
      <c r="J1095" s="43"/>
      <c r="K1095" s="27"/>
      <c r="L1095" s="28"/>
      <c r="M1095" s="27"/>
      <c r="N1095" s="27"/>
      <c r="O1095" s="18">
        <f>SUM(O1096:O1098)</f>
        <v>1071420651.7023619</v>
      </c>
      <c r="P1095" s="246">
        <v>84308291.224089816</v>
      </c>
      <c r="Q1095" s="246">
        <v>90801278.746003807</v>
      </c>
      <c r="R1095" s="27"/>
      <c r="S1095" s="27"/>
      <c r="T1095" s="18"/>
      <c r="U1095" s="27"/>
      <c r="V1095" s="27"/>
      <c r="W1095" s="30"/>
      <c r="X1095" s="27"/>
      <c r="Y1095" s="27"/>
      <c r="Z1095" s="27"/>
      <c r="AA1095" s="27"/>
      <c r="AB1095" s="27"/>
      <c r="AC1095" s="273">
        <v>175753291.2240898</v>
      </c>
      <c r="AD1095" s="27">
        <v>2837533270.0921087</v>
      </c>
      <c r="AE1095" s="228">
        <v>6.193875965316336E-2</v>
      </c>
      <c r="AF1095" s="27">
        <v>986127937.35511053</v>
      </c>
      <c r="AG1095" s="226">
        <v>0.17822564858620368</v>
      </c>
      <c r="AH1095" s="226">
        <v>0.79404470684381823</v>
      </c>
      <c r="AI1095" s="27">
        <v>347230000</v>
      </c>
      <c r="AJ1095" s="226">
        <v>0.50615814078302512</v>
      </c>
      <c r="AK1095" s="27">
        <v>71804810.570867032</v>
      </c>
      <c r="AL1095" s="226">
        <v>2.4476534347323691</v>
      </c>
      <c r="AM1095" s="27" t="s">
        <v>2842</v>
      </c>
      <c r="AN1095" s="271" t="s">
        <v>2842</v>
      </c>
      <c r="AO1095" s="27">
        <v>3330037</v>
      </c>
      <c r="AP1095" s="27" t="s">
        <v>2842</v>
      </c>
      <c r="AQ1095" s="27">
        <v>60.539463414634156</v>
      </c>
      <c r="AR1095" s="27">
        <v>73.2</v>
      </c>
      <c r="AS1095" s="29">
        <v>74.513229999999993</v>
      </c>
      <c r="AT1095" s="270">
        <v>30</v>
      </c>
      <c r="AU1095" s="464" t="s">
        <v>2842</v>
      </c>
      <c r="AV1095" s="29">
        <v>-0.719411845774661</v>
      </c>
      <c r="AW1095" s="29">
        <v>-0.270483202789224</v>
      </c>
      <c r="AX1095" s="29">
        <v>-0.861156861425044</v>
      </c>
      <c r="AY1095" s="29">
        <v>-0.43931534333615602</v>
      </c>
      <c r="AZ1095" s="60">
        <v>-0.50439882982934003</v>
      </c>
    </row>
    <row r="1096" spans="1:52" ht="15" customHeight="1">
      <c r="A1096" s="63" t="s">
        <v>343</v>
      </c>
      <c r="B1096" s="53">
        <v>2007</v>
      </c>
      <c r="C1096" s="146" t="s">
        <v>338</v>
      </c>
      <c r="D1096" s="69" t="s">
        <v>81</v>
      </c>
      <c r="E1096" s="27" t="s">
        <v>19</v>
      </c>
      <c r="F1096" s="27" t="s">
        <v>1589</v>
      </c>
      <c r="G1096" s="43">
        <v>31956</v>
      </c>
      <c r="H1096" s="43"/>
      <c r="I1096" s="43"/>
      <c r="J1096" s="43"/>
      <c r="K1096" s="27" t="s">
        <v>567</v>
      </c>
      <c r="L1096" s="44">
        <f>7118.226*0.6815</f>
        <v>4851.071019</v>
      </c>
      <c r="M1096" s="27" t="s">
        <v>568</v>
      </c>
      <c r="N1096" s="68" t="s">
        <v>1590</v>
      </c>
      <c r="O1096" s="18">
        <f>G1096*L1096</f>
        <v>155020825.48316401</v>
      </c>
      <c r="P1096" s="246"/>
      <c r="Q1096" s="246"/>
      <c r="R1096" s="27"/>
      <c r="S1096" s="27"/>
      <c r="T1096" s="18"/>
      <c r="U1096" s="27"/>
      <c r="V1096" s="27"/>
      <c r="W1096" s="30"/>
      <c r="X1096" s="27"/>
      <c r="Y1096" s="27"/>
      <c r="Z1096" s="27"/>
      <c r="AA1096" s="27"/>
      <c r="AB1096" s="27"/>
      <c r="AC1096" s="273">
        <v>175753291.2240898</v>
      </c>
      <c r="AD1096" s="27">
        <v>2837533270.0921087</v>
      </c>
      <c r="AE1096" s="228">
        <v>6.193875965316336E-2</v>
      </c>
      <c r="AF1096" s="27">
        <v>986127937.35511053</v>
      </c>
      <c r="AG1096" s="226">
        <v>0.17822564858620368</v>
      </c>
      <c r="AH1096" s="226">
        <v>0.79404470684381823</v>
      </c>
      <c r="AI1096" s="27">
        <v>347230000</v>
      </c>
      <c r="AJ1096" s="226">
        <v>0.50615814078302512</v>
      </c>
      <c r="AK1096" s="27">
        <v>71804810.570867032</v>
      </c>
      <c r="AL1096" s="226">
        <v>2.4476534347323691</v>
      </c>
      <c r="AM1096" s="27" t="s">
        <v>2842</v>
      </c>
      <c r="AN1096" s="271" t="s">
        <v>2842</v>
      </c>
      <c r="AO1096" s="27">
        <v>3330037</v>
      </c>
      <c r="AP1096" s="27" t="s">
        <v>2842</v>
      </c>
      <c r="AQ1096" s="27">
        <v>60.539463414634156</v>
      </c>
      <c r="AR1096" s="27">
        <v>73.2</v>
      </c>
      <c r="AS1096" s="29">
        <v>74.513229999999993</v>
      </c>
      <c r="AT1096" s="270">
        <v>30</v>
      </c>
      <c r="AU1096" s="464" t="s">
        <v>2842</v>
      </c>
      <c r="AV1096" s="29">
        <v>-0.719411845774661</v>
      </c>
      <c r="AW1096" s="29">
        <v>-0.270483202789224</v>
      </c>
      <c r="AX1096" s="29">
        <v>-0.861156861425044</v>
      </c>
      <c r="AY1096" s="29">
        <v>-0.43931534333615602</v>
      </c>
      <c r="AZ1096" s="60">
        <v>-0.50439882982934003</v>
      </c>
    </row>
    <row r="1097" spans="1:52" ht="15" customHeight="1">
      <c r="A1097" s="63" t="s">
        <v>343</v>
      </c>
      <c r="B1097" s="53">
        <v>2007</v>
      </c>
      <c r="C1097" s="146" t="s">
        <v>338</v>
      </c>
      <c r="D1097" s="69" t="s">
        <v>81</v>
      </c>
      <c r="E1097" s="27" t="s">
        <v>19</v>
      </c>
      <c r="F1097" s="27" t="s">
        <v>730</v>
      </c>
      <c r="G1097" s="43">
        <f>2251*32.150743126506</f>
        <v>72371.322777765003</v>
      </c>
      <c r="H1097" s="43"/>
      <c r="I1097" s="43"/>
      <c r="J1097" s="43"/>
      <c r="K1097" s="27" t="s">
        <v>731</v>
      </c>
      <c r="L1097" s="28">
        <f>696.72025*0.9842</f>
        <v>685.71207004999997</v>
      </c>
      <c r="M1097" s="27" t="s">
        <v>732</v>
      </c>
      <c r="N1097" s="68" t="s">
        <v>1591</v>
      </c>
      <c r="O1097" s="18">
        <f>G1097*L1097</f>
        <v>49625889.554197952</v>
      </c>
      <c r="P1097" s="246"/>
      <c r="Q1097" s="246"/>
      <c r="R1097" s="27"/>
      <c r="S1097" s="27"/>
      <c r="T1097" s="18"/>
      <c r="U1097" s="27"/>
      <c r="V1097" s="27"/>
      <c r="W1097" s="30"/>
      <c r="X1097" s="27"/>
      <c r="Y1097" s="27"/>
      <c r="Z1097" s="27"/>
      <c r="AA1097" s="27"/>
      <c r="AB1097" s="27"/>
      <c r="AC1097" s="273">
        <v>175753291.2240898</v>
      </c>
      <c r="AD1097" s="27">
        <v>2837533270.0921087</v>
      </c>
      <c r="AE1097" s="228">
        <v>6.193875965316336E-2</v>
      </c>
      <c r="AF1097" s="27">
        <v>986127937.35511053</v>
      </c>
      <c r="AG1097" s="226">
        <v>0.17822564858620368</v>
      </c>
      <c r="AH1097" s="226">
        <v>0.79404470684381823</v>
      </c>
      <c r="AI1097" s="27">
        <v>347230000</v>
      </c>
      <c r="AJ1097" s="226">
        <v>0.50615814078302512</v>
      </c>
      <c r="AK1097" s="27">
        <v>71804810.570867032</v>
      </c>
      <c r="AL1097" s="226">
        <v>2.4476534347323691</v>
      </c>
      <c r="AM1097" s="27" t="s">
        <v>2842</v>
      </c>
      <c r="AN1097" s="271" t="s">
        <v>2842</v>
      </c>
      <c r="AO1097" s="27">
        <v>3330037</v>
      </c>
      <c r="AP1097" s="27" t="s">
        <v>2842</v>
      </c>
      <c r="AQ1097" s="27">
        <v>60.539463414634156</v>
      </c>
      <c r="AR1097" s="27">
        <v>73.2</v>
      </c>
      <c r="AS1097" s="29">
        <v>74.513229999999993</v>
      </c>
      <c r="AT1097" s="270">
        <v>30</v>
      </c>
      <c r="AU1097" s="464" t="s">
        <v>2842</v>
      </c>
      <c r="AV1097" s="29">
        <v>-0.719411845774661</v>
      </c>
      <c r="AW1097" s="29">
        <v>-0.270483202789224</v>
      </c>
      <c r="AX1097" s="29">
        <v>-0.861156861425044</v>
      </c>
      <c r="AY1097" s="29">
        <v>-0.43931534333615602</v>
      </c>
      <c r="AZ1097" s="60">
        <v>-0.50439882982934003</v>
      </c>
    </row>
    <row r="1098" spans="1:52" s="287" customFormat="1" ht="15" customHeight="1">
      <c r="A1098" s="359" t="s">
        <v>343</v>
      </c>
      <c r="B1098" s="302">
        <v>2007</v>
      </c>
      <c r="C1098" s="383" t="s">
        <v>338</v>
      </c>
      <c r="D1098" s="369" t="s">
        <v>81</v>
      </c>
      <c r="E1098" s="284" t="s">
        <v>19</v>
      </c>
      <c r="F1098" s="284" t="s">
        <v>1133</v>
      </c>
      <c r="G1098" s="303">
        <v>11817000</v>
      </c>
      <c r="H1098" s="303"/>
      <c r="I1098" s="303"/>
      <c r="J1098" s="303"/>
      <c r="K1098" s="284" t="s">
        <v>567</v>
      </c>
      <c r="L1098" s="304">
        <f>122.9875*0.5964</f>
        <v>73.349744999999999</v>
      </c>
      <c r="M1098" s="284" t="s">
        <v>568</v>
      </c>
      <c r="N1098" s="286" t="s">
        <v>1587</v>
      </c>
      <c r="O1098" s="305">
        <f>G1098*L1098</f>
        <v>866773936.66499996</v>
      </c>
      <c r="P1098" s="320"/>
      <c r="Q1098" s="320"/>
      <c r="R1098" s="284"/>
      <c r="S1098" s="284"/>
      <c r="T1098" s="305"/>
      <c r="U1098" s="284"/>
      <c r="V1098" s="284"/>
      <c r="W1098" s="307"/>
      <c r="X1098" s="284"/>
      <c r="Y1098" s="284"/>
      <c r="Z1098" s="284"/>
      <c r="AA1098" s="284"/>
      <c r="AB1098" s="284"/>
      <c r="AC1098" s="308">
        <v>175753291.2240898</v>
      </c>
      <c r="AD1098" s="284">
        <v>2837533270.0921087</v>
      </c>
      <c r="AE1098" s="309">
        <v>6.193875965316336E-2</v>
      </c>
      <c r="AF1098" s="284">
        <v>986127937.35511053</v>
      </c>
      <c r="AG1098" s="310">
        <v>0.17822564858620368</v>
      </c>
      <c r="AH1098" s="310">
        <v>0.79404470684381823</v>
      </c>
      <c r="AI1098" s="284">
        <v>347230000</v>
      </c>
      <c r="AJ1098" s="310">
        <v>0.50615814078302512</v>
      </c>
      <c r="AK1098" s="284">
        <v>71804810.570867032</v>
      </c>
      <c r="AL1098" s="310">
        <v>2.4476534347323691</v>
      </c>
      <c r="AM1098" s="284" t="s">
        <v>2842</v>
      </c>
      <c r="AN1098" s="311" t="s">
        <v>2842</v>
      </c>
      <c r="AO1098" s="284">
        <v>3330037</v>
      </c>
      <c r="AP1098" s="284" t="s">
        <v>2842</v>
      </c>
      <c r="AQ1098" s="284">
        <v>60.539463414634156</v>
      </c>
      <c r="AR1098" s="284">
        <v>73.2</v>
      </c>
      <c r="AS1098" s="287">
        <v>74.513229999999993</v>
      </c>
      <c r="AT1098" s="312">
        <v>30</v>
      </c>
      <c r="AU1098" s="465" t="s">
        <v>2842</v>
      </c>
      <c r="AV1098" s="287">
        <v>-0.719411845774661</v>
      </c>
      <c r="AW1098" s="287">
        <v>-0.270483202789224</v>
      </c>
      <c r="AX1098" s="287">
        <v>-0.861156861425044</v>
      </c>
      <c r="AY1098" s="287">
        <v>-0.43931534333615602</v>
      </c>
      <c r="AZ1098" s="313">
        <v>-0.50439882982934003</v>
      </c>
    </row>
    <row r="1099" spans="1:52" s="29" customFormat="1" ht="15" customHeight="1">
      <c r="A1099" s="347" t="s">
        <v>346</v>
      </c>
      <c r="B1099" s="53">
        <v>2008</v>
      </c>
      <c r="C1099" s="146" t="s">
        <v>338</v>
      </c>
      <c r="D1099" s="69" t="s">
        <v>81</v>
      </c>
      <c r="E1099" s="27" t="s">
        <v>36</v>
      </c>
      <c r="F1099" s="27" t="s">
        <v>659</v>
      </c>
      <c r="G1099" s="43"/>
      <c r="H1099" s="43"/>
      <c r="I1099" s="43"/>
      <c r="J1099" s="43"/>
      <c r="K1099" s="27"/>
      <c r="L1099" s="28"/>
      <c r="M1099" s="27"/>
      <c r="N1099" s="27"/>
      <c r="O1099" s="18">
        <f>O1100+O1101</f>
        <v>1846849616.6573961</v>
      </c>
      <c r="P1099" s="246">
        <v>231365651.58618</v>
      </c>
      <c r="Q1099" s="246">
        <v>234899503.96719909</v>
      </c>
      <c r="R1099" s="27" t="s">
        <v>619</v>
      </c>
      <c r="S1099" s="27"/>
      <c r="T1099" s="18"/>
      <c r="U1099" s="27" t="s">
        <v>643</v>
      </c>
      <c r="V1099" s="27"/>
      <c r="W1099" s="30">
        <v>237.613</v>
      </c>
      <c r="X1099" s="27"/>
      <c r="Y1099" s="27"/>
      <c r="Z1099" s="27">
        <v>36</v>
      </c>
      <c r="AA1099" s="27"/>
      <c r="AB1099" s="27"/>
      <c r="AC1099" s="273">
        <v>231365651.58618</v>
      </c>
      <c r="AD1099" s="27">
        <v>3585284791.6044822</v>
      </c>
      <c r="AE1099" s="228">
        <v>6.4532014898219428E-2</v>
      </c>
      <c r="AF1099" s="27">
        <v>1269370080.4675667</v>
      </c>
      <c r="AG1099" s="226">
        <v>0.18226808331653563</v>
      </c>
      <c r="AH1099" s="226">
        <v>0.75763625249020705</v>
      </c>
      <c r="AI1099" s="27">
        <v>452160000</v>
      </c>
      <c r="AJ1099" s="226">
        <v>0.51168978146271227</v>
      </c>
      <c r="AK1099" s="27">
        <v>80324653.299494788</v>
      </c>
      <c r="AL1099" s="226">
        <v>2.8803815775403443</v>
      </c>
      <c r="AM1099" s="27">
        <v>135449549.72746322</v>
      </c>
      <c r="AN1099" s="271">
        <v>1.7081315667103263</v>
      </c>
      <c r="AO1099" s="27">
        <v>3422901</v>
      </c>
      <c r="AP1099" s="27">
        <v>42</v>
      </c>
      <c r="AQ1099" s="27">
        <v>60.697512195121959</v>
      </c>
      <c r="AR1099" s="27">
        <v>72.2</v>
      </c>
      <c r="AS1099" s="29">
        <v>71.053460000000001</v>
      </c>
      <c r="AT1099" s="270">
        <v>30</v>
      </c>
      <c r="AU1099" s="464" t="s">
        <v>2842</v>
      </c>
      <c r="AV1099" s="29">
        <v>-0.98639064816681798</v>
      </c>
      <c r="AW1099" s="29">
        <v>-0.65123026580045196</v>
      </c>
      <c r="AX1099" s="29">
        <v>-0.94728362130687505</v>
      </c>
      <c r="AY1099" s="29">
        <v>-0.63391364105046599</v>
      </c>
      <c r="AZ1099" s="60">
        <v>-0.72140886317123198</v>
      </c>
    </row>
    <row r="1100" spans="1:52" s="29" customFormat="1" ht="15" customHeight="1">
      <c r="A1100" s="63" t="s">
        <v>346</v>
      </c>
      <c r="B1100" s="53">
        <v>2008</v>
      </c>
      <c r="C1100" s="146" t="s">
        <v>338</v>
      </c>
      <c r="D1100" s="69" t="s">
        <v>81</v>
      </c>
      <c r="E1100" s="27" t="s">
        <v>98</v>
      </c>
      <c r="F1100" s="27" t="s">
        <v>98</v>
      </c>
      <c r="G1100" s="43">
        <v>4672000</v>
      </c>
      <c r="H1100" s="43"/>
      <c r="I1100" s="43"/>
      <c r="J1100" s="43"/>
      <c r="K1100" s="27" t="s">
        <v>603</v>
      </c>
      <c r="L1100" s="28">
        <f>98.27*1.0164</f>
        <v>99.881627999999992</v>
      </c>
      <c r="M1100" s="27" t="s">
        <v>626</v>
      </c>
      <c r="N1100" s="27" t="s">
        <v>1588</v>
      </c>
      <c r="O1100" s="18">
        <f>G1100*L1100</f>
        <v>466646966.01599997</v>
      </c>
      <c r="P1100" s="246">
        <v>88748000</v>
      </c>
      <c r="Q1100" s="246">
        <v>88873000</v>
      </c>
      <c r="R1100" s="27"/>
      <c r="S1100" s="27"/>
      <c r="T1100" s="18"/>
      <c r="U1100" s="27"/>
      <c r="V1100" s="27"/>
      <c r="W1100" s="30"/>
      <c r="X1100" s="27"/>
      <c r="Y1100" s="27"/>
      <c r="Z1100" s="27"/>
      <c r="AA1100" s="27"/>
      <c r="AB1100" s="27"/>
      <c r="AC1100" s="273">
        <v>231365651.58618</v>
      </c>
      <c r="AD1100" s="27">
        <v>3585284791.6044822</v>
      </c>
      <c r="AE1100" s="228">
        <v>6.4532014898219428E-2</v>
      </c>
      <c r="AF1100" s="27">
        <v>1269370080.4675667</v>
      </c>
      <c r="AG1100" s="226">
        <v>0.18226808331653563</v>
      </c>
      <c r="AH1100" s="226">
        <v>0.75763625249020705</v>
      </c>
      <c r="AI1100" s="27">
        <v>452160000</v>
      </c>
      <c r="AJ1100" s="226">
        <v>0.51168978146271227</v>
      </c>
      <c r="AK1100" s="27">
        <v>80324653.299494788</v>
      </c>
      <c r="AL1100" s="226">
        <v>2.8803815775403443</v>
      </c>
      <c r="AM1100" s="27">
        <v>135449549.72746322</v>
      </c>
      <c r="AN1100" s="271">
        <v>1.7081315667103263</v>
      </c>
      <c r="AO1100" s="27">
        <v>3422901</v>
      </c>
      <c r="AP1100" s="27">
        <v>42</v>
      </c>
      <c r="AQ1100" s="27">
        <v>60.697512195121959</v>
      </c>
      <c r="AR1100" s="27">
        <v>72.2</v>
      </c>
      <c r="AS1100" s="29">
        <v>71.053460000000001</v>
      </c>
      <c r="AT1100" s="270">
        <v>30</v>
      </c>
      <c r="AU1100" s="464" t="s">
        <v>2842</v>
      </c>
      <c r="AV1100" s="29">
        <v>-0.98639064816681798</v>
      </c>
      <c r="AW1100" s="29">
        <v>-0.65123026580045196</v>
      </c>
      <c r="AX1100" s="29">
        <v>-0.94728362130687505</v>
      </c>
      <c r="AY1100" s="29">
        <v>-0.63391364105046599</v>
      </c>
      <c r="AZ1100" s="60">
        <v>-0.72140886317123198</v>
      </c>
    </row>
    <row r="1101" spans="1:52" s="29" customFormat="1" ht="15" customHeight="1">
      <c r="A1101" s="63" t="s">
        <v>346</v>
      </c>
      <c r="B1101" s="53">
        <v>2008</v>
      </c>
      <c r="C1101" s="146" t="s">
        <v>338</v>
      </c>
      <c r="D1101" s="69" t="s">
        <v>81</v>
      </c>
      <c r="E1101" s="27" t="s">
        <v>19</v>
      </c>
      <c r="F1101" s="27" t="s">
        <v>559</v>
      </c>
      <c r="G1101" s="43"/>
      <c r="H1101" s="43"/>
      <c r="I1101" s="43"/>
      <c r="J1101" s="43"/>
      <c r="K1101" s="27"/>
      <c r="L1101" s="28"/>
      <c r="M1101" s="27"/>
      <c r="N1101" s="27"/>
      <c r="O1101" s="18">
        <f>SUM(O1102:O1104)</f>
        <v>1380202650.641396</v>
      </c>
      <c r="P1101" s="246">
        <v>142617651.58618009</v>
      </c>
      <c r="Q1101" s="246">
        <v>146026503.96719909</v>
      </c>
      <c r="R1101" s="27"/>
      <c r="S1101" s="27"/>
      <c r="T1101" s="18"/>
      <c r="U1101" s="27"/>
      <c r="V1101" s="27"/>
      <c r="W1101" s="30"/>
      <c r="X1101" s="27"/>
      <c r="Y1101" s="27"/>
      <c r="Z1101" s="27"/>
      <c r="AA1101" s="27"/>
      <c r="AB1101" s="27"/>
      <c r="AC1101" s="273">
        <v>231365651.58618</v>
      </c>
      <c r="AD1101" s="27">
        <v>3585284791.6044822</v>
      </c>
      <c r="AE1101" s="228">
        <v>6.4532014898219428E-2</v>
      </c>
      <c r="AF1101" s="27">
        <v>1269370080.4675667</v>
      </c>
      <c r="AG1101" s="226">
        <v>0.18226808331653563</v>
      </c>
      <c r="AH1101" s="226">
        <v>0.75763625249020705</v>
      </c>
      <c r="AI1101" s="27">
        <v>452160000</v>
      </c>
      <c r="AJ1101" s="226">
        <v>0.51168978146271227</v>
      </c>
      <c r="AK1101" s="27">
        <v>80324653.299494788</v>
      </c>
      <c r="AL1101" s="226">
        <v>2.8803815775403443</v>
      </c>
      <c r="AM1101" s="27">
        <v>135449549.72746322</v>
      </c>
      <c r="AN1101" s="271">
        <v>1.7081315667103263</v>
      </c>
      <c r="AO1101" s="27">
        <v>3422901</v>
      </c>
      <c r="AP1101" s="27">
        <v>42</v>
      </c>
      <c r="AQ1101" s="27">
        <v>60.697512195121959</v>
      </c>
      <c r="AR1101" s="27">
        <v>72.2</v>
      </c>
      <c r="AS1101" s="29">
        <v>71.053460000000001</v>
      </c>
      <c r="AT1101" s="270">
        <v>30</v>
      </c>
      <c r="AU1101" s="464" t="s">
        <v>2842</v>
      </c>
      <c r="AV1101" s="29">
        <v>-0.98639064816681798</v>
      </c>
      <c r="AW1101" s="29">
        <v>-0.65123026580045196</v>
      </c>
      <c r="AX1101" s="29">
        <v>-0.94728362130687505</v>
      </c>
      <c r="AY1101" s="29">
        <v>-0.63391364105046599</v>
      </c>
      <c r="AZ1101" s="60">
        <v>-0.72140886317123198</v>
      </c>
    </row>
    <row r="1102" spans="1:52" s="29" customFormat="1" ht="15" customHeight="1">
      <c r="A1102" s="63" t="s">
        <v>346</v>
      </c>
      <c r="B1102" s="53">
        <v>2008</v>
      </c>
      <c r="C1102" s="146" t="s">
        <v>338</v>
      </c>
      <c r="D1102" s="69" t="s">
        <v>81</v>
      </c>
      <c r="E1102" s="27" t="s">
        <v>19</v>
      </c>
      <c r="F1102" s="27" t="s">
        <v>1589</v>
      </c>
      <c r="G1102" s="43">
        <v>33073</v>
      </c>
      <c r="H1102" s="43"/>
      <c r="I1102" s="43"/>
      <c r="J1102" s="43"/>
      <c r="K1102" s="27" t="s">
        <v>567</v>
      </c>
      <c r="L1102" s="44">
        <f>6955.87983333333*0.6815</f>
        <v>4740.4321064166643</v>
      </c>
      <c r="M1102" s="27" t="s">
        <v>568</v>
      </c>
      <c r="N1102" s="68" t="s">
        <v>1592</v>
      </c>
      <c r="O1102" s="18">
        <f>G1102*L1102</f>
        <v>156780311.05551833</v>
      </c>
      <c r="P1102" s="246"/>
      <c r="Q1102" s="246"/>
      <c r="R1102" s="27"/>
      <c r="S1102" s="27"/>
      <c r="T1102" s="18"/>
      <c r="U1102" s="27"/>
      <c r="V1102" s="27"/>
      <c r="W1102" s="30"/>
      <c r="X1102" s="27"/>
      <c r="Y1102" s="27"/>
      <c r="Z1102" s="27"/>
      <c r="AA1102" s="27"/>
      <c r="AB1102" s="27"/>
      <c r="AC1102" s="273">
        <v>231365651.58618</v>
      </c>
      <c r="AD1102" s="27">
        <v>3585284791.6044822</v>
      </c>
      <c r="AE1102" s="228">
        <v>6.4532014898219428E-2</v>
      </c>
      <c r="AF1102" s="27">
        <v>1269370080.4675667</v>
      </c>
      <c r="AG1102" s="226">
        <v>0.18226808331653563</v>
      </c>
      <c r="AH1102" s="226">
        <v>0.75763625249020705</v>
      </c>
      <c r="AI1102" s="27">
        <v>452160000</v>
      </c>
      <c r="AJ1102" s="226">
        <v>0.51168978146271227</v>
      </c>
      <c r="AK1102" s="27">
        <v>80324653.299494788</v>
      </c>
      <c r="AL1102" s="226">
        <v>2.8803815775403443</v>
      </c>
      <c r="AM1102" s="27">
        <v>135449549.72746322</v>
      </c>
      <c r="AN1102" s="271">
        <v>1.7081315667103263</v>
      </c>
      <c r="AO1102" s="27">
        <v>3422901</v>
      </c>
      <c r="AP1102" s="27">
        <v>42</v>
      </c>
      <c r="AQ1102" s="27">
        <v>60.697512195121959</v>
      </c>
      <c r="AR1102" s="27">
        <v>72.2</v>
      </c>
      <c r="AS1102" s="29">
        <v>71.053460000000001</v>
      </c>
      <c r="AT1102" s="270">
        <v>30</v>
      </c>
      <c r="AU1102" s="464" t="s">
        <v>2842</v>
      </c>
      <c r="AV1102" s="29">
        <v>-0.98639064816681798</v>
      </c>
      <c r="AW1102" s="29">
        <v>-0.65123026580045196</v>
      </c>
      <c r="AX1102" s="29">
        <v>-0.94728362130687505</v>
      </c>
      <c r="AY1102" s="29">
        <v>-0.63391364105046599</v>
      </c>
      <c r="AZ1102" s="60">
        <v>-0.72140886317123198</v>
      </c>
    </row>
    <row r="1103" spans="1:52" s="29" customFormat="1" ht="15" customHeight="1">
      <c r="A1103" s="63" t="s">
        <v>346</v>
      </c>
      <c r="B1103" s="53">
        <v>2008</v>
      </c>
      <c r="C1103" s="146" t="s">
        <v>338</v>
      </c>
      <c r="D1103" s="69" t="s">
        <v>81</v>
      </c>
      <c r="E1103" s="27" t="s">
        <v>19</v>
      </c>
      <c r="F1103" s="27" t="s">
        <v>730</v>
      </c>
      <c r="G1103" s="43">
        <f>6254*32.150743126506</f>
        <v>201070.74751316852</v>
      </c>
      <c r="H1103" s="43"/>
      <c r="I1103" s="43"/>
      <c r="J1103" s="43"/>
      <c r="K1103" s="27" t="s">
        <v>731</v>
      </c>
      <c r="L1103" s="28">
        <f>871.70725*0.9842</f>
        <v>857.93427544999997</v>
      </c>
      <c r="M1103" s="27" t="s">
        <v>732</v>
      </c>
      <c r="N1103" s="68" t="s">
        <v>1593</v>
      </c>
      <c r="O1103" s="18">
        <f>G1103*L1103</f>
        <v>172505486.08190012</v>
      </c>
      <c r="P1103" s="246"/>
      <c r="Q1103" s="246"/>
      <c r="R1103" s="27"/>
      <c r="S1103" s="27"/>
      <c r="T1103" s="18"/>
      <c r="U1103" s="27"/>
      <c r="V1103" s="27"/>
      <c r="W1103" s="30"/>
      <c r="X1103" s="27"/>
      <c r="Y1103" s="27"/>
      <c r="Z1103" s="27"/>
      <c r="AA1103" s="27"/>
      <c r="AB1103" s="27"/>
      <c r="AC1103" s="273">
        <v>231365651.58618</v>
      </c>
      <c r="AD1103" s="27">
        <v>3585284791.6044822</v>
      </c>
      <c r="AE1103" s="228">
        <v>6.4532014898219428E-2</v>
      </c>
      <c r="AF1103" s="27">
        <v>1269370080.4675667</v>
      </c>
      <c r="AG1103" s="226">
        <v>0.18226808331653563</v>
      </c>
      <c r="AH1103" s="226">
        <v>0.75763625249020705</v>
      </c>
      <c r="AI1103" s="27">
        <v>452160000</v>
      </c>
      <c r="AJ1103" s="226">
        <v>0.51168978146271227</v>
      </c>
      <c r="AK1103" s="27">
        <v>80324653.299494788</v>
      </c>
      <c r="AL1103" s="226">
        <v>2.8803815775403443</v>
      </c>
      <c r="AM1103" s="27">
        <v>135449549.72746322</v>
      </c>
      <c r="AN1103" s="271">
        <v>1.7081315667103263</v>
      </c>
      <c r="AO1103" s="27">
        <v>3422901</v>
      </c>
      <c r="AP1103" s="27">
        <v>42</v>
      </c>
      <c r="AQ1103" s="27">
        <v>60.697512195121959</v>
      </c>
      <c r="AR1103" s="27">
        <v>72.2</v>
      </c>
      <c r="AS1103" s="29">
        <v>71.053460000000001</v>
      </c>
      <c r="AT1103" s="270">
        <v>30</v>
      </c>
      <c r="AU1103" s="464" t="s">
        <v>2842</v>
      </c>
      <c r="AV1103" s="29">
        <v>-0.98639064816681798</v>
      </c>
      <c r="AW1103" s="29">
        <v>-0.65123026580045196</v>
      </c>
      <c r="AX1103" s="29">
        <v>-0.94728362130687505</v>
      </c>
      <c r="AY1103" s="29">
        <v>-0.63391364105046599</v>
      </c>
      <c r="AZ1103" s="60">
        <v>-0.72140886317123198</v>
      </c>
    </row>
    <row r="1104" spans="1:52" s="287" customFormat="1" ht="15" customHeight="1">
      <c r="A1104" s="359" t="s">
        <v>346</v>
      </c>
      <c r="B1104" s="302">
        <v>2008</v>
      </c>
      <c r="C1104" s="383" t="s">
        <v>338</v>
      </c>
      <c r="D1104" s="369" t="s">
        <v>81</v>
      </c>
      <c r="E1104" s="284" t="s">
        <v>19</v>
      </c>
      <c r="F1104" s="284" t="s">
        <v>1133</v>
      </c>
      <c r="G1104" s="303">
        <v>11296000</v>
      </c>
      <c r="H1104" s="303"/>
      <c r="I1104" s="303"/>
      <c r="J1104" s="303"/>
      <c r="K1104" s="284" t="s">
        <v>567</v>
      </c>
      <c r="L1104" s="304">
        <f>155.99333333333*0.5964</f>
        <v>93.034423999998026</v>
      </c>
      <c r="M1104" s="284" t="s">
        <v>568</v>
      </c>
      <c r="N1104" s="286" t="s">
        <v>1594</v>
      </c>
      <c r="O1104" s="305">
        <f>G1104*L1104</f>
        <v>1050916853.5039777</v>
      </c>
      <c r="P1104" s="320"/>
      <c r="Q1104" s="320"/>
      <c r="R1104" s="284"/>
      <c r="S1104" s="284"/>
      <c r="T1104" s="305"/>
      <c r="U1104" s="284"/>
      <c r="V1104" s="284"/>
      <c r="W1104" s="307"/>
      <c r="X1104" s="284"/>
      <c r="Y1104" s="284"/>
      <c r="Z1104" s="284"/>
      <c r="AA1104" s="284"/>
      <c r="AB1104" s="284"/>
      <c r="AC1104" s="308">
        <v>231365651.58618</v>
      </c>
      <c r="AD1104" s="284">
        <v>3585284791.6044822</v>
      </c>
      <c r="AE1104" s="309">
        <v>6.4532014898219428E-2</v>
      </c>
      <c r="AF1104" s="284">
        <v>1269370080.4675667</v>
      </c>
      <c r="AG1104" s="310">
        <v>0.18226808331653563</v>
      </c>
      <c r="AH1104" s="310">
        <v>0.75763625249020705</v>
      </c>
      <c r="AI1104" s="284">
        <v>452160000</v>
      </c>
      <c r="AJ1104" s="310">
        <v>0.51168978146271227</v>
      </c>
      <c r="AK1104" s="284">
        <v>80324653.299494788</v>
      </c>
      <c r="AL1104" s="310">
        <v>2.8803815775403443</v>
      </c>
      <c r="AM1104" s="284">
        <v>135449549.72746322</v>
      </c>
      <c r="AN1104" s="311">
        <v>1.7081315667103263</v>
      </c>
      <c r="AO1104" s="284">
        <v>3422901</v>
      </c>
      <c r="AP1104" s="284">
        <v>42</v>
      </c>
      <c r="AQ1104" s="284">
        <v>60.697512195121959</v>
      </c>
      <c r="AR1104" s="284">
        <v>72.2</v>
      </c>
      <c r="AS1104" s="287">
        <v>71.053460000000001</v>
      </c>
      <c r="AT1104" s="312">
        <v>30</v>
      </c>
      <c r="AU1104" s="465" t="s">
        <v>2842</v>
      </c>
      <c r="AV1104" s="287">
        <v>-0.98639064816681798</v>
      </c>
      <c r="AW1104" s="287">
        <v>-0.65123026580045196</v>
      </c>
      <c r="AX1104" s="287">
        <v>-0.94728362130687505</v>
      </c>
      <c r="AY1104" s="287">
        <v>-0.63391364105046599</v>
      </c>
      <c r="AZ1104" s="313">
        <v>-0.72140886317123198</v>
      </c>
    </row>
    <row r="1105" spans="1:52" ht="15" customHeight="1">
      <c r="A1105" s="63" t="s">
        <v>347</v>
      </c>
      <c r="B1105" s="53">
        <v>2009</v>
      </c>
      <c r="C1105" s="146" t="s">
        <v>338</v>
      </c>
      <c r="D1105" s="69" t="s">
        <v>81</v>
      </c>
      <c r="E1105" s="27" t="s">
        <v>36</v>
      </c>
      <c r="F1105" s="27" t="s">
        <v>659</v>
      </c>
      <c r="G1105" s="43"/>
      <c r="H1105" s="43"/>
      <c r="I1105" s="43"/>
      <c r="J1105" s="43"/>
      <c r="K1105" s="27"/>
      <c r="L1105" s="28"/>
      <c r="M1105" s="27"/>
      <c r="N1105" s="27"/>
      <c r="O1105" s="18">
        <f>O1106+O1107</f>
        <v>1129676475.1075835</v>
      </c>
      <c r="P1105" s="213">
        <v>191165715.06295663</v>
      </c>
      <c r="Q1105" s="213">
        <v>195416882.63640603</v>
      </c>
      <c r="R1105" s="27" t="s">
        <v>3693</v>
      </c>
      <c r="S1105" s="27"/>
      <c r="T1105" s="18">
        <f>26032000+14727000+8346000</f>
        <v>49105000</v>
      </c>
      <c r="U1105" s="27" t="s">
        <v>721</v>
      </c>
      <c r="V1105" s="27" t="s">
        <v>1595</v>
      </c>
      <c r="W1105" s="30">
        <v>257.32</v>
      </c>
      <c r="X1105" s="27">
        <v>53</v>
      </c>
      <c r="Y1105" s="27" t="s">
        <v>1596</v>
      </c>
      <c r="Z1105" s="27">
        <v>36</v>
      </c>
      <c r="AA1105" s="27" t="s">
        <v>1220</v>
      </c>
      <c r="AB1105" s="27" t="s">
        <v>1597</v>
      </c>
      <c r="AC1105" s="273">
        <v>191165715.06295663</v>
      </c>
      <c r="AD1105" s="27">
        <v>3027020496.1927204</v>
      </c>
      <c r="AE1105" s="228">
        <v>6.3153095693735187E-2</v>
      </c>
      <c r="AF1105" s="27">
        <v>995102717.9183948</v>
      </c>
      <c r="AG1105" s="226">
        <v>0.19210651485592015</v>
      </c>
      <c r="AH1105" s="226" t="s">
        <v>2842</v>
      </c>
      <c r="AI1105" s="27">
        <v>373470000</v>
      </c>
      <c r="AJ1105" s="226">
        <v>0.51186364383473004</v>
      </c>
      <c r="AK1105" s="27">
        <v>102072593.37784305</v>
      </c>
      <c r="AL1105" s="226">
        <v>1.8728407767138506</v>
      </c>
      <c r="AM1105" s="27" t="s">
        <v>2842</v>
      </c>
      <c r="AN1105" s="271" t="s">
        <v>2842</v>
      </c>
      <c r="AO1105" s="27">
        <v>3516077</v>
      </c>
      <c r="AP1105" s="27" t="s">
        <v>2842</v>
      </c>
      <c r="AQ1105" s="27">
        <v>60.859439024390255</v>
      </c>
      <c r="AR1105" s="27">
        <v>71.2</v>
      </c>
      <c r="AS1105" s="29">
        <v>70.378680000000003</v>
      </c>
      <c r="AT1105" s="270">
        <v>30</v>
      </c>
      <c r="AU1105" s="464" t="s">
        <v>2842</v>
      </c>
      <c r="AV1105" s="29">
        <v>-0.96510899804188</v>
      </c>
      <c r="AW1105" s="29">
        <v>-0.87760725614009405</v>
      </c>
      <c r="AX1105" s="29">
        <v>-0.88259362281677101</v>
      </c>
      <c r="AY1105" s="29">
        <v>-0.67142483965750099</v>
      </c>
      <c r="AZ1105" s="60">
        <v>-0.55606124657203904</v>
      </c>
    </row>
    <row r="1106" spans="1:52" ht="15" customHeight="1">
      <c r="A1106" s="63" t="s">
        <v>347</v>
      </c>
      <c r="B1106" s="53">
        <v>2009</v>
      </c>
      <c r="C1106" s="146" t="s">
        <v>338</v>
      </c>
      <c r="D1106" s="69" t="s">
        <v>81</v>
      </c>
      <c r="E1106" s="27" t="s">
        <v>98</v>
      </c>
      <c r="F1106" s="27" t="s">
        <v>98</v>
      </c>
      <c r="G1106" s="43">
        <v>4088000</v>
      </c>
      <c r="H1106" s="43"/>
      <c r="I1106" s="43"/>
      <c r="J1106" s="43"/>
      <c r="K1106" s="27" t="s">
        <v>603</v>
      </c>
      <c r="L1106" s="28">
        <f>62.08273385*1.0164</f>
        <v>63.100890685139994</v>
      </c>
      <c r="M1106" s="27" t="s">
        <v>626</v>
      </c>
      <c r="N1106" s="27" t="s">
        <v>1588</v>
      </c>
      <c r="O1106" s="18">
        <f>G1106*L1106</f>
        <v>257956441.12085229</v>
      </c>
      <c r="P1106" s="213">
        <v>62365000</v>
      </c>
      <c r="Q1106" s="213">
        <v>62182000</v>
      </c>
      <c r="R1106" s="27"/>
      <c r="S1106" s="27"/>
      <c r="T1106" s="18"/>
      <c r="U1106" s="27"/>
      <c r="V1106" s="27"/>
      <c r="W1106" s="30"/>
      <c r="X1106" s="27"/>
      <c r="Y1106" s="27"/>
      <c r="Z1106" s="27"/>
      <c r="AA1106" s="27"/>
      <c r="AB1106" s="27"/>
      <c r="AC1106" s="273">
        <v>191165715.06295663</v>
      </c>
      <c r="AD1106" s="27">
        <v>3027020496.1927204</v>
      </c>
      <c r="AE1106" s="228">
        <v>6.3153095693735187E-2</v>
      </c>
      <c r="AF1106" s="27">
        <v>995102717.9183948</v>
      </c>
      <c r="AG1106" s="226">
        <v>0.19210651485592015</v>
      </c>
      <c r="AH1106" s="226" t="s">
        <v>2842</v>
      </c>
      <c r="AI1106" s="27">
        <v>373470000</v>
      </c>
      <c r="AJ1106" s="226">
        <v>0.51186364383473004</v>
      </c>
      <c r="AK1106" s="27">
        <v>102072593.37784305</v>
      </c>
      <c r="AL1106" s="226">
        <v>1.8728407767138506</v>
      </c>
      <c r="AM1106" s="27" t="s">
        <v>2842</v>
      </c>
      <c r="AN1106" s="271" t="s">
        <v>2842</v>
      </c>
      <c r="AO1106" s="27">
        <v>3516077</v>
      </c>
      <c r="AP1106" s="27" t="s">
        <v>2842</v>
      </c>
      <c r="AQ1106" s="27">
        <v>60.859439024390255</v>
      </c>
      <c r="AR1106" s="27">
        <v>71.2</v>
      </c>
      <c r="AS1106" s="29">
        <v>70.378680000000003</v>
      </c>
      <c r="AT1106" s="270">
        <v>30</v>
      </c>
      <c r="AU1106" s="464" t="s">
        <v>2842</v>
      </c>
      <c r="AV1106" s="29">
        <v>-0.96510899804188</v>
      </c>
      <c r="AW1106" s="29">
        <v>-0.87760725614009405</v>
      </c>
      <c r="AX1106" s="29">
        <v>-0.88259362281677101</v>
      </c>
      <c r="AY1106" s="29">
        <v>-0.67142483965750099</v>
      </c>
      <c r="AZ1106" s="60">
        <v>-0.55606124657203904</v>
      </c>
    </row>
    <row r="1107" spans="1:52" ht="15" customHeight="1">
      <c r="A1107" s="63" t="s">
        <v>347</v>
      </c>
      <c r="B1107" s="53">
        <v>2009</v>
      </c>
      <c r="C1107" s="146" t="s">
        <v>338</v>
      </c>
      <c r="D1107" s="69" t="s">
        <v>81</v>
      </c>
      <c r="E1107" s="27" t="s">
        <v>19</v>
      </c>
      <c r="F1107" s="27" t="s">
        <v>559</v>
      </c>
      <c r="G1107" s="43"/>
      <c r="H1107" s="43"/>
      <c r="I1107" s="43"/>
      <c r="J1107" s="43"/>
      <c r="K1107" s="27"/>
      <c r="L1107" s="28"/>
      <c r="M1107" s="27"/>
      <c r="N1107" s="27"/>
      <c r="O1107" s="18">
        <f>SUM(O1108:O1110)</f>
        <v>871720033.98673129</v>
      </c>
      <c r="P1107" s="213">
        <v>128800715.06295663</v>
      </c>
      <c r="Q1107" s="213">
        <v>133234882.63640603</v>
      </c>
      <c r="R1107" s="27"/>
      <c r="S1107" s="27"/>
      <c r="T1107" s="18"/>
      <c r="U1107" s="27"/>
      <c r="V1107" s="27"/>
      <c r="W1107" s="30"/>
      <c r="X1107" s="27"/>
      <c r="Y1107" s="27"/>
      <c r="Z1107" s="27"/>
      <c r="AA1107" s="27"/>
      <c r="AB1107" s="27"/>
      <c r="AC1107" s="273">
        <v>191165715.06295663</v>
      </c>
      <c r="AD1107" s="27">
        <v>3027020496.1927204</v>
      </c>
      <c r="AE1107" s="228">
        <v>6.3153095693735187E-2</v>
      </c>
      <c r="AF1107" s="27">
        <v>995102717.9183948</v>
      </c>
      <c r="AG1107" s="226">
        <v>0.19210651485592015</v>
      </c>
      <c r="AH1107" s="226" t="s">
        <v>2842</v>
      </c>
      <c r="AI1107" s="27">
        <v>373470000</v>
      </c>
      <c r="AJ1107" s="226">
        <v>0.51186364383473004</v>
      </c>
      <c r="AK1107" s="27">
        <v>102072593.37784305</v>
      </c>
      <c r="AL1107" s="226">
        <v>1.8728407767138506</v>
      </c>
      <c r="AM1107" s="27" t="s">
        <v>2842</v>
      </c>
      <c r="AN1107" s="271" t="s">
        <v>2842</v>
      </c>
      <c r="AO1107" s="27">
        <v>3516077</v>
      </c>
      <c r="AP1107" s="27" t="s">
        <v>2842</v>
      </c>
      <c r="AQ1107" s="27">
        <v>60.859439024390255</v>
      </c>
      <c r="AR1107" s="27">
        <v>71.2</v>
      </c>
      <c r="AS1107" s="29">
        <v>70.378680000000003</v>
      </c>
      <c r="AT1107" s="270">
        <v>30</v>
      </c>
      <c r="AU1107" s="464" t="s">
        <v>2842</v>
      </c>
      <c r="AV1107" s="29">
        <v>-0.96510899804188</v>
      </c>
      <c r="AW1107" s="29">
        <v>-0.87760725614009405</v>
      </c>
      <c r="AX1107" s="29">
        <v>-0.88259362281677101</v>
      </c>
      <c r="AY1107" s="29">
        <v>-0.67142483965750099</v>
      </c>
      <c r="AZ1107" s="60">
        <v>-0.55606124657203904</v>
      </c>
    </row>
    <row r="1108" spans="1:52" ht="15" customHeight="1">
      <c r="A1108" s="63" t="s">
        <v>347</v>
      </c>
      <c r="B1108" s="53">
        <v>2009</v>
      </c>
      <c r="C1108" s="146" t="s">
        <v>338</v>
      </c>
      <c r="D1108" s="69" t="s">
        <v>81</v>
      </c>
      <c r="E1108" s="27" t="s">
        <v>19</v>
      </c>
      <c r="F1108" s="27" t="s">
        <v>1589</v>
      </c>
      <c r="G1108" s="43">
        <v>36600</v>
      </c>
      <c r="H1108" s="43"/>
      <c r="I1108" s="43"/>
      <c r="J1108" s="43"/>
      <c r="K1108" s="27" t="s">
        <v>567</v>
      </c>
      <c r="L1108" s="44">
        <f>5149.73858333333*0.6815</f>
        <v>3509.5468445416645</v>
      </c>
      <c r="M1108" s="27" t="s">
        <v>568</v>
      </c>
      <c r="N1108" s="68" t="s">
        <v>1592</v>
      </c>
      <c r="O1108" s="18">
        <f>G1108*L1108</f>
        <v>128449414.51022492</v>
      </c>
      <c r="P1108" s="246"/>
      <c r="Q1108" s="246"/>
      <c r="R1108" s="27"/>
      <c r="S1108" s="27"/>
      <c r="T1108" s="18"/>
      <c r="U1108" s="27"/>
      <c r="V1108" s="27"/>
      <c r="W1108" s="30"/>
      <c r="X1108" s="27"/>
      <c r="Y1108" s="27"/>
      <c r="Z1108" s="27"/>
      <c r="AA1108" s="27"/>
      <c r="AB1108" s="27"/>
      <c r="AC1108" s="273">
        <v>191165715.06295663</v>
      </c>
      <c r="AD1108" s="27">
        <v>3027020496.1927204</v>
      </c>
      <c r="AE1108" s="228">
        <v>6.3153095693735187E-2</v>
      </c>
      <c r="AF1108" s="27">
        <v>995102717.9183948</v>
      </c>
      <c r="AG1108" s="226">
        <v>0.19210651485592015</v>
      </c>
      <c r="AH1108" s="226" t="s">
        <v>2842</v>
      </c>
      <c r="AI1108" s="27">
        <v>373470000</v>
      </c>
      <c r="AJ1108" s="226">
        <v>0.51186364383473004</v>
      </c>
      <c r="AK1108" s="27">
        <v>102072593.37784305</v>
      </c>
      <c r="AL1108" s="226">
        <v>1.8728407767138506</v>
      </c>
      <c r="AM1108" s="27" t="s">
        <v>2842</v>
      </c>
      <c r="AN1108" s="271" t="s">
        <v>2842</v>
      </c>
      <c r="AO1108" s="27">
        <v>3516077</v>
      </c>
      <c r="AP1108" s="27" t="s">
        <v>2842</v>
      </c>
      <c r="AQ1108" s="27">
        <v>60.859439024390255</v>
      </c>
      <c r="AR1108" s="27">
        <v>71.2</v>
      </c>
      <c r="AS1108" s="29">
        <v>70.378680000000003</v>
      </c>
      <c r="AT1108" s="270">
        <v>30</v>
      </c>
      <c r="AU1108" s="464" t="s">
        <v>2842</v>
      </c>
      <c r="AV1108" s="29">
        <v>-0.96510899804188</v>
      </c>
      <c r="AW1108" s="29">
        <v>-0.87760725614009405</v>
      </c>
      <c r="AX1108" s="29">
        <v>-0.88259362281677101</v>
      </c>
      <c r="AY1108" s="29">
        <v>-0.67142483965750099</v>
      </c>
      <c r="AZ1108" s="60">
        <v>-0.55606124657203904</v>
      </c>
    </row>
    <row r="1109" spans="1:52" ht="15" customHeight="1">
      <c r="A1109" s="63" t="s">
        <v>347</v>
      </c>
      <c r="B1109" s="53">
        <v>2009</v>
      </c>
      <c r="C1109" s="146" t="s">
        <v>338</v>
      </c>
      <c r="D1109" s="69" t="s">
        <v>81</v>
      </c>
      <c r="E1109" s="27" t="s">
        <v>19</v>
      </c>
      <c r="F1109" s="27" t="s">
        <v>730</v>
      </c>
      <c r="G1109" s="43">
        <f>7837*32.150743126506</f>
        <v>251965.37388242752</v>
      </c>
      <c r="H1109" s="43"/>
      <c r="I1109" s="43"/>
      <c r="J1109" s="43"/>
      <c r="K1109" s="27" t="s">
        <v>731</v>
      </c>
      <c r="L1109" s="28">
        <f>972.96591666667*0.9842</f>
        <v>957.59305518333656</v>
      </c>
      <c r="M1109" s="27" t="s">
        <v>732</v>
      </c>
      <c r="N1109" s="68" t="s">
        <v>1593</v>
      </c>
      <c r="O1109" s="18">
        <f>G1109*L1109</f>
        <v>241280292.17648545</v>
      </c>
      <c r="P1109" s="246"/>
      <c r="Q1109" s="246"/>
      <c r="R1109" s="27"/>
      <c r="S1109" s="27"/>
      <c r="T1109" s="18"/>
      <c r="U1109" s="27"/>
      <c r="V1109" s="27"/>
      <c r="W1109" s="30"/>
      <c r="X1109" s="27"/>
      <c r="Y1109" s="27"/>
      <c r="Z1109" s="27"/>
      <c r="AA1109" s="27"/>
      <c r="AB1109" s="27"/>
      <c r="AC1109" s="273">
        <v>191165715.06295663</v>
      </c>
      <c r="AD1109" s="27">
        <v>3027020496.1927204</v>
      </c>
      <c r="AE1109" s="228">
        <v>6.3153095693735187E-2</v>
      </c>
      <c r="AF1109" s="27">
        <v>995102717.9183948</v>
      </c>
      <c r="AG1109" s="226">
        <v>0.19210651485592015</v>
      </c>
      <c r="AH1109" s="226" t="s">
        <v>2842</v>
      </c>
      <c r="AI1109" s="27">
        <v>373470000</v>
      </c>
      <c r="AJ1109" s="226">
        <v>0.51186364383473004</v>
      </c>
      <c r="AK1109" s="27">
        <v>102072593.37784305</v>
      </c>
      <c r="AL1109" s="226">
        <v>1.8728407767138506</v>
      </c>
      <c r="AM1109" s="27" t="s">
        <v>2842</v>
      </c>
      <c r="AN1109" s="271" t="s">
        <v>2842</v>
      </c>
      <c r="AO1109" s="27">
        <v>3516077</v>
      </c>
      <c r="AP1109" s="27" t="s">
        <v>2842</v>
      </c>
      <c r="AQ1109" s="27">
        <v>60.859439024390255</v>
      </c>
      <c r="AR1109" s="27">
        <v>71.2</v>
      </c>
      <c r="AS1109" s="29">
        <v>70.378680000000003</v>
      </c>
      <c r="AT1109" s="270">
        <v>30</v>
      </c>
      <c r="AU1109" s="464" t="s">
        <v>2842</v>
      </c>
      <c r="AV1109" s="29">
        <v>-0.96510899804188</v>
      </c>
      <c r="AW1109" s="29">
        <v>-0.87760725614009405</v>
      </c>
      <c r="AX1109" s="29">
        <v>-0.88259362281677101</v>
      </c>
      <c r="AY1109" s="29">
        <v>-0.67142483965750099</v>
      </c>
      <c r="AZ1109" s="60">
        <v>-0.55606124657203904</v>
      </c>
    </row>
    <row r="1110" spans="1:52" s="287" customFormat="1" ht="15" customHeight="1">
      <c r="A1110" s="359" t="s">
        <v>347</v>
      </c>
      <c r="B1110" s="302">
        <v>2009</v>
      </c>
      <c r="C1110" s="383" t="s">
        <v>338</v>
      </c>
      <c r="D1110" s="369" t="s">
        <v>81</v>
      </c>
      <c r="E1110" s="284" t="s">
        <v>19</v>
      </c>
      <c r="F1110" s="284" t="s">
        <v>1133</v>
      </c>
      <c r="G1110" s="303">
        <v>10524000</v>
      </c>
      <c r="H1110" s="303"/>
      <c r="I1110" s="303"/>
      <c r="J1110" s="303"/>
      <c r="K1110" s="284" t="s">
        <v>567</v>
      </c>
      <c r="L1110" s="304">
        <f>79.97916666667*0.5964</f>
        <v>47.699575000001992</v>
      </c>
      <c r="M1110" s="284" t="s">
        <v>568</v>
      </c>
      <c r="N1110" s="286" t="s">
        <v>1594</v>
      </c>
      <c r="O1110" s="305">
        <f>G1110*L1110</f>
        <v>501990327.30002099</v>
      </c>
      <c r="P1110" s="320"/>
      <c r="Q1110" s="320"/>
      <c r="R1110" s="284"/>
      <c r="S1110" s="284"/>
      <c r="T1110" s="305"/>
      <c r="U1110" s="284"/>
      <c r="V1110" s="284"/>
      <c r="W1110" s="307"/>
      <c r="X1110" s="284"/>
      <c r="Y1110" s="284"/>
      <c r="Z1110" s="284"/>
      <c r="AA1110" s="284"/>
      <c r="AB1110" s="284"/>
      <c r="AC1110" s="308">
        <v>191165715.06295663</v>
      </c>
      <c r="AD1110" s="284">
        <v>3027020496.1927204</v>
      </c>
      <c r="AE1110" s="309">
        <v>6.3153095693735187E-2</v>
      </c>
      <c r="AF1110" s="284">
        <v>995102717.9183948</v>
      </c>
      <c r="AG1110" s="310">
        <v>0.19210651485592015</v>
      </c>
      <c r="AH1110" s="310" t="s">
        <v>2842</v>
      </c>
      <c r="AI1110" s="284">
        <v>373470000</v>
      </c>
      <c r="AJ1110" s="310">
        <v>0.51186364383473004</v>
      </c>
      <c r="AK1110" s="284">
        <v>102072593.37784305</v>
      </c>
      <c r="AL1110" s="310">
        <v>1.8728407767138506</v>
      </c>
      <c r="AM1110" s="284" t="s">
        <v>2842</v>
      </c>
      <c r="AN1110" s="311" t="s">
        <v>2842</v>
      </c>
      <c r="AO1110" s="284">
        <v>3516077</v>
      </c>
      <c r="AP1110" s="284" t="s">
        <v>2842</v>
      </c>
      <c r="AQ1110" s="284">
        <v>60.859439024390255</v>
      </c>
      <c r="AR1110" s="284">
        <v>71.2</v>
      </c>
      <c r="AS1110" s="287">
        <v>70.378680000000003</v>
      </c>
      <c r="AT1110" s="312">
        <v>30</v>
      </c>
      <c r="AU1110" s="465" t="s">
        <v>2842</v>
      </c>
      <c r="AV1110" s="287">
        <v>-0.96510899804188</v>
      </c>
      <c r="AW1110" s="287">
        <v>-0.87760725614009405</v>
      </c>
      <c r="AX1110" s="287">
        <v>-0.88259362281677101</v>
      </c>
      <c r="AY1110" s="287">
        <v>-0.67142483965750099</v>
      </c>
      <c r="AZ1110" s="313">
        <v>-0.55606124657203904</v>
      </c>
    </row>
    <row r="1111" spans="1:52" s="29" customFormat="1" ht="15" customHeight="1">
      <c r="A1111" s="347" t="s">
        <v>350</v>
      </c>
      <c r="B1111" s="53">
        <v>2010</v>
      </c>
      <c r="C1111" s="146" t="s">
        <v>338</v>
      </c>
      <c r="D1111" s="69" t="s">
        <v>81</v>
      </c>
      <c r="E1111" s="27" t="s">
        <v>36</v>
      </c>
      <c r="F1111" s="27" t="s">
        <v>659</v>
      </c>
      <c r="G1111" s="43"/>
      <c r="H1111" s="43"/>
      <c r="I1111" s="43"/>
      <c r="J1111" s="43"/>
      <c r="K1111" s="27"/>
      <c r="L1111" s="28"/>
      <c r="M1111" s="27"/>
      <c r="N1111" s="27"/>
      <c r="O1111" s="18">
        <f>O1112+O1113</f>
        <v>1806134712.7067201</v>
      </c>
      <c r="P1111" s="213">
        <v>270018612.99116182</v>
      </c>
      <c r="Q1111" s="213">
        <v>237278711.68385196</v>
      </c>
      <c r="R1111" s="27" t="s">
        <v>3700</v>
      </c>
      <c r="S1111" s="18" t="s">
        <v>1599</v>
      </c>
      <c r="T1111" s="18">
        <f>(280025)*80.2+34705000</f>
        <v>57163005</v>
      </c>
      <c r="U1111" s="27" t="s">
        <v>1598</v>
      </c>
      <c r="V1111" s="27" t="s">
        <v>1595</v>
      </c>
      <c r="W1111" s="30">
        <v>271.55</v>
      </c>
      <c r="X1111" s="27">
        <v>62</v>
      </c>
      <c r="Y1111" s="27" t="s">
        <v>1600</v>
      </c>
      <c r="Z1111" s="27">
        <v>73</v>
      </c>
      <c r="AA1111" s="27" t="s">
        <v>1601</v>
      </c>
      <c r="AB1111" s="41" t="s">
        <v>1602</v>
      </c>
      <c r="AC1111" s="273">
        <v>270018612.99116182</v>
      </c>
      <c r="AD1111" s="27">
        <v>3526947608.8832636</v>
      </c>
      <c r="AE1111" s="228">
        <v>7.6558725258937921E-2</v>
      </c>
      <c r="AF1111" s="27">
        <v>938838184.00863588</v>
      </c>
      <c r="AG1111" s="226">
        <v>0.28760932138298934</v>
      </c>
      <c r="AH1111" s="226">
        <v>0.28663282323102268</v>
      </c>
      <c r="AI1111" s="27">
        <v>374400000</v>
      </c>
      <c r="AJ1111" s="226">
        <v>0.72120356033964161</v>
      </c>
      <c r="AK1111" s="27">
        <v>137325166.96268168</v>
      </c>
      <c r="AL1111" s="226">
        <v>1.9662718710878377</v>
      </c>
      <c r="AM1111" s="27">
        <v>150195416.61905468</v>
      </c>
      <c r="AN1111" s="271">
        <v>1.7977819767697603</v>
      </c>
      <c r="AO1111" s="27">
        <v>3609420</v>
      </c>
      <c r="AP1111" s="27" t="s">
        <v>2842</v>
      </c>
      <c r="AQ1111" s="27">
        <v>61.023243902439027</v>
      </c>
      <c r="AR1111" s="27">
        <v>70.2</v>
      </c>
      <c r="AS1111" s="29">
        <v>70.835610000000003</v>
      </c>
      <c r="AT1111" s="270">
        <v>30</v>
      </c>
      <c r="AU1111" s="464" t="s">
        <v>2842</v>
      </c>
      <c r="AV1111" s="29">
        <v>-0.95110337990716798</v>
      </c>
      <c r="AW1111" s="29">
        <v>-1.07960399034544</v>
      </c>
      <c r="AX1111" s="29">
        <v>-0.96292979952077495</v>
      </c>
      <c r="AY1111" s="29">
        <v>-0.82039421725702699</v>
      </c>
      <c r="AZ1111" s="60">
        <v>-0.67102097918569303</v>
      </c>
    </row>
    <row r="1112" spans="1:52" s="29" customFormat="1" ht="15" customHeight="1">
      <c r="A1112" s="63" t="s">
        <v>350</v>
      </c>
      <c r="B1112" s="53">
        <v>2010</v>
      </c>
      <c r="C1112" s="146" t="s">
        <v>338</v>
      </c>
      <c r="D1112" s="69" t="s">
        <v>81</v>
      </c>
      <c r="E1112" s="27" t="s">
        <v>98</v>
      </c>
      <c r="F1112" s="27" t="s">
        <v>98</v>
      </c>
      <c r="G1112" s="43">
        <v>2993000</v>
      </c>
      <c r="H1112" s="43"/>
      <c r="I1112" s="43"/>
      <c r="J1112" s="43"/>
      <c r="K1112" s="27" t="s">
        <v>603</v>
      </c>
      <c r="L1112" s="28">
        <v>80.2</v>
      </c>
      <c r="M1112" s="27" t="s">
        <v>626</v>
      </c>
      <c r="N1112" s="27" t="s">
        <v>1603</v>
      </c>
      <c r="O1112" s="18">
        <f>G1112*L1112</f>
        <v>240038600</v>
      </c>
      <c r="P1112" s="213">
        <v>69260005</v>
      </c>
      <c r="Q1112" s="213">
        <v>60976005</v>
      </c>
      <c r="R1112" s="27"/>
      <c r="S1112" s="27"/>
      <c r="T1112" s="18"/>
      <c r="U1112" s="27"/>
      <c r="V1112" s="27"/>
      <c r="W1112" s="30"/>
      <c r="X1112" s="27"/>
      <c r="Y1112" s="27"/>
      <c r="Z1112" s="27"/>
      <c r="AA1112" s="27"/>
      <c r="AC1112" s="273">
        <v>270018612.99116182</v>
      </c>
      <c r="AD1112" s="27">
        <v>3526947608.8832636</v>
      </c>
      <c r="AE1112" s="228">
        <v>7.6558725258937921E-2</v>
      </c>
      <c r="AF1112" s="27">
        <v>938838184.00863588</v>
      </c>
      <c r="AG1112" s="226">
        <v>0.28760932138298934</v>
      </c>
      <c r="AH1112" s="226">
        <v>0.28663282323102268</v>
      </c>
      <c r="AI1112" s="27">
        <v>374400000</v>
      </c>
      <c r="AJ1112" s="226">
        <v>0.72120356033964161</v>
      </c>
      <c r="AK1112" s="27">
        <v>137325166.96268168</v>
      </c>
      <c r="AL1112" s="226">
        <v>1.9662718710878377</v>
      </c>
      <c r="AM1112" s="27">
        <v>150195416.61905468</v>
      </c>
      <c r="AN1112" s="271">
        <v>1.7977819767697603</v>
      </c>
      <c r="AO1112" s="27">
        <v>3609420</v>
      </c>
      <c r="AP1112" s="27" t="s">
        <v>2842</v>
      </c>
      <c r="AQ1112" s="27">
        <v>61.023243902439027</v>
      </c>
      <c r="AR1112" s="27">
        <v>70.2</v>
      </c>
      <c r="AS1112" s="29">
        <v>70.835610000000003</v>
      </c>
      <c r="AT1112" s="270">
        <v>30</v>
      </c>
      <c r="AU1112" s="464" t="s">
        <v>2842</v>
      </c>
      <c r="AV1112" s="29">
        <v>-0.95110337990716798</v>
      </c>
      <c r="AW1112" s="29">
        <v>-1.07960399034544</v>
      </c>
      <c r="AX1112" s="29">
        <v>-0.96292979952077495</v>
      </c>
      <c r="AY1112" s="29">
        <v>-0.82039421725702699</v>
      </c>
      <c r="AZ1112" s="60">
        <v>-0.67102097918569303</v>
      </c>
    </row>
    <row r="1113" spans="1:52" s="29" customFormat="1" ht="15" customHeight="1">
      <c r="A1113" s="63" t="s">
        <v>350</v>
      </c>
      <c r="B1113" s="53">
        <v>2010</v>
      </c>
      <c r="C1113" s="146" t="s">
        <v>338</v>
      </c>
      <c r="D1113" s="69" t="s">
        <v>81</v>
      </c>
      <c r="E1113" s="27" t="s">
        <v>19</v>
      </c>
      <c r="F1113" s="27" t="s">
        <v>559</v>
      </c>
      <c r="G1113" s="43"/>
      <c r="H1113" s="43"/>
      <c r="I1113" s="43"/>
      <c r="J1113" s="43"/>
      <c r="K1113" s="27"/>
      <c r="L1113" s="28"/>
      <c r="M1113" s="27"/>
      <c r="N1113" s="27"/>
      <c r="O1113" s="18">
        <f>SUM(O1114:O1117)</f>
        <v>1566096112.7067201</v>
      </c>
      <c r="P1113" s="213">
        <v>200758607.99116185</v>
      </c>
      <c r="Q1113" s="213">
        <v>176302706.68385196</v>
      </c>
      <c r="R1113" s="27"/>
      <c r="S1113" s="27"/>
      <c r="T1113" s="18"/>
      <c r="U1113" s="27"/>
      <c r="V1113" s="27"/>
      <c r="W1113" s="30"/>
      <c r="X1113" s="27"/>
      <c r="Y1113" s="27"/>
      <c r="Z1113" s="27"/>
      <c r="AA1113" s="27"/>
      <c r="AC1113" s="273">
        <v>270018612.99116182</v>
      </c>
      <c r="AD1113" s="27">
        <v>3526947608.8832636</v>
      </c>
      <c r="AE1113" s="228">
        <v>7.6558725258937921E-2</v>
      </c>
      <c r="AF1113" s="27">
        <v>938838184.00863588</v>
      </c>
      <c r="AG1113" s="226">
        <v>0.28760932138298934</v>
      </c>
      <c r="AH1113" s="226">
        <v>0.28663282323102268</v>
      </c>
      <c r="AI1113" s="27">
        <v>374400000</v>
      </c>
      <c r="AJ1113" s="226">
        <v>0.72120356033964161</v>
      </c>
      <c r="AK1113" s="27">
        <v>137325166.96268168</v>
      </c>
      <c r="AL1113" s="226">
        <v>1.9662718710878377</v>
      </c>
      <c r="AM1113" s="27">
        <v>150195416.61905468</v>
      </c>
      <c r="AN1113" s="271">
        <v>1.7977819767697603</v>
      </c>
      <c r="AO1113" s="27">
        <v>3609420</v>
      </c>
      <c r="AP1113" s="27" t="s">
        <v>2842</v>
      </c>
      <c r="AQ1113" s="27">
        <v>61.023243902439027</v>
      </c>
      <c r="AR1113" s="27">
        <v>70.2</v>
      </c>
      <c r="AS1113" s="29">
        <v>70.835610000000003</v>
      </c>
      <c r="AT1113" s="270">
        <v>30</v>
      </c>
      <c r="AU1113" s="464" t="s">
        <v>2842</v>
      </c>
      <c r="AV1113" s="29">
        <v>-0.95110337990716798</v>
      </c>
      <c r="AW1113" s="29">
        <v>-1.07960399034544</v>
      </c>
      <c r="AX1113" s="29">
        <v>-0.96292979952077495</v>
      </c>
      <c r="AY1113" s="29">
        <v>-0.82039421725702699</v>
      </c>
      <c r="AZ1113" s="60">
        <v>-0.67102097918569303</v>
      </c>
    </row>
    <row r="1114" spans="1:52" s="29" customFormat="1" ht="15" customHeight="1">
      <c r="A1114" s="63" t="s">
        <v>350</v>
      </c>
      <c r="B1114" s="53">
        <v>2010</v>
      </c>
      <c r="C1114" s="146" t="s">
        <v>338</v>
      </c>
      <c r="D1114" s="69" t="s">
        <v>81</v>
      </c>
      <c r="E1114" s="27" t="s">
        <v>19</v>
      </c>
      <c r="F1114" s="27" t="s">
        <v>566</v>
      </c>
      <c r="G1114" s="43">
        <v>552382</v>
      </c>
      <c r="H1114" s="43"/>
      <c r="I1114" s="43"/>
      <c r="J1114" s="43"/>
      <c r="K1114" s="27" t="s">
        <v>567</v>
      </c>
      <c r="L1114" s="28">
        <v>92</v>
      </c>
      <c r="M1114" s="27" t="s">
        <v>568</v>
      </c>
      <c r="N1114" s="27" t="s">
        <v>1604</v>
      </c>
      <c r="O1114" s="18">
        <f>G1114*L1114</f>
        <v>50819144</v>
      </c>
      <c r="P1114" s="246"/>
      <c r="Q1114" s="246"/>
      <c r="R1114" s="27"/>
      <c r="S1114" s="27"/>
      <c r="T1114" s="18"/>
      <c r="U1114" s="27"/>
      <c r="V1114" s="27"/>
      <c r="W1114" s="30"/>
      <c r="X1114" s="27"/>
      <c r="Y1114" s="27"/>
      <c r="Z1114" s="27"/>
      <c r="AA1114" s="27"/>
      <c r="AC1114" s="273">
        <v>270018612.99116182</v>
      </c>
      <c r="AD1114" s="27">
        <v>3526947608.8832636</v>
      </c>
      <c r="AE1114" s="228">
        <v>7.6558725258937921E-2</v>
      </c>
      <c r="AF1114" s="27">
        <v>938838184.00863588</v>
      </c>
      <c r="AG1114" s="226">
        <v>0.28760932138298934</v>
      </c>
      <c r="AH1114" s="226">
        <v>0.28663282323102268</v>
      </c>
      <c r="AI1114" s="27">
        <v>374400000</v>
      </c>
      <c r="AJ1114" s="226">
        <v>0.72120356033964161</v>
      </c>
      <c r="AK1114" s="27">
        <v>137325166.96268168</v>
      </c>
      <c r="AL1114" s="226">
        <v>1.9662718710878377</v>
      </c>
      <c r="AM1114" s="27">
        <v>150195416.61905468</v>
      </c>
      <c r="AN1114" s="271">
        <v>1.7977819767697603</v>
      </c>
      <c r="AO1114" s="27">
        <v>3609420</v>
      </c>
      <c r="AP1114" s="27" t="s">
        <v>2842</v>
      </c>
      <c r="AQ1114" s="27">
        <v>61.023243902439027</v>
      </c>
      <c r="AR1114" s="27">
        <v>70.2</v>
      </c>
      <c r="AS1114" s="29">
        <v>70.835610000000003</v>
      </c>
      <c r="AT1114" s="270">
        <v>30</v>
      </c>
      <c r="AU1114" s="464" t="s">
        <v>2842</v>
      </c>
      <c r="AV1114" s="29">
        <v>-0.95110337990716798</v>
      </c>
      <c r="AW1114" s="29">
        <v>-1.07960399034544</v>
      </c>
      <c r="AX1114" s="29">
        <v>-0.96292979952077495</v>
      </c>
      <c r="AY1114" s="29">
        <v>-0.82039421725702699</v>
      </c>
      <c r="AZ1114" s="60">
        <v>-0.67102097918569303</v>
      </c>
    </row>
    <row r="1115" spans="1:52" s="29" customFormat="1" ht="15" customHeight="1">
      <c r="A1115" s="63" t="s">
        <v>350</v>
      </c>
      <c r="B1115" s="53">
        <v>2010</v>
      </c>
      <c r="C1115" s="146" t="s">
        <v>338</v>
      </c>
      <c r="D1115" s="69" t="s">
        <v>81</v>
      </c>
      <c r="E1115" s="27" t="s">
        <v>19</v>
      </c>
      <c r="F1115" s="27" t="s">
        <v>1589</v>
      </c>
      <c r="G1115" s="43">
        <v>37000</v>
      </c>
      <c r="H1115" s="43"/>
      <c r="I1115" s="43"/>
      <c r="J1115" s="43"/>
      <c r="K1115" s="27" t="s">
        <v>567</v>
      </c>
      <c r="L1115" s="44">
        <v>5135.1400000000003</v>
      </c>
      <c r="M1115" s="27" t="s">
        <v>568</v>
      </c>
      <c r="N1115" s="68" t="s">
        <v>1202</v>
      </c>
      <c r="O1115" s="18">
        <f>G1115*L1115</f>
        <v>190000180</v>
      </c>
      <c r="P1115" s="246"/>
      <c r="Q1115" s="246"/>
      <c r="R1115" s="27"/>
      <c r="S1115" s="27"/>
      <c r="T1115" s="18"/>
      <c r="U1115" s="27"/>
      <c r="V1115" s="27"/>
      <c r="W1115" s="30"/>
      <c r="X1115" s="27"/>
      <c r="Y1115" s="27"/>
      <c r="Z1115" s="27"/>
      <c r="AA1115" s="27"/>
      <c r="AB1115" s="29" t="s">
        <v>1605</v>
      </c>
      <c r="AC1115" s="273">
        <v>270018612.99116182</v>
      </c>
      <c r="AD1115" s="27">
        <v>3526947608.8832636</v>
      </c>
      <c r="AE1115" s="228">
        <v>7.6558725258937921E-2</v>
      </c>
      <c r="AF1115" s="27">
        <v>938838184.00863588</v>
      </c>
      <c r="AG1115" s="226">
        <v>0.28760932138298934</v>
      </c>
      <c r="AH1115" s="226">
        <v>0.28663282323102268</v>
      </c>
      <c r="AI1115" s="27">
        <v>374400000</v>
      </c>
      <c r="AJ1115" s="226">
        <v>0.72120356033964161</v>
      </c>
      <c r="AK1115" s="27">
        <v>137325166.96268168</v>
      </c>
      <c r="AL1115" s="226">
        <v>1.9662718710878377</v>
      </c>
      <c r="AM1115" s="27">
        <v>150195416.61905468</v>
      </c>
      <c r="AN1115" s="271">
        <v>1.7977819767697603</v>
      </c>
      <c r="AO1115" s="27">
        <v>3609420</v>
      </c>
      <c r="AP1115" s="27" t="s">
        <v>2842</v>
      </c>
      <c r="AQ1115" s="27">
        <v>61.023243902439027</v>
      </c>
      <c r="AR1115" s="27">
        <v>70.2</v>
      </c>
      <c r="AS1115" s="29">
        <v>70.835610000000003</v>
      </c>
      <c r="AT1115" s="270">
        <v>30</v>
      </c>
      <c r="AU1115" s="464" t="s">
        <v>2842</v>
      </c>
      <c r="AV1115" s="29">
        <v>-0.95110337990716798</v>
      </c>
      <c r="AW1115" s="29">
        <v>-1.07960399034544</v>
      </c>
      <c r="AX1115" s="29">
        <v>-0.96292979952077495</v>
      </c>
      <c r="AY1115" s="29">
        <v>-0.82039421725702699</v>
      </c>
      <c r="AZ1115" s="60">
        <v>-0.67102097918569303</v>
      </c>
    </row>
    <row r="1116" spans="1:52" s="29" customFormat="1" ht="15" customHeight="1">
      <c r="A1116" s="63" t="s">
        <v>350</v>
      </c>
      <c r="B1116" s="53">
        <v>2010</v>
      </c>
      <c r="C1116" s="146" t="s">
        <v>338</v>
      </c>
      <c r="D1116" s="69" t="s">
        <v>81</v>
      </c>
      <c r="E1116" s="27" t="s">
        <v>19</v>
      </c>
      <c r="F1116" s="27" t="s">
        <v>730</v>
      </c>
      <c r="G1116" s="43">
        <f>8305*32.150743126506</f>
        <v>267011.92166563234</v>
      </c>
      <c r="H1116" s="43"/>
      <c r="I1116" s="43"/>
      <c r="J1116" s="43"/>
      <c r="K1116" s="27" t="s">
        <v>731</v>
      </c>
      <c r="L1116" s="28">
        <v>1205.26</v>
      </c>
      <c r="M1116" s="27" t="s">
        <v>732</v>
      </c>
      <c r="N1116" s="68" t="s">
        <v>1202</v>
      </c>
      <c r="O1116" s="18">
        <f>G1116*L1116</f>
        <v>321818788.70672005</v>
      </c>
      <c r="P1116" s="246"/>
      <c r="Q1116" s="246"/>
      <c r="R1116" s="27"/>
      <c r="S1116" s="27"/>
      <c r="T1116" s="18"/>
      <c r="U1116" s="27"/>
      <c r="V1116" s="27"/>
      <c r="W1116" s="30"/>
      <c r="X1116" s="27"/>
      <c r="Y1116" s="27"/>
      <c r="Z1116" s="27"/>
      <c r="AA1116" s="27"/>
      <c r="AB1116" s="29" t="s">
        <v>1606</v>
      </c>
      <c r="AC1116" s="273">
        <v>270018612.99116182</v>
      </c>
      <c r="AD1116" s="27">
        <v>3526947608.8832636</v>
      </c>
      <c r="AE1116" s="228">
        <v>7.6558725258937921E-2</v>
      </c>
      <c r="AF1116" s="27">
        <v>938838184.00863588</v>
      </c>
      <c r="AG1116" s="226">
        <v>0.28760932138298934</v>
      </c>
      <c r="AH1116" s="226">
        <v>0.28663282323102268</v>
      </c>
      <c r="AI1116" s="27">
        <v>374400000</v>
      </c>
      <c r="AJ1116" s="226">
        <v>0.72120356033964161</v>
      </c>
      <c r="AK1116" s="27">
        <v>137325166.96268168</v>
      </c>
      <c r="AL1116" s="226">
        <v>1.9662718710878377</v>
      </c>
      <c r="AM1116" s="27">
        <v>150195416.61905468</v>
      </c>
      <c r="AN1116" s="271">
        <v>1.7977819767697603</v>
      </c>
      <c r="AO1116" s="27">
        <v>3609420</v>
      </c>
      <c r="AP1116" s="27" t="s">
        <v>2842</v>
      </c>
      <c r="AQ1116" s="27">
        <v>61.023243902439027</v>
      </c>
      <c r="AR1116" s="27">
        <v>70.2</v>
      </c>
      <c r="AS1116" s="29">
        <v>70.835610000000003</v>
      </c>
      <c r="AT1116" s="270">
        <v>30</v>
      </c>
      <c r="AU1116" s="464" t="s">
        <v>2842</v>
      </c>
      <c r="AV1116" s="29">
        <v>-0.95110337990716798</v>
      </c>
      <c r="AW1116" s="29">
        <v>-1.07960399034544</v>
      </c>
      <c r="AX1116" s="29">
        <v>-0.96292979952077495</v>
      </c>
      <c r="AY1116" s="29">
        <v>-0.82039421725702699</v>
      </c>
      <c r="AZ1116" s="60">
        <v>-0.67102097918569303</v>
      </c>
    </row>
    <row r="1117" spans="1:52" s="287" customFormat="1" ht="15" customHeight="1">
      <c r="A1117" s="359" t="s">
        <v>350</v>
      </c>
      <c r="B1117" s="302">
        <v>2010</v>
      </c>
      <c r="C1117" s="383" t="s">
        <v>338</v>
      </c>
      <c r="D1117" s="369" t="s">
        <v>81</v>
      </c>
      <c r="E1117" s="284" t="s">
        <v>19</v>
      </c>
      <c r="F1117" s="284" t="s">
        <v>1133</v>
      </c>
      <c r="G1117" s="303">
        <v>11534000</v>
      </c>
      <c r="H1117" s="303"/>
      <c r="I1117" s="303"/>
      <c r="J1117" s="303"/>
      <c r="K1117" s="284" t="s">
        <v>567</v>
      </c>
      <c r="L1117" s="304">
        <v>87</v>
      </c>
      <c r="M1117" s="284" t="s">
        <v>568</v>
      </c>
      <c r="N1117" s="286" t="s">
        <v>1202</v>
      </c>
      <c r="O1117" s="305">
        <f>G1117*L1117</f>
        <v>1003458000</v>
      </c>
      <c r="P1117" s="320"/>
      <c r="Q1117" s="320"/>
      <c r="R1117" s="284"/>
      <c r="S1117" s="284"/>
      <c r="T1117" s="305"/>
      <c r="U1117" s="284"/>
      <c r="V1117" s="284"/>
      <c r="W1117" s="307"/>
      <c r="X1117" s="284"/>
      <c r="Y1117" s="284"/>
      <c r="Z1117" s="284"/>
      <c r="AA1117" s="284"/>
      <c r="AB1117" s="287" t="s">
        <v>1607</v>
      </c>
      <c r="AC1117" s="308">
        <v>270018612.99116182</v>
      </c>
      <c r="AD1117" s="284">
        <v>3526947608.8832636</v>
      </c>
      <c r="AE1117" s="309">
        <v>7.6558725258937921E-2</v>
      </c>
      <c r="AF1117" s="284">
        <v>938838184.00863588</v>
      </c>
      <c r="AG1117" s="310">
        <v>0.28760932138298934</v>
      </c>
      <c r="AH1117" s="310">
        <v>0.28663282323102268</v>
      </c>
      <c r="AI1117" s="284">
        <v>374400000</v>
      </c>
      <c r="AJ1117" s="310">
        <v>0.72120356033964161</v>
      </c>
      <c r="AK1117" s="284">
        <v>137325166.96268168</v>
      </c>
      <c r="AL1117" s="310">
        <v>1.9662718710878377</v>
      </c>
      <c r="AM1117" s="284">
        <v>150195416.61905468</v>
      </c>
      <c r="AN1117" s="311">
        <v>1.7977819767697603</v>
      </c>
      <c r="AO1117" s="284">
        <v>3609420</v>
      </c>
      <c r="AP1117" s="284" t="s">
        <v>2842</v>
      </c>
      <c r="AQ1117" s="284">
        <v>61.023243902439027</v>
      </c>
      <c r="AR1117" s="284">
        <v>70.2</v>
      </c>
      <c r="AS1117" s="287">
        <v>70.835610000000003</v>
      </c>
      <c r="AT1117" s="312">
        <v>30</v>
      </c>
      <c r="AU1117" s="465" t="s">
        <v>2842</v>
      </c>
      <c r="AV1117" s="287">
        <v>-0.95110337990716798</v>
      </c>
      <c r="AW1117" s="287">
        <v>-1.07960399034544</v>
      </c>
      <c r="AX1117" s="287">
        <v>-0.96292979952077495</v>
      </c>
      <c r="AY1117" s="287">
        <v>-0.82039421725702699</v>
      </c>
      <c r="AZ1117" s="313">
        <v>-0.67102097918569303</v>
      </c>
    </row>
    <row r="1118" spans="1:52" ht="15" customHeight="1">
      <c r="A1118" s="347" t="s">
        <v>352</v>
      </c>
      <c r="B1118" s="53">
        <v>2011</v>
      </c>
      <c r="C1118" s="146" t="s">
        <v>338</v>
      </c>
      <c r="D1118" s="69" t="s">
        <v>81</v>
      </c>
      <c r="E1118" s="27" t="s">
        <v>36</v>
      </c>
      <c r="F1118" s="27" t="s">
        <v>659</v>
      </c>
      <c r="G1118" s="43"/>
      <c r="H1118" s="43"/>
      <c r="I1118" s="43"/>
      <c r="J1118" s="43"/>
      <c r="K1118" s="27"/>
      <c r="L1118" s="28"/>
      <c r="M1118" s="27"/>
      <c r="N1118" s="27"/>
      <c r="O1118" s="18">
        <f>O1119+O1120</f>
        <v>2068434236.7701116</v>
      </c>
      <c r="P1118" s="213">
        <v>448018316.76552463</v>
      </c>
      <c r="Q1118" s="213">
        <v>429224820.98045433</v>
      </c>
      <c r="R1118" s="27" t="s">
        <v>3700</v>
      </c>
      <c r="S1118" s="18" t="s">
        <v>1608</v>
      </c>
      <c r="T1118" s="18">
        <f>297764*108.9+48062000</f>
        <v>80488499.599999994</v>
      </c>
      <c r="U1118" s="27" t="s">
        <v>1598</v>
      </c>
      <c r="V1118" s="27" t="s">
        <v>1595</v>
      </c>
      <c r="W1118" s="30">
        <v>277.3</v>
      </c>
      <c r="X1118" s="27">
        <v>70</v>
      </c>
      <c r="Y1118" s="27" t="s">
        <v>1609</v>
      </c>
      <c r="Z1118" s="27">
        <v>63</v>
      </c>
      <c r="AA1118" s="27" t="s">
        <v>1601</v>
      </c>
      <c r="AB1118" s="41" t="s">
        <v>1610</v>
      </c>
      <c r="AC1118" s="273">
        <v>448018316.76552463</v>
      </c>
      <c r="AD1118" s="27">
        <v>4136083638.0982671</v>
      </c>
      <c r="AE1118" s="228">
        <v>0.10831945288502901</v>
      </c>
      <c r="AF1118" s="27">
        <v>2658426397.55128</v>
      </c>
      <c r="AG1118" s="226">
        <v>0.16852763619041761</v>
      </c>
      <c r="AH1118" s="226">
        <v>0.1329907076266266</v>
      </c>
      <c r="AI1118" s="27">
        <v>382210000</v>
      </c>
      <c r="AJ1118" s="226">
        <v>1.1721784274757976</v>
      </c>
      <c r="AK1118" s="27">
        <v>159006020.92368281</v>
      </c>
      <c r="AL1118" s="226">
        <v>2.8176185666614306</v>
      </c>
      <c r="AM1118" s="27">
        <v>152623554.2876451</v>
      </c>
      <c r="AN1118" s="271">
        <v>2.9354467523483154</v>
      </c>
      <c r="AO1118" s="27">
        <v>3702763</v>
      </c>
      <c r="AP1118" s="27" t="s">
        <v>2842</v>
      </c>
      <c r="AQ1118" s="27">
        <v>61.186951219512203</v>
      </c>
      <c r="AR1118" s="27">
        <v>69.2</v>
      </c>
      <c r="AS1118" s="29">
        <v>71.509619999999998</v>
      </c>
      <c r="AT1118" s="270">
        <v>30</v>
      </c>
      <c r="AU1118" s="464" t="s">
        <v>2842</v>
      </c>
      <c r="AV1118" s="29">
        <v>-0.96181670187593804</v>
      </c>
      <c r="AW1118" s="29">
        <v>-1.1673427669430601</v>
      </c>
      <c r="AX1118" s="29">
        <v>-0.91574000248267295</v>
      </c>
      <c r="AY1118" s="29">
        <v>-0.77117948396587399</v>
      </c>
      <c r="AZ1118" s="60">
        <v>-0.44296713290802098</v>
      </c>
    </row>
    <row r="1119" spans="1:52" ht="15" customHeight="1">
      <c r="A1119" s="63" t="s">
        <v>352</v>
      </c>
      <c r="B1119" s="53">
        <v>2011</v>
      </c>
      <c r="C1119" s="146" t="s">
        <v>338</v>
      </c>
      <c r="D1119" s="69" t="s">
        <v>81</v>
      </c>
      <c r="E1119" s="27" t="s">
        <v>98</v>
      </c>
      <c r="F1119" s="27" t="s">
        <v>98</v>
      </c>
      <c r="G1119" s="43">
        <v>2810500</v>
      </c>
      <c r="H1119" s="43"/>
      <c r="I1119" s="43"/>
      <c r="J1119" s="43"/>
      <c r="K1119" s="27" t="s">
        <v>603</v>
      </c>
      <c r="L1119" s="28">
        <v>108.9</v>
      </c>
      <c r="M1119" s="27" t="s">
        <v>626</v>
      </c>
      <c r="N1119" s="27" t="s">
        <v>947</v>
      </c>
      <c r="O1119" s="18">
        <f>G1119*L1119</f>
        <v>306063450</v>
      </c>
      <c r="P1119" s="213">
        <v>112659499.59999999</v>
      </c>
      <c r="Q1119" s="213">
        <v>100872855.59999999</v>
      </c>
      <c r="R1119" s="27"/>
      <c r="S1119" s="27"/>
      <c r="T1119" s="18"/>
      <c r="U1119" s="27"/>
      <c r="V1119" s="27"/>
      <c r="W1119" s="30"/>
      <c r="X1119" s="27"/>
      <c r="Y1119" s="27"/>
      <c r="Z1119" s="27"/>
      <c r="AA1119" s="27"/>
      <c r="AB1119" s="29"/>
      <c r="AC1119" s="273">
        <v>448018316.76552463</v>
      </c>
      <c r="AD1119" s="27">
        <v>4136083638.0982671</v>
      </c>
      <c r="AE1119" s="228">
        <v>0.10831945288502901</v>
      </c>
      <c r="AF1119" s="27">
        <v>2658426397.55128</v>
      </c>
      <c r="AG1119" s="226">
        <v>0.16852763619041761</v>
      </c>
      <c r="AH1119" s="226">
        <v>0.1329907076266266</v>
      </c>
      <c r="AI1119" s="27">
        <v>382210000</v>
      </c>
      <c r="AJ1119" s="226">
        <v>1.1721784274757976</v>
      </c>
      <c r="AK1119" s="27">
        <v>159006020.92368281</v>
      </c>
      <c r="AL1119" s="226">
        <v>2.8176185666614306</v>
      </c>
      <c r="AM1119" s="27">
        <v>152623554.2876451</v>
      </c>
      <c r="AN1119" s="271">
        <v>2.9354467523483154</v>
      </c>
      <c r="AO1119" s="27">
        <v>3702763</v>
      </c>
      <c r="AP1119" s="27" t="s">
        <v>2842</v>
      </c>
      <c r="AQ1119" s="27">
        <v>61.186951219512203</v>
      </c>
      <c r="AR1119" s="27">
        <v>69.2</v>
      </c>
      <c r="AS1119" s="29">
        <v>71.509619999999998</v>
      </c>
      <c r="AT1119" s="270">
        <v>30</v>
      </c>
      <c r="AU1119" s="464" t="s">
        <v>2842</v>
      </c>
      <c r="AV1119" s="29">
        <v>-0.96181670187593804</v>
      </c>
      <c r="AW1119" s="29">
        <v>-1.1673427669430601</v>
      </c>
      <c r="AX1119" s="29">
        <v>-0.91574000248267295</v>
      </c>
      <c r="AY1119" s="29">
        <v>-0.77117948396587399</v>
      </c>
      <c r="AZ1119" s="60">
        <v>-0.44296713290802098</v>
      </c>
    </row>
    <row r="1120" spans="1:52" ht="15" customHeight="1">
      <c r="A1120" s="63" t="s">
        <v>352</v>
      </c>
      <c r="B1120" s="53">
        <v>2011</v>
      </c>
      <c r="C1120" s="146" t="s">
        <v>338</v>
      </c>
      <c r="D1120" s="69" t="s">
        <v>81</v>
      </c>
      <c r="E1120" s="27" t="s">
        <v>19</v>
      </c>
      <c r="F1120" s="27" t="s">
        <v>559</v>
      </c>
      <c r="G1120" s="43"/>
      <c r="H1120" s="43"/>
      <c r="I1120" s="43"/>
      <c r="J1120" s="43"/>
      <c r="K1120" s="27"/>
      <c r="L1120" s="28"/>
      <c r="M1120" s="27"/>
      <c r="N1120" s="27"/>
      <c r="O1120" s="18">
        <f>SUM(O1121:O1123)</f>
        <v>1762370786.7701116</v>
      </c>
      <c r="P1120" s="213">
        <v>335358817.16552466</v>
      </c>
      <c r="Q1120" s="213">
        <v>328351965.38045436</v>
      </c>
      <c r="R1120" s="27"/>
      <c r="S1120" s="27"/>
      <c r="T1120" s="18"/>
      <c r="U1120" s="27"/>
      <c r="V1120" s="27"/>
      <c r="W1120" s="30"/>
      <c r="X1120" s="27"/>
      <c r="Y1120" s="27"/>
      <c r="Z1120" s="27"/>
      <c r="AA1120" s="27"/>
      <c r="AB1120" s="29"/>
      <c r="AC1120" s="273">
        <v>448018316.76552463</v>
      </c>
      <c r="AD1120" s="27">
        <v>4136083638.0982671</v>
      </c>
      <c r="AE1120" s="228">
        <v>0.10831945288502901</v>
      </c>
      <c r="AF1120" s="27">
        <v>2658426397.55128</v>
      </c>
      <c r="AG1120" s="226">
        <v>0.16852763619041761</v>
      </c>
      <c r="AH1120" s="226">
        <v>0.1329907076266266</v>
      </c>
      <c r="AI1120" s="27">
        <v>382210000</v>
      </c>
      <c r="AJ1120" s="226">
        <v>1.1721784274757976</v>
      </c>
      <c r="AK1120" s="27">
        <v>159006020.92368281</v>
      </c>
      <c r="AL1120" s="226">
        <v>2.8176185666614306</v>
      </c>
      <c r="AM1120" s="27">
        <v>152623554.2876451</v>
      </c>
      <c r="AN1120" s="271">
        <v>2.9354467523483154</v>
      </c>
      <c r="AO1120" s="27">
        <v>3702763</v>
      </c>
      <c r="AP1120" s="27" t="s">
        <v>2842</v>
      </c>
      <c r="AQ1120" s="27">
        <v>61.186951219512203</v>
      </c>
      <c r="AR1120" s="27">
        <v>69.2</v>
      </c>
      <c r="AS1120" s="29">
        <v>71.509619999999998</v>
      </c>
      <c r="AT1120" s="270">
        <v>30</v>
      </c>
      <c r="AU1120" s="464" t="s">
        <v>2842</v>
      </c>
      <c r="AV1120" s="29">
        <v>-0.96181670187593804</v>
      </c>
      <c r="AW1120" s="29">
        <v>-1.1673427669430601</v>
      </c>
      <c r="AX1120" s="29">
        <v>-0.91574000248267295</v>
      </c>
      <c r="AY1120" s="29">
        <v>-0.77117948396587399</v>
      </c>
      <c r="AZ1120" s="60">
        <v>-0.44296713290802098</v>
      </c>
    </row>
    <row r="1121" spans="1:52" ht="15" customHeight="1">
      <c r="A1121" s="63" t="s">
        <v>352</v>
      </c>
      <c r="B1121" s="53">
        <v>2011</v>
      </c>
      <c r="C1121" s="146" t="s">
        <v>338</v>
      </c>
      <c r="D1121" s="69" t="s">
        <v>81</v>
      </c>
      <c r="E1121" s="27" t="s">
        <v>19</v>
      </c>
      <c r="F1121" s="27" t="s">
        <v>1589</v>
      </c>
      <c r="G1121" s="43">
        <v>39900</v>
      </c>
      <c r="H1121" s="43"/>
      <c r="I1121" s="43"/>
      <c r="J1121" s="43"/>
      <c r="K1121" s="27" t="s">
        <v>567</v>
      </c>
      <c r="L1121" s="44">
        <f>8828.1875*0.6815</f>
        <v>6016.4097812500004</v>
      </c>
      <c r="M1121" s="27" t="s">
        <v>568</v>
      </c>
      <c r="N1121" s="68" t="s">
        <v>1592</v>
      </c>
      <c r="O1121" s="18">
        <f>G1121*L1121</f>
        <v>240054750.27187502</v>
      </c>
      <c r="P1121" s="246"/>
      <c r="Q1121" s="246"/>
      <c r="R1121" s="27"/>
      <c r="S1121" s="27"/>
      <c r="T1121" s="18"/>
      <c r="U1121" s="27"/>
      <c r="V1121" s="27"/>
      <c r="W1121" s="30"/>
      <c r="X1121" s="27"/>
      <c r="Y1121" s="27"/>
      <c r="Z1121" s="27"/>
      <c r="AA1121" s="27"/>
      <c r="AB1121" s="29"/>
      <c r="AC1121" s="273">
        <v>448018316.76552463</v>
      </c>
      <c r="AD1121" s="27">
        <v>4136083638.0982671</v>
      </c>
      <c r="AE1121" s="228">
        <v>0.10831945288502901</v>
      </c>
      <c r="AF1121" s="27">
        <v>2658426397.55128</v>
      </c>
      <c r="AG1121" s="226">
        <v>0.16852763619041761</v>
      </c>
      <c r="AH1121" s="226">
        <v>0.1329907076266266</v>
      </c>
      <c r="AI1121" s="27">
        <v>382210000</v>
      </c>
      <c r="AJ1121" s="226">
        <v>1.1721784274757976</v>
      </c>
      <c r="AK1121" s="27">
        <v>159006020.92368281</v>
      </c>
      <c r="AL1121" s="226">
        <v>2.8176185666614306</v>
      </c>
      <c r="AM1121" s="27">
        <v>152623554.2876451</v>
      </c>
      <c r="AN1121" s="271">
        <v>2.9354467523483154</v>
      </c>
      <c r="AO1121" s="27">
        <v>3702763</v>
      </c>
      <c r="AP1121" s="27" t="s">
        <v>2842</v>
      </c>
      <c r="AQ1121" s="27">
        <v>61.186951219512203</v>
      </c>
      <c r="AR1121" s="27">
        <v>69.2</v>
      </c>
      <c r="AS1121" s="29">
        <v>71.509619999999998</v>
      </c>
      <c r="AT1121" s="270">
        <v>30</v>
      </c>
      <c r="AU1121" s="464" t="s">
        <v>2842</v>
      </c>
      <c r="AV1121" s="29">
        <v>-0.96181670187593804</v>
      </c>
      <c r="AW1121" s="29">
        <v>-1.1673427669430601</v>
      </c>
      <c r="AX1121" s="29">
        <v>-0.91574000248267295</v>
      </c>
      <c r="AY1121" s="29">
        <v>-0.77117948396587399</v>
      </c>
      <c r="AZ1121" s="60">
        <v>-0.44296713290802098</v>
      </c>
    </row>
    <row r="1122" spans="1:52" ht="15" customHeight="1">
      <c r="A1122" s="63" t="s">
        <v>352</v>
      </c>
      <c r="B1122" s="53">
        <v>2011</v>
      </c>
      <c r="C1122" s="146" t="s">
        <v>338</v>
      </c>
      <c r="D1122" s="69" t="s">
        <v>81</v>
      </c>
      <c r="E1122" s="27" t="s">
        <v>19</v>
      </c>
      <c r="F1122" s="27" t="s">
        <v>730</v>
      </c>
      <c r="G1122" s="43">
        <f>8172*32.150743126506</f>
        <v>262735.87282980705</v>
      </c>
      <c r="H1122" s="43"/>
      <c r="I1122" s="43"/>
      <c r="J1122" s="43"/>
      <c r="K1122" s="27" t="s">
        <v>731</v>
      </c>
      <c r="L1122" s="28">
        <f>1569.21083333333*0.9842</f>
        <v>1544.4173021666631</v>
      </c>
      <c r="M1122" s="27" t="s">
        <v>732</v>
      </c>
      <c r="N1122" s="68" t="s">
        <v>1593</v>
      </c>
      <c r="O1122" s="18">
        <f>G1122*L1122</f>
        <v>405773827.8982141</v>
      </c>
      <c r="P1122" s="246"/>
      <c r="Q1122" s="246"/>
      <c r="R1122" s="27"/>
      <c r="S1122" s="27"/>
      <c r="T1122" s="18"/>
      <c r="U1122" s="27"/>
      <c r="V1122" s="27"/>
      <c r="W1122" s="30"/>
      <c r="X1122" s="27"/>
      <c r="Y1122" s="27"/>
      <c r="Z1122" s="27"/>
      <c r="AA1122" s="27"/>
      <c r="AB1122" s="29"/>
      <c r="AC1122" s="273">
        <v>448018316.76552463</v>
      </c>
      <c r="AD1122" s="27">
        <v>4136083638.0982671</v>
      </c>
      <c r="AE1122" s="228">
        <v>0.10831945288502901</v>
      </c>
      <c r="AF1122" s="27">
        <v>2658426397.55128</v>
      </c>
      <c r="AG1122" s="226">
        <v>0.16852763619041761</v>
      </c>
      <c r="AH1122" s="226">
        <v>0.1329907076266266</v>
      </c>
      <c r="AI1122" s="27">
        <v>382210000</v>
      </c>
      <c r="AJ1122" s="226">
        <v>1.1721784274757976</v>
      </c>
      <c r="AK1122" s="27">
        <v>159006020.92368281</v>
      </c>
      <c r="AL1122" s="226">
        <v>2.8176185666614306</v>
      </c>
      <c r="AM1122" s="27">
        <v>152623554.2876451</v>
      </c>
      <c r="AN1122" s="271">
        <v>2.9354467523483154</v>
      </c>
      <c r="AO1122" s="27">
        <v>3702763</v>
      </c>
      <c r="AP1122" s="27" t="s">
        <v>2842</v>
      </c>
      <c r="AQ1122" s="27">
        <v>61.186951219512203</v>
      </c>
      <c r="AR1122" s="27">
        <v>69.2</v>
      </c>
      <c r="AS1122" s="29">
        <v>71.509619999999998</v>
      </c>
      <c r="AT1122" s="270">
        <v>30</v>
      </c>
      <c r="AU1122" s="464" t="s">
        <v>2842</v>
      </c>
      <c r="AV1122" s="29">
        <v>-0.96181670187593804</v>
      </c>
      <c r="AW1122" s="29">
        <v>-1.1673427669430601</v>
      </c>
      <c r="AX1122" s="29">
        <v>-0.91574000248267295</v>
      </c>
      <c r="AY1122" s="29">
        <v>-0.77117948396587399</v>
      </c>
      <c r="AZ1122" s="60">
        <v>-0.44296713290802098</v>
      </c>
    </row>
    <row r="1123" spans="1:52" s="287" customFormat="1" ht="15" customHeight="1">
      <c r="A1123" s="359" t="s">
        <v>352</v>
      </c>
      <c r="B1123" s="302">
        <v>2011</v>
      </c>
      <c r="C1123" s="383" t="s">
        <v>338</v>
      </c>
      <c r="D1123" s="369" t="s">
        <v>81</v>
      </c>
      <c r="E1123" s="284" t="s">
        <v>19</v>
      </c>
      <c r="F1123" s="284" t="s">
        <v>1133</v>
      </c>
      <c r="G1123" s="303">
        <v>11160000</v>
      </c>
      <c r="H1123" s="303"/>
      <c r="I1123" s="303"/>
      <c r="J1123" s="303"/>
      <c r="K1123" s="284" t="s">
        <v>567</v>
      </c>
      <c r="L1123" s="304">
        <f>167.75416666667*0.5964</f>
        <v>100.04858500000199</v>
      </c>
      <c r="M1123" s="284" t="s">
        <v>568</v>
      </c>
      <c r="N1123" s="286" t="s">
        <v>1594</v>
      </c>
      <c r="O1123" s="305">
        <f>G1123*L1123</f>
        <v>1116542208.6000223</v>
      </c>
      <c r="P1123" s="320"/>
      <c r="Q1123" s="320"/>
      <c r="R1123" s="284"/>
      <c r="S1123" s="284"/>
      <c r="T1123" s="305"/>
      <c r="U1123" s="284"/>
      <c r="V1123" s="284"/>
      <c r="W1123" s="307"/>
      <c r="X1123" s="284"/>
      <c r="Y1123" s="284"/>
      <c r="Z1123" s="284"/>
      <c r="AA1123" s="284"/>
      <c r="AC1123" s="308">
        <v>448018316.76552463</v>
      </c>
      <c r="AD1123" s="284">
        <v>4136083638.0982671</v>
      </c>
      <c r="AE1123" s="309">
        <v>0.10831945288502901</v>
      </c>
      <c r="AF1123" s="284">
        <v>2658426397.55128</v>
      </c>
      <c r="AG1123" s="310">
        <v>0.16852763619041761</v>
      </c>
      <c r="AH1123" s="310">
        <v>0.1329907076266266</v>
      </c>
      <c r="AI1123" s="284">
        <v>382210000</v>
      </c>
      <c r="AJ1123" s="310">
        <v>1.1721784274757976</v>
      </c>
      <c r="AK1123" s="284">
        <v>159006020.92368281</v>
      </c>
      <c r="AL1123" s="310">
        <v>2.8176185666614306</v>
      </c>
      <c r="AM1123" s="284">
        <v>152623554.2876451</v>
      </c>
      <c r="AN1123" s="311">
        <v>2.9354467523483154</v>
      </c>
      <c r="AO1123" s="284">
        <v>3702763</v>
      </c>
      <c r="AP1123" s="284" t="s">
        <v>2842</v>
      </c>
      <c r="AQ1123" s="284">
        <v>61.186951219512203</v>
      </c>
      <c r="AR1123" s="284">
        <v>69.2</v>
      </c>
      <c r="AS1123" s="287">
        <v>71.509619999999998</v>
      </c>
      <c r="AT1123" s="312">
        <v>30</v>
      </c>
      <c r="AU1123" s="465" t="s">
        <v>2842</v>
      </c>
      <c r="AV1123" s="287">
        <v>-0.96181670187593804</v>
      </c>
      <c r="AW1123" s="287">
        <v>-1.1673427669430601</v>
      </c>
      <c r="AX1123" s="287">
        <v>-0.91574000248267295</v>
      </c>
      <c r="AY1123" s="287">
        <v>-0.77117948396587399</v>
      </c>
      <c r="AZ1123" s="313">
        <v>-0.44296713290802098</v>
      </c>
    </row>
    <row r="1124" spans="1:52" ht="15" customHeight="1">
      <c r="A1124" s="59" t="s">
        <v>354</v>
      </c>
      <c r="B1124" s="27">
        <v>2012</v>
      </c>
      <c r="C1124" s="27" t="s">
        <v>338</v>
      </c>
      <c r="D1124" s="27" t="s">
        <v>81</v>
      </c>
      <c r="E1124" s="27" t="s">
        <v>36</v>
      </c>
      <c r="F1124" s="27" t="s">
        <v>659</v>
      </c>
      <c r="G1124" s="176"/>
      <c r="H1124" s="176"/>
      <c r="I1124" s="27"/>
      <c r="J1124" s="176"/>
      <c r="K1124" s="27"/>
      <c r="L1124" s="28"/>
      <c r="M1124" s="27"/>
      <c r="N1124" s="27"/>
      <c r="O1124" s="18">
        <v>2052846535</v>
      </c>
      <c r="P1124" s="214">
        <v>472169395.82999998</v>
      </c>
      <c r="Q1124" s="214">
        <v>468640335.36000001</v>
      </c>
      <c r="R1124" s="27" t="s">
        <v>619</v>
      </c>
      <c r="S1124" s="27"/>
      <c r="T1124" s="18"/>
      <c r="U1124" s="27" t="s">
        <v>852</v>
      </c>
      <c r="V1124" s="27" t="s">
        <v>1611</v>
      </c>
      <c r="W1124" s="30">
        <v>295.89999999999998</v>
      </c>
      <c r="X1124" s="27">
        <v>21</v>
      </c>
      <c r="Y1124" s="27" t="s">
        <v>1612</v>
      </c>
      <c r="Z1124" s="27">
        <v>15</v>
      </c>
      <c r="AA1124" s="27"/>
      <c r="AB1124" s="27" t="s">
        <v>1613</v>
      </c>
      <c r="AC1124" s="273">
        <v>472169395.82999998</v>
      </c>
      <c r="AD1124" s="27">
        <v>3958702640.0782146</v>
      </c>
      <c r="AE1124" s="228">
        <v>0.11927377192965194</v>
      </c>
      <c r="AF1124" s="27">
        <v>1107684585.7202852</v>
      </c>
      <c r="AG1124" s="226">
        <v>0.42626700950520691</v>
      </c>
      <c r="AH1124" s="226">
        <v>0.69032712819647435</v>
      </c>
      <c r="AI1124" s="27">
        <v>408310000</v>
      </c>
      <c r="AJ1124" s="226">
        <v>1.1563992942372217</v>
      </c>
      <c r="AK1124" s="27">
        <v>161654894.7460219</v>
      </c>
      <c r="AL1124" s="226">
        <v>2.9208481226122567</v>
      </c>
      <c r="AM1124" s="27" t="s">
        <v>2842</v>
      </c>
      <c r="AN1124" s="271" t="s">
        <v>2842</v>
      </c>
      <c r="AO1124" s="27">
        <v>3796141</v>
      </c>
      <c r="AP1124" s="27" t="s">
        <v>2842</v>
      </c>
      <c r="AQ1124" s="27">
        <v>61.350609756097562</v>
      </c>
      <c r="AR1124" s="27">
        <v>68.2</v>
      </c>
      <c r="AS1124" s="29">
        <v>70.43038</v>
      </c>
      <c r="AT1124" s="270">
        <v>30</v>
      </c>
      <c r="AU1124" s="464" t="s">
        <v>2842</v>
      </c>
      <c r="AV1124" s="29">
        <v>-0.94198275359209405</v>
      </c>
      <c r="AW1124" s="29">
        <v>-1.1266924784215899</v>
      </c>
      <c r="AX1124" s="29">
        <v>-0.91238133224512097</v>
      </c>
      <c r="AY1124" s="29">
        <v>-0.64485313997840599</v>
      </c>
      <c r="AZ1124" s="60">
        <v>-0.602145696519781</v>
      </c>
    </row>
    <row r="1125" spans="1:52" ht="15" customHeight="1">
      <c r="A1125" s="59" t="s">
        <v>354</v>
      </c>
      <c r="B1125" s="27">
        <v>2012</v>
      </c>
      <c r="C1125" s="27" t="s">
        <v>338</v>
      </c>
      <c r="D1125" s="27" t="s">
        <v>81</v>
      </c>
      <c r="E1125" s="27" t="s">
        <v>98</v>
      </c>
      <c r="F1125" s="27" t="s">
        <v>98</v>
      </c>
      <c r="G1125" s="176"/>
      <c r="H1125" s="176"/>
      <c r="I1125" s="27"/>
      <c r="J1125" s="176">
        <v>2640474</v>
      </c>
      <c r="K1125" s="27" t="s">
        <v>603</v>
      </c>
      <c r="L1125" s="28"/>
      <c r="M1125" s="27"/>
      <c r="N1125" s="27" t="s">
        <v>674</v>
      </c>
      <c r="O1125" s="18">
        <v>271354358</v>
      </c>
      <c r="P1125" s="244"/>
      <c r="Q1125" s="244"/>
      <c r="R1125" s="27"/>
      <c r="S1125" s="27"/>
      <c r="T1125" s="18"/>
      <c r="U1125" s="27"/>
      <c r="V1125" s="27"/>
      <c r="W1125" s="30"/>
      <c r="X1125" s="27"/>
      <c r="Y1125" s="27"/>
      <c r="Z1125" s="27"/>
      <c r="AA1125" s="27"/>
      <c r="AB1125" s="27"/>
      <c r="AC1125" s="273">
        <v>472169395.82999998</v>
      </c>
      <c r="AD1125" s="27">
        <v>3958702640.0782146</v>
      </c>
      <c r="AE1125" s="228">
        <v>0.11927377192965194</v>
      </c>
      <c r="AF1125" s="27">
        <v>1107684585.7202852</v>
      </c>
      <c r="AG1125" s="226">
        <v>0.42626700950520691</v>
      </c>
      <c r="AH1125" s="226">
        <v>0.69032712819647435</v>
      </c>
      <c r="AI1125" s="27">
        <v>408310000</v>
      </c>
      <c r="AJ1125" s="226">
        <v>1.1563992942372217</v>
      </c>
      <c r="AK1125" s="27">
        <v>161654894.7460219</v>
      </c>
      <c r="AL1125" s="226">
        <v>2.9208481226122567</v>
      </c>
      <c r="AM1125" s="27" t="s">
        <v>2842</v>
      </c>
      <c r="AN1125" s="271" t="s">
        <v>2842</v>
      </c>
      <c r="AO1125" s="27">
        <v>3796141</v>
      </c>
      <c r="AP1125" s="27" t="s">
        <v>2842</v>
      </c>
      <c r="AQ1125" s="27">
        <v>61.350609756097562</v>
      </c>
      <c r="AR1125" s="27">
        <v>68.2</v>
      </c>
      <c r="AS1125" s="29">
        <v>70.43038</v>
      </c>
      <c r="AT1125" s="270">
        <v>30</v>
      </c>
      <c r="AU1125" s="464" t="s">
        <v>2842</v>
      </c>
      <c r="AV1125" s="29">
        <v>-0.94198275359209405</v>
      </c>
      <c r="AW1125" s="29">
        <v>-1.1266924784215899</v>
      </c>
      <c r="AX1125" s="29">
        <v>-0.91238133224512097</v>
      </c>
      <c r="AY1125" s="29">
        <v>-0.64485313997840599</v>
      </c>
      <c r="AZ1125" s="60">
        <v>-0.602145696519781</v>
      </c>
    </row>
    <row r="1126" spans="1:52" ht="15" customHeight="1">
      <c r="A1126" s="59" t="s">
        <v>354</v>
      </c>
      <c r="B1126" s="27">
        <v>2012</v>
      </c>
      <c r="C1126" s="27" t="s">
        <v>338</v>
      </c>
      <c r="D1126" s="27" t="s">
        <v>81</v>
      </c>
      <c r="E1126" s="27" t="s">
        <v>19</v>
      </c>
      <c r="F1126" s="27" t="s">
        <v>559</v>
      </c>
      <c r="G1126" s="176"/>
      <c r="H1126" s="176"/>
      <c r="I1126" s="27"/>
      <c r="J1126" s="176"/>
      <c r="K1126" s="27"/>
      <c r="L1126" s="28"/>
      <c r="M1126" s="27"/>
      <c r="N1126" s="27"/>
      <c r="O1126" s="18">
        <v>1781492177</v>
      </c>
      <c r="P1126" s="244"/>
      <c r="Q1126" s="244"/>
      <c r="R1126" s="27"/>
      <c r="S1126" s="27"/>
      <c r="T1126" s="18"/>
      <c r="U1126" s="27"/>
      <c r="V1126" s="27"/>
      <c r="W1126" s="30"/>
      <c r="X1126" s="27"/>
      <c r="Y1126" s="27"/>
      <c r="Z1126" s="27"/>
      <c r="AA1126" s="27"/>
      <c r="AB1126" s="27"/>
      <c r="AC1126" s="273">
        <v>472169395.82999998</v>
      </c>
      <c r="AD1126" s="27">
        <v>3958702640.0782146</v>
      </c>
      <c r="AE1126" s="228">
        <v>0.11927377192965194</v>
      </c>
      <c r="AF1126" s="27">
        <v>1107684585.7202852</v>
      </c>
      <c r="AG1126" s="226">
        <v>0.42626700950520691</v>
      </c>
      <c r="AH1126" s="226">
        <v>0.69032712819647435</v>
      </c>
      <c r="AI1126" s="27">
        <v>408310000</v>
      </c>
      <c r="AJ1126" s="226">
        <v>1.1563992942372217</v>
      </c>
      <c r="AK1126" s="27">
        <v>161654894.7460219</v>
      </c>
      <c r="AL1126" s="226">
        <v>2.9208481226122567</v>
      </c>
      <c r="AM1126" s="27" t="s">
        <v>2842</v>
      </c>
      <c r="AN1126" s="271" t="s">
        <v>2842</v>
      </c>
      <c r="AO1126" s="27">
        <v>3796141</v>
      </c>
      <c r="AP1126" s="27" t="s">
        <v>2842</v>
      </c>
      <c r="AQ1126" s="27">
        <v>61.350609756097562</v>
      </c>
      <c r="AR1126" s="27">
        <v>68.2</v>
      </c>
      <c r="AS1126" s="29">
        <v>70.43038</v>
      </c>
      <c r="AT1126" s="270">
        <v>30</v>
      </c>
      <c r="AU1126" s="464" t="s">
        <v>2842</v>
      </c>
      <c r="AV1126" s="29">
        <v>-0.94198275359209405</v>
      </c>
      <c r="AW1126" s="29">
        <v>-1.1266924784215899</v>
      </c>
      <c r="AX1126" s="29">
        <v>-0.91238133224512097</v>
      </c>
      <c r="AY1126" s="29">
        <v>-0.64485313997840599</v>
      </c>
      <c r="AZ1126" s="60">
        <v>-0.602145696519781</v>
      </c>
    </row>
    <row r="1127" spans="1:52" ht="15" customHeight="1">
      <c r="A1127" s="59" t="s">
        <v>354</v>
      </c>
      <c r="B1127" s="27">
        <v>2012</v>
      </c>
      <c r="C1127" s="27" t="s">
        <v>338</v>
      </c>
      <c r="D1127" s="27" t="s">
        <v>81</v>
      </c>
      <c r="E1127" s="27" t="s">
        <v>19</v>
      </c>
      <c r="F1127" s="27" t="s">
        <v>1614</v>
      </c>
      <c r="G1127" s="176"/>
      <c r="H1127" s="176"/>
      <c r="I1127" s="27"/>
      <c r="J1127" s="176">
        <v>11170000</v>
      </c>
      <c r="K1127" s="27" t="s">
        <v>567</v>
      </c>
      <c r="L1127" s="28"/>
      <c r="M1127" s="27"/>
      <c r="N1127" s="27" t="s">
        <v>674</v>
      </c>
      <c r="O1127" s="18">
        <v>1127100000</v>
      </c>
      <c r="P1127" s="244"/>
      <c r="Q1127" s="244"/>
      <c r="R1127" s="27"/>
      <c r="S1127" s="27"/>
      <c r="T1127" s="18"/>
      <c r="U1127" s="27"/>
      <c r="V1127" s="27"/>
      <c r="W1127" s="30"/>
      <c r="X1127" s="27"/>
      <c r="Y1127" s="27"/>
      <c r="Z1127" s="27"/>
      <c r="AA1127" s="27"/>
      <c r="AB1127" s="27"/>
      <c r="AC1127" s="273">
        <v>472169395.82999998</v>
      </c>
      <c r="AD1127" s="27">
        <v>3958702640.0782146</v>
      </c>
      <c r="AE1127" s="228">
        <v>0.11927377192965194</v>
      </c>
      <c r="AF1127" s="27">
        <v>1107684585.7202852</v>
      </c>
      <c r="AG1127" s="226">
        <v>0.42626700950520691</v>
      </c>
      <c r="AH1127" s="226">
        <v>0.69032712819647435</v>
      </c>
      <c r="AI1127" s="27">
        <v>408310000</v>
      </c>
      <c r="AJ1127" s="226">
        <v>1.1563992942372217</v>
      </c>
      <c r="AK1127" s="27">
        <v>161654894.7460219</v>
      </c>
      <c r="AL1127" s="226">
        <v>2.9208481226122567</v>
      </c>
      <c r="AM1127" s="27" t="s">
        <v>2842</v>
      </c>
      <c r="AN1127" s="271" t="s">
        <v>2842</v>
      </c>
      <c r="AO1127" s="27">
        <v>3796141</v>
      </c>
      <c r="AP1127" s="27" t="s">
        <v>2842</v>
      </c>
      <c r="AQ1127" s="27">
        <v>61.350609756097562</v>
      </c>
      <c r="AR1127" s="27">
        <v>68.2</v>
      </c>
      <c r="AS1127" s="29">
        <v>70.43038</v>
      </c>
      <c r="AT1127" s="270">
        <v>30</v>
      </c>
      <c r="AU1127" s="464" t="s">
        <v>2842</v>
      </c>
      <c r="AV1127" s="29">
        <v>-0.94198275359209405</v>
      </c>
      <c r="AW1127" s="29">
        <v>-1.1266924784215899</v>
      </c>
      <c r="AX1127" s="29">
        <v>-0.91238133224512097</v>
      </c>
      <c r="AY1127" s="29">
        <v>-0.64485313997840599</v>
      </c>
      <c r="AZ1127" s="60">
        <v>-0.602145696519781</v>
      </c>
    </row>
    <row r="1128" spans="1:52" ht="15" customHeight="1">
      <c r="A1128" s="171" t="s">
        <v>354</v>
      </c>
      <c r="B1128" s="27">
        <v>2012</v>
      </c>
      <c r="C1128" s="27" t="s">
        <v>338</v>
      </c>
      <c r="D1128" s="27" t="s">
        <v>81</v>
      </c>
      <c r="E1128" s="27" t="s">
        <v>19</v>
      </c>
      <c r="F1128" s="27" t="s">
        <v>576</v>
      </c>
      <c r="G1128" s="176"/>
      <c r="H1128" s="176"/>
      <c r="I1128" s="27"/>
      <c r="J1128" s="176">
        <v>37670</v>
      </c>
      <c r="K1128" s="27" t="s">
        <v>567</v>
      </c>
      <c r="L1128" s="28"/>
      <c r="M1128" s="27"/>
      <c r="N1128" s="27" t="s">
        <v>674</v>
      </c>
      <c r="O1128" s="18">
        <v>333300000</v>
      </c>
      <c r="P1128" s="244"/>
      <c r="Q1128" s="244"/>
      <c r="R1128" s="27"/>
      <c r="S1128" s="27"/>
      <c r="T1128" s="18"/>
      <c r="U1128" s="27"/>
      <c r="V1128" s="27"/>
      <c r="W1128" s="30"/>
      <c r="X1128" s="27"/>
      <c r="Y1128" s="27"/>
      <c r="Z1128" s="27"/>
      <c r="AA1128" s="27"/>
      <c r="AB1128" s="27"/>
      <c r="AC1128" s="273">
        <v>472169395.82999998</v>
      </c>
      <c r="AD1128" s="27">
        <v>3958702640.0782146</v>
      </c>
      <c r="AE1128" s="228">
        <v>0.11927377192965194</v>
      </c>
      <c r="AF1128" s="27">
        <v>1107684585.7202852</v>
      </c>
      <c r="AG1128" s="226">
        <v>0.42626700950520691</v>
      </c>
      <c r="AH1128" s="226">
        <v>0.69032712819647435</v>
      </c>
      <c r="AI1128" s="27">
        <v>408310000</v>
      </c>
      <c r="AJ1128" s="226">
        <v>1.1563992942372217</v>
      </c>
      <c r="AK1128" s="27">
        <v>161654894.7460219</v>
      </c>
      <c r="AL1128" s="226">
        <v>2.9208481226122567</v>
      </c>
      <c r="AM1128" s="27" t="s">
        <v>2842</v>
      </c>
      <c r="AN1128" s="271" t="s">
        <v>2842</v>
      </c>
      <c r="AO1128" s="27">
        <v>3796141</v>
      </c>
      <c r="AP1128" s="27" t="s">
        <v>2842</v>
      </c>
      <c r="AQ1128" s="27">
        <v>61.350609756097562</v>
      </c>
      <c r="AR1128" s="27">
        <v>68.2</v>
      </c>
      <c r="AS1128" s="29">
        <v>70.43038</v>
      </c>
      <c r="AT1128" s="270">
        <v>30</v>
      </c>
      <c r="AU1128" s="464" t="s">
        <v>2842</v>
      </c>
      <c r="AV1128" s="29">
        <v>-0.94198275359209405</v>
      </c>
      <c r="AW1128" s="29">
        <v>-1.1266924784215899</v>
      </c>
      <c r="AX1128" s="29">
        <v>-0.91238133224512097</v>
      </c>
      <c r="AY1128" s="29">
        <v>-0.64485313997840599</v>
      </c>
      <c r="AZ1128" s="60">
        <v>-0.602145696519781</v>
      </c>
    </row>
    <row r="1129" spans="1:52" ht="15" customHeight="1">
      <c r="A1129" s="171" t="s">
        <v>354</v>
      </c>
      <c r="B1129" s="27">
        <v>2012</v>
      </c>
      <c r="C1129" s="27" t="s">
        <v>338</v>
      </c>
      <c r="D1129" s="27" t="s">
        <v>81</v>
      </c>
      <c r="E1129" s="27" t="s">
        <v>19</v>
      </c>
      <c r="F1129" s="27" t="s">
        <v>730</v>
      </c>
      <c r="G1129" s="176"/>
      <c r="H1129" s="176"/>
      <c r="I1129" s="27"/>
      <c r="J1129" s="176">
        <v>7.5</v>
      </c>
      <c r="K1129" s="27" t="s">
        <v>567</v>
      </c>
      <c r="L1129" s="28"/>
      <c r="M1129" s="27"/>
      <c r="N1129" s="27" t="s">
        <v>674</v>
      </c>
      <c r="O1129" s="18">
        <v>320700000</v>
      </c>
      <c r="P1129" s="244"/>
      <c r="Q1129" s="244"/>
      <c r="R1129" s="27"/>
      <c r="S1129" s="27"/>
      <c r="T1129" s="18"/>
      <c r="U1129" s="27"/>
      <c r="V1129" s="27"/>
      <c r="W1129" s="30"/>
      <c r="X1129" s="27"/>
      <c r="Y1129" s="27"/>
      <c r="Z1129" s="27"/>
      <c r="AA1129" s="27"/>
      <c r="AB1129" s="27"/>
      <c r="AC1129" s="273">
        <v>472169395.82999998</v>
      </c>
      <c r="AD1129" s="27">
        <v>3958702640.0782146</v>
      </c>
      <c r="AE1129" s="228">
        <v>0.11927377192965194</v>
      </c>
      <c r="AF1129" s="27">
        <v>1107684585.7202852</v>
      </c>
      <c r="AG1129" s="226">
        <v>0.42626700950520691</v>
      </c>
      <c r="AH1129" s="226">
        <v>0.69032712819647435</v>
      </c>
      <c r="AI1129" s="27">
        <v>408310000</v>
      </c>
      <c r="AJ1129" s="226">
        <v>1.1563992942372217</v>
      </c>
      <c r="AK1129" s="27">
        <v>161654894.7460219</v>
      </c>
      <c r="AL1129" s="226">
        <v>2.9208481226122567</v>
      </c>
      <c r="AM1129" s="27" t="s">
        <v>2842</v>
      </c>
      <c r="AN1129" s="271" t="s">
        <v>2842</v>
      </c>
      <c r="AO1129" s="27">
        <v>3796141</v>
      </c>
      <c r="AP1129" s="27" t="s">
        <v>2842</v>
      </c>
      <c r="AQ1129" s="27">
        <v>61.350609756097562</v>
      </c>
      <c r="AR1129" s="27">
        <v>68.2</v>
      </c>
      <c r="AS1129" s="29">
        <v>70.43038</v>
      </c>
      <c r="AT1129" s="270">
        <v>30</v>
      </c>
      <c r="AU1129" s="464" t="s">
        <v>2842</v>
      </c>
      <c r="AV1129" s="29">
        <v>-0.94198275359209405</v>
      </c>
      <c r="AW1129" s="29">
        <v>-1.1266924784215899</v>
      </c>
      <c r="AX1129" s="29">
        <v>-0.91238133224512097</v>
      </c>
      <c r="AY1129" s="29">
        <v>-0.64485313997840599</v>
      </c>
      <c r="AZ1129" s="60">
        <v>-0.602145696519781</v>
      </c>
    </row>
    <row r="1130" spans="1:52" s="232" customFormat="1" ht="15" customHeight="1" thickBot="1">
      <c r="A1130" s="316" t="s">
        <v>354</v>
      </c>
      <c r="B1130" s="230">
        <v>2012</v>
      </c>
      <c r="C1130" s="230" t="s">
        <v>338</v>
      </c>
      <c r="D1130" s="230" t="s">
        <v>81</v>
      </c>
      <c r="E1130" s="230" t="s">
        <v>19</v>
      </c>
      <c r="F1130" s="230" t="s">
        <v>735</v>
      </c>
      <c r="G1130" s="317"/>
      <c r="H1130" s="317"/>
      <c r="I1130" s="230"/>
      <c r="J1130" s="317">
        <v>0.28699999999999998</v>
      </c>
      <c r="K1130" s="230" t="s">
        <v>567</v>
      </c>
      <c r="L1130" s="298"/>
      <c r="M1130" s="230"/>
      <c r="N1130" s="230" t="s">
        <v>674</v>
      </c>
      <c r="O1130" s="285">
        <v>300000</v>
      </c>
      <c r="P1130" s="318"/>
      <c r="Q1130" s="318"/>
      <c r="R1130" s="230"/>
      <c r="S1130" s="230"/>
      <c r="T1130" s="285"/>
      <c r="U1130" s="230"/>
      <c r="V1130" s="230"/>
      <c r="W1130" s="300"/>
      <c r="X1130" s="230"/>
      <c r="Y1130" s="230"/>
      <c r="Z1130" s="230"/>
      <c r="AA1130" s="230"/>
      <c r="AB1130" s="230"/>
      <c r="AC1130" s="274">
        <v>472169395.82999998</v>
      </c>
      <c r="AD1130" s="230">
        <v>3958702640.0782146</v>
      </c>
      <c r="AE1130" s="229">
        <v>0.11927377192965194</v>
      </c>
      <c r="AF1130" s="230">
        <v>1107684585.7202852</v>
      </c>
      <c r="AG1130" s="231">
        <v>0.42626700950520691</v>
      </c>
      <c r="AH1130" s="231">
        <v>0.69032712819647435</v>
      </c>
      <c r="AI1130" s="230">
        <v>408310000</v>
      </c>
      <c r="AJ1130" s="231">
        <v>1.1563992942372217</v>
      </c>
      <c r="AK1130" s="230">
        <v>161654894.7460219</v>
      </c>
      <c r="AL1130" s="231">
        <v>2.9208481226122567</v>
      </c>
      <c r="AM1130" s="230" t="s">
        <v>2842</v>
      </c>
      <c r="AN1130" s="275" t="s">
        <v>2842</v>
      </c>
      <c r="AO1130" s="230">
        <v>3796141</v>
      </c>
      <c r="AP1130" s="230" t="s">
        <v>2842</v>
      </c>
      <c r="AQ1130" s="230">
        <v>61.350609756097562</v>
      </c>
      <c r="AR1130" s="230">
        <v>68.2</v>
      </c>
      <c r="AS1130" s="232">
        <v>70.43038</v>
      </c>
      <c r="AT1130" s="276">
        <v>30</v>
      </c>
      <c r="AU1130" s="466" t="s">
        <v>2842</v>
      </c>
      <c r="AV1130" s="232">
        <v>-0.94198275359209405</v>
      </c>
      <c r="AW1130" s="232">
        <v>-1.1266924784215899</v>
      </c>
      <c r="AX1130" s="232">
        <v>-0.91238133224512097</v>
      </c>
      <c r="AY1130" s="232">
        <v>-0.64485313997840599</v>
      </c>
      <c r="AZ1130" s="293">
        <v>-0.602145696519781</v>
      </c>
    </row>
    <row r="1131" spans="1:52" s="29" customFormat="1" ht="15" customHeight="1">
      <c r="A1131" s="332" t="s">
        <v>1615</v>
      </c>
      <c r="B1131" s="27">
        <v>2006</v>
      </c>
      <c r="C1131" s="27" t="s">
        <v>357</v>
      </c>
      <c r="D1131" s="27" t="s">
        <v>238</v>
      </c>
      <c r="E1131" s="27" t="s">
        <v>36</v>
      </c>
      <c r="F1131" s="27" t="s">
        <v>659</v>
      </c>
      <c r="G1131" s="43"/>
      <c r="H1131" s="43"/>
      <c r="I1131" s="43"/>
      <c r="J1131" s="43"/>
      <c r="K1131" s="27"/>
      <c r="L1131" s="28"/>
      <c r="M1131" s="27"/>
      <c r="N1131" s="27"/>
      <c r="O1131" s="18">
        <f>O1132+O1133</f>
        <v>1053499669.0326614</v>
      </c>
      <c r="P1131" s="214">
        <v>411987301.60000002</v>
      </c>
      <c r="Q1131" s="214">
        <v>434116184.30000001</v>
      </c>
      <c r="R1131" s="27" t="s">
        <v>3693</v>
      </c>
      <c r="S1131" s="27" t="s">
        <v>871</v>
      </c>
      <c r="T1131" s="27" t="s">
        <v>871</v>
      </c>
      <c r="U1131" s="27" t="s">
        <v>1617</v>
      </c>
      <c r="V1131" s="27" t="s">
        <v>1618</v>
      </c>
      <c r="W1131" s="30">
        <v>1134</v>
      </c>
      <c r="X1131" s="27">
        <v>25</v>
      </c>
      <c r="Y1131" s="27" t="s">
        <v>1619</v>
      </c>
      <c r="Z1131" s="27">
        <v>25</v>
      </c>
      <c r="AA1131" s="27">
        <v>16</v>
      </c>
      <c r="AB1131" s="27" t="s">
        <v>1621</v>
      </c>
      <c r="AC1131" s="273">
        <v>411987301.60000002</v>
      </c>
      <c r="AD1131" s="27">
        <v>3414053250.9454865</v>
      </c>
      <c r="AE1131" s="228">
        <v>0.1206739530163756</v>
      </c>
      <c r="AF1131" s="27">
        <v>1053474411.6442488</v>
      </c>
      <c r="AG1131" s="226">
        <v>0.39107480641791359</v>
      </c>
      <c r="AH1131" s="226">
        <v>0.54582567923009861</v>
      </c>
      <c r="AI1131" s="27">
        <v>205140000</v>
      </c>
      <c r="AJ1131" s="226">
        <v>2.0083226167495369</v>
      </c>
      <c r="AK1131" s="27">
        <v>106744257.01556586</v>
      </c>
      <c r="AL1131" s="226">
        <v>3.8595734620170008</v>
      </c>
      <c r="AM1131" s="27" t="s">
        <v>2842</v>
      </c>
      <c r="AN1131" s="271" t="s">
        <v>2842</v>
      </c>
      <c r="AO1131" s="27">
        <v>2559496</v>
      </c>
      <c r="AP1131" s="27" t="s">
        <v>2842</v>
      </c>
      <c r="AQ1131" s="27">
        <v>65.682756097560983</v>
      </c>
      <c r="AR1131" s="27">
        <v>35</v>
      </c>
      <c r="AS1131" s="29">
        <v>97.485209999999995</v>
      </c>
      <c r="AT1131" s="270">
        <v>39</v>
      </c>
      <c r="AU1131" s="464">
        <v>50.953024059451757</v>
      </c>
      <c r="AV1131" s="29">
        <v>0.20312105034890701</v>
      </c>
      <c r="AW1131" s="29">
        <v>0.680717881061082</v>
      </c>
      <c r="AX1131" s="29">
        <v>-0.408389718200519</v>
      </c>
      <c r="AY1131" s="29">
        <v>-0.29960878620951698</v>
      </c>
      <c r="AZ1131" s="60">
        <v>-0.579306319388183</v>
      </c>
    </row>
    <row r="1132" spans="1:52" s="29" customFormat="1" ht="15" customHeight="1">
      <c r="A1132" s="59" t="s">
        <v>1615</v>
      </c>
      <c r="B1132" s="27">
        <v>2006</v>
      </c>
      <c r="C1132" s="27" t="s">
        <v>357</v>
      </c>
      <c r="D1132" s="27" t="s">
        <v>238</v>
      </c>
      <c r="E1132" s="27" t="s">
        <v>98</v>
      </c>
      <c r="F1132" s="27" t="s">
        <v>98</v>
      </c>
      <c r="G1132" s="43">
        <v>0</v>
      </c>
      <c r="H1132" s="43">
        <v>0</v>
      </c>
      <c r="I1132" s="43"/>
      <c r="J1132" s="43"/>
      <c r="K1132" s="27" t="s">
        <v>603</v>
      </c>
      <c r="L1132" s="28"/>
      <c r="M1132" s="27"/>
      <c r="N1132" s="27" t="s">
        <v>1622</v>
      </c>
      <c r="O1132" s="18">
        <f>G1132*L1132</f>
        <v>0</v>
      </c>
      <c r="P1132" s="214"/>
      <c r="Q1132" s="214"/>
      <c r="R1132" s="27"/>
      <c r="S1132" s="27"/>
      <c r="T1132" s="18"/>
      <c r="U1132" s="27"/>
      <c r="V1132" s="27"/>
      <c r="W1132" s="30"/>
      <c r="X1132" s="27">
        <v>1</v>
      </c>
      <c r="Y1132" s="27" t="s">
        <v>1623</v>
      </c>
      <c r="Z1132" s="27">
        <v>1</v>
      </c>
      <c r="AA1132" s="27"/>
      <c r="AB1132" s="27"/>
      <c r="AC1132" s="273">
        <v>411987301.60000002</v>
      </c>
      <c r="AD1132" s="27">
        <v>3414053250.9454865</v>
      </c>
      <c r="AE1132" s="228">
        <v>0.1206739530163756</v>
      </c>
      <c r="AF1132" s="27">
        <v>1053474411.6442488</v>
      </c>
      <c r="AG1132" s="226">
        <v>0.39107480641791359</v>
      </c>
      <c r="AH1132" s="226">
        <v>0.54582567923009861</v>
      </c>
      <c r="AI1132" s="27">
        <v>205140000</v>
      </c>
      <c r="AJ1132" s="226">
        <v>2.0083226167495369</v>
      </c>
      <c r="AK1132" s="27">
        <v>106744257.01556586</v>
      </c>
      <c r="AL1132" s="226">
        <v>3.8595734620170008</v>
      </c>
      <c r="AM1132" s="27" t="s">
        <v>2842</v>
      </c>
      <c r="AN1132" s="271" t="s">
        <v>2842</v>
      </c>
      <c r="AO1132" s="27">
        <v>2559496</v>
      </c>
      <c r="AP1132" s="27" t="s">
        <v>2842</v>
      </c>
      <c r="AQ1132" s="27">
        <v>65.682756097560983</v>
      </c>
      <c r="AR1132" s="27">
        <v>35</v>
      </c>
      <c r="AS1132" s="29">
        <v>97.485209999999995</v>
      </c>
      <c r="AT1132" s="270">
        <v>39</v>
      </c>
      <c r="AU1132" s="464">
        <v>50.953024059451757</v>
      </c>
      <c r="AV1132" s="29">
        <v>0.20312105034890701</v>
      </c>
      <c r="AW1132" s="29">
        <v>0.680717881061082</v>
      </c>
      <c r="AX1132" s="29">
        <v>-0.408389718200519</v>
      </c>
      <c r="AY1132" s="29">
        <v>-0.29960878620951698</v>
      </c>
      <c r="AZ1132" s="60">
        <v>-0.579306319388183</v>
      </c>
    </row>
    <row r="1133" spans="1:52" s="29" customFormat="1" ht="15" customHeight="1">
      <c r="A1133" s="59" t="s">
        <v>356</v>
      </c>
      <c r="B1133" s="27">
        <v>2006</v>
      </c>
      <c r="C1133" s="27" t="s">
        <v>357</v>
      </c>
      <c r="D1133" s="27" t="s">
        <v>238</v>
      </c>
      <c r="E1133" s="27" t="s">
        <v>19</v>
      </c>
      <c r="F1133" s="27" t="s">
        <v>559</v>
      </c>
      <c r="G1133" s="43"/>
      <c r="H1133" s="43"/>
      <c r="I1133" s="43"/>
      <c r="J1133" s="43"/>
      <c r="K1133" s="27"/>
      <c r="L1133" s="28"/>
      <c r="M1133" s="27"/>
      <c r="N1133" s="27"/>
      <c r="O1133" s="18">
        <f>SUM(O1134:O1141)</f>
        <v>1053499669.0326614</v>
      </c>
      <c r="P1133" s="214"/>
      <c r="Q1133" s="214"/>
      <c r="R1133" s="27"/>
      <c r="S1133" s="27"/>
      <c r="T1133" s="18"/>
      <c r="U1133" s="27"/>
      <c r="V1133" s="27"/>
      <c r="W1133" s="30"/>
      <c r="X1133" s="27">
        <v>24</v>
      </c>
      <c r="Y1133" s="27" t="s">
        <v>1624</v>
      </c>
      <c r="Z1133" s="27">
        <v>24</v>
      </c>
      <c r="AA1133" s="27"/>
      <c r="AB1133" s="27"/>
      <c r="AC1133" s="273">
        <v>411987301.60000002</v>
      </c>
      <c r="AD1133" s="27">
        <v>3414053250.9454865</v>
      </c>
      <c r="AE1133" s="228">
        <v>0.1206739530163756</v>
      </c>
      <c r="AF1133" s="27">
        <v>1053474411.6442488</v>
      </c>
      <c r="AG1133" s="226">
        <v>0.39107480641791359</v>
      </c>
      <c r="AH1133" s="226">
        <v>0.54582567923009861</v>
      </c>
      <c r="AI1133" s="27">
        <v>205140000</v>
      </c>
      <c r="AJ1133" s="226">
        <v>2.0083226167495369</v>
      </c>
      <c r="AK1133" s="27">
        <v>106744257.01556586</v>
      </c>
      <c r="AL1133" s="226">
        <v>3.8595734620170008</v>
      </c>
      <c r="AM1133" s="27" t="s">
        <v>2842</v>
      </c>
      <c r="AN1133" s="271" t="s">
        <v>2842</v>
      </c>
      <c r="AO1133" s="27">
        <v>2559496</v>
      </c>
      <c r="AP1133" s="27" t="s">
        <v>2842</v>
      </c>
      <c r="AQ1133" s="27">
        <v>65.682756097560983</v>
      </c>
      <c r="AR1133" s="27">
        <v>35</v>
      </c>
      <c r="AS1133" s="29">
        <v>97.485209999999995</v>
      </c>
      <c r="AT1133" s="270">
        <v>39</v>
      </c>
      <c r="AU1133" s="464">
        <v>50.953024059451757</v>
      </c>
      <c r="AV1133" s="29">
        <v>0.20312105034890701</v>
      </c>
      <c r="AW1133" s="29">
        <v>0.680717881061082</v>
      </c>
      <c r="AX1133" s="29">
        <v>-0.408389718200519</v>
      </c>
      <c r="AY1133" s="29">
        <v>-0.29960878620951698</v>
      </c>
      <c r="AZ1133" s="60">
        <v>-0.579306319388183</v>
      </c>
    </row>
    <row r="1134" spans="1:52" s="29" customFormat="1" ht="15" customHeight="1">
      <c r="A1134" s="59" t="s">
        <v>356</v>
      </c>
      <c r="B1134" s="27">
        <v>2006</v>
      </c>
      <c r="C1134" s="27" t="s">
        <v>357</v>
      </c>
      <c r="D1134" s="27" t="s">
        <v>238</v>
      </c>
      <c r="E1134" s="27" t="s">
        <v>19</v>
      </c>
      <c r="F1134" s="27" t="s">
        <v>573</v>
      </c>
      <c r="G1134" s="43">
        <f>8074100*0.90718474</f>
        <v>7324700.3092340007</v>
      </c>
      <c r="H1134" s="43">
        <f>8074100*0.90718474</f>
        <v>7324700.3092340007</v>
      </c>
      <c r="I1134" s="43"/>
      <c r="J1134" s="43"/>
      <c r="K1134" s="27" t="s">
        <v>567</v>
      </c>
      <c r="L1134" s="28">
        <f>61.1794689247191*0.806</f>
        <v>49.3106519533236</v>
      </c>
      <c r="M1134" s="27" t="s">
        <v>568</v>
      </c>
      <c r="N1134" s="27" t="s">
        <v>1625</v>
      </c>
      <c r="O1134" s="18">
        <f t="shared" ref="O1134:O1141" si="16">G1134*L1134</f>
        <v>361185747.61103958</v>
      </c>
      <c r="P1134" s="214"/>
      <c r="Q1134" s="214"/>
      <c r="R1134" s="27"/>
      <c r="S1134" s="27"/>
      <c r="T1134" s="18"/>
      <c r="U1134" s="27"/>
      <c r="V1134" s="27"/>
      <c r="W1134" s="30"/>
      <c r="X1134" s="27">
        <v>7</v>
      </c>
      <c r="Y1134" s="27" t="s">
        <v>1626</v>
      </c>
      <c r="Z1134" s="27">
        <v>7</v>
      </c>
      <c r="AA1134" s="27"/>
      <c r="AB1134" s="27"/>
      <c r="AC1134" s="273">
        <v>411987301.60000002</v>
      </c>
      <c r="AD1134" s="27">
        <v>3414053250.9454865</v>
      </c>
      <c r="AE1134" s="228">
        <v>0.1206739530163756</v>
      </c>
      <c r="AF1134" s="27">
        <v>1053474411.6442488</v>
      </c>
      <c r="AG1134" s="226">
        <v>0.39107480641791359</v>
      </c>
      <c r="AH1134" s="226">
        <v>0.54582567923009861</v>
      </c>
      <c r="AI1134" s="27">
        <v>205140000</v>
      </c>
      <c r="AJ1134" s="226">
        <v>2.0083226167495369</v>
      </c>
      <c r="AK1134" s="27">
        <v>106744257.01556586</v>
      </c>
      <c r="AL1134" s="226">
        <v>3.8595734620170008</v>
      </c>
      <c r="AM1134" s="27" t="s">
        <v>2842</v>
      </c>
      <c r="AN1134" s="271" t="s">
        <v>2842</v>
      </c>
      <c r="AO1134" s="27">
        <v>2559496</v>
      </c>
      <c r="AP1134" s="27" t="s">
        <v>2842</v>
      </c>
      <c r="AQ1134" s="27">
        <v>65.682756097560983</v>
      </c>
      <c r="AR1134" s="27">
        <v>35</v>
      </c>
      <c r="AS1134" s="29">
        <v>97.485209999999995</v>
      </c>
      <c r="AT1134" s="270">
        <v>39</v>
      </c>
      <c r="AU1134" s="464">
        <v>50.953024059451757</v>
      </c>
      <c r="AV1134" s="29">
        <v>0.20312105034890701</v>
      </c>
      <c r="AW1134" s="29">
        <v>0.680717881061082</v>
      </c>
      <c r="AX1134" s="29">
        <v>-0.408389718200519</v>
      </c>
      <c r="AY1134" s="29">
        <v>-0.29960878620951698</v>
      </c>
      <c r="AZ1134" s="60">
        <v>-0.579306319388183</v>
      </c>
    </row>
    <row r="1135" spans="1:52" s="29" customFormat="1" ht="15" customHeight="1">
      <c r="A1135" s="59" t="s">
        <v>356</v>
      </c>
      <c r="B1135" s="27">
        <v>2006</v>
      </c>
      <c r="C1135" s="27" t="s">
        <v>357</v>
      </c>
      <c r="D1135" s="27" t="s">
        <v>238</v>
      </c>
      <c r="E1135" s="27" t="s">
        <v>19</v>
      </c>
      <c r="F1135" s="27" t="s">
        <v>576</v>
      </c>
      <c r="G1135" s="43">
        <f>129700*0.90718474</f>
        <v>117661.860778</v>
      </c>
      <c r="H1135" s="43">
        <f>129700*0.90718474</f>
        <v>117661.860778</v>
      </c>
      <c r="I1135" s="43"/>
      <c r="J1135" s="43"/>
      <c r="K1135" s="27" t="s">
        <v>567</v>
      </c>
      <c r="L1135" s="44">
        <f>6722.1345*0.1816</f>
        <v>1220.7396252000001</v>
      </c>
      <c r="M1135" s="27" t="s">
        <v>568</v>
      </c>
      <c r="N1135" s="27" t="s">
        <v>1627</v>
      </c>
      <c r="O1135" s="18">
        <f t="shared" si="16"/>
        <v>143634495.82647032</v>
      </c>
      <c r="P1135" s="214"/>
      <c r="Q1135" s="214"/>
      <c r="R1135" s="27"/>
      <c r="S1135" s="27"/>
      <c r="T1135" s="18"/>
      <c r="U1135" s="27"/>
      <c r="V1135" s="27"/>
      <c r="W1135" s="30"/>
      <c r="X1135" s="27">
        <v>1</v>
      </c>
      <c r="Y1135" s="27" t="s">
        <v>1628</v>
      </c>
      <c r="Z1135" s="27">
        <v>1</v>
      </c>
      <c r="AA1135" s="27"/>
      <c r="AB1135" s="27"/>
      <c r="AC1135" s="273">
        <v>411987301.60000002</v>
      </c>
      <c r="AD1135" s="27">
        <v>3414053250.9454865</v>
      </c>
      <c r="AE1135" s="228">
        <v>0.1206739530163756</v>
      </c>
      <c r="AF1135" s="27">
        <v>1053474411.6442488</v>
      </c>
      <c r="AG1135" s="226">
        <v>0.39107480641791359</v>
      </c>
      <c r="AH1135" s="226">
        <v>0.54582567923009861</v>
      </c>
      <c r="AI1135" s="27">
        <v>205140000</v>
      </c>
      <c r="AJ1135" s="226">
        <v>2.0083226167495369</v>
      </c>
      <c r="AK1135" s="27">
        <v>106744257.01556586</v>
      </c>
      <c r="AL1135" s="226">
        <v>3.8595734620170008</v>
      </c>
      <c r="AM1135" s="27" t="s">
        <v>2842</v>
      </c>
      <c r="AN1135" s="271" t="s">
        <v>2842</v>
      </c>
      <c r="AO1135" s="27">
        <v>2559496</v>
      </c>
      <c r="AP1135" s="27" t="s">
        <v>2842</v>
      </c>
      <c r="AQ1135" s="27">
        <v>65.682756097560983</v>
      </c>
      <c r="AR1135" s="27">
        <v>35</v>
      </c>
      <c r="AS1135" s="29">
        <v>97.485209999999995</v>
      </c>
      <c r="AT1135" s="270">
        <v>39</v>
      </c>
      <c r="AU1135" s="464">
        <v>50.953024059451757</v>
      </c>
      <c r="AV1135" s="29">
        <v>0.20312105034890701</v>
      </c>
      <c r="AW1135" s="29">
        <v>0.680717881061082</v>
      </c>
      <c r="AX1135" s="29">
        <v>-0.408389718200519</v>
      </c>
      <c r="AY1135" s="29">
        <v>-0.29960878620951698</v>
      </c>
      <c r="AZ1135" s="60">
        <v>-0.579306319388183</v>
      </c>
    </row>
    <row r="1136" spans="1:52" s="29" customFormat="1" ht="15" customHeight="1">
      <c r="A1136" s="59" t="s">
        <v>356</v>
      </c>
      <c r="B1136" s="27">
        <v>2006</v>
      </c>
      <c r="C1136" s="27" t="s">
        <v>357</v>
      </c>
      <c r="D1136" s="27" t="s">
        <v>238</v>
      </c>
      <c r="E1136" s="27" t="s">
        <v>19</v>
      </c>
      <c r="F1136" s="27" t="s">
        <v>1629</v>
      </c>
      <c r="G1136" s="43">
        <f>347700*0.90718474</f>
        <v>315428.13409800001</v>
      </c>
      <c r="H1136" s="43">
        <f>347700*0.90718474</f>
        <v>315428.13409800001</v>
      </c>
      <c r="I1136" s="43"/>
      <c r="J1136" s="43"/>
      <c r="K1136" s="27" t="s">
        <v>567</v>
      </c>
      <c r="L1136" s="28">
        <f>195.666666666667*0.5381</f>
        <v>105.28823333333352</v>
      </c>
      <c r="M1136" s="27" t="s">
        <v>568</v>
      </c>
      <c r="N1136" s="27" t="s">
        <v>1630</v>
      </c>
      <c r="O1136" s="18">
        <f t="shared" si="16"/>
        <v>33210870.98280824</v>
      </c>
      <c r="P1136" s="214"/>
      <c r="Q1136" s="214"/>
      <c r="R1136" s="27"/>
      <c r="S1136" s="27"/>
      <c r="T1136" s="18"/>
      <c r="U1136" s="27"/>
      <c r="V1136" s="27"/>
      <c r="W1136" s="30"/>
      <c r="X1136" s="27">
        <v>1</v>
      </c>
      <c r="Y1136" s="27" t="s">
        <v>1631</v>
      </c>
      <c r="Z1136" s="27">
        <v>1</v>
      </c>
      <c r="AA1136" s="27"/>
      <c r="AB1136" s="27"/>
      <c r="AC1136" s="273">
        <v>411987301.60000002</v>
      </c>
      <c r="AD1136" s="27">
        <v>3414053250.9454865</v>
      </c>
      <c r="AE1136" s="228">
        <v>0.1206739530163756</v>
      </c>
      <c r="AF1136" s="27">
        <v>1053474411.6442488</v>
      </c>
      <c r="AG1136" s="226">
        <v>0.39107480641791359</v>
      </c>
      <c r="AH1136" s="226">
        <v>0.54582567923009861</v>
      </c>
      <c r="AI1136" s="27">
        <v>205140000</v>
      </c>
      <c r="AJ1136" s="226">
        <v>2.0083226167495369</v>
      </c>
      <c r="AK1136" s="27">
        <v>106744257.01556586</v>
      </c>
      <c r="AL1136" s="226">
        <v>3.8595734620170008</v>
      </c>
      <c r="AM1136" s="27" t="s">
        <v>2842</v>
      </c>
      <c r="AN1136" s="271" t="s">
        <v>2842</v>
      </c>
      <c r="AO1136" s="27">
        <v>2559496</v>
      </c>
      <c r="AP1136" s="27" t="s">
        <v>2842</v>
      </c>
      <c r="AQ1136" s="27">
        <v>65.682756097560983</v>
      </c>
      <c r="AR1136" s="27">
        <v>35</v>
      </c>
      <c r="AS1136" s="29">
        <v>97.485209999999995</v>
      </c>
      <c r="AT1136" s="270">
        <v>39</v>
      </c>
      <c r="AU1136" s="464">
        <v>50.953024059451757</v>
      </c>
      <c r="AV1136" s="29">
        <v>0.20312105034890701</v>
      </c>
      <c r="AW1136" s="29">
        <v>0.680717881061082</v>
      </c>
      <c r="AX1136" s="29">
        <v>-0.408389718200519</v>
      </c>
      <c r="AY1136" s="29">
        <v>-0.29960878620951698</v>
      </c>
      <c r="AZ1136" s="60">
        <v>-0.579306319388183</v>
      </c>
    </row>
    <row r="1137" spans="1:52" s="29" customFormat="1" ht="15" customHeight="1">
      <c r="A1137" s="59" t="s">
        <v>356</v>
      </c>
      <c r="B1137" s="27">
        <v>2006</v>
      </c>
      <c r="C1137" s="27" t="s">
        <v>357</v>
      </c>
      <c r="D1137" s="27" t="s">
        <v>238</v>
      </c>
      <c r="E1137" s="27" t="s">
        <v>19</v>
      </c>
      <c r="F1137" s="27" t="s">
        <v>730</v>
      </c>
      <c r="G1137" s="43">
        <f>(22*0.90718474)*32150.7466</f>
        <v>641666.66729279154</v>
      </c>
      <c r="H1137" s="43">
        <f>(22*0.90718474)*32150.7466</f>
        <v>641666.66729279154</v>
      </c>
      <c r="I1137" s="43"/>
      <c r="J1137" s="43"/>
      <c r="K1137" s="27" t="s">
        <v>731</v>
      </c>
      <c r="L1137" s="28">
        <f>604.33583333333*0.83</f>
        <v>501.5987416666639</v>
      </c>
      <c r="M1137" s="27" t="s">
        <v>732</v>
      </c>
      <c r="N1137" s="27" t="s">
        <v>1632</v>
      </c>
      <c r="O1137" s="18">
        <f t="shared" si="16"/>
        <v>321859192.88350612</v>
      </c>
      <c r="P1137" s="214"/>
      <c r="Q1137" s="214"/>
      <c r="R1137" s="27"/>
      <c r="S1137" s="27"/>
      <c r="T1137" s="18"/>
      <c r="U1137" s="27"/>
      <c r="V1137" s="27"/>
      <c r="W1137" s="30"/>
      <c r="X1137" s="27">
        <v>14</v>
      </c>
      <c r="Y1137" s="27" t="s">
        <v>1633</v>
      </c>
      <c r="Z1137" s="27">
        <v>14</v>
      </c>
      <c r="AA1137" s="27"/>
      <c r="AB1137" s="27"/>
      <c r="AC1137" s="273">
        <v>411987301.60000002</v>
      </c>
      <c r="AD1137" s="27">
        <v>3414053250.9454865</v>
      </c>
      <c r="AE1137" s="228">
        <v>0.1206739530163756</v>
      </c>
      <c r="AF1137" s="27">
        <v>1053474411.6442488</v>
      </c>
      <c r="AG1137" s="226">
        <v>0.39107480641791359</v>
      </c>
      <c r="AH1137" s="226">
        <v>0.54582567923009861</v>
      </c>
      <c r="AI1137" s="27">
        <v>205140000</v>
      </c>
      <c r="AJ1137" s="226">
        <v>2.0083226167495369</v>
      </c>
      <c r="AK1137" s="27">
        <v>106744257.01556586</v>
      </c>
      <c r="AL1137" s="226">
        <v>3.8595734620170008</v>
      </c>
      <c r="AM1137" s="27" t="s">
        <v>2842</v>
      </c>
      <c r="AN1137" s="271" t="s">
        <v>2842</v>
      </c>
      <c r="AO1137" s="27">
        <v>2559496</v>
      </c>
      <c r="AP1137" s="27" t="s">
        <v>2842</v>
      </c>
      <c r="AQ1137" s="27">
        <v>65.682756097560983</v>
      </c>
      <c r="AR1137" s="27">
        <v>35</v>
      </c>
      <c r="AS1137" s="29">
        <v>97.485209999999995</v>
      </c>
      <c r="AT1137" s="270">
        <v>39</v>
      </c>
      <c r="AU1137" s="464">
        <v>50.953024059451757</v>
      </c>
      <c r="AV1137" s="29">
        <v>0.20312105034890701</v>
      </c>
      <c r="AW1137" s="29">
        <v>0.680717881061082</v>
      </c>
      <c r="AX1137" s="29">
        <v>-0.408389718200519</v>
      </c>
      <c r="AY1137" s="29">
        <v>-0.29960878620951698</v>
      </c>
      <c r="AZ1137" s="60">
        <v>-0.579306319388183</v>
      </c>
    </row>
    <row r="1138" spans="1:52" s="29" customFormat="1" ht="15" customHeight="1">
      <c r="A1138" s="59" t="s">
        <v>356</v>
      </c>
      <c r="B1138" s="27">
        <v>2006</v>
      </c>
      <c r="C1138" s="27" t="s">
        <v>357</v>
      </c>
      <c r="D1138" s="27" t="s">
        <v>238</v>
      </c>
      <c r="E1138" s="27" t="s">
        <v>19</v>
      </c>
      <c r="F1138" s="27" t="s">
        <v>1196</v>
      </c>
      <c r="G1138" s="43">
        <f>180000*0.90718474</f>
        <v>163293.25320000001</v>
      </c>
      <c r="H1138" s="43">
        <f>180000*0.90718474</f>
        <v>163293.25320000001</v>
      </c>
      <c r="I1138" s="43"/>
      <c r="J1138" s="43"/>
      <c r="K1138" s="27" t="s">
        <v>567</v>
      </c>
      <c r="L1138" s="28">
        <f>69.33333333333*0.5474</f>
        <v>37.953066666664846</v>
      </c>
      <c r="M1138" s="27" t="s">
        <v>568</v>
      </c>
      <c r="N1138" s="27" t="s">
        <v>1634</v>
      </c>
      <c r="O1138" s="18">
        <f t="shared" si="16"/>
        <v>6197479.7249161825</v>
      </c>
      <c r="P1138" s="214"/>
      <c r="Q1138" s="214"/>
      <c r="R1138" s="27"/>
      <c r="S1138" s="27"/>
      <c r="T1138" s="18"/>
      <c r="U1138" s="27"/>
      <c r="V1138" s="27"/>
      <c r="W1138" s="30"/>
      <c r="X1138" s="27"/>
      <c r="Y1138" s="27"/>
      <c r="Z1138" s="27"/>
      <c r="AA1138" s="27"/>
      <c r="AB1138" s="27"/>
      <c r="AC1138" s="273">
        <v>411987301.60000002</v>
      </c>
      <c r="AD1138" s="27">
        <v>3414053250.9454865</v>
      </c>
      <c r="AE1138" s="228">
        <v>0.1206739530163756</v>
      </c>
      <c r="AF1138" s="27">
        <v>1053474411.6442488</v>
      </c>
      <c r="AG1138" s="226">
        <v>0.39107480641791359</v>
      </c>
      <c r="AH1138" s="226">
        <v>0.54582567923009861</v>
      </c>
      <c r="AI1138" s="27">
        <v>205140000</v>
      </c>
      <c r="AJ1138" s="226">
        <v>2.0083226167495369</v>
      </c>
      <c r="AK1138" s="27">
        <v>106744257.01556586</v>
      </c>
      <c r="AL1138" s="226">
        <v>3.8595734620170008</v>
      </c>
      <c r="AM1138" s="27" t="s">
        <v>2842</v>
      </c>
      <c r="AN1138" s="271" t="s">
        <v>2842</v>
      </c>
      <c r="AO1138" s="27">
        <v>2559496</v>
      </c>
      <c r="AP1138" s="27" t="s">
        <v>2842</v>
      </c>
      <c r="AQ1138" s="27">
        <v>65.682756097560983</v>
      </c>
      <c r="AR1138" s="27">
        <v>35</v>
      </c>
      <c r="AS1138" s="29">
        <v>97.485209999999995</v>
      </c>
      <c r="AT1138" s="270">
        <v>39</v>
      </c>
      <c r="AU1138" s="464">
        <v>50.953024059451757</v>
      </c>
      <c r="AV1138" s="29">
        <v>0.20312105034890701</v>
      </c>
      <c r="AW1138" s="29">
        <v>0.680717881061082</v>
      </c>
      <c r="AX1138" s="29">
        <v>-0.408389718200519</v>
      </c>
      <c r="AY1138" s="29">
        <v>-0.29960878620951698</v>
      </c>
      <c r="AZ1138" s="60">
        <v>-0.579306319388183</v>
      </c>
    </row>
    <row r="1139" spans="1:52" s="29" customFormat="1" ht="15" customHeight="1">
      <c r="A1139" s="59" t="s">
        <v>356</v>
      </c>
      <c r="B1139" s="27">
        <v>2006</v>
      </c>
      <c r="C1139" s="27" t="s">
        <v>357</v>
      </c>
      <c r="D1139" s="27" t="s">
        <v>238</v>
      </c>
      <c r="E1139" s="27" t="s">
        <v>19</v>
      </c>
      <c r="F1139" s="27" t="s">
        <v>1379</v>
      </c>
      <c r="G1139" s="43">
        <f>1410*0.90718474</f>
        <v>1279.1304834</v>
      </c>
      <c r="H1139" s="43"/>
      <c r="I1139" s="43"/>
      <c r="J1139" s="43"/>
      <c r="K1139" s="27" t="s">
        <v>567</v>
      </c>
      <c r="L1139" s="28">
        <f>54620*0.3121</f>
        <v>17046.901999999998</v>
      </c>
      <c r="M1139" s="27" t="s">
        <v>568</v>
      </c>
      <c r="N1139" s="27" t="s">
        <v>1635</v>
      </c>
      <c r="O1139" s="18">
        <f t="shared" si="16"/>
        <v>21805211.995732423</v>
      </c>
      <c r="P1139" s="214"/>
      <c r="Q1139" s="214"/>
      <c r="R1139" s="27"/>
      <c r="S1139" s="27"/>
      <c r="T1139" s="18"/>
      <c r="U1139" s="27"/>
      <c r="V1139" s="27"/>
      <c r="W1139" s="30"/>
      <c r="X1139" s="27">
        <v>2</v>
      </c>
      <c r="Y1139" s="27" t="s">
        <v>1636</v>
      </c>
      <c r="Z1139" s="27">
        <v>2</v>
      </c>
      <c r="AA1139" s="27"/>
      <c r="AB1139" s="27"/>
      <c r="AC1139" s="273">
        <v>411987301.60000002</v>
      </c>
      <c r="AD1139" s="27">
        <v>3414053250.9454865</v>
      </c>
      <c r="AE1139" s="228">
        <v>0.1206739530163756</v>
      </c>
      <c r="AF1139" s="27">
        <v>1053474411.6442488</v>
      </c>
      <c r="AG1139" s="226">
        <v>0.39107480641791359</v>
      </c>
      <c r="AH1139" s="226">
        <v>0.54582567923009861</v>
      </c>
      <c r="AI1139" s="27">
        <v>205140000</v>
      </c>
      <c r="AJ1139" s="226">
        <v>2.0083226167495369</v>
      </c>
      <c r="AK1139" s="27">
        <v>106744257.01556586</v>
      </c>
      <c r="AL1139" s="226">
        <v>3.8595734620170008</v>
      </c>
      <c r="AM1139" s="27" t="s">
        <v>2842</v>
      </c>
      <c r="AN1139" s="271" t="s">
        <v>2842</v>
      </c>
      <c r="AO1139" s="27">
        <v>2559496</v>
      </c>
      <c r="AP1139" s="27" t="s">
        <v>2842</v>
      </c>
      <c r="AQ1139" s="27">
        <v>65.682756097560983</v>
      </c>
      <c r="AR1139" s="27">
        <v>35</v>
      </c>
      <c r="AS1139" s="29">
        <v>97.485209999999995</v>
      </c>
      <c r="AT1139" s="270">
        <v>39</v>
      </c>
      <c r="AU1139" s="464">
        <v>50.953024059451757</v>
      </c>
      <c r="AV1139" s="29">
        <v>0.20312105034890701</v>
      </c>
      <c r="AW1139" s="29">
        <v>0.680717881061082</v>
      </c>
      <c r="AX1139" s="29">
        <v>-0.408389718200519</v>
      </c>
      <c r="AY1139" s="29">
        <v>-0.29960878620951698</v>
      </c>
      <c r="AZ1139" s="60">
        <v>-0.579306319388183</v>
      </c>
    </row>
    <row r="1140" spans="1:52" s="29" customFormat="1" ht="15" customHeight="1">
      <c r="A1140" s="59" t="s">
        <v>356</v>
      </c>
      <c r="B1140" s="27">
        <v>2006</v>
      </c>
      <c r="C1140" s="27" t="s">
        <v>357</v>
      </c>
      <c r="D1140" s="27" t="s">
        <v>238</v>
      </c>
      <c r="E1140" s="27" t="s">
        <v>19</v>
      </c>
      <c r="F1140" s="27" t="s">
        <v>1637</v>
      </c>
      <c r="G1140" s="43">
        <v>85</v>
      </c>
      <c r="H1140" s="43"/>
      <c r="I1140" s="43"/>
      <c r="J1140" s="43"/>
      <c r="K1140" s="27" t="s">
        <v>567</v>
      </c>
      <c r="L1140" s="28">
        <v>183</v>
      </c>
      <c r="M1140" s="27" t="s">
        <v>568</v>
      </c>
      <c r="N1140" s="27" t="s">
        <v>1638</v>
      </c>
      <c r="O1140" s="18">
        <f t="shared" si="16"/>
        <v>15555</v>
      </c>
      <c r="P1140" s="214"/>
      <c r="Q1140" s="214"/>
      <c r="R1140" s="27"/>
      <c r="S1140" s="27"/>
      <c r="T1140" s="27"/>
      <c r="U1140" s="27"/>
      <c r="V1140" s="27"/>
      <c r="W1140" s="30"/>
      <c r="X1140" s="27"/>
      <c r="Y1140" s="27"/>
      <c r="Z1140" s="27"/>
      <c r="AA1140" s="27"/>
      <c r="AB1140" s="27"/>
      <c r="AC1140" s="273">
        <v>411987301.60000002</v>
      </c>
      <c r="AD1140" s="27">
        <v>3414053250.9454865</v>
      </c>
      <c r="AE1140" s="228">
        <v>0.1206739530163756</v>
      </c>
      <c r="AF1140" s="27">
        <v>1053474411.6442488</v>
      </c>
      <c r="AG1140" s="226">
        <v>0.39107480641791359</v>
      </c>
      <c r="AH1140" s="226">
        <v>0.54582567923009861</v>
      </c>
      <c r="AI1140" s="27">
        <v>205140000</v>
      </c>
      <c r="AJ1140" s="226">
        <v>2.0083226167495369</v>
      </c>
      <c r="AK1140" s="27">
        <v>106744257.01556586</v>
      </c>
      <c r="AL1140" s="226">
        <v>3.8595734620170008</v>
      </c>
      <c r="AM1140" s="27" t="s">
        <v>2842</v>
      </c>
      <c r="AN1140" s="271" t="s">
        <v>2842</v>
      </c>
      <c r="AO1140" s="27">
        <v>2559496</v>
      </c>
      <c r="AP1140" s="27" t="s">
        <v>2842</v>
      </c>
      <c r="AQ1140" s="27">
        <v>65.682756097560983</v>
      </c>
      <c r="AR1140" s="27">
        <v>35</v>
      </c>
      <c r="AS1140" s="29">
        <v>97.485209999999995</v>
      </c>
      <c r="AT1140" s="270">
        <v>39</v>
      </c>
      <c r="AU1140" s="464">
        <v>50.953024059451757</v>
      </c>
      <c r="AV1140" s="29">
        <v>0.20312105034890701</v>
      </c>
      <c r="AW1140" s="29">
        <v>0.680717881061082</v>
      </c>
      <c r="AX1140" s="29">
        <v>-0.408389718200519</v>
      </c>
      <c r="AY1140" s="29">
        <v>-0.29960878620951698</v>
      </c>
      <c r="AZ1140" s="60">
        <v>-0.579306319388183</v>
      </c>
    </row>
    <row r="1141" spans="1:52" s="287" customFormat="1" ht="15" customHeight="1">
      <c r="A1141" s="344" t="s">
        <v>356</v>
      </c>
      <c r="B1141" s="284">
        <v>2006</v>
      </c>
      <c r="C1141" s="284" t="s">
        <v>357</v>
      </c>
      <c r="D1141" s="284" t="s">
        <v>238</v>
      </c>
      <c r="E1141" s="284" t="s">
        <v>19</v>
      </c>
      <c r="F1141" s="284" t="s">
        <v>1639</v>
      </c>
      <c r="G1141" s="303">
        <f>109900*0.90718474</f>
        <v>99699.602926000007</v>
      </c>
      <c r="H1141" s="303">
        <f>109900*0.90718474</f>
        <v>99699.602926000007</v>
      </c>
      <c r="I1141" s="303"/>
      <c r="J1141" s="303"/>
      <c r="K1141" s="284" t="s">
        <v>567</v>
      </c>
      <c r="L1141" s="367">
        <f>3275.29175*0.5071</f>
        <v>1660.9004464249999</v>
      </c>
      <c r="M1141" s="284" t="s">
        <v>568</v>
      </c>
      <c r="N1141" s="284" t="s">
        <v>1640</v>
      </c>
      <c r="O1141" s="305">
        <f t="shared" si="16"/>
        <v>165591115.00818864</v>
      </c>
      <c r="P1141" s="346"/>
      <c r="Q1141" s="346"/>
      <c r="R1141" s="284"/>
      <c r="S1141" s="284"/>
      <c r="T1141" s="305"/>
      <c r="U1141" s="284"/>
      <c r="V1141" s="284"/>
      <c r="W1141" s="307"/>
      <c r="X1141" s="284">
        <v>2</v>
      </c>
      <c r="Y1141" s="284" t="s">
        <v>1641</v>
      </c>
      <c r="Z1141" s="284">
        <v>2</v>
      </c>
      <c r="AA1141" s="284"/>
      <c r="AB1141" s="284"/>
      <c r="AC1141" s="308">
        <v>411987301.60000002</v>
      </c>
      <c r="AD1141" s="284">
        <v>3414053250.9454865</v>
      </c>
      <c r="AE1141" s="309">
        <v>0.1206739530163756</v>
      </c>
      <c r="AF1141" s="284">
        <v>1053474411.6442488</v>
      </c>
      <c r="AG1141" s="310">
        <v>0.39107480641791359</v>
      </c>
      <c r="AH1141" s="310">
        <v>0.54582567923009861</v>
      </c>
      <c r="AI1141" s="284">
        <v>205140000</v>
      </c>
      <c r="AJ1141" s="310">
        <v>2.0083226167495369</v>
      </c>
      <c r="AK1141" s="284">
        <v>106744257.01556586</v>
      </c>
      <c r="AL1141" s="310">
        <v>3.8595734620170008</v>
      </c>
      <c r="AM1141" s="284" t="s">
        <v>2842</v>
      </c>
      <c r="AN1141" s="311" t="s">
        <v>2842</v>
      </c>
      <c r="AO1141" s="284">
        <v>2559496</v>
      </c>
      <c r="AP1141" s="284" t="s">
        <v>2842</v>
      </c>
      <c r="AQ1141" s="284">
        <v>65.682756097560983</v>
      </c>
      <c r="AR1141" s="284">
        <v>35</v>
      </c>
      <c r="AS1141" s="287">
        <v>97.485209999999995</v>
      </c>
      <c r="AT1141" s="312">
        <v>39</v>
      </c>
      <c r="AU1141" s="465">
        <v>50.953024059451757</v>
      </c>
      <c r="AV1141" s="287">
        <v>0.20312105034890701</v>
      </c>
      <c r="AW1141" s="287">
        <v>0.680717881061082</v>
      </c>
      <c r="AX1141" s="287">
        <v>-0.408389718200519</v>
      </c>
      <c r="AY1141" s="287">
        <v>-0.29960878620951698</v>
      </c>
      <c r="AZ1141" s="313">
        <v>-0.579306319388183</v>
      </c>
    </row>
    <row r="1142" spans="1:52" ht="15" customHeight="1">
      <c r="A1142" s="332" t="s">
        <v>360</v>
      </c>
      <c r="B1142" s="27">
        <v>2007</v>
      </c>
      <c r="C1142" s="27" t="s">
        <v>357</v>
      </c>
      <c r="D1142" s="27" t="s">
        <v>238</v>
      </c>
      <c r="E1142" s="27" t="s">
        <v>36</v>
      </c>
      <c r="F1142" s="27" t="s">
        <v>659</v>
      </c>
      <c r="G1142" s="43"/>
      <c r="H1142" s="43"/>
      <c r="I1142" s="43"/>
      <c r="J1142" s="43"/>
      <c r="K1142" s="27"/>
      <c r="L1142" s="28"/>
      <c r="M1142" s="27"/>
      <c r="N1142" s="27"/>
      <c r="O1142" s="18">
        <f>O1143+O1144</f>
        <v>1320503204.6597846</v>
      </c>
      <c r="P1142" s="214">
        <v>640532901</v>
      </c>
      <c r="Q1142" s="214">
        <v>660586246</v>
      </c>
      <c r="R1142" s="27" t="s">
        <v>3693</v>
      </c>
      <c r="S1142" s="27" t="s">
        <v>871</v>
      </c>
      <c r="T1142" s="27" t="s">
        <v>871</v>
      </c>
      <c r="U1142" s="27" t="s">
        <v>1617</v>
      </c>
      <c r="V1142" s="27" t="s">
        <v>1618</v>
      </c>
      <c r="W1142" s="30">
        <v>1169</v>
      </c>
      <c r="X1142" s="27">
        <v>38</v>
      </c>
      <c r="Y1142" s="27" t="s">
        <v>1642</v>
      </c>
      <c r="Z1142" s="27">
        <v>38</v>
      </c>
      <c r="AA1142" s="27">
        <v>11</v>
      </c>
      <c r="AB1142" s="27" t="s">
        <v>1643</v>
      </c>
      <c r="AC1142" s="273">
        <v>640532901</v>
      </c>
      <c r="AD1142" s="27">
        <v>4234894168.1565914</v>
      </c>
      <c r="AE1142" s="228">
        <v>0.15125121799178698</v>
      </c>
      <c r="AF1142" s="27">
        <v>1302865190.8333752</v>
      </c>
      <c r="AG1142" s="226">
        <v>0.49163405815630423</v>
      </c>
      <c r="AH1142" s="226">
        <v>0.59818948829746077</v>
      </c>
      <c r="AI1142" s="27">
        <v>238680000</v>
      </c>
      <c r="AJ1142" s="226">
        <v>2.683647146807441</v>
      </c>
      <c r="AK1142" s="27">
        <v>143276744.44537607</v>
      </c>
      <c r="AL1142" s="226">
        <v>4.4705992132882511</v>
      </c>
      <c r="AM1142" s="27">
        <v>198622041.84896275</v>
      </c>
      <c r="AN1142" s="271">
        <v>3.2248832759814112</v>
      </c>
      <c r="AO1142" s="27">
        <v>2595068</v>
      </c>
      <c r="AP1142" s="27" t="s">
        <v>2842</v>
      </c>
      <c r="AQ1142" s="27">
        <v>66.037439024390252</v>
      </c>
      <c r="AR1142" s="27">
        <v>33.200000000000003</v>
      </c>
      <c r="AS1142" s="29">
        <v>97.713149999999999</v>
      </c>
      <c r="AT1142" s="270">
        <v>39</v>
      </c>
      <c r="AU1142" s="464">
        <v>50.953024059451757</v>
      </c>
      <c r="AV1142" s="29">
        <v>0.27221379801301199</v>
      </c>
      <c r="AW1142" s="29">
        <v>0.68455134578207599</v>
      </c>
      <c r="AX1142" s="29">
        <v>-0.51598351345476101</v>
      </c>
      <c r="AY1142" s="29">
        <v>-0.26131593397205599</v>
      </c>
      <c r="AZ1142" s="60">
        <v>-0.65614289988955998</v>
      </c>
    </row>
    <row r="1143" spans="1:52" ht="15" customHeight="1">
      <c r="A1143" s="59" t="s">
        <v>360</v>
      </c>
      <c r="B1143" s="27">
        <v>2007</v>
      </c>
      <c r="C1143" s="27" t="s">
        <v>357</v>
      </c>
      <c r="D1143" s="27" t="s">
        <v>238</v>
      </c>
      <c r="E1143" s="27" t="s">
        <v>98</v>
      </c>
      <c r="F1143" s="27" t="s">
        <v>98</v>
      </c>
      <c r="G1143" s="43">
        <v>0</v>
      </c>
      <c r="H1143" s="43">
        <v>0</v>
      </c>
      <c r="I1143" s="43"/>
      <c r="J1143" s="43"/>
      <c r="K1143" s="27" t="s">
        <v>603</v>
      </c>
      <c r="L1143" s="28"/>
      <c r="M1143" s="27"/>
      <c r="N1143" s="27" t="s">
        <v>1622</v>
      </c>
      <c r="O1143" s="18">
        <f>G1143*L1143</f>
        <v>0</v>
      </c>
      <c r="P1143" s="214">
        <v>7462360.992301112</v>
      </c>
      <c r="Q1143" s="214">
        <v>11940156.544054747</v>
      </c>
      <c r="R1143" s="27"/>
      <c r="S1143" s="27"/>
      <c r="T1143" s="18"/>
      <c r="U1143" s="27"/>
      <c r="V1143" s="27"/>
      <c r="W1143" s="30"/>
      <c r="X1143" s="27">
        <v>1</v>
      </c>
      <c r="Y1143" s="27" t="s">
        <v>1623</v>
      </c>
      <c r="Z1143" s="27">
        <v>1</v>
      </c>
      <c r="AA1143" s="27" t="s">
        <v>1644</v>
      </c>
      <c r="AB1143" s="27"/>
      <c r="AC1143" s="273">
        <v>640532901</v>
      </c>
      <c r="AD1143" s="27">
        <v>4234894168.1565914</v>
      </c>
      <c r="AE1143" s="228">
        <v>0.15125121799178698</v>
      </c>
      <c r="AF1143" s="27">
        <v>1302865190.8333752</v>
      </c>
      <c r="AG1143" s="226">
        <v>0.49163405815630423</v>
      </c>
      <c r="AH1143" s="226">
        <v>0.59818948829746077</v>
      </c>
      <c r="AI1143" s="27">
        <v>238680000</v>
      </c>
      <c r="AJ1143" s="226">
        <v>2.683647146807441</v>
      </c>
      <c r="AK1143" s="27">
        <v>143276744.44537607</v>
      </c>
      <c r="AL1143" s="226">
        <v>4.4705992132882511</v>
      </c>
      <c r="AM1143" s="27">
        <v>198622041.84896275</v>
      </c>
      <c r="AN1143" s="271">
        <v>3.2248832759814112</v>
      </c>
      <c r="AO1143" s="27">
        <v>2595068</v>
      </c>
      <c r="AP1143" s="27" t="s">
        <v>2842</v>
      </c>
      <c r="AQ1143" s="27">
        <v>66.037439024390252</v>
      </c>
      <c r="AR1143" s="27">
        <v>33.200000000000003</v>
      </c>
      <c r="AS1143" s="29">
        <v>97.713149999999999</v>
      </c>
      <c r="AT1143" s="270">
        <v>39</v>
      </c>
      <c r="AU1143" s="464">
        <v>50.953024059451757</v>
      </c>
      <c r="AV1143" s="29">
        <v>0.27221379801301199</v>
      </c>
      <c r="AW1143" s="29">
        <v>0.68455134578207599</v>
      </c>
      <c r="AX1143" s="29">
        <v>-0.51598351345476101</v>
      </c>
      <c r="AY1143" s="29">
        <v>-0.26131593397205599</v>
      </c>
      <c r="AZ1143" s="60">
        <v>-0.65614289988955998</v>
      </c>
    </row>
    <row r="1144" spans="1:52" ht="15" customHeight="1">
      <c r="A1144" s="59" t="s">
        <v>360</v>
      </c>
      <c r="B1144" s="27">
        <v>2007</v>
      </c>
      <c r="C1144" s="27" t="s">
        <v>357</v>
      </c>
      <c r="D1144" s="27" t="s">
        <v>238</v>
      </c>
      <c r="E1144" s="27" t="s">
        <v>19</v>
      </c>
      <c r="F1144" s="27" t="s">
        <v>559</v>
      </c>
      <c r="G1144" s="43"/>
      <c r="H1144" s="43"/>
      <c r="I1144" s="43"/>
      <c r="J1144" s="43"/>
      <c r="K1144" s="27"/>
      <c r="L1144" s="28"/>
      <c r="M1144" s="27"/>
      <c r="N1144" s="27"/>
      <c r="O1144" s="18">
        <f>SUM(O1145:O1154)</f>
        <v>1320503204.6597846</v>
      </c>
      <c r="P1144" s="214">
        <v>633070540.00769889</v>
      </c>
      <c r="Q1144" s="214">
        <v>648646089.45594525</v>
      </c>
      <c r="R1144" s="27"/>
      <c r="S1144" s="27"/>
      <c r="T1144" s="18"/>
      <c r="U1144" s="27"/>
      <c r="V1144" s="27"/>
      <c r="W1144" s="30"/>
      <c r="X1144" s="27">
        <v>37</v>
      </c>
      <c r="Y1144" s="27" t="s">
        <v>1645</v>
      </c>
      <c r="Z1144" s="27">
        <v>37</v>
      </c>
      <c r="AA1144" s="27"/>
      <c r="AB1144" s="27"/>
      <c r="AC1144" s="273">
        <v>640532901</v>
      </c>
      <c r="AD1144" s="27">
        <v>4234894168.1565914</v>
      </c>
      <c r="AE1144" s="228">
        <v>0.15125121799178698</v>
      </c>
      <c r="AF1144" s="27">
        <v>1302865190.8333752</v>
      </c>
      <c r="AG1144" s="226">
        <v>0.49163405815630423</v>
      </c>
      <c r="AH1144" s="226">
        <v>0.59818948829746077</v>
      </c>
      <c r="AI1144" s="27">
        <v>238680000</v>
      </c>
      <c r="AJ1144" s="226">
        <v>2.683647146807441</v>
      </c>
      <c r="AK1144" s="27">
        <v>143276744.44537607</v>
      </c>
      <c r="AL1144" s="226">
        <v>4.4705992132882511</v>
      </c>
      <c r="AM1144" s="27">
        <v>198622041.84896275</v>
      </c>
      <c r="AN1144" s="271">
        <v>3.2248832759814112</v>
      </c>
      <c r="AO1144" s="27">
        <v>2595068</v>
      </c>
      <c r="AP1144" s="27" t="s">
        <v>2842</v>
      </c>
      <c r="AQ1144" s="27">
        <v>66.037439024390252</v>
      </c>
      <c r="AR1144" s="27">
        <v>33.200000000000003</v>
      </c>
      <c r="AS1144" s="29">
        <v>97.713149999999999</v>
      </c>
      <c r="AT1144" s="270">
        <v>39</v>
      </c>
      <c r="AU1144" s="464">
        <v>50.953024059451757</v>
      </c>
      <c r="AV1144" s="29">
        <v>0.27221379801301199</v>
      </c>
      <c r="AW1144" s="29">
        <v>0.68455134578207599</v>
      </c>
      <c r="AX1144" s="29">
        <v>-0.51598351345476101</v>
      </c>
      <c r="AY1144" s="29">
        <v>-0.26131593397205599</v>
      </c>
      <c r="AZ1144" s="60">
        <v>-0.65614289988955998</v>
      </c>
    </row>
    <row r="1145" spans="1:52" ht="15" customHeight="1">
      <c r="A1145" s="59" t="s">
        <v>360</v>
      </c>
      <c r="B1145" s="27">
        <v>2007</v>
      </c>
      <c r="C1145" s="27" t="s">
        <v>357</v>
      </c>
      <c r="D1145" s="27" t="s">
        <v>238</v>
      </c>
      <c r="E1145" s="27" t="s">
        <v>19</v>
      </c>
      <c r="F1145" s="27" t="s">
        <v>573</v>
      </c>
      <c r="G1145" s="43">
        <f>9237600*0.90718474</f>
        <v>8380209.7542240005</v>
      </c>
      <c r="H1145" s="43">
        <f>9237600*0.90718474</f>
        <v>8380209.7542240005</v>
      </c>
      <c r="I1145" s="43"/>
      <c r="J1145" s="43"/>
      <c r="K1145" s="27" t="s">
        <v>567</v>
      </c>
      <c r="L1145" s="28">
        <f>74.8381600713141*0.806</f>
        <v>60.319557017479177</v>
      </c>
      <c r="M1145" s="27" t="s">
        <v>568</v>
      </c>
      <c r="N1145" s="27" t="s">
        <v>1625</v>
      </c>
      <c r="O1145" s="18">
        <f t="shared" ref="O1145:O1154" si="17">G1145*L1145</f>
        <v>505490540.08834976</v>
      </c>
      <c r="P1145" s="214"/>
      <c r="Q1145" s="214"/>
      <c r="R1145" s="27"/>
      <c r="S1145" s="27"/>
      <c r="T1145" s="18"/>
      <c r="U1145" s="27"/>
      <c r="V1145" s="27"/>
      <c r="W1145" s="30"/>
      <c r="X1145" s="27">
        <v>7</v>
      </c>
      <c r="Y1145" s="27" t="s">
        <v>1626</v>
      </c>
      <c r="Z1145" s="27">
        <v>7</v>
      </c>
      <c r="AA1145" s="27"/>
      <c r="AB1145" s="27"/>
      <c r="AC1145" s="273">
        <v>640532901</v>
      </c>
      <c r="AD1145" s="27">
        <v>4234894168.1565914</v>
      </c>
      <c r="AE1145" s="228">
        <v>0.15125121799178698</v>
      </c>
      <c r="AF1145" s="27">
        <v>1302865190.8333752</v>
      </c>
      <c r="AG1145" s="226">
        <v>0.49163405815630423</v>
      </c>
      <c r="AH1145" s="226">
        <v>0.59818948829746077</v>
      </c>
      <c r="AI1145" s="27">
        <v>238680000</v>
      </c>
      <c r="AJ1145" s="226">
        <v>2.683647146807441</v>
      </c>
      <c r="AK1145" s="27">
        <v>143276744.44537607</v>
      </c>
      <c r="AL1145" s="226">
        <v>4.4705992132882511</v>
      </c>
      <c r="AM1145" s="27">
        <v>198622041.84896275</v>
      </c>
      <c r="AN1145" s="271">
        <v>3.2248832759814112</v>
      </c>
      <c r="AO1145" s="27">
        <v>2595068</v>
      </c>
      <c r="AP1145" s="27" t="s">
        <v>2842</v>
      </c>
      <c r="AQ1145" s="27">
        <v>66.037439024390252</v>
      </c>
      <c r="AR1145" s="27">
        <v>33.200000000000003</v>
      </c>
      <c r="AS1145" s="29">
        <v>97.713149999999999</v>
      </c>
      <c r="AT1145" s="270">
        <v>39</v>
      </c>
      <c r="AU1145" s="464">
        <v>50.953024059451757</v>
      </c>
      <c r="AV1145" s="29">
        <v>0.27221379801301199</v>
      </c>
      <c r="AW1145" s="29">
        <v>0.68455134578207599</v>
      </c>
      <c r="AX1145" s="29">
        <v>-0.51598351345476101</v>
      </c>
      <c r="AY1145" s="29">
        <v>-0.26131593397205599</v>
      </c>
      <c r="AZ1145" s="60">
        <v>-0.65614289988955998</v>
      </c>
    </row>
    <row r="1146" spans="1:52" ht="15" customHeight="1">
      <c r="A1146" s="59" t="s">
        <v>360</v>
      </c>
      <c r="B1146" s="27">
        <v>2007</v>
      </c>
      <c r="C1146" s="27" t="s">
        <v>357</v>
      </c>
      <c r="D1146" s="27" t="s">
        <v>238</v>
      </c>
      <c r="E1146" s="27" t="s">
        <v>19</v>
      </c>
      <c r="F1146" s="27" t="s">
        <v>576</v>
      </c>
      <c r="G1146" s="43">
        <f>130200*0.90718474</f>
        <v>118115.453148</v>
      </c>
      <c r="H1146" s="43">
        <f>130200*0.90718474</f>
        <v>118115.453148</v>
      </c>
      <c r="I1146" s="43"/>
      <c r="J1146" s="43"/>
      <c r="K1146" s="27" t="s">
        <v>567</v>
      </c>
      <c r="L1146" s="44">
        <f>7118.226*0.1816</f>
        <v>1292.6698415999999</v>
      </c>
      <c r="M1146" s="27" t="s">
        <v>568</v>
      </c>
      <c r="N1146" s="27" t="s">
        <v>1627</v>
      </c>
      <c r="O1146" s="18">
        <f t="shared" si="17"/>
        <v>152684284.11133736</v>
      </c>
      <c r="P1146" s="214"/>
      <c r="Q1146" s="214"/>
      <c r="R1146" s="27"/>
      <c r="S1146" s="27"/>
      <c r="T1146" s="18"/>
      <c r="U1146" s="27"/>
      <c r="V1146" s="27"/>
      <c r="W1146" s="30"/>
      <c r="X1146" s="27">
        <v>3</v>
      </c>
      <c r="Y1146" s="27" t="s">
        <v>1646</v>
      </c>
      <c r="Z1146" s="27">
        <v>3</v>
      </c>
      <c r="AA1146" s="27"/>
      <c r="AB1146" s="27"/>
      <c r="AC1146" s="273">
        <v>640532901</v>
      </c>
      <c r="AD1146" s="27">
        <v>4234894168.1565914</v>
      </c>
      <c r="AE1146" s="228">
        <v>0.15125121799178698</v>
      </c>
      <c r="AF1146" s="27">
        <v>1302865190.8333752</v>
      </c>
      <c r="AG1146" s="226">
        <v>0.49163405815630423</v>
      </c>
      <c r="AH1146" s="226">
        <v>0.59818948829746077</v>
      </c>
      <c r="AI1146" s="27">
        <v>238680000</v>
      </c>
      <c r="AJ1146" s="226">
        <v>2.683647146807441</v>
      </c>
      <c r="AK1146" s="27">
        <v>143276744.44537607</v>
      </c>
      <c r="AL1146" s="226">
        <v>4.4705992132882511</v>
      </c>
      <c r="AM1146" s="27">
        <v>198622041.84896275</v>
      </c>
      <c r="AN1146" s="271">
        <v>3.2248832759814112</v>
      </c>
      <c r="AO1146" s="27">
        <v>2595068</v>
      </c>
      <c r="AP1146" s="27" t="s">
        <v>2842</v>
      </c>
      <c r="AQ1146" s="27">
        <v>66.037439024390252</v>
      </c>
      <c r="AR1146" s="27">
        <v>33.200000000000003</v>
      </c>
      <c r="AS1146" s="29">
        <v>97.713149999999999</v>
      </c>
      <c r="AT1146" s="270">
        <v>39</v>
      </c>
      <c r="AU1146" s="464">
        <v>50.953024059451757</v>
      </c>
      <c r="AV1146" s="29">
        <v>0.27221379801301199</v>
      </c>
      <c r="AW1146" s="29">
        <v>0.68455134578207599</v>
      </c>
      <c r="AX1146" s="29">
        <v>-0.51598351345476101</v>
      </c>
      <c r="AY1146" s="29">
        <v>-0.26131593397205599</v>
      </c>
      <c r="AZ1146" s="60">
        <v>-0.65614289988955998</v>
      </c>
    </row>
    <row r="1147" spans="1:52" ht="15" customHeight="1">
      <c r="A1147" s="59" t="s">
        <v>360</v>
      </c>
      <c r="B1147" s="27">
        <v>2007</v>
      </c>
      <c r="C1147" s="27" t="s">
        <v>357</v>
      </c>
      <c r="D1147" s="27" t="s">
        <v>238</v>
      </c>
      <c r="E1147" s="27" t="s">
        <v>19</v>
      </c>
      <c r="F1147" s="27" t="s">
        <v>1629</v>
      </c>
      <c r="G1147" s="43">
        <f>354900*0.90718474</f>
        <v>321959.86422600003</v>
      </c>
      <c r="H1147" s="43">
        <f>354900*0.90718474</f>
        <v>321959.86422600003</v>
      </c>
      <c r="I1147" s="43"/>
      <c r="J1147" s="43"/>
      <c r="K1147" s="27" t="s">
        <v>567</v>
      </c>
      <c r="L1147" s="28">
        <f>198.17*0.5381</f>
        <v>106.635277</v>
      </c>
      <c r="M1147" s="27" t="s">
        <v>568</v>
      </c>
      <c r="N1147" s="27" t="s">
        <v>1647</v>
      </c>
      <c r="O1147" s="18">
        <f t="shared" si="17"/>
        <v>34332279.304621905</v>
      </c>
      <c r="P1147" s="214"/>
      <c r="Q1147" s="214"/>
      <c r="R1147" s="27"/>
      <c r="S1147" s="27"/>
      <c r="T1147" s="18"/>
      <c r="U1147" s="27"/>
      <c r="V1147" s="27"/>
      <c r="W1147" s="30"/>
      <c r="X1147" s="27">
        <v>3</v>
      </c>
      <c r="Y1147" s="27" t="s">
        <v>1648</v>
      </c>
      <c r="Z1147" s="27">
        <v>3</v>
      </c>
      <c r="AA1147" s="27"/>
      <c r="AB1147" s="27"/>
      <c r="AC1147" s="273">
        <v>640532901</v>
      </c>
      <c r="AD1147" s="27">
        <v>4234894168.1565914</v>
      </c>
      <c r="AE1147" s="228">
        <v>0.15125121799178698</v>
      </c>
      <c r="AF1147" s="27">
        <v>1302865190.8333752</v>
      </c>
      <c r="AG1147" s="226">
        <v>0.49163405815630423</v>
      </c>
      <c r="AH1147" s="226">
        <v>0.59818948829746077</v>
      </c>
      <c r="AI1147" s="27">
        <v>238680000</v>
      </c>
      <c r="AJ1147" s="226">
        <v>2.683647146807441</v>
      </c>
      <c r="AK1147" s="27">
        <v>143276744.44537607</v>
      </c>
      <c r="AL1147" s="226">
        <v>4.4705992132882511</v>
      </c>
      <c r="AM1147" s="27">
        <v>198622041.84896275</v>
      </c>
      <c r="AN1147" s="271">
        <v>3.2248832759814112</v>
      </c>
      <c r="AO1147" s="27">
        <v>2595068</v>
      </c>
      <c r="AP1147" s="27" t="s">
        <v>2842</v>
      </c>
      <c r="AQ1147" s="27">
        <v>66.037439024390252</v>
      </c>
      <c r="AR1147" s="27">
        <v>33.200000000000003</v>
      </c>
      <c r="AS1147" s="29">
        <v>97.713149999999999</v>
      </c>
      <c r="AT1147" s="270">
        <v>39</v>
      </c>
      <c r="AU1147" s="464">
        <v>50.953024059451757</v>
      </c>
      <c r="AV1147" s="29">
        <v>0.27221379801301199</v>
      </c>
      <c r="AW1147" s="29">
        <v>0.68455134578207599</v>
      </c>
      <c r="AX1147" s="29">
        <v>-0.51598351345476101</v>
      </c>
      <c r="AY1147" s="29">
        <v>-0.26131593397205599</v>
      </c>
      <c r="AZ1147" s="60">
        <v>-0.65614289988955998</v>
      </c>
    </row>
    <row r="1148" spans="1:52" ht="15" customHeight="1">
      <c r="A1148" s="59" t="s">
        <v>360</v>
      </c>
      <c r="B1148" s="27">
        <v>2007</v>
      </c>
      <c r="C1148" s="27" t="s">
        <v>357</v>
      </c>
      <c r="D1148" s="27" t="s">
        <v>238</v>
      </c>
      <c r="E1148" s="27" t="s">
        <v>19</v>
      </c>
      <c r="F1148" s="27" t="s">
        <v>730</v>
      </c>
      <c r="G1148" s="43">
        <f>(18*0.90718474)*32150.7466</f>
        <v>525000.00051228399</v>
      </c>
      <c r="H1148" s="43">
        <f>(18*0.90718474)*32150.7466</f>
        <v>525000.00051228399</v>
      </c>
      <c r="I1148" s="43"/>
      <c r="J1148" s="43"/>
      <c r="K1148" s="27" t="s">
        <v>731</v>
      </c>
      <c r="L1148" s="28">
        <f>696.72025*0.83</f>
        <v>578.27780749999999</v>
      </c>
      <c r="M1148" s="27" t="s">
        <v>732</v>
      </c>
      <c r="N1148" s="27" t="s">
        <v>1632</v>
      </c>
      <c r="O1148" s="18">
        <f t="shared" si="17"/>
        <v>303595849.23374248</v>
      </c>
      <c r="P1148" s="244"/>
      <c r="Q1148" s="244"/>
      <c r="R1148" s="27"/>
      <c r="S1148" s="27"/>
      <c r="T1148" s="18"/>
      <c r="U1148" s="27"/>
      <c r="V1148" s="27"/>
      <c r="W1148" s="30"/>
      <c r="X1148" s="27">
        <v>23</v>
      </c>
      <c r="Y1148" s="27" t="s">
        <v>1649</v>
      </c>
      <c r="Z1148" s="27">
        <v>23</v>
      </c>
      <c r="AA1148" s="27" t="s">
        <v>1650</v>
      </c>
      <c r="AB1148" s="27"/>
      <c r="AC1148" s="273">
        <v>640532901</v>
      </c>
      <c r="AD1148" s="27">
        <v>4234894168.1565914</v>
      </c>
      <c r="AE1148" s="228">
        <v>0.15125121799178698</v>
      </c>
      <c r="AF1148" s="27">
        <v>1302865190.8333752</v>
      </c>
      <c r="AG1148" s="226">
        <v>0.49163405815630423</v>
      </c>
      <c r="AH1148" s="226">
        <v>0.59818948829746077</v>
      </c>
      <c r="AI1148" s="27">
        <v>238680000</v>
      </c>
      <c r="AJ1148" s="226">
        <v>2.683647146807441</v>
      </c>
      <c r="AK1148" s="27">
        <v>143276744.44537607</v>
      </c>
      <c r="AL1148" s="226">
        <v>4.4705992132882511</v>
      </c>
      <c r="AM1148" s="27">
        <v>198622041.84896275</v>
      </c>
      <c r="AN1148" s="271">
        <v>3.2248832759814112</v>
      </c>
      <c r="AO1148" s="27">
        <v>2595068</v>
      </c>
      <c r="AP1148" s="27" t="s">
        <v>2842</v>
      </c>
      <c r="AQ1148" s="27">
        <v>66.037439024390252</v>
      </c>
      <c r="AR1148" s="27">
        <v>33.200000000000003</v>
      </c>
      <c r="AS1148" s="29">
        <v>97.713149999999999</v>
      </c>
      <c r="AT1148" s="270">
        <v>39</v>
      </c>
      <c r="AU1148" s="464">
        <v>50.953024059451757</v>
      </c>
      <c r="AV1148" s="29">
        <v>0.27221379801301199</v>
      </c>
      <c r="AW1148" s="29">
        <v>0.68455134578207599</v>
      </c>
      <c r="AX1148" s="29">
        <v>-0.51598351345476101</v>
      </c>
      <c r="AY1148" s="29">
        <v>-0.26131593397205599</v>
      </c>
      <c r="AZ1148" s="60">
        <v>-0.65614289988955998</v>
      </c>
    </row>
    <row r="1149" spans="1:52" ht="15" customHeight="1">
      <c r="A1149" s="59" t="s">
        <v>360</v>
      </c>
      <c r="B1149" s="27">
        <v>2007</v>
      </c>
      <c r="C1149" s="27" t="s">
        <v>357</v>
      </c>
      <c r="D1149" s="27" t="s">
        <v>238</v>
      </c>
      <c r="E1149" s="27" t="s">
        <v>19</v>
      </c>
      <c r="F1149" s="27" t="s">
        <v>1196</v>
      </c>
      <c r="G1149" s="43">
        <f>265100*0.90718474</f>
        <v>240494.674574</v>
      </c>
      <c r="H1149" s="43">
        <f>265100*0.90718474</f>
        <v>240494.674574</v>
      </c>
      <c r="I1149" s="43"/>
      <c r="J1149" s="43"/>
      <c r="K1149" s="27" t="s">
        <v>567</v>
      </c>
      <c r="L1149" s="28">
        <f>122.9875*0.5474</f>
        <v>67.3233575</v>
      </c>
      <c r="M1149" s="27" t="s">
        <v>568</v>
      </c>
      <c r="N1149" s="27" t="s">
        <v>1634</v>
      </c>
      <c r="O1149" s="18">
        <f t="shared" si="17"/>
        <v>16190908.953191562</v>
      </c>
      <c r="P1149" s="214">
        <v>743847.73310521815</v>
      </c>
      <c r="Q1149" s="214">
        <v>6377611.6338751074</v>
      </c>
      <c r="R1149" s="27"/>
      <c r="S1149" s="27"/>
      <c r="T1149" s="18"/>
      <c r="U1149" s="27"/>
      <c r="V1149" s="27"/>
      <c r="W1149" s="30"/>
      <c r="X1149" s="27">
        <v>2</v>
      </c>
      <c r="Y1149" s="27" t="s">
        <v>1651</v>
      </c>
      <c r="Z1149" s="27">
        <v>2</v>
      </c>
      <c r="AA1149" s="27"/>
      <c r="AB1149" s="27"/>
      <c r="AC1149" s="273">
        <v>640532901</v>
      </c>
      <c r="AD1149" s="27">
        <v>4234894168.1565914</v>
      </c>
      <c r="AE1149" s="228">
        <v>0.15125121799178698</v>
      </c>
      <c r="AF1149" s="27">
        <v>1302865190.8333752</v>
      </c>
      <c r="AG1149" s="226">
        <v>0.49163405815630423</v>
      </c>
      <c r="AH1149" s="226">
        <v>0.59818948829746077</v>
      </c>
      <c r="AI1149" s="27">
        <v>238680000</v>
      </c>
      <c r="AJ1149" s="226">
        <v>2.683647146807441</v>
      </c>
      <c r="AK1149" s="27">
        <v>143276744.44537607</v>
      </c>
      <c r="AL1149" s="226">
        <v>4.4705992132882511</v>
      </c>
      <c r="AM1149" s="27">
        <v>198622041.84896275</v>
      </c>
      <c r="AN1149" s="271">
        <v>3.2248832759814112</v>
      </c>
      <c r="AO1149" s="27">
        <v>2595068</v>
      </c>
      <c r="AP1149" s="27" t="s">
        <v>2842</v>
      </c>
      <c r="AQ1149" s="27">
        <v>66.037439024390252</v>
      </c>
      <c r="AR1149" s="27">
        <v>33.200000000000003</v>
      </c>
      <c r="AS1149" s="29">
        <v>97.713149999999999</v>
      </c>
      <c r="AT1149" s="270">
        <v>39</v>
      </c>
      <c r="AU1149" s="464">
        <v>50.953024059451757</v>
      </c>
      <c r="AV1149" s="29">
        <v>0.27221379801301199</v>
      </c>
      <c r="AW1149" s="29">
        <v>0.68455134578207599</v>
      </c>
      <c r="AX1149" s="29">
        <v>-0.51598351345476101</v>
      </c>
      <c r="AY1149" s="29">
        <v>-0.26131593397205599</v>
      </c>
      <c r="AZ1149" s="60">
        <v>-0.65614289988955998</v>
      </c>
    </row>
    <row r="1150" spans="1:52" ht="15" customHeight="1">
      <c r="A1150" s="59" t="s">
        <v>360</v>
      </c>
      <c r="B1150" s="27">
        <v>2007</v>
      </c>
      <c r="C1150" s="27" t="s">
        <v>357</v>
      </c>
      <c r="D1150" s="27" t="s">
        <v>238</v>
      </c>
      <c r="E1150" s="27" t="s">
        <v>19</v>
      </c>
      <c r="F1150" s="27" t="s">
        <v>1379</v>
      </c>
      <c r="G1150" s="43">
        <v>1980</v>
      </c>
      <c r="H1150" s="43"/>
      <c r="I1150" s="43"/>
      <c r="J1150" s="43"/>
      <c r="K1150" s="27" t="s">
        <v>567</v>
      </c>
      <c r="L1150" s="28">
        <f>66790*0.3121</f>
        <v>20845.159</v>
      </c>
      <c r="M1150" s="27" t="s">
        <v>568</v>
      </c>
      <c r="N1150" s="27" t="s">
        <v>1635</v>
      </c>
      <c r="O1150" s="18">
        <f t="shared" si="17"/>
        <v>41273414.82</v>
      </c>
      <c r="P1150" s="214"/>
      <c r="Q1150" s="214"/>
      <c r="R1150" s="27"/>
      <c r="S1150" s="27"/>
      <c r="T1150" s="18"/>
      <c r="U1150" s="27"/>
      <c r="V1150" s="27"/>
      <c r="W1150" s="30"/>
      <c r="X1150" s="27">
        <v>2</v>
      </c>
      <c r="Y1150" s="27" t="s">
        <v>1636</v>
      </c>
      <c r="Z1150" s="27">
        <v>2</v>
      </c>
      <c r="AA1150" s="27"/>
      <c r="AB1150" s="27"/>
      <c r="AC1150" s="273">
        <v>640532901</v>
      </c>
      <c r="AD1150" s="27">
        <v>4234894168.1565914</v>
      </c>
      <c r="AE1150" s="228">
        <v>0.15125121799178698</v>
      </c>
      <c r="AF1150" s="27">
        <v>1302865190.8333752</v>
      </c>
      <c r="AG1150" s="226">
        <v>0.49163405815630423</v>
      </c>
      <c r="AH1150" s="226">
        <v>0.59818948829746077</v>
      </c>
      <c r="AI1150" s="27">
        <v>238680000</v>
      </c>
      <c r="AJ1150" s="226">
        <v>2.683647146807441</v>
      </c>
      <c r="AK1150" s="27">
        <v>143276744.44537607</v>
      </c>
      <c r="AL1150" s="226">
        <v>4.4705992132882511</v>
      </c>
      <c r="AM1150" s="27">
        <v>198622041.84896275</v>
      </c>
      <c r="AN1150" s="271">
        <v>3.2248832759814112</v>
      </c>
      <c r="AO1150" s="27">
        <v>2595068</v>
      </c>
      <c r="AP1150" s="27" t="s">
        <v>2842</v>
      </c>
      <c r="AQ1150" s="27">
        <v>66.037439024390252</v>
      </c>
      <c r="AR1150" s="27">
        <v>33.200000000000003</v>
      </c>
      <c r="AS1150" s="29">
        <v>97.713149999999999</v>
      </c>
      <c r="AT1150" s="270">
        <v>39</v>
      </c>
      <c r="AU1150" s="464">
        <v>50.953024059451757</v>
      </c>
      <c r="AV1150" s="29">
        <v>0.27221379801301199</v>
      </c>
      <c r="AW1150" s="29">
        <v>0.68455134578207599</v>
      </c>
      <c r="AX1150" s="29">
        <v>-0.51598351345476101</v>
      </c>
      <c r="AY1150" s="29">
        <v>-0.26131593397205599</v>
      </c>
      <c r="AZ1150" s="60">
        <v>-0.65614289988955998</v>
      </c>
    </row>
    <row r="1151" spans="1:52" ht="15" customHeight="1">
      <c r="A1151" s="59" t="s">
        <v>360</v>
      </c>
      <c r="B1151" s="27">
        <v>2007</v>
      </c>
      <c r="C1151" s="27" t="s">
        <v>357</v>
      </c>
      <c r="D1151" s="27" t="s">
        <v>238</v>
      </c>
      <c r="E1151" s="27" t="s">
        <v>19</v>
      </c>
      <c r="F1151" s="27" t="s">
        <v>735</v>
      </c>
      <c r="G1151" s="43">
        <f>28100*32.150743126506</f>
        <v>903435.88185481867</v>
      </c>
      <c r="H1151" s="43"/>
      <c r="I1151" s="43"/>
      <c r="J1151" s="43"/>
      <c r="K1151" s="27" t="s">
        <v>731</v>
      </c>
      <c r="L1151" s="28">
        <f>13.391975/1</f>
        <v>13.391975</v>
      </c>
      <c r="M1151" s="27" t="s">
        <v>732</v>
      </c>
      <c r="N1151" s="27" t="s">
        <v>1652</v>
      </c>
      <c r="O1151" s="18">
        <f t="shared" si="17"/>
        <v>12098790.743902685</v>
      </c>
      <c r="P1151" s="214"/>
      <c r="Q1151" s="214"/>
      <c r="R1151" s="27"/>
      <c r="S1151" s="27"/>
      <c r="T1151" s="18"/>
      <c r="U1151" s="27"/>
      <c r="V1151" s="27"/>
      <c r="W1151" s="30"/>
      <c r="X1151" s="27">
        <v>5</v>
      </c>
      <c r="Y1151" s="27" t="s">
        <v>1653</v>
      </c>
      <c r="Z1151" s="27">
        <v>5</v>
      </c>
      <c r="AA1151" s="27"/>
      <c r="AB1151" s="27"/>
      <c r="AC1151" s="273">
        <v>640532901</v>
      </c>
      <c r="AD1151" s="27">
        <v>4234894168.1565914</v>
      </c>
      <c r="AE1151" s="228">
        <v>0.15125121799178698</v>
      </c>
      <c r="AF1151" s="27">
        <v>1302865190.8333752</v>
      </c>
      <c r="AG1151" s="226">
        <v>0.49163405815630423</v>
      </c>
      <c r="AH1151" s="226">
        <v>0.59818948829746077</v>
      </c>
      <c r="AI1151" s="27">
        <v>238680000</v>
      </c>
      <c r="AJ1151" s="226">
        <v>2.683647146807441</v>
      </c>
      <c r="AK1151" s="27">
        <v>143276744.44537607</v>
      </c>
      <c r="AL1151" s="226">
        <v>4.4705992132882511</v>
      </c>
      <c r="AM1151" s="27">
        <v>198622041.84896275</v>
      </c>
      <c r="AN1151" s="271">
        <v>3.2248832759814112</v>
      </c>
      <c r="AO1151" s="27">
        <v>2595068</v>
      </c>
      <c r="AP1151" s="27" t="s">
        <v>2842</v>
      </c>
      <c r="AQ1151" s="27">
        <v>66.037439024390252</v>
      </c>
      <c r="AR1151" s="27">
        <v>33.200000000000003</v>
      </c>
      <c r="AS1151" s="29">
        <v>97.713149999999999</v>
      </c>
      <c r="AT1151" s="270">
        <v>39</v>
      </c>
      <c r="AU1151" s="464">
        <v>50.953024059451757</v>
      </c>
      <c r="AV1151" s="29">
        <v>0.27221379801301199</v>
      </c>
      <c r="AW1151" s="29">
        <v>0.68455134578207599</v>
      </c>
      <c r="AX1151" s="29">
        <v>-0.51598351345476101</v>
      </c>
      <c r="AY1151" s="29">
        <v>-0.26131593397205599</v>
      </c>
      <c r="AZ1151" s="60">
        <v>-0.65614289988955998</v>
      </c>
    </row>
    <row r="1152" spans="1:52" ht="15" customHeight="1">
      <c r="A1152" s="59" t="s">
        <v>360</v>
      </c>
      <c r="B1152" s="27">
        <v>2007</v>
      </c>
      <c r="C1152" s="27" t="s">
        <v>357</v>
      </c>
      <c r="D1152" s="27" t="s">
        <v>238</v>
      </c>
      <c r="E1152" s="27" t="s">
        <v>19</v>
      </c>
      <c r="F1152" s="27" t="s">
        <v>1654</v>
      </c>
      <c r="G1152" s="43">
        <v>30</v>
      </c>
      <c r="H1152" s="43">
        <v>30</v>
      </c>
      <c r="I1152" s="43"/>
      <c r="J1152" s="43"/>
      <c r="K1152" s="27" t="s">
        <v>567</v>
      </c>
      <c r="L1152" s="44">
        <f>14536.8345</f>
        <v>14536.834500000001</v>
      </c>
      <c r="M1152" s="27" t="s">
        <v>568</v>
      </c>
      <c r="N1152" s="27" t="s">
        <v>1655</v>
      </c>
      <c r="O1152" s="18">
        <f t="shared" si="17"/>
        <v>436105.03500000003</v>
      </c>
      <c r="P1152" s="214"/>
      <c r="Q1152" s="214"/>
      <c r="R1152" s="27"/>
      <c r="S1152" s="27"/>
      <c r="T1152" s="18"/>
      <c r="U1152" s="27"/>
      <c r="V1152" s="27"/>
      <c r="W1152" s="30"/>
      <c r="X1152" s="27"/>
      <c r="Y1152" s="27"/>
      <c r="Z1152" s="27"/>
      <c r="AA1152" s="27"/>
      <c r="AB1152" s="27"/>
      <c r="AC1152" s="273">
        <v>640532901</v>
      </c>
      <c r="AD1152" s="27">
        <v>4234894168.1565914</v>
      </c>
      <c r="AE1152" s="228">
        <v>0.15125121799178698</v>
      </c>
      <c r="AF1152" s="27">
        <v>1302865190.8333752</v>
      </c>
      <c r="AG1152" s="226">
        <v>0.49163405815630423</v>
      </c>
      <c r="AH1152" s="226">
        <v>0.59818948829746077</v>
      </c>
      <c r="AI1152" s="27">
        <v>238680000</v>
      </c>
      <c r="AJ1152" s="226">
        <v>2.683647146807441</v>
      </c>
      <c r="AK1152" s="27">
        <v>143276744.44537607</v>
      </c>
      <c r="AL1152" s="226">
        <v>4.4705992132882511</v>
      </c>
      <c r="AM1152" s="27">
        <v>198622041.84896275</v>
      </c>
      <c r="AN1152" s="271">
        <v>3.2248832759814112</v>
      </c>
      <c r="AO1152" s="27">
        <v>2595068</v>
      </c>
      <c r="AP1152" s="27" t="s">
        <v>2842</v>
      </c>
      <c r="AQ1152" s="27">
        <v>66.037439024390252</v>
      </c>
      <c r="AR1152" s="27">
        <v>33.200000000000003</v>
      </c>
      <c r="AS1152" s="29">
        <v>97.713149999999999</v>
      </c>
      <c r="AT1152" s="270">
        <v>39</v>
      </c>
      <c r="AU1152" s="464">
        <v>50.953024059451757</v>
      </c>
      <c r="AV1152" s="29">
        <v>0.27221379801301199</v>
      </c>
      <c r="AW1152" s="29">
        <v>0.68455134578207599</v>
      </c>
      <c r="AX1152" s="29">
        <v>-0.51598351345476101</v>
      </c>
      <c r="AY1152" s="29">
        <v>-0.26131593397205599</v>
      </c>
      <c r="AZ1152" s="60">
        <v>-0.65614289988955998</v>
      </c>
    </row>
    <row r="1153" spans="1:52" ht="15" customHeight="1">
      <c r="A1153" s="59" t="s">
        <v>360</v>
      </c>
      <c r="B1153" s="27">
        <v>2007</v>
      </c>
      <c r="C1153" s="27" t="s">
        <v>357</v>
      </c>
      <c r="D1153" s="27" t="s">
        <v>238</v>
      </c>
      <c r="E1153" s="27" t="s">
        <v>19</v>
      </c>
      <c r="F1153" s="27" t="s">
        <v>1637</v>
      </c>
      <c r="G1153" s="43">
        <v>245</v>
      </c>
      <c r="H1153" s="43"/>
      <c r="I1153" s="43"/>
      <c r="J1153" s="43"/>
      <c r="K1153" s="27" t="s">
        <v>567</v>
      </c>
      <c r="L1153" s="28">
        <v>177</v>
      </c>
      <c r="M1153" s="27" t="s">
        <v>568</v>
      </c>
      <c r="N1153" s="27" t="s">
        <v>1638</v>
      </c>
      <c r="O1153" s="18">
        <f t="shared" si="17"/>
        <v>43365</v>
      </c>
      <c r="P1153" s="214"/>
      <c r="Q1153" s="214"/>
      <c r="R1153" s="27"/>
      <c r="S1153" s="27"/>
      <c r="T1153" s="27"/>
      <c r="U1153" s="27"/>
      <c r="V1153" s="27"/>
      <c r="W1153" s="30"/>
      <c r="X1153" s="27"/>
      <c r="Y1153" s="27"/>
      <c r="Z1153" s="27"/>
      <c r="AA1153" s="27"/>
      <c r="AB1153" s="27"/>
      <c r="AC1153" s="273">
        <v>640532901</v>
      </c>
      <c r="AD1153" s="27">
        <v>4234894168.1565914</v>
      </c>
      <c r="AE1153" s="228">
        <v>0.15125121799178698</v>
      </c>
      <c r="AF1153" s="27">
        <v>1302865190.8333752</v>
      </c>
      <c r="AG1153" s="226">
        <v>0.49163405815630423</v>
      </c>
      <c r="AH1153" s="226">
        <v>0.59818948829746077</v>
      </c>
      <c r="AI1153" s="27">
        <v>238680000</v>
      </c>
      <c r="AJ1153" s="226">
        <v>2.683647146807441</v>
      </c>
      <c r="AK1153" s="27">
        <v>143276744.44537607</v>
      </c>
      <c r="AL1153" s="226">
        <v>4.4705992132882511</v>
      </c>
      <c r="AM1153" s="27">
        <v>198622041.84896275</v>
      </c>
      <c r="AN1153" s="271">
        <v>3.2248832759814112</v>
      </c>
      <c r="AO1153" s="27">
        <v>2595068</v>
      </c>
      <c r="AP1153" s="27" t="s">
        <v>2842</v>
      </c>
      <c r="AQ1153" s="27">
        <v>66.037439024390252</v>
      </c>
      <c r="AR1153" s="27">
        <v>33.200000000000003</v>
      </c>
      <c r="AS1153" s="29">
        <v>97.713149999999999</v>
      </c>
      <c r="AT1153" s="270">
        <v>39</v>
      </c>
      <c r="AU1153" s="464">
        <v>50.953024059451757</v>
      </c>
      <c r="AV1153" s="29">
        <v>0.27221379801301199</v>
      </c>
      <c r="AW1153" s="29">
        <v>0.68455134578207599</v>
      </c>
      <c r="AX1153" s="29">
        <v>-0.51598351345476101</v>
      </c>
      <c r="AY1153" s="29">
        <v>-0.26131593397205599</v>
      </c>
      <c r="AZ1153" s="60">
        <v>-0.65614289988955998</v>
      </c>
    </row>
    <row r="1154" spans="1:52" s="287" customFormat="1" ht="15" customHeight="1">
      <c r="A1154" s="344" t="s">
        <v>360</v>
      </c>
      <c r="B1154" s="284">
        <v>2007</v>
      </c>
      <c r="C1154" s="284" t="s">
        <v>357</v>
      </c>
      <c r="D1154" s="284" t="s">
        <v>238</v>
      </c>
      <c r="E1154" s="284" t="s">
        <v>19</v>
      </c>
      <c r="F1154" s="284" t="s">
        <v>790</v>
      </c>
      <c r="G1154" s="303">
        <v>154700</v>
      </c>
      <c r="H1154" s="303">
        <v>154700</v>
      </c>
      <c r="I1154" s="303"/>
      <c r="J1154" s="303"/>
      <c r="K1154" s="284" t="s">
        <v>567</v>
      </c>
      <c r="L1154" s="367">
        <f>3242.35758333333*0.5071</f>
        <v>1644.1995305083315</v>
      </c>
      <c r="M1154" s="284" t="s">
        <v>568</v>
      </c>
      <c r="N1154" s="284" t="s">
        <v>1640</v>
      </c>
      <c r="O1154" s="305">
        <f t="shared" si="17"/>
        <v>254357667.36963889</v>
      </c>
      <c r="P1154" s="346"/>
      <c r="Q1154" s="346"/>
      <c r="R1154" s="284"/>
      <c r="S1154" s="284"/>
      <c r="T1154" s="305"/>
      <c r="U1154" s="284"/>
      <c r="V1154" s="284"/>
      <c r="W1154" s="307"/>
      <c r="X1154" s="284">
        <v>3</v>
      </c>
      <c r="Y1154" s="284" t="s">
        <v>1656</v>
      </c>
      <c r="Z1154" s="284">
        <v>3</v>
      </c>
      <c r="AA1154" s="284"/>
      <c r="AB1154" s="284"/>
      <c r="AC1154" s="308">
        <v>640532901</v>
      </c>
      <c r="AD1154" s="284">
        <v>4234894168.1565914</v>
      </c>
      <c r="AE1154" s="309">
        <v>0.15125121799178698</v>
      </c>
      <c r="AF1154" s="284">
        <v>1302865190.8333752</v>
      </c>
      <c r="AG1154" s="310">
        <v>0.49163405815630423</v>
      </c>
      <c r="AH1154" s="310">
        <v>0.59818948829746077</v>
      </c>
      <c r="AI1154" s="284">
        <v>238680000</v>
      </c>
      <c r="AJ1154" s="310">
        <v>2.683647146807441</v>
      </c>
      <c r="AK1154" s="284">
        <v>143276744.44537607</v>
      </c>
      <c r="AL1154" s="310">
        <v>4.4705992132882511</v>
      </c>
      <c r="AM1154" s="284">
        <v>198622041.84896275</v>
      </c>
      <c r="AN1154" s="311">
        <v>3.2248832759814112</v>
      </c>
      <c r="AO1154" s="284">
        <v>2595068</v>
      </c>
      <c r="AP1154" s="284" t="s">
        <v>2842</v>
      </c>
      <c r="AQ1154" s="284">
        <v>66.037439024390252</v>
      </c>
      <c r="AR1154" s="284">
        <v>33.200000000000003</v>
      </c>
      <c r="AS1154" s="287">
        <v>97.713149999999999</v>
      </c>
      <c r="AT1154" s="312">
        <v>39</v>
      </c>
      <c r="AU1154" s="465">
        <v>50.953024059451757</v>
      </c>
      <c r="AV1154" s="287">
        <v>0.27221379801301199</v>
      </c>
      <c r="AW1154" s="287">
        <v>0.68455134578207599</v>
      </c>
      <c r="AX1154" s="287">
        <v>-0.51598351345476101</v>
      </c>
      <c r="AY1154" s="287">
        <v>-0.26131593397205599</v>
      </c>
      <c r="AZ1154" s="313">
        <v>-0.65614289988955998</v>
      </c>
    </row>
    <row r="1155" spans="1:52" s="29" customFormat="1" ht="15" customHeight="1">
      <c r="A1155" s="332" t="s">
        <v>363</v>
      </c>
      <c r="B1155" s="27">
        <v>2008</v>
      </c>
      <c r="C1155" s="27" t="s">
        <v>357</v>
      </c>
      <c r="D1155" s="27" t="s">
        <v>238</v>
      </c>
      <c r="E1155" s="27" t="s">
        <v>36</v>
      </c>
      <c r="F1155" s="27" t="s">
        <v>659</v>
      </c>
      <c r="G1155" s="43"/>
      <c r="H1155" s="43"/>
      <c r="I1155" s="43"/>
      <c r="J1155" s="43"/>
      <c r="K1155" s="27"/>
      <c r="L1155" s="28"/>
      <c r="M1155" s="27"/>
      <c r="N1155" s="27"/>
      <c r="O1155" s="18">
        <f>O1156+O1157</f>
        <v>1942391715.3032022</v>
      </c>
      <c r="P1155" s="214">
        <v>587942636</v>
      </c>
      <c r="Q1155" s="214">
        <v>588887191.39999998</v>
      </c>
      <c r="R1155" s="27" t="s">
        <v>3693</v>
      </c>
      <c r="S1155" s="27" t="s">
        <v>871</v>
      </c>
      <c r="T1155" s="27" t="s">
        <v>871</v>
      </c>
      <c r="U1155" s="27" t="s">
        <v>1085</v>
      </c>
      <c r="V1155" s="27" t="s">
        <v>1618</v>
      </c>
      <c r="W1155" s="30">
        <v>1165</v>
      </c>
      <c r="X1155" s="27">
        <v>46</v>
      </c>
      <c r="Y1155" s="27" t="s">
        <v>1657</v>
      </c>
      <c r="Z1155" s="27">
        <v>46</v>
      </c>
      <c r="AA1155" s="27">
        <v>9</v>
      </c>
      <c r="AB1155" s="27" t="s">
        <v>1659</v>
      </c>
      <c r="AC1155" s="273">
        <v>587942636</v>
      </c>
      <c r="AD1155" s="27">
        <v>5623236707.5247135</v>
      </c>
      <c r="AE1155" s="228">
        <v>0.10455591087126863</v>
      </c>
      <c r="AF1155" s="27">
        <v>1702828539.7726336</v>
      </c>
      <c r="AG1155" s="226">
        <v>0.34527412611871289</v>
      </c>
      <c r="AH1155" s="226" t="s">
        <v>2842</v>
      </c>
      <c r="AI1155" s="27">
        <v>246660000</v>
      </c>
      <c r="AJ1155" s="226">
        <v>2.3836156490715967</v>
      </c>
      <c r="AK1155" s="27">
        <v>221131755.01910329</v>
      </c>
      <c r="AL1155" s="226">
        <v>2.6587888109928328</v>
      </c>
      <c r="AM1155" s="27" t="s">
        <v>2842</v>
      </c>
      <c r="AN1155" s="271" t="s">
        <v>2842</v>
      </c>
      <c r="AO1155" s="27">
        <v>2632834</v>
      </c>
      <c r="AP1155" s="27" t="s">
        <v>2842</v>
      </c>
      <c r="AQ1155" s="27">
        <v>66.357121951219526</v>
      </c>
      <c r="AR1155" s="27">
        <v>31.7</v>
      </c>
      <c r="AS1155" s="29">
        <v>99.345010000000002</v>
      </c>
      <c r="AT1155" s="270">
        <v>39</v>
      </c>
      <c r="AU1155" s="464">
        <v>50.953024059451757</v>
      </c>
      <c r="AV1155" s="29">
        <v>0.238763706301584</v>
      </c>
      <c r="AW1155" s="29">
        <v>0.57387371965939205</v>
      </c>
      <c r="AX1155" s="29">
        <v>-0.51769434986029705</v>
      </c>
      <c r="AY1155" s="29">
        <v>-0.333893375310926</v>
      </c>
      <c r="AZ1155" s="60">
        <v>-0.66609296947146002</v>
      </c>
    </row>
    <row r="1156" spans="1:52" s="29" customFormat="1" ht="15" customHeight="1">
      <c r="A1156" s="59" t="s">
        <v>363</v>
      </c>
      <c r="B1156" s="27">
        <v>2008</v>
      </c>
      <c r="C1156" s="27" t="s">
        <v>357</v>
      </c>
      <c r="D1156" s="27" t="s">
        <v>238</v>
      </c>
      <c r="E1156" s="27" t="s">
        <v>98</v>
      </c>
      <c r="F1156" s="27" t="s">
        <v>98</v>
      </c>
      <c r="G1156" s="43">
        <v>2044000</v>
      </c>
      <c r="H1156" s="43">
        <v>2044000</v>
      </c>
      <c r="I1156" s="43"/>
      <c r="J1156" s="43"/>
      <c r="K1156" s="27" t="s">
        <v>603</v>
      </c>
      <c r="L1156" s="28">
        <f>98.2715934*0.9219</f>
        <v>90.59658195546001</v>
      </c>
      <c r="M1156" s="27" t="s">
        <v>626</v>
      </c>
      <c r="N1156" s="27" t="s">
        <v>1660</v>
      </c>
      <c r="O1156" s="18">
        <f>G1156*L1156</f>
        <v>185179413.51696026</v>
      </c>
      <c r="P1156" s="214">
        <v>24501473.81974249</v>
      </c>
      <c r="Q1156" s="214">
        <v>24501473.81974249</v>
      </c>
      <c r="R1156" s="27"/>
      <c r="S1156" s="27"/>
      <c r="T1156" s="27"/>
      <c r="U1156" s="27"/>
      <c r="V1156" s="27"/>
      <c r="W1156" s="30"/>
      <c r="X1156" s="27">
        <v>1</v>
      </c>
      <c r="Y1156" s="27" t="s">
        <v>1623</v>
      </c>
      <c r="Z1156" s="27">
        <v>1</v>
      </c>
      <c r="AA1156" s="27">
        <v>16</v>
      </c>
      <c r="AB1156" s="27"/>
      <c r="AC1156" s="273">
        <v>587942636</v>
      </c>
      <c r="AD1156" s="27">
        <v>5623236707.5247135</v>
      </c>
      <c r="AE1156" s="228">
        <v>0.10455591087126863</v>
      </c>
      <c r="AF1156" s="27">
        <v>1702828539.7726336</v>
      </c>
      <c r="AG1156" s="226">
        <v>0.34527412611871289</v>
      </c>
      <c r="AH1156" s="226" t="s">
        <v>2842</v>
      </c>
      <c r="AI1156" s="27">
        <v>246660000</v>
      </c>
      <c r="AJ1156" s="226">
        <v>2.3836156490715967</v>
      </c>
      <c r="AK1156" s="27">
        <v>221131755.01910329</v>
      </c>
      <c r="AL1156" s="226">
        <v>2.6587888109928328</v>
      </c>
      <c r="AM1156" s="27" t="s">
        <v>2842</v>
      </c>
      <c r="AN1156" s="271" t="s">
        <v>2842</v>
      </c>
      <c r="AO1156" s="27">
        <v>2632834</v>
      </c>
      <c r="AP1156" s="27" t="s">
        <v>2842</v>
      </c>
      <c r="AQ1156" s="27">
        <v>66.357121951219526</v>
      </c>
      <c r="AR1156" s="27">
        <v>31.7</v>
      </c>
      <c r="AS1156" s="29">
        <v>99.345010000000002</v>
      </c>
      <c r="AT1156" s="270">
        <v>39</v>
      </c>
      <c r="AU1156" s="464">
        <v>50.953024059451757</v>
      </c>
      <c r="AV1156" s="29">
        <v>0.238763706301584</v>
      </c>
      <c r="AW1156" s="29">
        <v>0.57387371965939205</v>
      </c>
      <c r="AX1156" s="29">
        <v>-0.51769434986029705</v>
      </c>
      <c r="AY1156" s="29">
        <v>-0.333893375310926</v>
      </c>
      <c r="AZ1156" s="60">
        <v>-0.66609296947146002</v>
      </c>
    </row>
    <row r="1157" spans="1:52" s="29" customFormat="1" ht="15" customHeight="1">
      <c r="A1157" s="59" t="s">
        <v>363</v>
      </c>
      <c r="B1157" s="27">
        <v>2008</v>
      </c>
      <c r="C1157" s="27" t="s">
        <v>357</v>
      </c>
      <c r="D1157" s="27" t="s">
        <v>238</v>
      </c>
      <c r="E1157" s="27" t="s">
        <v>19</v>
      </c>
      <c r="F1157" s="27" t="s">
        <v>559</v>
      </c>
      <c r="G1157" s="43"/>
      <c r="H1157" s="43"/>
      <c r="I1157" s="43"/>
      <c r="J1157" s="43"/>
      <c r="K1157" s="27"/>
      <c r="L1157" s="28"/>
      <c r="M1157" s="27"/>
      <c r="N1157" s="27"/>
      <c r="O1157" s="18">
        <f>SUM(O1158:O1167)</f>
        <v>1757212301.786242</v>
      </c>
      <c r="P1157" s="214">
        <v>563441162.18025756</v>
      </c>
      <c r="Q1157" s="214">
        <v>564385717.58025753</v>
      </c>
      <c r="R1157" s="27"/>
      <c r="S1157" s="27"/>
      <c r="T1157" s="27"/>
      <c r="U1157" s="27"/>
      <c r="V1157" s="27"/>
      <c r="W1157" s="30"/>
      <c r="X1157" s="27">
        <v>37</v>
      </c>
      <c r="Y1157" s="27" t="s">
        <v>1661</v>
      </c>
      <c r="Z1157" s="27">
        <v>37</v>
      </c>
      <c r="AB1157" s="27"/>
      <c r="AC1157" s="273">
        <v>587942636</v>
      </c>
      <c r="AD1157" s="27">
        <v>5623236707.5247135</v>
      </c>
      <c r="AE1157" s="228">
        <v>0.10455591087126863</v>
      </c>
      <c r="AF1157" s="27">
        <v>1702828539.7726336</v>
      </c>
      <c r="AG1157" s="226">
        <v>0.34527412611871289</v>
      </c>
      <c r="AH1157" s="226" t="s">
        <v>2842</v>
      </c>
      <c r="AI1157" s="27">
        <v>246660000</v>
      </c>
      <c r="AJ1157" s="226">
        <v>2.3836156490715967</v>
      </c>
      <c r="AK1157" s="27">
        <v>221131755.01910329</v>
      </c>
      <c r="AL1157" s="226">
        <v>2.6587888109928328</v>
      </c>
      <c r="AM1157" s="27" t="s">
        <v>2842</v>
      </c>
      <c r="AN1157" s="271" t="s">
        <v>2842</v>
      </c>
      <c r="AO1157" s="27">
        <v>2632834</v>
      </c>
      <c r="AP1157" s="27" t="s">
        <v>2842</v>
      </c>
      <c r="AQ1157" s="27">
        <v>66.357121951219526</v>
      </c>
      <c r="AR1157" s="27">
        <v>31.7</v>
      </c>
      <c r="AS1157" s="29">
        <v>99.345010000000002</v>
      </c>
      <c r="AT1157" s="270">
        <v>39</v>
      </c>
      <c r="AU1157" s="464">
        <v>50.953024059451757</v>
      </c>
      <c r="AV1157" s="29">
        <v>0.238763706301584</v>
      </c>
      <c r="AW1157" s="29">
        <v>0.57387371965939205</v>
      </c>
      <c r="AX1157" s="29">
        <v>-0.51769434986029705</v>
      </c>
      <c r="AY1157" s="29">
        <v>-0.333893375310926</v>
      </c>
      <c r="AZ1157" s="60">
        <v>-0.66609296947146002</v>
      </c>
    </row>
    <row r="1158" spans="1:52" s="29" customFormat="1" ht="15" customHeight="1">
      <c r="A1158" s="59" t="s">
        <v>363</v>
      </c>
      <c r="B1158" s="27">
        <v>2008</v>
      </c>
      <c r="C1158" s="27" t="s">
        <v>357</v>
      </c>
      <c r="D1158" s="27" t="s">
        <v>238</v>
      </c>
      <c r="E1158" s="27" t="s">
        <v>19</v>
      </c>
      <c r="F1158" s="27" t="s">
        <v>573</v>
      </c>
      <c r="G1158" s="43">
        <f>9691600*0.90718474</f>
        <v>8792071.6261839997</v>
      </c>
      <c r="H1158" s="43">
        <f>9691600*0.90718474</f>
        <v>8792071.6261839997</v>
      </c>
      <c r="I1158" s="43"/>
      <c r="J1158" s="43"/>
      <c r="K1158" s="27" t="s">
        <v>567</v>
      </c>
      <c r="L1158" s="28">
        <f>138.172774336449*0.806</f>
        <v>111.36725611517791</v>
      </c>
      <c r="M1158" s="27" t="s">
        <v>568</v>
      </c>
      <c r="N1158" s="27" t="s">
        <v>1662</v>
      </c>
      <c r="O1158" s="18">
        <f t="shared" ref="O1158:O1163" si="18">G1158*L1158</f>
        <v>979148892.57622218</v>
      </c>
      <c r="P1158" s="214">
        <v>32032973.390557941</v>
      </c>
      <c r="Q1158" s="214">
        <v>31632767.38197425</v>
      </c>
      <c r="R1158" s="27"/>
      <c r="S1158" s="27"/>
      <c r="T1158" s="27"/>
      <c r="U1158" s="27"/>
      <c r="V1158" s="27"/>
      <c r="W1158" s="30"/>
      <c r="X1158" s="27">
        <v>9</v>
      </c>
      <c r="Y1158" s="27" t="s">
        <v>1663</v>
      </c>
      <c r="Z1158" s="27">
        <v>9</v>
      </c>
      <c r="AA1158" s="27" t="s">
        <v>1664</v>
      </c>
      <c r="AB1158" s="27"/>
      <c r="AC1158" s="273">
        <v>587942636</v>
      </c>
      <c r="AD1158" s="27">
        <v>5623236707.5247135</v>
      </c>
      <c r="AE1158" s="228">
        <v>0.10455591087126863</v>
      </c>
      <c r="AF1158" s="27">
        <v>1702828539.7726336</v>
      </c>
      <c r="AG1158" s="226">
        <v>0.34527412611871289</v>
      </c>
      <c r="AH1158" s="226" t="s">
        <v>2842</v>
      </c>
      <c r="AI1158" s="27">
        <v>246660000</v>
      </c>
      <c r="AJ1158" s="226">
        <v>2.3836156490715967</v>
      </c>
      <c r="AK1158" s="27">
        <v>221131755.01910329</v>
      </c>
      <c r="AL1158" s="226">
        <v>2.6587888109928328</v>
      </c>
      <c r="AM1158" s="27" t="s">
        <v>2842</v>
      </c>
      <c r="AN1158" s="271" t="s">
        <v>2842</v>
      </c>
      <c r="AO1158" s="27">
        <v>2632834</v>
      </c>
      <c r="AP1158" s="27" t="s">
        <v>2842</v>
      </c>
      <c r="AQ1158" s="27">
        <v>66.357121951219526</v>
      </c>
      <c r="AR1158" s="27">
        <v>31.7</v>
      </c>
      <c r="AS1158" s="29">
        <v>99.345010000000002</v>
      </c>
      <c r="AT1158" s="270">
        <v>39</v>
      </c>
      <c r="AU1158" s="464">
        <v>50.953024059451757</v>
      </c>
      <c r="AV1158" s="29">
        <v>0.238763706301584</v>
      </c>
      <c r="AW1158" s="29">
        <v>0.57387371965939205</v>
      </c>
      <c r="AX1158" s="29">
        <v>-0.51769434986029705</v>
      </c>
      <c r="AY1158" s="29">
        <v>-0.333893375310926</v>
      </c>
      <c r="AZ1158" s="60">
        <v>-0.66609296947146002</v>
      </c>
    </row>
    <row r="1159" spans="1:52" s="29" customFormat="1" ht="15" customHeight="1">
      <c r="A1159" s="59" t="s">
        <v>363</v>
      </c>
      <c r="B1159" s="27">
        <v>2008</v>
      </c>
      <c r="C1159" s="27" t="s">
        <v>357</v>
      </c>
      <c r="D1159" s="27" t="s">
        <v>238</v>
      </c>
      <c r="E1159" s="27" t="s">
        <v>19</v>
      </c>
      <c r="F1159" s="27" t="s">
        <v>576</v>
      </c>
      <c r="G1159" s="43">
        <f>126800*0.90718474</f>
        <v>115031.02503200001</v>
      </c>
      <c r="H1159" s="43">
        <f>126800*0.90718474</f>
        <v>115031.02503200001</v>
      </c>
      <c r="I1159" s="43"/>
      <c r="J1159" s="43"/>
      <c r="K1159" s="27" t="s">
        <v>567</v>
      </c>
      <c r="L1159" s="44">
        <f>6955.87983333333*0.1816</f>
        <v>1263.1877777333327</v>
      </c>
      <c r="M1159" s="27" t="s">
        <v>568</v>
      </c>
      <c r="N1159" s="27" t="s">
        <v>1665</v>
      </c>
      <c r="O1159" s="18">
        <f t="shared" si="18"/>
        <v>145305784.88055944</v>
      </c>
      <c r="P1159" s="214"/>
      <c r="Q1159" s="214"/>
      <c r="R1159" s="27"/>
      <c r="S1159" s="27"/>
      <c r="T1159" s="27"/>
      <c r="U1159" s="27"/>
      <c r="V1159" s="27"/>
      <c r="W1159" s="30"/>
      <c r="X1159" s="27">
        <v>2</v>
      </c>
      <c r="Y1159" s="27" t="s">
        <v>1666</v>
      </c>
      <c r="Z1159" s="27">
        <v>2</v>
      </c>
      <c r="AA1159" s="27">
        <v>15</v>
      </c>
      <c r="AB1159" s="27"/>
      <c r="AC1159" s="273">
        <v>587942636</v>
      </c>
      <c r="AD1159" s="27">
        <v>5623236707.5247135</v>
      </c>
      <c r="AE1159" s="228">
        <v>0.10455591087126863</v>
      </c>
      <c r="AF1159" s="27">
        <v>1702828539.7726336</v>
      </c>
      <c r="AG1159" s="226">
        <v>0.34527412611871289</v>
      </c>
      <c r="AH1159" s="226" t="s">
        <v>2842</v>
      </c>
      <c r="AI1159" s="27">
        <v>246660000</v>
      </c>
      <c r="AJ1159" s="226">
        <v>2.3836156490715967</v>
      </c>
      <c r="AK1159" s="27">
        <v>221131755.01910329</v>
      </c>
      <c r="AL1159" s="226">
        <v>2.6587888109928328</v>
      </c>
      <c r="AM1159" s="27" t="s">
        <v>2842</v>
      </c>
      <c r="AN1159" s="271" t="s">
        <v>2842</v>
      </c>
      <c r="AO1159" s="27">
        <v>2632834</v>
      </c>
      <c r="AP1159" s="27" t="s">
        <v>2842</v>
      </c>
      <c r="AQ1159" s="27">
        <v>66.357121951219526</v>
      </c>
      <c r="AR1159" s="27">
        <v>31.7</v>
      </c>
      <c r="AS1159" s="29">
        <v>99.345010000000002</v>
      </c>
      <c r="AT1159" s="270">
        <v>39</v>
      </c>
      <c r="AU1159" s="464">
        <v>50.953024059451757</v>
      </c>
      <c r="AV1159" s="29">
        <v>0.238763706301584</v>
      </c>
      <c r="AW1159" s="29">
        <v>0.57387371965939205</v>
      </c>
      <c r="AX1159" s="29">
        <v>-0.51769434986029705</v>
      </c>
      <c r="AY1159" s="29">
        <v>-0.333893375310926</v>
      </c>
      <c r="AZ1159" s="60">
        <v>-0.66609296947146002</v>
      </c>
    </row>
    <row r="1160" spans="1:52" s="29" customFormat="1" ht="15" customHeight="1">
      <c r="A1160" s="59" t="s">
        <v>363</v>
      </c>
      <c r="B1160" s="27">
        <v>2008</v>
      </c>
      <c r="C1160" s="27" t="s">
        <v>357</v>
      </c>
      <c r="D1160" s="27" t="s">
        <v>238</v>
      </c>
      <c r="E1160" s="27" t="s">
        <v>19</v>
      </c>
      <c r="F1160" s="27" t="s">
        <v>1629</v>
      </c>
      <c r="G1160" s="43">
        <f>334800*0.90718474</f>
        <v>303725.45095200004</v>
      </c>
      <c r="H1160" s="43">
        <f>334800*0.90718474</f>
        <v>303725.45095200004</v>
      </c>
      <c r="I1160" s="43"/>
      <c r="J1160" s="43"/>
      <c r="K1160" s="27" t="s">
        <v>567</v>
      </c>
      <c r="L1160" s="28">
        <f>315.83*0.5381</f>
        <v>169.94812300000001</v>
      </c>
      <c r="M1160" s="27" t="s">
        <v>568</v>
      </c>
      <c r="N1160" s="27" t="s">
        <v>1667</v>
      </c>
      <c r="O1160" s="18">
        <f t="shared" si="18"/>
        <v>51617570.296620972</v>
      </c>
      <c r="P1160" s="214">
        <v>5722945.9227467813</v>
      </c>
      <c r="Q1160" s="214">
        <v>6489857.5107296137</v>
      </c>
      <c r="R1160" s="27"/>
      <c r="S1160" s="27"/>
      <c r="T1160" s="27"/>
      <c r="U1160" s="27"/>
      <c r="V1160" s="27"/>
      <c r="W1160" s="30"/>
      <c r="X1160" s="27">
        <v>1</v>
      </c>
      <c r="Y1160" s="27" t="s">
        <v>1631</v>
      </c>
      <c r="Z1160" s="27">
        <v>1</v>
      </c>
      <c r="AA1160" s="27" t="s">
        <v>1664</v>
      </c>
      <c r="AB1160" s="27"/>
      <c r="AC1160" s="273">
        <v>587942636</v>
      </c>
      <c r="AD1160" s="27">
        <v>5623236707.5247135</v>
      </c>
      <c r="AE1160" s="228">
        <v>0.10455591087126863</v>
      </c>
      <c r="AF1160" s="27">
        <v>1702828539.7726336</v>
      </c>
      <c r="AG1160" s="226">
        <v>0.34527412611871289</v>
      </c>
      <c r="AH1160" s="226" t="s">
        <v>2842</v>
      </c>
      <c r="AI1160" s="27">
        <v>246660000</v>
      </c>
      <c r="AJ1160" s="226">
        <v>2.3836156490715967</v>
      </c>
      <c r="AK1160" s="27">
        <v>221131755.01910329</v>
      </c>
      <c r="AL1160" s="226">
        <v>2.6587888109928328</v>
      </c>
      <c r="AM1160" s="27" t="s">
        <v>2842</v>
      </c>
      <c r="AN1160" s="271" t="s">
        <v>2842</v>
      </c>
      <c r="AO1160" s="27">
        <v>2632834</v>
      </c>
      <c r="AP1160" s="27" t="s">
        <v>2842</v>
      </c>
      <c r="AQ1160" s="27">
        <v>66.357121951219526</v>
      </c>
      <c r="AR1160" s="27">
        <v>31.7</v>
      </c>
      <c r="AS1160" s="29">
        <v>99.345010000000002</v>
      </c>
      <c r="AT1160" s="270">
        <v>39</v>
      </c>
      <c r="AU1160" s="464">
        <v>50.953024059451757</v>
      </c>
      <c r="AV1160" s="29">
        <v>0.238763706301584</v>
      </c>
      <c r="AW1160" s="29">
        <v>0.57387371965939205</v>
      </c>
      <c r="AX1160" s="29">
        <v>-0.51769434986029705</v>
      </c>
      <c r="AY1160" s="29">
        <v>-0.333893375310926</v>
      </c>
      <c r="AZ1160" s="60">
        <v>-0.66609296947146002</v>
      </c>
    </row>
    <row r="1161" spans="1:52" s="29" customFormat="1" ht="15" customHeight="1">
      <c r="A1161" s="59" t="s">
        <v>363</v>
      </c>
      <c r="B1161" s="27">
        <v>2008</v>
      </c>
      <c r="C1161" s="27" t="s">
        <v>357</v>
      </c>
      <c r="D1161" s="27" t="s">
        <v>238</v>
      </c>
      <c r="E1161" s="27" t="s">
        <v>19</v>
      </c>
      <c r="F1161" s="27" t="s">
        <v>730</v>
      </c>
      <c r="G1161" s="43">
        <f>(15*0.90718474)*32150.7466</f>
        <v>437500.00042690325</v>
      </c>
      <c r="H1161" s="43">
        <f>(15*0.90718474)*32150.7466</f>
        <v>437500.00042690325</v>
      </c>
      <c r="I1161" s="43"/>
      <c r="J1161" s="43"/>
      <c r="K1161" s="27" t="s">
        <v>731</v>
      </c>
      <c r="L1161" s="28">
        <f>871.70725*0.83</f>
        <v>723.51701749999995</v>
      </c>
      <c r="M1161" s="27" t="s">
        <v>732</v>
      </c>
      <c r="N1161" s="27" t="s">
        <v>1668</v>
      </c>
      <c r="O1161" s="18">
        <f t="shared" si="18"/>
        <v>316538695.46512175</v>
      </c>
      <c r="P1161" s="214"/>
      <c r="Q1161" s="214"/>
      <c r="R1161" s="27"/>
      <c r="S1161" s="27"/>
      <c r="T1161" s="27"/>
      <c r="U1161" s="27"/>
      <c r="V1161" s="27"/>
      <c r="W1161" s="30"/>
      <c r="X1161" s="27">
        <v>32</v>
      </c>
      <c r="Y1161" s="27" t="s">
        <v>1669</v>
      </c>
      <c r="Z1161" s="27">
        <v>32</v>
      </c>
      <c r="AA1161" s="27">
        <v>15</v>
      </c>
      <c r="AB1161" s="27"/>
      <c r="AC1161" s="273">
        <v>587942636</v>
      </c>
      <c r="AD1161" s="27">
        <v>5623236707.5247135</v>
      </c>
      <c r="AE1161" s="228">
        <v>0.10455591087126863</v>
      </c>
      <c r="AF1161" s="27">
        <v>1702828539.7726336</v>
      </c>
      <c r="AG1161" s="226">
        <v>0.34527412611871289</v>
      </c>
      <c r="AH1161" s="226" t="s">
        <v>2842</v>
      </c>
      <c r="AI1161" s="27">
        <v>246660000</v>
      </c>
      <c r="AJ1161" s="226">
        <v>2.3836156490715967</v>
      </c>
      <c r="AK1161" s="27">
        <v>221131755.01910329</v>
      </c>
      <c r="AL1161" s="226">
        <v>2.6587888109928328</v>
      </c>
      <c r="AM1161" s="27" t="s">
        <v>2842</v>
      </c>
      <c r="AN1161" s="271" t="s">
        <v>2842</v>
      </c>
      <c r="AO1161" s="27">
        <v>2632834</v>
      </c>
      <c r="AP1161" s="27" t="s">
        <v>2842</v>
      </c>
      <c r="AQ1161" s="27">
        <v>66.357121951219526</v>
      </c>
      <c r="AR1161" s="27">
        <v>31.7</v>
      </c>
      <c r="AS1161" s="29">
        <v>99.345010000000002</v>
      </c>
      <c r="AT1161" s="270">
        <v>39</v>
      </c>
      <c r="AU1161" s="464">
        <v>50.953024059451757</v>
      </c>
      <c r="AV1161" s="29">
        <v>0.238763706301584</v>
      </c>
      <c r="AW1161" s="29">
        <v>0.57387371965939205</v>
      </c>
      <c r="AX1161" s="29">
        <v>-0.51769434986029705</v>
      </c>
      <c r="AY1161" s="29">
        <v>-0.333893375310926</v>
      </c>
      <c r="AZ1161" s="60">
        <v>-0.66609296947146002</v>
      </c>
    </row>
    <row r="1162" spans="1:52" s="29" customFormat="1" ht="15" customHeight="1">
      <c r="A1162" s="59" t="s">
        <v>363</v>
      </c>
      <c r="B1162" s="27">
        <v>2008</v>
      </c>
      <c r="C1162" s="27" t="s">
        <v>357</v>
      </c>
      <c r="D1162" s="27" t="s">
        <v>238</v>
      </c>
      <c r="E1162" s="27" t="s">
        <v>19</v>
      </c>
      <c r="F1162" s="27" t="s">
        <v>1196</v>
      </c>
      <c r="G1162" s="43">
        <f>1387400*0.90718474</f>
        <v>1258628.108276</v>
      </c>
      <c r="H1162" s="43">
        <f>1387400*0.90718474</f>
        <v>1258628.108276</v>
      </c>
      <c r="I1162" s="43"/>
      <c r="J1162" s="43"/>
      <c r="K1162" s="27" t="s">
        <v>567</v>
      </c>
      <c r="L1162" s="28">
        <f>155.99333333333*0.5474</f>
        <v>85.390750666664843</v>
      </c>
      <c r="M1162" s="27" t="s">
        <v>568</v>
      </c>
      <c r="N1162" s="27" t="s">
        <v>1670</v>
      </c>
      <c r="O1162" s="18">
        <f t="shared" si="18"/>
        <v>107475198.97585195</v>
      </c>
      <c r="P1162" s="214">
        <v>6687801.716738197</v>
      </c>
      <c r="Q1162" s="214">
        <v>6785381.1158798281</v>
      </c>
      <c r="R1162" s="27"/>
      <c r="S1162" s="27"/>
      <c r="T1162" s="27"/>
      <c r="U1162" s="27"/>
      <c r="V1162" s="27"/>
      <c r="W1162" s="30"/>
      <c r="X1162" s="27">
        <v>3</v>
      </c>
      <c r="Y1162" s="27" t="s">
        <v>1671</v>
      </c>
      <c r="Z1162" s="27">
        <v>3</v>
      </c>
      <c r="AA1162" s="27" t="s">
        <v>1664</v>
      </c>
      <c r="AB1162" s="27"/>
      <c r="AC1162" s="273">
        <v>587942636</v>
      </c>
      <c r="AD1162" s="27">
        <v>5623236707.5247135</v>
      </c>
      <c r="AE1162" s="228">
        <v>0.10455591087126863</v>
      </c>
      <c r="AF1162" s="27">
        <v>1702828539.7726336</v>
      </c>
      <c r="AG1162" s="226">
        <v>0.34527412611871289</v>
      </c>
      <c r="AH1162" s="226" t="s">
        <v>2842</v>
      </c>
      <c r="AI1162" s="27">
        <v>246660000</v>
      </c>
      <c r="AJ1162" s="226">
        <v>2.3836156490715967</v>
      </c>
      <c r="AK1162" s="27">
        <v>221131755.01910329</v>
      </c>
      <c r="AL1162" s="226">
        <v>2.6587888109928328</v>
      </c>
      <c r="AM1162" s="27" t="s">
        <v>2842</v>
      </c>
      <c r="AN1162" s="271" t="s">
        <v>2842</v>
      </c>
      <c r="AO1162" s="27">
        <v>2632834</v>
      </c>
      <c r="AP1162" s="27" t="s">
        <v>2842</v>
      </c>
      <c r="AQ1162" s="27">
        <v>66.357121951219526</v>
      </c>
      <c r="AR1162" s="27">
        <v>31.7</v>
      </c>
      <c r="AS1162" s="29">
        <v>99.345010000000002</v>
      </c>
      <c r="AT1162" s="270">
        <v>39</v>
      </c>
      <c r="AU1162" s="464">
        <v>50.953024059451757</v>
      </c>
      <c r="AV1162" s="29">
        <v>0.238763706301584</v>
      </c>
      <c r="AW1162" s="29">
        <v>0.57387371965939205</v>
      </c>
      <c r="AX1162" s="29">
        <v>-0.51769434986029705</v>
      </c>
      <c r="AY1162" s="29">
        <v>-0.333893375310926</v>
      </c>
      <c r="AZ1162" s="60">
        <v>-0.66609296947146002</v>
      </c>
    </row>
    <row r="1163" spans="1:52" s="29" customFormat="1" ht="15" customHeight="1">
      <c r="A1163" s="59" t="s">
        <v>363</v>
      </c>
      <c r="B1163" s="27">
        <v>2008</v>
      </c>
      <c r="C1163" s="27" t="s">
        <v>357</v>
      </c>
      <c r="D1163" s="27" t="s">
        <v>238</v>
      </c>
      <c r="E1163" s="27" t="s">
        <v>19</v>
      </c>
      <c r="F1163" s="27" t="s">
        <v>1672</v>
      </c>
      <c r="G1163" s="43">
        <f>1780*0.90718474</f>
        <v>1614.7888372</v>
      </c>
      <c r="H1163" s="43"/>
      <c r="I1163" s="43"/>
      <c r="J1163" s="43"/>
      <c r="K1163" s="27" t="s">
        <v>567</v>
      </c>
      <c r="L1163" s="28">
        <f>62990*0.3121</f>
        <v>19659.179</v>
      </c>
      <c r="M1163" s="27" t="s">
        <v>568</v>
      </c>
      <c r="N1163" s="27" t="s">
        <v>1673</v>
      </c>
      <c r="O1163" s="18">
        <f t="shared" si="18"/>
        <v>31745422.797716659</v>
      </c>
      <c r="P1163" s="214"/>
      <c r="Q1163" s="214"/>
      <c r="R1163" s="27"/>
      <c r="S1163" s="27"/>
      <c r="T1163" s="27"/>
      <c r="U1163" s="27"/>
      <c r="V1163" s="27"/>
      <c r="W1163" s="30"/>
      <c r="X1163" s="27">
        <v>1</v>
      </c>
      <c r="Y1163" s="27" t="s">
        <v>1674</v>
      </c>
      <c r="Z1163" s="27">
        <v>1</v>
      </c>
      <c r="AA1163" s="27">
        <v>15</v>
      </c>
      <c r="AB1163" s="27"/>
      <c r="AC1163" s="273">
        <v>587942636</v>
      </c>
      <c r="AD1163" s="27">
        <v>5623236707.5247135</v>
      </c>
      <c r="AE1163" s="228">
        <v>0.10455591087126863</v>
      </c>
      <c r="AF1163" s="27">
        <v>1702828539.7726336</v>
      </c>
      <c r="AG1163" s="226">
        <v>0.34527412611871289</v>
      </c>
      <c r="AH1163" s="226" t="s">
        <v>2842</v>
      </c>
      <c r="AI1163" s="27">
        <v>246660000</v>
      </c>
      <c r="AJ1163" s="226">
        <v>2.3836156490715967</v>
      </c>
      <c r="AK1163" s="27">
        <v>221131755.01910329</v>
      </c>
      <c r="AL1163" s="226">
        <v>2.6587888109928328</v>
      </c>
      <c r="AM1163" s="27" t="s">
        <v>2842</v>
      </c>
      <c r="AN1163" s="271" t="s">
        <v>2842</v>
      </c>
      <c r="AO1163" s="27">
        <v>2632834</v>
      </c>
      <c r="AP1163" s="27" t="s">
        <v>2842</v>
      </c>
      <c r="AQ1163" s="27">
        <v>66.357121951219526</v>
      </c>
      <c r="AR1163" s="27">
        <v>31.7</v>
      </c>
      <c r="AS1163" s="29">
        <v>99.345010000000002</v>
      </c>
      <c r="AT1163" s="270">
        <v>39</v>
      </c>
      <c r="AU1163" s="464">
        <v>50.953024059451757</v>
      </c>
      <c r="AV1163" s="29">
        <v>0.238763706301584</v>
      </c>
      <c r="AW1163" s="29">
        <v>0.57387371965939205</v>
      </c>
      <c r="AX1163" s="29">
        <v>-0.51769434986029705</v>
      </c>
      <c r="AY1163" s="29">
        <v>-0.333893375310926</v>
      </c>
      <c r="AZ1163" s="60">
        <v>-0.66609296947146002</v>
      </c>
    </row>
    <row r="1164" spans="1:52" s="29" customFormat="1" ht="15" customHeight="1">
      <c r="A1164" s="59" t="s">
        <v>363</v>
      </c>
      <c r="B1164" s="27">
        <v>2008</v>
      </c>
      <c r="C1164" s="27" t="s">
        <v>357</v>
      </c>
      <c r="D1164" s="27" t="s">
        <v>238</v>
      </c>
      <c r="E1164" s="27" t="s">
        <v>19</v>
      </c>
      <c r="F1164" s="27" t="s">
        <v>1675</v>
      </c>
      <c r="G1164" s="43"/>
      <c r="H1164" s="43"/>
      <c r="I1164" s="43"/>
      <c r="J1164" s="43"/>
      <c r="K1164" s="27"/>
      <c r="L1164" s="28"/>
      <c r="M1164" s="27"/>
      <c r="N1164" s="27"/>
      <c r="O1164" s="18"/>
      <c r="P1164" s="214">
        <v>1023936.4806866953</v>
      </c>
      <c r="Q1164" s="214">
        <v>1023936.4806866953</v>
      </c>
      <c r="R1164" s="27"/>
      <c r="S1164" s="27"/>
      <c r="T1164" s="27"/>
      <c r="U1164" s="27"/>
      <c r="V1164" s="27"/>
      <c r="W1164" s="30"/>
      <c r="X1164" s="27">
        <v>1</v>
      </c>
      <c r="Y1164" s="27" t="s">
        <v>1676</v>
      </c>
      <c r="Z1164" s="27">
        <v>1</v>
      </c>
      <c r="AA1164" s="27" t="s">
        <v>1677</v>
      </c>
      <c r="AB1164" s="27" t="s">
        <v>1678</v>
      </c>
      <c r="AC1164" s="273">
        <v>587942636</v>
      </c>
      <c r="AD1164" s="27">
        <v>5623236707.5247135</v>
      </c>
      <c r="AE1164" s="228">
        <v>0.10455591087126863</v>
      </c>
      <c r="AF1164" s="27">
        <v>1702828539.7726336</v>
      </c>
      <c r="AG1164" s="226">
        <v>0.34527412611871289</v>
      </c>
      <c r="AH1164" s="226" t="s">
        <v>2842</v>
      </c>
      <c r="AI1164" s="27">
        <v>246660000</v>
      </c>
      <c r="AJ1164" s="226">
        <v>2.3836156490715967</v>
      </c>
      <c r="AK1164" s="27">
        <v>221131755.01910329</v>
      </c>
      <c r="AL1164" s="226">
        <v>2.6587888109928328</v>
      </c>
      <c r="AM1164" s="27" t="s">
        <v>2842</v>
      </c>
      <c r="AN1164" s="271" t="s">
        <v>2842</v>
      </c>
      <c r="AO1164" s="27">
        <v>2632834</v>
      </c>
      <c r="AP1164" s="27" t="s">
        <v>2842</v>
      </c>
      <c r="AQ1164" s="27">
        <v>66.357121951219526</v>
      </c>
      <c r="AR1164" s="27">
        <v>31.7</v>
      </c>
      <c r="AS1164" s="29">
        <v>99.345010000000002</v>
      </c>
      <c r="AT1164" s="270">
        <v>39</v>
      </c>
      <c r="AU1164" s="464">
        <v>50.953024059451757</v>
      </c>
      <c r="AV1164" s="29">
        <v>0.238763706301584</v>
      </c>
      <c r="AW1164" s="29">
        <v>0.57387371965939205</v>
      </c>
      <c r="AX1164" s="29">
        <v>-0.51769434986029705</v>
      </c>
      <c r="AY1164" s="29">
        <v>-0.333893375310926</v>
      </c>
      <c r="AZ1164" s="60">
        <v>-0.66609296947146002</v>
      </c>
    </row>
    <row r="1165" spans="1:52" s="29" customFormat="1" ht="15" customHeight="1">
      <c r="A1165" s="59" t="s">
        <v>363</v>
      </c>
      <c r="B1165" s="27">
        <v>2008</v>
      </c>
      <c r="C1165" s="27" t="s">
        <v>357</v>
      </c>
      <c r="D1165" s="27" t="s">
        <v>238</v>
      </c>
      <c r="E1165" s="27" t="s">
        <v>19</v>
      </c>
      <c r="F1165" s="27" t="s">
        <v>1654</v>
      </c>
      <c r="G1165" s="43">
        <f>90*0.90718474</f>
        <v>81.646626600000005</v>
      </c>
      <c r="H1165" s="43">
        <f>90*0.90718474</f>
        <v>81.646626600000005</v>
      </c>
      <c r="I1165" s="43"/>
      <c r="J1165" s="43"/>
      <c r="K1165" s="27" t="s">
        <v>567</v>
      </c>
      <c r="L1165" s="44">
        <f>18510.0910833333</f>
        <v>18510.0910833333</v>
      </c>
      <c r="M1165" s="27" t="s">
        <v>568</v>
      </c>
      <c r="N1165" s="27" t="s">
        <v>1679</v>
      </c>
      <c r="O1165" s="18">
        <f>G1165*L1165</f>
        <v>1511286.4950129036</v>
      </c>
      <c r="P1165" s="214"/>
      <c r="Q1165" s="214"/>
      <c r="R1165" s="27"/>
      <c r="S1165" s="27"/>
      <c r="T1165" s="27"/>
      <c r="U1165" s="27"/>
      <c r="V1165" s="27"/>
      <c r="W1165" s="30"/>
      <c r="X1165" s="27">
        <v>1</v>
      </c>
      <c r="Y1165" s="27" t="s">
        <v>1680</v>
      </c>
      <c r="Z1165" s="27">
        <v>1</v>
      </c>
      <c r="AA1165" s="27">
        <v>15</v>
      </c>
      <c r="AB1165" s="27"/>
      <c r="AC1165" s="273">
        <v>587942636</v>
      </c>
      <c r="AD1165" s="27">
        <v>5623236707.5247135</v>
      </c>
      <c r="AE1165" s="228">
        <v>0.10455591087126863</v>
      </c>
      <c r="AF1165" s="27">
        <v>1702828539.7726336</v>
      </c>
      <c r="AG1165" s="226">
        <v>0.34527412611871289</v>
      </c>
      <c r="AH1165" s="226" t="s">
        <v>2842</v>
      </c>
      <c r="AI1165" s="27">
        <v>246660000</v>
      </c>
      <c r="AJ1165" s="226">
        <v>2.3836156490715967</v>
      </c>
      <c r="AK1165" s="27">
        <v>221131755.01910329</v>
      </c>
      <c r="AL1165" s="226">
        <v>2.6587888109928328</v>
      </c>
      <c r="AM1165" s="27" t="s">
        <v>2842</v>
      </c>
      <c r="AN1165" s="271" t="s">
        <v>2842</v>
      </c>
      <c r="AO1165" s="27">
        <v>2632834</v>
      </c>
      <c r="AP1165" s="27" t="s">
        <v>2842</v>
      </c>
      <c r="AQ1165" s="27">
        <v>66.357121951219526</v>
      </c>
      <c r="AR1165" s="27">
        <v>31.7</v>
      </c>
      <c r="AS1165" s="29">
        <v>99.345010000000002</v>
      </c>
      <c r="AT1165" s="270">
        <v>39</v>
      </c>
      <c r="AU1165" s="464">
        <v>50.953024059451757</v>
      </c>
      <c r="AV1165" s="29">
        <v>0.238763706301584</v>
      </c>
      <c r="AW1165" s="29">
        <v>0.57387371965939205</v>
      </c>
      <c r="AX1165" s="29">
        <v>-0.51769434986029705</v>
      </c>
      <c r="AY1165" s="29">
        <v>-0.333893375310926</v>
      </c>
      <c r="AZ1165" s="60">
        <v>-0.66609296947146002</v>
      </c>
    </row>
    <row r="1166" spans="1:52" s="29" customFormat="1" ht="15" customHeight="1">
      <c r="A1166" s="59" t="s">
        <v>363</v>
      </c>
      <c r="B1166" s="27">
        <v>2008</v>
      </c>
      <c r="C1166" s="27" t="s">
        <v>357</v>
      </c>
      <c r="D1166" s="27" t="s">
        <v>238</v>
      </c>
      <c r="E1166" s="27" t="s">
        <v>19</v>
      </c>
      <c r="F1166" s="27" t="s">
        <v>1637</v>
      </c>
      <c r="G1166" s="43">
        <v>142</v>
      </c>
      <c r="H1166" s="43"/>
      <c r="I1166" s="43"/>
      <c r="J1166" s="43"/>
      <c r="K1166" s="27" t="s">
        <v>567</v>
      </c>
      <c r="L1166" s="28">
        <v>174</v>
      </c>
      <c r="M1166" s="27" t="s">
        <v>568</v>
      </c>
      <c r="N1166" s="27" t="s">
        <v>1681</v>
      </c>
      <c r="O1166" s="18">
        <f>G1166*L1166</f>
        <v>24708</v>
      </c>
      <c r="P1166" s="214"/>
      <c r="Q1166" s="214"/>
      <c r="R1166" s="27"/>
      <c r="S1166" s="27"/>
      <c r="T1166" s="27"/>
      <c r="U1166" s="27"/>
      <c r="V1166" s="27"/>
      <c r="W1166" s="30"/>
      <c r="X1166" s="27"/>
      <c r="Y1166" s="27"/>
      <c r="Z1166" s="27"/>
      <c r="AA1166" s="27">
        <v>15</v>
      </c>
      <c r="AB1166" s="27"/>
      <c r="AC1166" s="273">
        <v>587942636</v>
      </c>
      <c r="AD1166" s="27">
        <v>5623236707.5247135</v>
      </c>
      <c r="AE1166" s="228">
        <v>0.10455591087126863</v>
      </c>
      <c r="AF1166" s="27">
        <v>1702828539.7726336</v>
      </c>
      <c r="AG1166" s="226">
        <v>0.34527412611871289</v>
      </c>
      <c r="AH1166" s="226" t="s">
        <v>2842</v>
      </c>
      <c r="AI1166" s="27">
        <v>246660000</v>
      </c>
      <c r="AJ1166" s="226">
        <v>2.3836156490715967</v>
      </c>
      <c r="AK1166" s="27">
        <v>221131755.01910329</v>
      </c>
      <c r="AL1166" s="226">
        <v>2.6587888109928328</v>
      </c>
      <c r="AM1166" s="27" t="s">
        <v>2842</v>
      </c>
      <c r="AN1166" s="271" t="s">
        <v>2842</v>
      </c>
      <c r="AO1166" s="27">
        <v>2632834</v>
      </c>
      <c r="AP1166" s="27" t="s">
        <v>2842</v>
      </c>
      <c r="AQ1166" s="27">
        <v>66.357121951219526</v>
      </c>
      <c r="AR1166" s="27">
        <v>31.7</v>
      </c>
      <c r="AS1166" s="29">
        <v>99.345010000000002</v>
      </c>
      <c r="AT1166" s="270">
        <v>39</v>
      </c>
      <c r="AU1166" s="464">
        <v>50.953024059451757</v>
      </c>
      <c r="AV1166" s="29">
        <v>0.238763706301584</v>
      </c>
      <c r="AW1166" s="29">
        <v>0.57387371965939205</v>
      </c>
      <c r="AX1166" s="29">
        <v>-0.51769434986029705</v>
      </c>
      <c r="AY1166" s="29">
        <v>-0.333893375310926</v>
      </c>
      <c r="AZ1166" s="60">
        <v>-0.66609296947146002</v>
      </c>
    </row>
    <row r="1167" spans="1:52" s="287" customFormat="1" ht="15" customHeight="1">
      <c r="A1167" s="344" t="s">
        <v>363</v>
      </c>
      <c r="B1167" s="284">
        <v>2008</v>
      </c>
      <c r="C1167" s="284" t="s">
        <v>357</v>
      </c>
      <c r="D1167" s="284" t="s">
        <v>238</v>
      </c>
      <c r="E1167" s="284" t="s">
        <v>19</v>
      </c>
      <c r="F1167" s="284" t="s">
        <v>1639</v>
      </c>
      <c r="G1167" s="303">
        <f>143600*0.90718474</f>
        <v>130271.72866400001</v>
      </c>
      <c r="H1167" s="303">
        <f>143600*0.90718474</f>
        <v>130271.72866400001</v>
      </c>
      <c r="I1167" s="303"/>
      <c r="J1167" s="303"/>
      <c r="K1167" s="284" t="s">
        <v>567</v>
      </c>
      <c r="L1167" s="367">
        <f>1874.70866666667*0.5071</f>
        <v>950.66476486666841</v>
      </c>
      <c r="M1167" s="284" t="s">
        <v>568</v>
      </c>
      <c r="N1167" s="284" t="s">
        <v>1682</v>
      </c>
      <c r="O1167" s="305">
        <f>G1167*L1167</f>
        <v>123844742.299136</v>
      </c>
      <c r="P1167" s="346"/>
      <c r="Q1167" s="346"/>
      <c r="R1167" s="284"/>
      <c r="S1167" s="284"/>
      <c r="T1167" s="284"/>
      <c r="U1167" s="284"/>
      <c r="V1167" s="284"/>
      <c r="W1167" s="307"/>
      <c r="X1167" s="284">
        <v>3</v>
      </c>
      <c r="Y1167" s="284" t="s">
        <v>1656</v>
      </c>
      <c r="Z1167" s="284">
        <v>3</v>
      </c>
      <c r="AA1167" s="284">
        <v>15</v>
      </c>
      <c r="AB1167" s="284"/>
      <c r="AC1167" s="308">
        <v>587942636</v>
      </c>
      <c r="AD1167" s="284">
        <v>5623236707.5247135</v>
      </c>
      <c r="AE1167" s="309">
        <v>0.10455591087126863</v>
      </c>
      <c r="AF1167" s="284">
        <v>1702828539.7726336</v>
      </c>
      <c r="AG1167" s="310">
        <v>0.34527412611871289</v>
      </c>
      <c r="AH1167" s="310" t="s">
        <v>2842</v>
      </c>
      <c r="AI1167" s="284">
        <v>246660000</v>
      </c>
      <c r="AJ1167" s="310">
        <v>2.3836156490715967</v>
      </c>
      <c r="AK1167" s="284">
        <v>221131755.01910329</v>
      </c>
      <c r="AL1167" s="310">
        <v>2.6587888109928328</v>
      </c>
      <c r="AM1167" s="284" t="s">
        <v>2842</v>
      </c>
      <c r="AN1167" s="311" t="s">
        <v>2842</v>
      </c>
      <c r="AO1167" s="284">
        <v>2632834</v>
      </c>
      <c r="AP1167" s="284" t="s">
        <v>2842</v>
      </c>
      <c r="AQ1167" s="284">
        <v>66.357121951219526</v>
      </c>
      <c r="AR1167" s="284">
        <v>31.7</v>
      </c>
      <c r="AS1167" s="287">
        <v>99.345010000000002</v>
      </c>
      <c r="AT1167" s="312">
        <v>39</v>
      </c>
      <c r="AU1167" s="465">
        <v>50.953024059451757</v>
      </c>
      <c r="AV1167" s="287">
        <v>0.238763706301584</v>
      </c>
      <c r="AW1167" s="287">
        <v>0.57387371965939205</v>
      </c>
      <c r="AX1167" s="287">
        <v>-0.51769434986029705</v>
      </c>
      <c r="AY1167" s="287">
        <v>-0.333893375310926</v>
      </c>
      <c r="AZ1167" s="313">
        <v>-0.66609296947146002</v>
      </c>
    </row>
    <row r="1168" spans="1:52" ht="15" customHeight="1">
      <c r="A1168" s="332" t="s">
        <v>366</v>
      </c>
      <c r="B1168" s="27">
        <v>2009</v>
      </c>
      <c r="C1168" s="27" t="s">
        <v>357</v>
      </c>
      <c r="D1168" s="27" t="s">
        <v>238</v>
      </c>
      <c r="E1168" s="27" t="s">
        <v>36</v>
      </c>
      <c r="F1168" s="27" t="s">
        <v>659</v>
      </c>
      <c r="G1168" s="43"/>
      <c r="H1168" s="43"/>
      <c r="I1168" s="43"/>
      <c r="J1168" s="43"/>
      <c r="K1168" s="27"/>
      <c r="L1168" s="28"/>
      <c r="M1168" s="27"/>
      <c r="N1168" s="27"/>
      <c r="O1168" s="18">
        <f>O1169+O1170</f>
        <v>1562865033.3550594</v>
      </c>
      <c r="P1168" s="214">
        <v>512525992.42710215</v>
      </c>
      <c r="Q1168" s="214">
        <v>512566409.30000001</v>
      </c>
      <c r="R1168" s="27" t="s">
        <v>3693</v>
      </c>
      <c r="S1168" s="27" t="s">
        <v>871</v>
      </c>
      <c r="T1168" s="27" t="s">
        <v>871</v>
      </c>
      <c r="U1168" s="27" t="s">
        <v>1085</v>
      </c>
      <c r="V1168" s="27" t="s">
        <v>1618</v>
      </c>
      <c r="W1168" s="30">
        <v>1439</v>
      </c>
      <c r="X1168" s="27">
        <v>107</v>
      </c>
      <c r="Y1168" s="27" t="s">
        <v>1683</v>
      </c>
      <c r="Z1168" s="27">
        <v>101</v>
      </c>
      <c r="AA1168" s="78">
        <v>7</v>
      </c>
      <c r="AB1168" s="27" t="s">
        <v>1684</v>
      </c>
      <c r="AC1168" s="273">
        <v>512525992.42710215</v>
      </c>
      <c r="AD1168" s="27">
        <v>4583834427.3647375</v>
      </c>
      <c r="AE1168" s="228">
        <v>0.11181162857179271</v>
      </c>
      <c r="AF1168" s="27">
        <v>1384409673.7526982</v>
      </c>
      <c r="AG1168" s="226">
        <v>0.37021266330637936</v>
      </c>
      <c r="AH1168" s="226" t="s">
        <v>2842</v>
      </c>
      <c r="AI1168" s="27">
        <v>371220000</v>
      </c>
      <c r="AJ1168" s="226">
        <v>1.3806529616591297</v>
      </c>
      <c r="AK1168" s="27">
        <v>178420573.09684139</v>
      </c>
      <c r="AL1168" s="226">
        <v>2.8725722798172959</v>
      </c>
      <c r="AM1168" s="27">
        <v>235831405.5362747</v>
      </c>
      <c r="AN1168" s="271">
        <v>2.1732728567750801</v>
      </c>
      <c r="AO1168" s="27">
        <v>2672223</v>
      </c>
      <c r="AP1168" s="27" t="s">
        <v>2842</v>
      </c>
      <c r="AQ1168" s="27">
        <v>66.641219512195136</v>
      </c>
      <c r="AR1168" s="27">
        <v>30.4</v>
      </c>
      <c r="AS1168" s="29">
        <v>98.448030000000003</v>
      </c>
      <c r="AT1168" s="270">
        <v>39</v>
      </c>
      <c r="AU1168" s="464">
        <v>50.953024059451757</v>
      </c>
      <c r="AV1168" s="29">
        <v>9.1417087418387499E-2</v>
      </c>
      <c r="AW1168" s="29">
        <v>0.601512514565814</v>
      </c>
      <c r="AX1168" s="29">
        <v>-0.65829754879069402</v>
      </c>
      <c r="AY1168" s="29">
        <v>-0.27675532483055199</v>
      </c>
      <c r="AZ1168" s="60">
        <v>-0.75530920524568601</v>
      </c>
    </row>
    <row r="1169" spans="1:52" ht="15" customHeight="1">
      <c r="A1169" s="59" t="s">
        <v>366</v>
      </c>
      <c r="B1169" s="27">
        <v>2009</v>
      </c>
      <c r="C1169" s="27" t="s">
        <v>357</v>
      </c>
      <c r="D1169" s="27" t="s">
        <v>238</v>
      </c>
      <c r="E1169" s="27" t="s">
        <v>98</v>
      </c>
      <c r="F1169" s="27" t="s">
        <v>98</v>
      </c>
      <c r="G1169" s="43">
        <v>1870000</v>
      </c>
      <c r="H1169" s="43">
        <v>1870000</v>
      </c>
      <c r="I1169" s="43"/>
      <c r="J1169" s="43"/>
      <c r="K1169" s="27" t="s">
        <v>603</v>
      </c>
      <c r="L1169" s="28">
        <v>59.64</v>
      </c>
      <c r="M1169" s="27" t="s">
        <v>626</v>
      </c>
      <c r="N1169" s="27" t="s">
        <v>1685</v>
      </c>
      <c r="O1169" s="18">
        <f>G1169*L1169</f>
        <v>111526800</v>
      </c>
      <c r="P1169" s="214">
        <v>19306401</v>
      </c>
      <c r="Q1169" s="214">
        <v>19305935.371785965</v>
      </c>
      <c r="R1169" s="18"/>
      <c r="S1169" s="27"/>
      <c r="T1169" s="27"/>
      <c r="U1169" s="29"/>
      <c r="V1169" s="18"/>
      <c r="W1169" s="72"/>
      <c r="X1169" s="27">
        <v>8</v>
      </c>
      <c r="Y1169" s="27" t="s">
        <v>1686</v>
      </c>
      <c r="Z1169" s="27">
        <v>2</v>
      </c>
      <c r="AA1169" s="27">
        <v>8</v>
      </c>
      <c r="AB1169" s="27"/>
      <c r="AC1169" s="273">
        <v>512525992.42710215</v>
      </c>
      <c r="AD1169" s="27">
        <v>4583834427.3647375</v>
      </c>
      <c r="AE1169" s="228">
        <v>0.11181162857179271</v>
      </c>
      <c r="AF1169" s="27">
        <v>1384409673.7526982</v>
      </c>
      <c r="AG1169" s="226">
        <v>0.37021266330637936</v>
      </c>
      <c r="AH1169" s="226" t="s">
        <v>2842</v>
      </c>
      <c r="AI1169" s="27">
        <v>371220000</v>
      </c>
      <c r="AJ1169" s="226">
        <v>1.3806529616591297</v>
      </c>
      <c r="AK1169" s="27">
        <v>178420573.09684139</v>
      </c>
      <c r="AL1169" s="226">
        <v>2.8725722798172959</v>
      </c>
      <c r="AM1169" s="27">
        <v>235831405.5362747</v>
      </c>
      <c r="AN1169" s="271">
        <v>2.1732728567750801</v>
      </c>
      <c r="AO1169" s="27">
        <v>2672223</v>
      </c>
      <c r="AP1169" s="27" t="s">
        <v>2842</v>
      </c>
      <c r="AQ1169" s="27">
        <v>66.641219512195136</v>
      </c>
      <c r="AR1169" s="27">
        <v>30.4</v>
      </c>
      <c r="AS1169" s="29">
        <v>98.448030000000003</v>
      </c>
      <c r="AT1169" s="270">
        <v>39</v>
      </c>
      <c r="AU1169" s="464">
        <v>50.953024059451757</v>
      </c>
      <c r="AV1169" s="29">
        <v>9.1417087418387499E-2</v>
      </c>
      <c r="AW1169" s="29">
        <v>0.601512514565814</v>
      </c>
      <c r="AX1169" s="29">
        <v>-0.65829754879069402</v>
      </c>
      <c r="AY1169" s="29">
        <v>-0.27675532483055199</v>
      </c>
      <c r="AZ1169" s="60">
        <v>-0.75530920524568601</v>
      </c>
    </row>
    <row r="1170" spans="1:52" ht="15" customHeight="1">
      <c r="A1170" s="59" t="s">
        <v>366</v>
      </c>
      <c r="B1170" s="27">
        <v>2009</v>
      </c>
      <c r="C1170" s="27" t="s">
        <v>357</v>
      </c>
      <c r="D1170" s="27" t="s">
        <v>238</v>
      </c>
      <c r="E1170" s="27" t="s">
        <v>19</v>
      </c>
      <c r="F1170" s="27" t="s">
        <v>559</v>
      </c>
      <c r="G1170" s="43"/>
      <c r="H1170" s="43"/>
      <c r="I1170" s="43"/>
      <c r="J1170" s="43"/>
      <c r="K1170" s="27"/>
      <c r="L1170" s="28"/>
      <c r="M1170" s="27"/>
      <c r="N1170" s="27"/>
      <c r="O1170" s="18">
        <f>SUM(O1171:O1181)</f>
        <v>1451338233.3550594</v>
      </c>
      <c r="P1170" s="214">
        <v>493219591.42710215</v>
      </c>
      <c r="Q1170" s="214">
        <v>493260473.92821407</v>
      </c>
      <c r="R1170" s="27"/>
      <c r="S1170" s="27"/>
      <c r="T1170" s="27"/>
      <c r="U1170" s="27"/>
      <c r="V1170" s="27"/>
      <c r="W1170" s="30"/>
      <c r="X1170" s="27">
        <v>99</v>
      </c>
      <c r="Y1170" s="27" t="s">
        <v>1687</v>
      </c>
      <c r="Z1170" s="27">
        <v>99</v>
      </c>
      <c r="AA1170" s="27">
        <v>7</v>
      </c>
      <c r="AB1170" s="27"/>
      <c r="AC1170" s="273">
        <v>512525992.42710215</v>
      </c>
      <c r="AD1170" s="27">
        <v>4583834427.3647375</v>
      </c>
      <c r="AE1170" s="228">
        <v>0.11181162857179271</v>
      </c>
      <c r="AF1170" s="27">
        <v>1384409673.7526982</v>
      </c>
      <c r="AG1170" s="226">
        <v>0.37021266330637936</v>
      </c>
      <c r="AH1170" s="226" t="s">
        <v>2842</v>
      </c>
      <c r="AI1170" s="27">
        <v>371220000</v>
      </c>
      <c r="AJ1170" s="226">
        <v>1.3806529616591297</v>
      </c>
      <c r="AK1170" s="27">
        <v>178420573.09684139</v>
      </c>
      <c r="AL1170" s="226">
        <v>2.8725722798172959</v>
      </c>
      <c r="AM1170" s="27">
        <v>235831405.5362747</v>
      </c>
      <c r="AN1170" s="271">
        <v>2.1732728567750801</v>
      </c>
      <c r="AO1170" s="27">
        <v>2672223</v>
      </c>
      <c r="AP1170" s="27" t="s">
        <v>2842</v>
      </c>
      <c r="AQ1170" s="27">
        <v>66.641219512195136</v>
      </c>
      <c r="AR1170" s="27">
        <v>30.4</v>
      </c>
      <c r="AS1170" s="29">
        <v>98.448030000000003</v>
      </c>
      <c r="AT1170" s="270">
        <v>39</v>
      </c>
      <c r="AU1170" s="464">
        <v>50.953024059451757</v>
      </c>
      <c r="AV1170" s="29">
        <v>9.1417087418387499E-2</v>
      </c>
      <c r="AW1170" s="29">
        <v>0.601512514565814</v>
      </c>
      <c r="AX1170" s="29">
        <v>-0.65829754879069402</v>
      </c>
      <c r="AY1170" s="29">
        <v>-0.27675532483055199</v>
      </c>
      <c r="AZ1170" s="60">
        <v>-0.75530920524568601</v>
      </c>
    </row>
    <row r="1171" spans="1:52" ht="15" customHeight="1">
      <c r="A1171" s="59" t="s">
        <v>366</v>
      </c>
      <c r="B1171" s="27">
        <v>2009</v>
      </c>
      <c r="C1171" s="27" t="s">
        <v>357</v>
      </c>
      <c r="D1171" s="27" t="s">
        <v>238</v>
      </c>
      <c r="E1171" s="27" t="s">
        <v>19</v>
      </c>
      <c r="F1171" s="27" t="s">
        <v>573</v>
      </c>
      <c r="G1171" s="43">
        <f>14442100*0.90718474</f>
        <v>13101652.733554</v>
      </c>
      <c r="H1171" s="43">
        <f>14442100*0.90718474</f>
        <v>13101652.733554</v>
      </c>
      <c r="I1171" s="43"/>
      <c r="J1171" s="43"/>
      <c r="K1171" s="27" t="s">
        <v>567</v>
      </c>
      <c r="L1171" s="28">
        <v>43.06</v>
      </c>
      <c r="M1171" s="27" t="s">
        <v>568</v>
      </c>
      <c r="N1171" s="27" t="s">
        <v>1685</v>
      </c>
      <c r="O1171" s="18">
        <f t="shared" ref="O1171:O1179" si="19">G1171*L1171</f>
        <v>564157166.70683527</v>
      </c>
      <c r="P1171" s="214">
        <v>57260310.6323836</v>
      </c>
      <c r="Q1171" s="214">
        <v>57270157.748436414</v>
      </c>
      <c r="R1171" s="79"/>
      <c r="S1171" s="27"/>
      <c r="T1171" s="27"/>
      <c r="U1171" s="18"/>
      <c r="V1171" s="79"/>
      <c r="W1171" s="30"/>
      <c r="X1171" s="27">
        <v>16</v>
      </c>
      <c r="Y1171" s="27" t="s">
        <v>1688</v>
      </c>
      <c r="Z1171" s="27">
        <v>16</v>
      </c>
      <c r="AA1171" s="27" t="s">
        <v>1689</v>
      </c>
      <c r="AB1171" s="27"/>
      <c r="AC1171" s="273">
        <v>512525992.42710215</v>
      </c>
      <c r="AD1171" s="27">
        <v>4583834427.3647375</v>
      </c>
      <c r="AE1171" s="228">
        <v>0.11181162857179271</v>
      </c>
      <c r="AF1171" s="27">
        <v>1384409673.7526982</v>
      </c>
      <c r="AG1171" s="226">
        <v>0.37021266330637936</v>
      </c>
      <c r="AH1171" s="226" t="s">
        <v>2842</v>
      </c>
      <c r="AI1171" s="27">
        <v>371220000</v>
      </c>
      <c r="AJ1171" s="226">
        <v>1.3806529616591297</v>
      </c>
      <c r="AK1171" s="27">
        <v>178420573.09684139</v>
      </c>
      <c r="AL1171" s="226">
        <v>2.8725722798172959</v>
      </c>
      <c r="AM1171" s="27">
        <v>235831405.5362747</v>
      </c>
      <c r="AN1171" s="271">
        <v>2.1732728567750801</v>
      </c>
      <c r="AO1171" s="27">
        <v>2672223</v>
      </c>
      <c r="AP1171" s="27" t="s">
        <v>2842</v>
      </c>
      <c r="AQ1171" s="27">
        <v>66.641219512195136</v>
      </c>
      <c r="AR1171" s="27">
        <v>30.4</v>
      </c>
      <c r="AS1171" s="29">
        <v>98.448030000000003</v>
      </c>
      <c r="AT1171" s="270">
        <v>39</v>
      </c>
      <c r="AU1171" s="464">
        <v>50.953024059451757</v>
      </c>
      <c r="AV1171" s="29">
        <v>9.1417087418387499E-2</v>
      </c>
      <c r="AW1171" s="29">
        <v>0.601512514565814</v>
      </c>
      <c r="AX1171" s="29">
        <v>-0.65829754879069402</v>
      </c>
      <c r="AY1171" s="29">
        <v>-0.27675532483055199</v>
      </c>
      <c r="AZ1171" s="60">
        <v>-0.75530920524568601</v>
      </c>
    </row>
    <row r="1172" spans="1:52" ht="15" customHeight="1">
      <c r="A1172" s="59" t="s">
        <v>366</v>
      </c>
      <c r="B1172" s="27">
        <v>2009</v>
      </c>
      <c r="C1172" s="27" t="s">
        <v>357</v>
      </c>
      <c r="D1172" s="27" t="s">
        <v>238</v>
      </c>
      <c r="E1172" s="27" t="s">
        <v>19</v>
      </c>
      <c r="F1172" s="27" t="s">
        <v>1690</v>
      </c>
      <c r="G1172" s="43">
        <f>370900*0.90718474</f>
        <v>336474.82006600004</v>
      </c>
      <c r="H1172" s="43">
        <f>370900*0.90718474</f>
        <v>336474.82006600004</v>
      </c>
      <c r="I1172" s="43"/>
      <c r="J1172" s="43"/>
      <c r="K1172" s="27" t="s">
        <v>567</v>
      </c>
      <c r="L1172" s="28">
        <v>855.07</v>
      </c>
      <c r="M1172" s="27" t="s">
        <v>568</v>
      </c>
      <c r="N1172" s="27" t="s">
        <v>1685</v>
      </c>
      <c r="O1172" s="18">
        <f t="shared" si="19"/>
        <v>287709524.39383465</v>
      </c>
      <c r="P1172" s="214"/>
      <c r="Q1172" s="214"/>
      <c r="R1172" s="79"/>
      <c r="S1172" s="27"/>
      <c r="T1172" s="27"/>
      <c r="U1172" s="18"/>
      <c r="V1172" s="18"/>
      <c r="W1172" s="30"/>
      <c r="X1172" s="27">
        <v>4</v>
      </c>
      <c r="Y1172" s="27" t="s">
        <v>1691</v>
      </c>
      <c r="Z1172" s="27">
        <v>4</v>
      </c>
      <c r="AA1172" s="27"/>
      <c r="AB1172" s="27"/>
      <c r="AC1172" s="273">
        <v>512525992.42710215</v>
      </c>
      <c r="AD1172" s="27">
        <v>4583834427.3647375</v>
      </c>
      <c r="AE1172" s="228">
        <v>0.11181162857179271</v>
      </c>
      <c r="AF1172" s="27">
        <v>1384409673.7526982</v>
      </c>
      <c r="AG1172" s="226">
        <v>0.37021266330637936</v>
      </c>
      <c r="AH1172" s="226" t="s">
        <v>2842</v>
      </c>
      <c r="AI1172" s="27">
        <v>371220000</v>
      </c>
      <c r="AJ1172" s="226">
        <v>1.3806529616591297</v>
      </c>
      <c r="AK1172" s="27">
        <v>178420573.09684139</v>
      </c>
      <c r="AL1172" s="226">
        <v>2.8725722798172959</v>
      </c>
      <c r="AM1172" s="27">
        <v>235831405.5362747</v>
      </c>
      <c r="AN1172" s="271">
        <v>2.1732728567750801</v>
      </c>
      <c r="AO1172" s="27">
        <v>2672223</v>
      </c>
      <c r="AP1172" s="27" t="s">
        <v>2842</v>
      </c>
      <c r="AQ1172" s="27">
        <v>66.641219512195136</v>
      </c>
      <c r="AR1172" s="27">
        <v>30.4</v>
      </c>
      <c r="AS1172" s="29">
        <v>98.448030000000003</v>
      </c>
      <c r="AT1172" s="270">
        <v>39</v>
      </c>
      <c r="AU1172" s="464">
        <v>50.953024059451757</v>
      </c>
      <c r="AV1172" s="29">
        <v>9.1417087418387499E-2</v>
      </c>
      <c r="AW1172" s="29">
        <v>0.601512514565814</v>
      </c>
      <c r="AX1172" s="29">
        <v>-0.65829754879069402</v>
      </c>
      <c r="AY1172" s="29">
        <v>-0.27675532483055199</v>
      </c>
      <c r="AZ1172" s="60">
        <v>-0.75530920524568601</v>
      </c>
    </row>
    <row r="1173" spans="1:52" ht="15" customHeight="1">
      <c r="A1173" s="59" t="s">
        <v>366</v>
      </c>
      <c r="B1173" s="27">
        <v>2009</v>
      </c>
      <c r="C1173" s="27" t="s">
        <v>357</v>
      </c>
      <c r="D1173" s="27" t="s">
        <v>238</v>
      </c>
      <c r="E1173" s="27" t="s">
        <v>19</v>
      </c>
      <c r="F1173" s="27" t="s">
        <v>1629</v>
      </c>
      <c r="G1173" s="43">
        <f>743600*0.90718474</f>
        <v>674582.57266399998</v>
      </c>
      <c r="H1173" s="43">
        <f>743600*0.90718474</f>
        <v>674582.57266399998</v>
      </c>
      <c r="I1173" s="43"/>
      <c r="J1173" s="43"/>
      <c r="K1173" s="27" t="s">
        <v>567</v>
      </c>
      <c r="L1173" s="28">
        <v>153.58000000000001</v>
      </c>
      <c r="M1173" s="27" t="s">
        <v>568</v>
      </c>
      <c r="N1173" s="27" t="s">
        <v>1685</v>
      </c>
      <c r="O1173" s="18">
        <f t="shared" si="19"/>
        <v>103602391.50973712</v>
      </c>
      <c r="P1173" s="214">
        <v>3284035.0261725346</v>
      </c>
      <c r="Q1173" s="214"/>
      <c r="R1173" s="79"/>
      <c r="S1173" s="27"/>
      <c r="T1173" s="27"/>
      <c r="U1173" s="18"/>
      <c r="V1173" s="18"/>
      <c r="W1173" s="30"/>
      <c r="X1173" s="27">
        <v>7</v>
      </c>
      <c r="Y1173" s="27" t="s">
        <v>1692</v>
      </c>
      <c r="Z1173" s="27">
        <v>7</v>
      </c>
      <c r="AA1173" s="27">
        <v>22</v>
      </c>
      <c r="AB1173" s="27"/>
      <c r="AC1173" s="273">
        <v>512525992.42710215</v>
      </c>
      <c r="AD1173" s="27">
        <v>4583834427.3647375</v>
      </c>
      <c r="AE1173" s="228">
        <v>0.11181162857179271</v>
      </c>
      <c r="AF1173" s="27">
        <v>1384409673.7526982</v>
      </c>
      <c r="AG1173" s="226">
        <v>0.37021266330637936</v>
      </c>
      <c r="AH1173" s="226" t="s">
        <v>2842</v>
      </c>
      <c r="AI1173" s="27">
        <v>371220000</v>
      </c>
      <c r="AJ1173" s="226">
        <v>1.3806529616591297</v>
      </c>
      <c r="AK1173" s="27">
        <v>178420573.09684139</v>
      </c>
      <c r="AL1173" s="226">
        <v>2.8725722798172959</v>
      </c>
      <c r="AM1173" s="27">
        <v>235831405.5362747</v>
      </c>
      <c r="AN1173" s="271">
        <v>2.1732728567750801</v>
      </c>
      <c r="AO1173" s="27">
        <v>2672223</v>
      </c>
      <c r="AP1173" s="27" t="s">
        <v>2842</v>
      </c>
      <c r="AQ1173" s="27">
        <v>66.641219512195136</v>
      </c>
      <c r="AR1173" s="27">
        <v>30.4</v>
      </c>
      <c r="AS1173" s="29">
        <v>98.448030000000003</v>
      </c>
      <c r="AT1173" s="270">
        <v>39</v>
      </c>
      <c r="AU1173" s="464">
        <v>50.953024059451757</v>
      </c>
      <c r="AV1173" s="29">
        <v>9.1417087418387499E-2</v>
      </c>
      <c r="AW1173" s="29">
        <v>0.601512514565814</v>
      </c>
      <c r="AX1173" s="29">
        <v>-0.65829754879069402</v>
      </c>
      <c r="AY1173" s="29">
        <v>-0.27675532483055199</v>
      </c>
      <c r="AZ1173" s="60">
        <v>-0.75530920524568601</v>
      </c>
    </row>
    <row r="1174" spans="1:52" ht="15" customHeight="1">
      <c r="A1174" s="59" t="s">
        <v>366</v>
      </c>
      <c r="B1174" s="27">
        <v>2009</v>
      </c>
      <c r="C1174" s="27" t="s">
        <v>357</v>
      </c>
      <c r="D1174" s="27" t="s">
        <v>238</v>
      </c>
      <c r="E1174" s="27" t="s">
        <v>19</v>
      </c>
      <c r="F1174" s="27" t="s">
        <v>730</v>
      </c>
      <c r="G1174" s="43">
        <f>9803.3*32.150743126506</f>
        <v>315183.38009207626</v>
      </c>
      <c r="H1174" s="43">
        <f>9803.3*32.150743126506</f>
        <v>315183.38009207626</v>
      </c>
      <c r="I1174" s="43"/>
      <c r="J1174" s="43"/>
      <c r="K1174" s="27" t="s">
        <v>731</v>
      </c>
      <c r="L1174" s="28">
        <f>28043000/32150.7466</f>
        <v>872.2347990512917</v>
      </c>
      <c r="M1174" s="27" t="s">
        <v>732</v>
      </c>
      <c r="N1174" s="27" t="s">
        <v>1685</v>
      </c>
      <c r="O1174" s="18">
        <f t="shared" si="19"/>
        <v>274913912.19891906</v>
      </c>
      <c r="P1174" s="214">
        <v>49147893.47516752</v>
      </c>
      <c r="Q1174" s="214"/>
      <c r="R1174" s="79"/>
      <c r="S1174" s="27"/>
      <c r="T1174" s="27"/>
      <c r="U1174" s="18"/>
      <c r="V1174" s="18"/>
      <c r="W1174" s="30"/>
      <c r="X1174" s="27">
        <v>56</v>
      </c>
      <c r="Y1174" s="27" t="s">
        <v>1693</v>
      </c>
      <c r="Z1174" s="27">
        <v>56</v>
      </c>
      <c r="AA1174" s="27">
        <v>22</v>
      </c>
      <c r="AB1174" s="27"/>
      <c r="AC1174" s="273">
        <v>512525992.42710215</v>
      </c>
      <c r="AD1174" s="27">
        <v>4583834427.3647375</v>
      </c>
      <c r="AE1174" s="228">
        <v>0.11181162857179271</v>
      </c>
      <c r="AF1174" s="27">
        <v>1384409673.7526982</v>
      </c>
      <c r="AG1174" s="226">
        <v>0.37021266330637936</v>
      </c>
      <c r="AH1174" s="226" t="s">
        <v>2842</v>
      </c>
      <c r="AI1174" s="27">
        <v>371220000</v>
      </c>
      <c r="AJ1174" s="226">
        <v>1.3806529616591297</v>
      </c>
      <c r="AK1174" s="27">
        <v>178420573.09684139</v>
      </c>
      <c r="AL1174" s="226">
        <v>2.8725722798172959</v>
      </c>
      <c r="AM1174" s="27">
        <v>235831405.5362747</v>
      </c>
      <c r="AN1174" s="271">
        <v>2.1732728567750801</v>
      </c>
      <c r="AO1174" s="27">
        <v>2672223</v>
      </c>
      <c r="AP1174" s="27" t="s">
        <v>2842</v>
      </c>
      <c r="AQ1174" s="27">
        <v>66.641219512195136</v>
      </c>
      <c r="AR1174" s="27">
        <v>30.4</v>
      </c>
      <c r="AS1174" s="29">
        <v>98.448030000000003</v>
      </c>
      <c r="AT1174" s="270">
        <v>39</v>
      </c>
      <c r="AU1174" s="464">
        <v>50.953024059451757</v>
      </c>
      <c r="AV1174" s="29">
        <v>9.1417087418387499E-2</v>
      </c>
      <c r="AW1174" s="29">
        <v>0.601512514565814</v>
      </c>
      <c r="AX1174" s="29">
        <v>-0.65829754879069402</v>
      </c>
      <c r="AY1174" s="29">
        <v>-0.27675532483055199</v>
      </c>
      <c r="AZ1174" s="60">
        <v>-0.75530920524568601</v>
      </c>
    </row>
    <row r="1175" spans="1:52" ht="15" customHeight="1">
      <c r="A1175" s="59" t="s">
        <v>366</v>
      </c>
      <c r="B1175" s="27">
        <v>2009</v>
      </c>
      <c r="C1175" s="27" t="s">
        <v>357</v>
      </c>
      <c r="D1175" s="27" t="s">
        <v>238</v>
      </c>
      <c r="E1175" s="27" t="s">
        <v>19</v>
      </c>
      <c r="F1175" s="27" t="s">
        <v>1196</v>
      </c>
      <c r="G1175" s="43">
        <f>1379000*0.90718474</f>
        <v>1251007.7564600001</v>
      </c>
      <c r="H1175" s="43">
        <f>1379000*0.90718474</f>
        <v>1251007.7564600001</v>
      </c>
      <c r="I1175" s="43"/>
      <c r="J1175" s="43"/>
      <c r="K1175" s="27" t="s">
        <v>567</v>
      </c>
      <c r="L1175" s="28">
        <v>55.55</v>
      </c>
      <c r="M1175" s="27" t="s">
        <v>568</v>
      </c>
      <c r="N1175" s="27" t="s">
        <v>1685</v>
      </c>
      <c r="O1175" s="18">
        <f t="shared" si="19"/>
        <v>69493480.871353</v>
      </c>
      <c r="P1175" s="214">
        <v>10918826.963168867</v>
      </c>
      <c r="Q1175" s="214">
        <v>10270149.409312021</v>
      </c>
      <c r="R1175" s="79"/>
      <c r="S1175" s="27"/>
      <c r="T1175" s="27"/>
      <c r="U1175" s="18"/>
      <c r="V1175" s="79"/>
      <c r="W1175" s="30"/>
      <c r="X1175" s="27">
        <v>8</v>
      </c>
      <c r="Y1175" s="27" t="s">
        <v>1694</v>
      </c>
      <c r="Z1175" s="27">
        <v>8</v>
      </c>
      <c r="AA1175" s="27" t="s">
        <v>1689</v>
      </c>
      <c r="AB1175" s="27"/>
      <c r="AC1175" s="273">
        <v>512525992.42710215</v>
      </c>
      <c r="AD1175" s="27">
        <v>4583834427.3647375</v>
      </c>
      <c r="AE1175" s="228">
        <v>0.11181162857179271</v>
      </c>
      <c r="AF1175" s="27">
        <v>1384409673.7526982</v>
      </c>
      <c r="AG1175" s="226">
        <v>0.37021266330637936</v>
      </c>
      <c r="AH1175" s="226" t="s">
        <v>2842</v>
      </c>
      <c r="AI1175" s="27">
        <v>371220000</v>
      </c>
      <c r="AJ1175" s="226">
        <v>1.3806529616591297</v>
      </c>
      <c r="AK1175" s="27">
        <v>178420573.09684139</v>
      </c>
      <c r="AL1175" s="226">
        <v>2.8725722798172959</v>
      </c>
      <c r="AM1175" s="27">
        <v>235831405.5362747</v>
      </c>
      <c r="AN1175" s="271">
        <v>2.1732728567750801</v>
      </c>
      <c r="AO1175" s="27">
        <v>2672223</v>
      </c>
      <c r="AP1175" s="27" t="s">
        <v>2842</v>
      </c>
      <c r="AQ1175" s="27">
        <v>66.641219512195136</v>
      </c>
      <c r="AR1175" s="27">
        <v>30.4</v>
      </c>
      <c r="AS1175" s="29">
        <v>98.448030000000003</v>
      </c>
      <c r="AT1175" s="270">
        <v>39</v>
      </c>
      <c r="AU1175" s="464">
        <v>50.953024059451757</v>
      </c>
      <c r="AV1175" s="29">
        <v>9.1417087418387499E-2</v>
      </c>
      <c r="AW1175" s="29">
        <v>0.601512514565814</v>
      </c>
      <c r="AX1175" s="29">
        <v>-0.65829754879069402</v>
      </c>
      <c r="AY1175" s="29">
        <v>-0.27675532483055199</v>
      </c>
      <c r="AZ1175" s="60">
        <v>-0.75530920524568601</v>
      </c>
    </row>
    <row r="1176" spans="1:52" ht="15" customHeight="1">
      <c r="A1176" s="59" t="s">
        <v>366</v>
      </c>
      <c r="B1176" s="27">
        <v>2009</v>
      </c>
      <c r="C1176" s="27" t="s">
        <v>357</v>
      </c>
      <c r="D1176" s="27" t="s">
        <v>238</v>
      </c>
      <c r="E1176" s="27" t="s">
        <v>19</v>
      </c>
      <c r="F1176" s="27" t="s">
        <v>1379</v>
      </c>
      <c r="G1176" s="43">
        <f>5125*0.90718474</f>
        <v>4649.3217924999999</v>
      </c>
      <c r="H1176" s="43">
        <f>5125*0.90718474</f>
        <v>4649.3217924999999</v>
      </c>
      <c r="I1176" s="43"/>
      <c r="J1176" s="43"/>
      <c r="K1176" s="27" t="s">
        <v>567</v>
      </c>
      <c r="L1176" s="28">
        <v>7187</v>
      </c>
      <c r="M1176" s="27" t="s">
        <v>568</v>
      </c>
      <c r="N1176" s="27" t="s">
        <v>1685</v>
      </c>
      <c r="O1176" s="18">
        <f t="shared" si="19"/>
        <v>33414675.7226975</v>
      </c>
      <c r="P1176" s="214"/>
      <c r="Q1176" s="214"/>
      <c r="R1176" s="79"/>
      <c r="S1176" s="27"/>
      <c r="T1176" s="27"/>
      <c r="U1176" s="18"/>
      <c r="V1176" s="18"/>
      <c r="W1176" s="30"/>
      <c r="X1176" s="27">
        <v>4</v>
      </c>
      <c r="Y1176" s="27" t="s">
        <v>1691</v>
      </c>
      <c r="Z1176" s="27">
        <v>4</v>
      </c>
      <c r="AA1176" s="27"/>
      <c r="AB1176" s="27"/>
      <c r="AC1176" s="273">
        <v>512525992.42710215</v>
      </c>
      <c r="AD1176" s="27">
        <v>4583834427.3647375</v>
      </c>
      <c r="AE1176" s="228">
        <v>0.11181162857179271</v>
      </c>
      <c r="AF1176" s="27">
        <v>1384409673.7526982</v>
      </c>
      <c r="AG1176" s="226">
        <v>0.37021266330637936</v>
      </c>
      <c r="AH1176" s="226" t="s">
        <v>2842</v>
      </c>
      <c r="AI1176" s="27">
        <v>371220000</v>
      </c>
      <c r="AJ1176" s="226">
        <v>1.3806529616591297</v>
      </c>
      <c r="AK1176" s="27">
        <v>178420573.09684139</v>
      </c>
      <c r="AL1176" s="226">
        <v>2.8725722798172959</v>
      </c>
      <c r="AM1176" s="27">
        <v>235831405.5362747</v>
      </c>
      <c r="AN1176" s="271">
        <v>2.1732728567750801</v>
      </c>
      <c r="AO1176" s="27">
        <v>2672223</v>
      </c>
      <c r="AP1176" s="27" t="s">
        <v>2842</v>
      </c>
      <c r="AQ1176" s="27">
        <v>66.641219512195136</v>
      </c>
      <c r="AR1176" s="27">
        <v>30.4</v>
      </c>
      <c r="AS1176" s="29">
        <v>98.448030000000003</v>
      </c>
      <c r="AT1176" s="270">
        <v>39</v>
      </c>
      <c r="AU1176" s="464">
        <v>50.953024059451757</v>
      </c>
      <c r="AV1176" s="29">
        <v>9.1417087418387499E-2</v>
      </c>
      <c r="AW1176" s="29">
        <v>0.601512514565814</v>
      </c>
      <c r="AX1176" s="29">
        <v>-0.65829754879069402</v>
      </c>
      <c r="AY1176" s="29">
        <v>-0.27675532483055199</v>
      </c>
      <c r="AZ1176" s="60">
        <v>-0.75530920524568601</v>
      </c>
    </row>
    <row r="1177" spans="1:52" ht="15" customHeight="1">
      <c r="A1177" s="59" t="s">
        <v>366</v>
      </c>
      <c r="B1177" s="27">
        <v>2009</v>
      </c>
      <c r="C1177" s="27" t="s">
        <v>357</v>
      </c>
      <c r="D1177" s="27" t="s">
        <v>238</v>
      </c>
      <c r="E1177" s="27" t="s">
        <v>19</v>
      </c>
      <c r="F1177" s="27" t="s">
        <v>1058</v>
      </c>
      <c r="G1177" s="43">
        <v>1402</v>
      </c>
      <c r="H1177" s="43"/>
      <c r="I1177" s="43"/>
      <c r="J1177" s="43"/>
      <c r="K1177" s="27" t="s">
        <v>567</v>
      </c>
      <c r="L1177" s="28">
        <v>73.67</v>
      </c>
      <c r="M1177" s="27" t="s">
        <v>568</v>
      </c>
      <c r="N1177" s="27" t="s">
        <v>1144</v>
      </c>
      <c r="O1177" s="18">
        <f t="shared" si="19"/>
        <v>103285.34</v>
      </c>
      <c r="P1177" s="214"/>
      <c r="Q1177" s="214"/>
      <c r="R1177" s="18"/>
      <c r="S1177" s="27"/>
      <c r="T1177" s="27"/>
      <c r="U1177" s="18"/>
      <c r="V1177" s="18"/>
      <c r="W1177" s="30"/>
      <c r="X1177" s="27"/>
      <c r="Y1177" s="27"/>
      <c r="Z1177" s="27"/>
      <c r="AA1177" s="27"/>
      <c r="AB1177" s="27"/>
      <c r="AC1177" s="273">
        <v>512525992.42710215</v>
      </c>
      <c r="AD1177" s="27">
        <v>4583834427.3647375</v>
      </c>
      <c r="AE1177" s="228">
        <v>0.11181162857179271</v>
      </c>
      <c r="AF1177" s="27">
        <v>1384409673.7526982</v>
      </c>
      <c r="AG1177" s="226">
        <v>0.37021266330637936</v>
      </c>
      <c r="AH1177" s="226" t="s">
        <v>2842</v>
      </c>
      <c r="AI1177" s="27">
        <v>371220000</v>
      </c>
      <c r="AJ1177" s="226">
        <v>1.3806529616591297</v>
      </c>
      <c r="AK1177" s="27">
        <v>178420573.09684139</v>
      </c>
      <c r="AL1177" s="226">
        <v>2.8725722798172959</v>
      </c>
      <c r="AM1177" s="27">
        <v>235831405.5362747</v>
      </c>
      <c r="AN1177" s="271">
        <v>2.1732728567750801</v>
      </c>
      <c r="AO1177" s="27">
        <v>2672223</v>
      </c>
      <c r="AP1177" s="27" t="s">
        <v>2842</v>
      </c>
      <c r="AQ1177" s="27">
        <v>66.641219512195136</v>
      </c>
      <c r="AR1177" s="27">
        <v>30.4</v>
      </c>
      <c r="AS1177" s="29">
        <v>98.448030000000003</v>
      </c>
      <c r="AT1177" s="270">
        <v>39</v>
      </c>
      <c r="AU1177" s="464">
        <v>50.953024059451757</v>
      </c>
      <c r="AV1177" s="29">
        <v>9.1417087418387499E-2</v>
      </c>
      <c r="AW1177" s="29">
        <v>0.601512514565814</v>
      </c>
      <c r="AX1177" s="29">
        <v>-0.65829754879069402</v>
      </c>
      <c r="AY1177" s="29">
        <v>-0.27675532483055199</v>
      </c>
      <c r="AZ1177" s="60">
        <v>-0.75530920524568601</v>
      </c>
    </row>
    <row r="1178" spans="1:52" ht="15" customHeight="1">
      <c r="A1178" s="59" t="s">
        <v>366</v>
      </c>
      <c r="B1178" s="27">
        <v>2009</v>
      </c>
      <c r="C1178" s="27" t="s">
        <v>357</v>
      </c>
      <c r="D1178" s="27" t="s">
        <v>238</v>
      </c>
      <c r="E1178" s="27" t="s">
        <v>19</v>
      </c>
      <c r="F1178" s="27" t="s">
        <v>735</v>
      </c>
      <c r="G1178" s="43">
        <f>29321*32.150743126506</f>
        <v>942691.93921228242</v>
      </c>
      <c r="H1178" s="43"/>
      <c r="I1178" s="43"/>
      <c r="J1178" s="43"/>
      <c r="K1178" s="27" t="s">
        <v>731</v>
      </c>
      <c r="L1178" s="28">
        <f>14.64353333333/1</f>
        <v>14.64353333333</v>
      </c>
      <c r="M1178" s="27" t="s">
        <v>732</v>
      </c>
      <c r="N1178" s="27" t="s">
        <v>744</v>
      </c>
      <c r="O1178" s="18">
        <f t="shared" si="19"/>
        <v>13804340.834916556</v>
      </c>
      <c r="P1178" s="214"/>
      <c r="Q1178" s="214"/>
      <c r="R1178" s="27"/>
      <c r="S1178" s="27"/>
      <c r="T1178" s="27"/>
      <c r="U1178" s="27"/>
      <c r="V1178" s="27"/>
      <c r="W1178" s="30"/>
      <c r="X1178" s="27">
        <v>12</v>
      </c>
      <c r="Y1178" s="27" t="s">
        <v>1695</v>
      </c>
      <c r="Z1178" s="27">
        <v>12</v>
      </c>
      <c r="AA1178" s="27"/>
      <c r="AB1178" s="27"/>
      <c r="AC1178" s="273">
        <v>512525992.42710215</v>
      </c>
      <c r="AD1178" s="27">
        <v>4583834427.3647375</v>
      </c>
      <c r="AE1178" s="228">
        <v>0.11181162857179271</v>
      </c>
      <c r="AF1178" s="27">
        <v>1384409673.7526982</v>
      </c>
      <c r="AG1178" s="226">
        <v>0.37021266330637936</v>
      </c>
      <c r="AH1178" s="226" t="s">
        <v>2842</v>
      </c>
      <c r="AI1178" s="27">
        <v>371220000</v>
      </c>
      <c r="AJ1178" s="226">
        <v>1.3806529616591297</v>
      </c>
      <c r="AK1178" s="27">
        <v>178420573.09684139</v>
      </c>
      <c r="AL1178" s="226">
        <v>2.8725722798172959</v>
      </c>
      <c r="AM1178" s="27">
        <v>235831405.5362747</v>
      </c>
      <c r="AN1178" s="271">
        <v>2.1732728567750801</v>
      </c>
      <c r="AO1178" s="27">
        <v>2672223</v>
      </c>
      <c r="AP1178" s="27" t="s">
        <v>2842</v>
      </c>
      <c r="AQ1178" s="27">
        <v>66.641219512195136</v>
      </c>
      <c r="AR1178" s="27">
        <v>30.4</v>
      </c>
      <c r="AS1178" s="29">
        <v>98.448030000000003</v>
      </c>
      <c r="AT1178" s="270">
        <v>39</v>
      </c>
      <c r="AU1178" s="464">
        <v>50.953024059451757</v>
      </c>
      <c r="AV1178" s="29">
        <v>9.1417087418387499E-2</v>
      </c>
      <c r="AW1178" s="29">
        <v>0.601512514565814</v>
      </c>
      <c r="AX1178" s="29">
        <v>-0.65829754879069402</v>
      </c>
      <c r="AY1178" s="29">
        <v>-0.27675532483055199</v>
      </c>
      <c r="AZ1178" s="60">
        <v>-0.75530920524568601</v>
      </c>
    </row>
    <row r="1179" spans="1:52" ht="15" customHeight="1">
      <c r="A1179" s="59" t="s">
        <v>366</v>
      </c>
      <c r="B1179" s="27">
        <v>2009</v>
      </c>
      <c r="C1179" s="27" t="s">
        <v>357</v>
      </c>
      <c r="D1179" s="27" t="s">
        <v>238</v>
      </c>
      <c r="E1179" s="27" t="s">
        <v>19</v>
      </c>
      <c r="F1179" s="27" t="s">
        <v>1637</v>
      </c>
      <c r="G1179" s="43">
        <v>39</v>
      </c>
      <c r="H1179" s="43"/>
      <c r="I1179" s="43"/>
      <c r="J1179" s="43"/>
      <c r="K1179" s="27" t="s">
        <v>567</v>
      </c>
      <c r="L1179" s="28">
        <v>150.5</v>
      </c>
      <c r="M1179" s="27" t="s">
        <v>568</v>
      </c>
      <c r="N1179" s="27" t="s">
        <v>1681</v>
      </c>
      <c r="O1179" s="18">
        <f t="shared" si="19"/>
        <v>5869.5</v>
      </c>
      <c r="P1179" s="214"/>
      <c r="Q1179" s="214"/>
      <c r="R1179" s="27"/>
      <c r="S1179" s="27"/>
      <c r="T1179" s="27"/>
      <c r="U1179" s="27"/>
      <c r="V1179" s="27"/>
      <c r="W1179" s="30"/>
      <c r="X1179" s="27"/>
      <c r="Y1179" s="27"/>
      <c r="Z1179" s="27"/>
      <c r="AA1179" s="27"/>
      <c r="AB1179" s="27"/>
      <c r="AC1179" s="273">
        <v>512525992.42710215</v>
      </c>
      <c r="AD1179" s="27">
        <v>4583834427.3647375</v>
      </c>
      <c r="AE1179" s="228">
        <v>0.11181162857179271</v>
      </c>
      <c r="AF1179" s="27">
        <v>1384409673.7526982</v>
      </c>
      <c r="AG1179" s="226">
        <v>0.37021266330637936</v>
      </c>
      <c r="AH1179" s="226" t="s">
        <v>2842</v>
      </c>
      <c r="AI1179" s="27">
        <v>371220000</v>
      </c>
      <c r="AJ1179" s="226">
        <v>1.3806529616591297</v>
      </c>
      <c r="AK1179" s="27">
        <v>178420573.09684139</v>
      </c>
      <c r="AL1179" s="226">
        <v>2.8725722798172959</v>
      </c>
      <c r="AM1179" s="27">
        <v>235831405.5362747</v>
      </c>
      <c r="AN1179" s="271">
        <v>2.1732728567750801</v>
      </c>
      <c r="AO1179" s="27">
        <v>2672223</v>
      </c>
      <c r="AP1179" s="27" t="s">
        <v>2842</v>
      </c>
      <c r="AQ1179" s="27">
        <v>66.641219512195136</v>
      </c>
      <c r="AR1179" s="27">
        <v>30.4</v>
      </c>
      <c r="AS1179" s="29">
        <v>98.448030000000003</v>
      </c>
      <c r="AT1179" s="270">
        <v>39</v>
      </c>
      <c r="AU1179" s="464">
        <v>50.953024059451757</v>
      </c>
      <c r="AV1179" s="29">
        <v>9.1417087418387499E-2</v>
      </c>
      <c r="AW1179" s="29">
        <v>0.601512514565814</v>
      </c>
      <c r="AX1179" s="29">
        <v>-0.65829754879069402</v>
      </c>
      <c r="AY1179" s="29">
        <v>-0.27675532483055199</v>
      </c>
      <c r="AZ1179" s="60">
        <v>-0.75530920524568601</v>
      </c>
    </row>
    <row r="1180" spans="1:52" ht="15" customHeight="1">
      <c r="A1180" s="59" t="s">
        <v>366</v>
      </c>
      <c r="B1180" s="27">
        <v>2009</v>
      </c>
      <c r="C1180" s="27" t="s">
        <v>357</v>
      </c>
      <c r="D1180" s="27" t="s">
        <v>238</v>
      </c>
      <c r="E1180" s="27" t="s">
        <v>19</v>
      </c>
      <c r="F1180" s="27" t="s">
        <v>1353</v>
      </c>
      <c r="G1180" s="43"/>
      <c r="H1180" s="43"/>
      <c r="I1180" s="43"/>
      <c r="J1180" s="43"/>
      <c r="K1180" s="27"/>
      <c r="L1180" s="28"/>
      <c r="M1180" s="27"/>
      <c r="N1180" s="27"/>
      <c r="O1180" s="18"/>
      <c r="P1180" s="214">
        <v>576558.02640722715</v>
      </c>
      <c r="Q1180" s="214">
        <v>589692.14732453087</v>
      </c>
      <c r="R1180" s="18"/>
      <c r="S1180" s="27"/>
      <c r="T1180" s="27"/>
      <c r="U1180" s="18"/>
      <c r="V1180" s="18"/>
      <c r="W1180" s="30"/>
      <c r="X1180" s="27">
        <v>2</v>
      </c>
      <c r="Y1180" s="27" t="s">
        <v>1696</v>
      </c>
      <c r="Z1180" s="27">
        <v>2</v>
      </c>
      <c r="AA1180" s="27" t="s">
        <v>1689</v>
      </c>
      <c r="AB1180" s="27" t="s">
        <v>1678</v>
      </c>
      <c r="AC1180" s="273">
        <v>512525992.42710215</v>
      </c>
      <c r="AD1180" s="27">
        <v>4583834427.3647375</v>
      </c>
      <c r="AE1180" s="228">
        <v>0.11181162857179271</v>
      </c>
      <c r="AF1180" s="27">
        <v>1384409673.7526982</v>
      </c>
      <c r="AG1180" s="226">
        <v>0.37021266330637936</v>
      </c>
      <c r="AH1180" s="226" t="s">
        <v>2842</v>
      </c>
      <c r="AI1180" s="27">
        <v>371220000</v>
      </c>
      <c r="AJ1180" s="226">
        <v>1.3806529616591297</v>
      </c>
      <c r="AK1180" s="27">
        <v>178420573.09684139</v>
      </c>
      <c r="AL1180" s="226">
        <v>2.8725722798172959</v>
      </c>
      <c r="AM1180" s="27">
        <v>235831405.5362747</v>
      </c>
      <c r="AN1180" s="271">
        <v>2.1732728567750801</v>
      </c>
      <c r="AO1180" s="27">
        <v>2672223</v>
      </c>
      <c r="AP1180" s="27" t="s">
        <v>2842</v>
      </c>
      <c r="AQ1180" s="27">
        <v>66.641219512195136</v>
      </c>
      <c r="AR1180" s="27">
        <v>30.4</v>
      </c>
      <c r="AS1180" s="29">
        <v>98.448030000000003</v>
      </c>
      <c r="AT1180" s="270">
        <v>39</v>
      </c>
      <c r="AU1180" s="464">
        <v>50.953024059451757</v>
      </c>
      <c r="AV1180" s="29">
        <v>9.1417087418387499E-2</v>
      </c>
      <c r="AW1180" s="29">
        <v>0.601512514565814</v>
      </c>
      <c r="AX1180" s="29">
        <v>-0.65829754879069402</v>
      </c>
      <c r="AY1180" s="29">
        <v>-0.27675532483055199</v>
      </c>
      <c r="AZ1180" s="60">
        <v>-0.75530920524568601</v>
      </c>
    </row>
    <row r="1181" spans="1:52" s="287" customFormat="1" ht="15" customHeight="1">
      <c r="A1181" s="344" t="s">
        <v>366</v>
      </c>
      <c r="B1181" s="284">
        <v>2009</v>
      </c>
      <c r="C1181" s="284" t="s">
        <v>357</v>
      </c>
      <c r="D1181" s="284" t="s">
        <v>238</v>
      </c>
      <c r="E1181" s="284" t="s">
        <v>19</v>
      </c>
      <c r="F1181" s="284" t="s">
        <v>790</v>
      </c>
      <c r="G1181" s="303">
        <f>141500*0.90718474</f>
        <v>128366.64071000001</v>
      </c>
      <c r="H1181" s="303">
        <f>141500*0.90718474</f>
        <v>128366.64071000001</v>
      </c>
      <c r="I1181" s="303"/>
      <c r="J1181" s="303"/>
      <c r="K1181" s="284" t="s">
        <v>567</v>
      </c>
      <c r="L1181" s="304">
        <v>811.22</v>
      </c>
      <c r="M1181" s="284" t="s">
        <v>568</v>
      </c>
      <c r="N1181" s="284" t="s">
        <v>1685</v>
      </c>
      <c r="O1181" s="305">
        <f>G1181*L1181</f>
        <v>104133586.27676621</v>
      </c>
      <c r="P1181" s="346"/>
      <c r="Q1181" s="346"/>
      <c r="R1181" s="284"/>
      <c r="S1181" s="284"/>
      <c r="T1181" s="284"/>
      <c r="U1181" s="284"/>
      <c r="V1181" s="284"/>
      <c r="W1181" s="307"/>
      <c r="X1181" s="284">
        <v>2</v>
      </c>
      <c r="Y1181" s="284" t="s">
        <v>1697</v>
      </c>
      <c r="Z1181" s="284">
        <v>2</v>
      </c>
      <c r="AA1181" s="284"/>
      <c r="AB1181" s="284"/>
      <c r="AC1181" s="308">
        <v>512525992.42710215</v>
      </c>
      <c r="AD1181" s="284">
        <v>4583834427.3647375</v>
      </c>
      <c r="AE1181" s="309">
        <v>0.11181162857179271</v>
      </c>
      <c r="AF1181" s="284">
        <v>1384409673.7526982</v>
      </c>
      <c r="AG1181" s="310">
        <v>0.37021266330637936</v>
      </c>
      <c r="AH1181" s="310" t="s">
        <v>2842</v>
      </c>
      <c r="AI1181" s="284">
        <v>371220000</v>
      </c>
      <c r="AJ1181" s="310">
        <v>1.3806529616591297</v>
      </c>
      <c r="AK1181" s="284">
        <v>178420573.09684139</v>
      </c>
      <c r="AL1181" s="310">
        <v>2.8725722798172959</v>
      </c>
      <c r="AM1181" s="284">
        <v>235831405.5362747</v>
      </c>
      <c r="AN1181" s="311">
        <v>2.1732728567750801</v>
      </c>
      <c r="AO1181" s="284">
        <v>2672223</v>
      </c>
      <c r="AP1181" s="284" t="s">
        <v>2842</v>
      </c>
      <c r="AQ1181" s="284">
        <v>66.641219512195136</v>
      </c>
      <c r="AR1181" s="284">
        <v>30.4</v>
      </c>
      <c r="AS1181" s="287">
        <v>98.448030000000003</v>
      </c>
      <c r="AT1181" s="312">
        <v>39</v>
      </c>
      <c r="AU1181" s="465">
        <v>50.953024059451757</v>
      </c>
      <c r="AV1181" s="287">
        <v>9.1417087418387499E-2</v>
      </c>
      <c r="AW1181" s="287">
        <v>0.601512514565814</v>
      </c>
      <c r="AX1181" s="287">
        <v>-0.65829754879069402</v>
      </c>
      <c r="AY1181" s="287">
        <v>-0.27675532483055199</v>
      </c>
      <c r="AZ1181" s="313">
        <v>-0.75530920524568601</v>
      </c>
    </row>
    <row r="1182" spans="1:52" s="29" customFormat="1" ht="15" customHeight="1">
      <c r="A1182" s="332" t="s">
        <v>368</v>
      </c>
      <c r="B1182" s="27">
        <v>2010</v>
      </c>
      <c r="C1182" s="27" t="s">
        <v>357</v>
      </c>
      <c r="D1182" s="27" t="s">
        <v>238</v>
      </c>
      <c r="E1182" s="27" t="s">
        <v>36</v>
      </c>
      <c r="F1182" s="27" t="s">
        <v>659</v>
      </c>
      <c r="G1182" s="43"/>
      <c r="H1182" s="43"/>
      <c r="I1182" s="43"/>
      <c r="J1182" s="43"/>
      <c r="K1182" s="27"/>
      <c r="L1182" s="28"/>
      <c r="M1182" s="27"/>
      <c r="N1182" s="27"/>
      <c r="O1182" s="18">
        <f>O1183+O1184</f>
        <v>2538912856.7078133</v>
      </c>
      <c r="P1182" s="214">
        <v>943183886</v>
      </c>
      <c r="Q1182" s="214">
        <v>943184625.70000005</v>
      </c>
      <c r="R1182" s="27" t="s">
        <v>3693</v>
      </c>
      <c r="S1182" s="29" t="s">
        <v>1698</v>
      </c>
      <c r="T1182" s="18">
        <v>3787346.4160000002</v>
      </c>
      <c r="U1182" s="27" t="s">
        <v>1085</v>
      </c>
      <c r="V1182" s="27" t="s">
        <v>1618</v>
      </c>
      <c r="W1182" s="30">
        <v>1351.87</v>
      </c>
      <c r="X1182" s="27">
        <v>150</v>
      </c>
      <c r="Y1182" s="27" t="s">
        <v>1699</v>
      </c>
      <c r="Z1182" s="27">
        <v>150</v>
      </c>
      <c r="AA1182" s="27">
        <v>6</v>
      </c>
      <c r="AB1182" s="27" t="s">
        <v>1700</v>
      </c>
      <c r="AC1182" s="273">
        <v>943183886</v>
      </c>
      <c r="AD1182" s="27">
        <v>6200357070.1147966</v>
      </c>
      <c r="AE1182" s="228">
        <v>0.15211767247181096</v>
      </c>
      <c r="AF1182" s="27">
        <v>1708074365.6752243</v>
      </c>
      <c r="AG1182" s="226">
        <v>0.55219134772691647</v>
      </c>
      <c r="AH1182" s="226" t="s">
        <v>2842</v>
      </c>
      <c r="AI1182" s="27">
        <v>302760000</v>
      </c>
      <c r="AJ1182" s="226">
        <v>3.115285658607478</v>
      </c>
      <c r="AK1182" s="27">
        <v>241576891.90049392</v>
      </c>
      <c r="AL1182" s="226">
        <v>3.9042802421205902</v>
      </c>
      <c r="AM1182" s="27">
        <v>333949991.72496891</v>
      </c>
      <c r="AN1182" s="271">
        <v>2.8243267236753749</v>
      </c>
      <c r="AO1182" s="27">
        <v>2712738</v>
      </c>
      <c r="AP1182" s="27">
        <v>38.700000000000003</v>
      </c>
      <c r="AQ1182" s="27">
        <v>66.894609756097566</v>
      </c>
      <c r="AR1182" s="27">
        <v>29.3</v>
      </c>
      <c r="AS1182" s="29">
        <v>98.975020000000001</v>
      </c>
      <c r="AT1182" s="270">
        <v>39</v>
      </c>
      <c r="AU1182" s="464">
        <v>50.953024059451757</v>
      </c>
      <c r="AV1182" s="29">
        <v>4.4599470651139603E-2</v>
      </c>
      <c r="AW1182" s="29">
        <v>0.590470204518041</v>
      </c>
      <c r="AX1182" s="29">
        <v>-0.57232558761858399</v>
      </c>
      <c r="AY1182" s="29">
        <v>-0.22521774246305401</v>
      </c>
      <c r="AZ1182" s="60">
        <v>-0.73017292546653501</v>
      </c>
    </row>
    <row r="1183" spans="1:52" s="29" customFormat="1" ht="15" customHeight="1">
      <c r="A1183" s="59" t="s">
        <v>368</v>
      </c>
      <c r="B1183" s="27">
        <v>2010</v>
      </c>
      <c r="C1183" s="27" t="s">
        <v>357</v>
      </c>
      <c r="D1183" s="27" t="s">
        <v>238</v>
      </c>
      <c r="E1183" s="27" t="s">
        <v>98</v>
      </c>
      <c r="F1183" s="27" t="s">
        <v>98</v>
      </c>
      <c r="G1183" s="43">
        <v>2181400</v>
      </c>
      <c r="H1183" s="43">
        <v>2181400</v>
      </c>
      <c r="I1183" s="43"/>
      <c r="J1183" s="43"/>
      <c r="K1183" s="27" t="s">
        <v>603</v>
      </c>
      <c r="L1183" s="28">
        <v>74.55</v>
      </c>
      <c r="M1183" s="27" t="s">
        <v>626</v>
      </c>
      <c r="N1183" s="27" t="s">
        <v>1685</v>
      </c>
      <c r="O1183" s="18">
        <f>G1183*L1183</f>
        <v>162623370</v>
      </c>
      <c r="P1183" s="214">
        <v>49691900.848454371</v>
      </c>
      <c r="Q1183" s="214"/>
      <c r="R1183" s="79"/>
      <c r="S1183" s="27"/>
      <c r="T1183" s="27"/>
      <c r="U1183" s="80"/>
      <c r="V1183" s="18"/>
      <c r="W1183" s="30"/>
      <c r="X1183" s="27">
        <v>9</v>
      </c>
      <c r="Y1183" s="27" t="s">
        <v>1701</v>
      </c>
      <c r="Z1183" s="27">
        <v>9</v>
      </c>
      <c r="AA1183" s="27">
        <v>21</v>
      </c>
      <c r="AB1183" s="27"/>
      <c r="AC1183" s="273">
        <v>943183886</v>
      </c>
      <c r="AD1183" s="27">
        <v>6200357070.1147966</v>
      </c>
      <c r="AE1183" s="228">
        <v>0.15211767247181096</v>
      </c>
      <c r="AF1183" s="27">
        <v>1708074365.6752243</v>
      </c>
      <c r="AG1183" s="226">
        <v>0.55219134772691647</v>
      </c>
      <c r="AH1183" s="226" t="s">
        <v>2842</v>
      </c>
      <c r="AI1183" s="27">
        <v>302760000</v>
      </c>
      <c r="AJ1183" s="226">
        <v>3.115285658607478</v>
      </c>
      <c r="AK1183" s="27">
        <v>241576891.90049392</v>
      </c>
      <c r="AL1183" s="226">
        <v>3.9042802421205902</v>
      </c>
      <c r="AM1183" s="27">
        <v>333949991.72496891</v>
      </c>
      <c r="AN1183" s="271">
        <v>2.8243267236753749</v>
      </c>
      <c r="AO1183" s="27">
        <v>2712738</v>
      </c>
      <c r="AP1183" s="27">
        <v>38.700000000000003</v>
      </c>
      <c r="AQ1183" s="27">
        <v>66.894609756097566</v>
      </c>
      <c r="AR1183" s="27">
        <v>29.3</v>
      </c>
      <c r="AS1183" s="29">
        <v>98.975020000000001</v>
      </c>
      <c r="AT1183" s="270">
        <v>39</v>
      </c>
      <c r="AU1183" s="464">
        <v>50.953024059451757</v>
      </c>
      <c r="AV1183" s="29">
        <v>4.4599470651139603E-2</v>
      </c>
      <c r="AW1183" s="29">
        <v>0.590470204518041</v>
      </c>
      <c r="AX1183" s="29">
        <v>-0.57232558761858399</v>
      </c>
      <c r="AY1183" s="29">
        <v>-0.22521774246305401</v>
      </c>
      <c r="AZ1183" s="60">
        <v>-0.73017292546653501</v>
      </c>
    </row>
    <row r="1184" spans="1:52" s="29" customFormat="1" ht="15" customHeight="1">
      <c r="A1184" s="59" t="s">
        <v>368</v>
      </c>
      <c r="B1184" s="27">
        <v>2010</v>
      </c>
      <c r="C1184" s="27" t="s">
        <v>357</v>
      </c>
      <c r="D1184" s="27" t="s">
        <v>238</v>
      </c>
      <c r="E1184" s="27" t="s">
        <v>19</v>
      </c>
      <c r="F1184" s="27" t="s">
        <v>559</v>
      </c>
      <c r="G1184" s="43"/>
      <c r="H1184" s="43"/>
      <c r="I1184" s="43"/>
      <c r="J1184" s="43"/>
      <c r="K1184" s="27"/>
      <c r="L1184" s="28"/>
      <c r="M1184" s="27"/>
      <c r="N1184" s="27"/>
      <c r="O1184" s="18">
        <f>SUM(O1185:O1195)</f>
        <v>2376289486.7078133</v>
      </c>
      <c r="P1184" s="214">
        <v>893491985.15154564</v>
      </c>
      <c r="Q1184" s="214"/>
      <c r="R1184" s="79"/>
      <c r="S1184" s="27"/>
      <c r="U1184" s="27"/>
      <c r="V1184" s="18"/>
      <c r="W1184" s="30"/>
      <c r="X1184" s="27">
        <v>141</v>
      </c>
      <c r="Y1184" s="27" t="s">
        <v>1702</v>
      </c>
      <c r="Z1184" s="27">
        <v>141</v>
      </c>
      <c r="AB1184" s="27"/>
      <c r="AC1184" s="273">
        <v>943183886</v>
      </c>
      <c r="AD1184" s="27">
        <v>6200357070.1147966</v>
      </c>
      <c r="AE1184" s="228">
        <v>0.15211767247181096</v>
      </c>
      <c r="AF1184" s="27">
        <v>1708074365.6752243</v>
      </c>
      <c r="AG1184" s="226">
        <v>0.55219134772691647</v>
      </c>
      <c r="AH1184" s="226" t="s">
        <v>2842</v>
      </c>
      <c r="AI1184" s="27">
        <v>302760000</v>
      </c>
      <c r="AJ1184" s="226">
        <v>3.115285658607478</v>
      </c>
      <c r="AK1184" s="27">
        <v>241576891.90049392</v>
      </c>
      <c r="AL1184" s="226">
        <v>3.9042802421205902</v>
      </c>
      <c r="AM1184" s="27">
        <v>333949991.72496891</v>
      </c>
      <c r="AN1184" s="271">
        <v>2.8243267236753749</v>
      </c>
      <c r="AO1184" s="27">
        <v>2712738</v>
      </c>
      <c r="AP1184" s="27">
        <v>38.700000000000003</v>
      </c>
      <c r="AQ1184" s="27">
        <v>66.894609756097566</v>
      </c>
      <c r="AR1184" s="27">
        <v>29.3</v>
      </c>
      <c r="AS1184" s="29">
        <v>98.975020000000001</v>
      </c>
      <c r="AT1184" s="270">
        <v>39</v>
      </c>
      <c r="AU1184" s="464">
        <v>50.953024059451757</v>
      </c>
      <c r="AV1184" s="29">
        <v>4.4599470651139603E-2</v>
      </c>
      <c r="AW1184" s="29">
        <v>0.590470204518041</v>
      </c>
      <c r="AX1184" s="29">
        <v>-0.57232558761858399</v>
      </c>
      <c r="AY1184" s="29">
        <v>-0.22521774246305401</v>
      </c>
      <c r="AZ1184" s="60">
        <v>-0.73017292546653501</v>
      </c>
    </row>
    <row r="1185" spans="1:52" s="29" customFormat="1" ht="15" customHeight="1">
      <c r="A1185" s="59" t="s">
        <v>368</v>
      </c>
      <c r="B1185" s="27">
        <v>2010</v>
      </c>
      <c r="C1185" s="27" t="s">
        <v>357</v>
      </c>
      <c r="D1185" s="27" t="s">
        <v>238</v>
      </c>
      <c r="E1185" s="27" t="s">
        <v>19</v>
      </c>
      <c r="F1185" s="27" t="s">
        <v>573</v>
      </c>
      <c r="G1185" s="43">
        <f>25161900*0.90718474</f>
        <v>22826491.709406</v>
      </c>
      <c r="H1185" s="43">
        <f>25161900*0.90718474</f>
        <v>22826491.709406</v>
      </c>
      <c r="I1185" s="43"/>
      <c r="J1185" s="43"/>
      <c r="K1185" s="27" t="s">
        <v>567</v>
      </c>
      <c r="L1185" s="28">
        <v>52.73</v>
      </c>
      <c r="M1185" s="27" t="s">
        <v>568</v>
      </c>
      <c r="N1185" s="27" t="s">
        <v>1685</v>
      </c>
      <c r="O1185" s="18">
        <f t="shared" ref="O1185:O1191" si="20">G1185*L1185</f>
        <v>1203640907.8369782</v>
      </c>
      <c r="P1185" s="214">
        <v>186111105.35776371</v>
      </c>
      <c r="Q1185" s="214"/>
      <c r="R1185" s="79"/>
      <c r="T1185" s="28"/>
      <c r="U1185" s="18"/>
      <c r="V1185" s="18"/>
      <c r="W1185" s="30"/>
      <c r="X1185" s="27"/>
      <c r="Y1185" s="27"/>
      <c r="Z1185" s="27"/>
      <c r="AA1185" s="27">
        <v>21</v>
      </c>
      <c r="AB1185" s="27"/>
      <c r="AC1185" s="273">
        <v>943183886</v>
      </c>
      <c r="AD1185" s="27">
        <v>6200357070.1147966</v>
      </c>
      <c r="AE1185" s="228">
        <v>0.15211767247181096</v>
      </c>
      <c r="AF1185" s="27">
        <v>1708074365.6752243</v>
      </c>
      <c r="AG1185" s="226">
        <v>0.55219134772691647</v>
      </c>
      <c r="AH1185" s="226" t="s">
        <v>2842</v>
      </c>
      <c r="AI1185" s="27">
        <v>302760000</v>
      </c>
      <c r="AJ1185" s="226">
        <v>3.115285658607478</v>
      </c>
      <c r="AK1185" s="27">
        <v>241576891.90049392</v>
      </c>
      <c r="AL1185" s="226">
        <v>3.9042802421205902</v>
      </c>
      <c r="AM1185" s="27">
        <v>333949991.72496891</v>
      </c>
      <c r="AN1185" s="271">
        <v>2.8243267236753749</v>
      </c>
      <c r="AO1185" s="27">
        <v>2712738</v>
      </c>
      <c r="AP1185" s="27">
        <v>38.700000000000003</v>
      </c>
      <c r="AQ1185" s="27">
        <v>66.894609756097566</v>
      </c>
      <c r="AR1185" s="27">
        <v>29.3</v>
      </c>
      <c r="AS1185" s="29">
        <v>98.975020000000001</v>
      </c>
      <c r="AT1185" s="270">
        <v>39</v>
      </c>
      <c r="AU1185" s="464">
        <v>50.953024059451757</v>
      </c>
      <c r="AV1185" s="29">
        <v>4.4599470651139603E-2</v>
      </c>
      <c r="AW1185" s="29">
        <v>0.590470204518041</v>
      </c>
      <c r="AX1185" s="29">
        <v>-0.57232558761858399</v>
      </c>
      <c r="AY1185" s="29">
        <v>-0.22521774246305401</v>
      </c>
      <c r="AZ1185" s="60">
        <v>-0.73017292546653501</v>
      </c>
    </row>
    <row r="1186" spans="1:52" s="29" customFormat="1" ht="15" customHeight="1">
      <c r="A1186" s="59" t="s">
        <v>368</v>
      </c>
      <c r="B1186" s="27">
        <v>2010</v>
      </c>
      <c r="C1186" s="27" t="s">
        <v>357</v>
      </c>
      <c r="D1186" s="27" t="s">
        <v>238</v>
      </c>
      <c r="E1186" s="27" t="s">
        <v>19</v>
      </c>
      <c r="F1186" s="27" t="s">
        <v>1690</v>
      </c>
      <c r="G1186" s="43">
        <f>357100*0.90718474</f>
        <v>323955.67065400002</v>
      </c>
      <c r="H1186" s="43">
        <f>357100*0.90718474</f>
        <v>323955.67065400002</v>
      </c>
      <c r="I1186" s="43"/>
      <c r="J1186" s="43"/>
      <c r="K1186" s="27" t="s">
        <v>567</v>
      </c>
      <c r="L1186" s="28">
        <v>1354.3</v>
      </c>
      <c r="M1186" s="27" t="s">
        <v>568</v>
      </c>
      <c r="N1186" s="27" t="s">
        <v>1685</v>
      </c>
      <c r="O1186" s="18">
        <f t="shared" si="20"/>
        <v>438733164.76671219</v>
      </c>
      <c r="P1186" s="214"/>
      <c r="Q1186" s="214"/>
      <c r="R1186" s="79"/>
      <c r="S1186" s="27"/>
      <c r="T1186" s="27"/>
      <c r="U1186" s="18"/>
      <c r="V1186" s="18"/>
      <c r="W1186" s="30"/>
      <c r="X1186" s="27"/>
      <c r="Y1186" s="27"/>
      <c r="Z1186" s="27"/>
      <c r="AA1186" s="27"/>
      <c r="AB1186" s="27"/>
      <c r="AC1186" s="273">
        <v>943183886</v>
      </c>
      <c r="AD1186" s="27">
        <v>6200357070.1147966</v>
      </c>
      <c r="AE1186" s="228">
        <v>0.15211767247181096</v>
      </c>
      <c r="AF1186" s="27">
        <v>1708074365.6752243</v>
      </c>
      <c r="AG1186" s="226">
        <v>0.55219134772691647</v>
      </c>
      <c r="AH1186" s="226" t="s">
        <v>2842</v>
      </c>
      <c r="AI1186" s="27">
        <v>302760000</v>
      </c>
      <c r="AJ1186" s="226">
        <v>3.115285658607478</v>
      </c>
      <c r="AK1186" s="27">
        <v>241576891.90049392</v>
      </c>
      <c r="AL1186" s="226">
        <v>3.9042802421205902</v>
      </c>
      <c r="AM1186" s="27">
        <v>333949991.72496891</v>
      </c>
      <c r="AN1186" s="271">
        <v>2.8243267236753749</v>
      </c>
      <c r="AO1186" s="27">
        <v>2712738</v>
      </c>
      <c r="AP1186" s="27">
        <v>38.700000000000003</v>
      </c>
      <c r="AQ1186" s="27">
        <v>66.894609756097566</v>
      </c>
      <c r="AR1186" s="27">
        <v>29.3</v>
      </c>
      <c r="AS1186" s="29">
        <v>98.975020000000001</v>
      </c>
      <c r="AT1186" s="270">
        <v>39</v>
      </c>
      <c r="AU1186" s="464">
        <v>50.953024059451757</v>
      </c>
      <c r="AV1186" s="29">
        <v>4.4599470651139603E-2</v>
      </c>
      <c r="AW1186" s="29">
        <v>0.590470204518041</v>
      </c>
      <c r="AX1186" s="29">
        <v>-0.57232558761858399</v>
      </c>
      <c r="AY1186" s="29">
        <v>-0.22521774246305401</v>
      </c>
      <c r="AZ1186" s="60">
        <v>-0.73017292546653501</v>
      </c>
    </row>
    <row r="1187" spans="1:52" s="29" customFormat="1" ht="15" customHeight="1">
      <c r="A1187" s="59" t="s">
        <v>368</v>
      </c>
      <c r="B1187" s="27">
        <v>2010</v>
      </c>
      <c r="C1187" s="27" t="s">
        <v>357</v>
      </c>
      <c r="D1187" s="27" t="s">
        <v>238</v>
      </c>
      <c r="E1187" s="27" t="s">
        <v>19</v>
      </c>
      <c r="F1187" s="27" t="s">
        <v>1629</v>
      </c>
      <c r="G1187" s="43">
        <f>867700*0.90718474</f>
        <v>787164.19889800006</v>
      </c>
      <c r="H1187" s="43">
        <f>867700*0.90718474</f>
        <v>787164.19889800006</v>
      </c>
      <c r="I1187" s="43"/>
      <c r="J1187" s="43"/>
      <c r="K1187" s="27" t="s">
        <v>567</v>
      </c>
      <c r="L1187" s="28">
        <v>169.52</v>
      </c>
      <c r="M1187" s="27" t="s">
        <v>568</v>
      </c>
      <c r="N1187" s="27" t="s">
        <v>1685</v>
      </c>
      <c r="O1187" s="18">
        <f t="shared" si="20"/>
        <v>133440074.99718899</v>
      </c>
      <c r="P1187" s="214">
        <v>708389.12025564595</v>
      </c>
      <c r="Q1187" s="214"/>
      <c r="R1187" s="79"/>
      <c r="T1187" s="27"/>
      <c r="U1187" s="18"/>
      <c r="V1187" s="18"/>
      <c r="W1187" s="30"/>
      <c r="X1187" s="601"/>
      <c r="Y1187" s="27"/>
      <c r="Z1187" s="27"/>
      <c r="AA1187" s="27">
        <v>21</v>
      </c>
      <c r="AB1187" s="27"/>
      <c r="AC1187" s="273">
        <v>943183886</v>
      </c>
      <c r="AD1187" s="27">
        <v>6200357070.1147966</v>
      </c>
      <c r="AE1187" s="228">
        <v>0.15211767247181096</v>
      </c>
      <c r="AF1187" s="27">
        <v>1708074365.6752243</v>
      </c>
      <c r="AG1187" s="226">
        <v>0.55219134772691647</v>
      </c>
      <c r="AH1187" s="226" t="s">
        <v>2842</v>
      </c>
      <c r="AI1187" s="27">
        <v>302760000</v>
      </c>
      <c r="AJ1187" s="226">
        <v>3.115285658607478</v>
      </c>
      <c r="AK1187" s="27">
        <v>241576891.90049392</v>
      </c>
      <c r="AL1187" s="226">
        <v>3.9042802421205902</v>
      </c>
      <c r="AM1187" s="27">
        <v>333949991.72496891</v>
      </c>
      <c r="AN1187" s="271">
        <v>2.8243267236753749</v>
      </c>
      <c r="AO1187" s="27">
        <v>2712738</v>
      </c>
      <c r="AP1187" s="27">
        <v>38.700000000000003</v>
      </c>
      <c r="AQ1187" s="27">
        <v>66.894609756097566</v>
      </c>
      <c r="AR1187" s="27">
        <v>29.3</v>
      </c>
      <c r="AS1187" s="29">
        <v>98.975020000000001</v>
      </c>
      <c r="AT1187" s="270">
        <v>39</v>
      </c>
      <c r="AU1187" s="464">
        <v>50.953024059451757</v>
      </c>
      <c r="AV1187" s="29">
        <v>4.4599470651139603E-2</v>
      </c>
      <c r="AW1187" s="29">
        <v>0.590470204518041</v>
      </c>
      <c r="AX1187" s="29">
        <v>-0.57232558761858399</v>
      </c>
      <c r="AY1187" s="29">
        <v>-0.22521774246305401</v>
      </c>
      <c r="AZ1187" s="60">
        <v>-0.73017292546653501</v>
      </c>
    </row>
    <row r="1188" spans="1:52" s="29" customFormat="1" ht="15" customHeight="1">
      <c r="A1188" s="59" t="s">
        <v>368</v>
      </c>
      <c r="B1188" s="27">
        <v>2010</v>
      </c>
      <c r="C1188" s="27" t="s">
        <v>357</v>
      </c>
      <c r="D1188" s="27" t="s">
        <v>238</v>
      </c>
      <c r="E1188" s="27" t="s">
        <v>19</v>
      </c>
      <c r="F1188" s="27" t="s">
        <v>730</v>
      </c>
      <c r="G1188" s="43">
        <f>6073.1*32.150743126506</f>
        <v>195254.67808158361</v>
      </c>
      <c r="H1188" s="43">
        <f>6073.1*32.150743126506</f>
        <v>195254.67808158361</v>
      </c>
      <c r="I1188" s="43"/>
      <c r="J1188" s="43"/>
      <c r="K1188" s="27" t="s">
        <v>731</v>
      </c>
      <c r="L1188" s="28">
        <f>35667800/32150.7466</f>
        <v>1109.3925887245182</v>
      </c>
      <c r="M1188" s="27" t="s">
        <v>732</v>
      </c>
      <c r="N1188" s="27" t="s">
        <v>1685</v>
      </c>
      <c r="O1188" s="18">
        <f t="shared" si="20"/>
        <v>216614092.77750048</v>
      </c>
      <c r="P1188" s="214">
        <v>71633470.673955351</v>
      </c>
      <c r="Q1188" s="214"/>
      <c r="R1188" s="79"/>
      <c r="T1188" s="27"/>
      <c r="U1188" s="18"/>
      <c r="V1188" s="18"/>
      <c r="W1188" s="30"/>
      <c r="X1188" s="27"/>
      <c r="Y1188" s="27"/>
      <c r="Z1188" s="27"/>
      <c r="AA1188" s="27">
        <v>21</v>
      </c>
      <c r="AB1188" s="27"/>
      <c r="AC1188" s="273">
        <v>943183886</v>
      </c>
      <c r="AD1188" s="27">
        <v>6200357070.1147966</v>
      </c>
      <c r="AE1188" s="228">
        <v>0.15211767247181096</v>
      </c>
      <c r="AF1188" s="27">
        <v>1708074365.6752243</v>
      </c>
      <c r="AG1188" s="226">
        <v>0.55219134772691647</v>
      </c>
      <c r="AH1188" s="226" t="s">
        <v>2842</v>
      </c>
      <c r="AI1188" s="27">
        <v>302760000</v>
      </c>
      <c r="AJ1188" s="226">
        <v>3.115285658607478</v>
      </c>
      <c r="AK1188" s="27">
        <v>241576891.90049392</v>
      </c>
      <c r="AL1188" s="226">
        <v>3.9042802421205902</v>
      </c>
      <c r="AM1188" s="27">
        <v>333949991.72496891</v>
      </c>
      <c r="AN1188" s="271">
        <v>2.8243267236753749</v>
      </c>
      <c r="AO1188" s="27">
        <v>2712738</v>
      </c>
      <c r="AP1188" s="27">
        <v>38.700000000000003</v>
      </c>
      <c r="AQ1188" s="27">
        <v>66.894609756097566</v>
      </c>
      <c r="AR1188" s="27">
        <v>29.3</v>
      </c>
      <c r="AS1188" s="29">
        <v>98.975020000000001</v>
      </c>
      <c r="AT1188" s="270">
        <v>39</v>
      </c>
      <c r="AU1188" s="464">
        <v>50.953024059451757</v>
      </c>
      <c r="AV1188" s="29">
        <v>4.4599470651139603E-2</v>
      </c>
      <c r="AW1188" s="29">
        <v>0.590470204518041</v>
      </c>
      <c r="AX1188" s="29">
        <v>-0.57232558761858399</v>
      </c>
      <c r="AY1188" s="29">
        <v>-0.22521774246305401</v>
      </c>
      <c r="AZ1188" s="60">
        <v>-0.73017292546653501</v>
      </c>
    </row>
    <row r="1189" spans="1:52" s="29" customFormat="1" ht="15" customHeight="1">
      <c r="A1189" s="59" t="s">
        <v>368</v>
      </c>
      <c r="B1189" s="27">
        <v>2010</v>
      </c>
      <c r="C1189" s="27" t="s">
        <v>357</v>
      </c>
      <c r="D1189" s="27" t="s">
        <v>238</v>
      </c>
      <c r="E1189" s="27" t="s">
        <v>19</v>
      </c>
      <c r="F1189" s="27" t="s">
        <v>1196</v>
      </c>
      <c r="G1189" s="43">
        <f>3203200*0.90718474</f>
        <v>2905894.1591680003</v>
      </c>
      <c r="H1189" s="43">
        <f>3203200*0.90718474</f>
        <v>2905894.1591680003</v>
      </c>
      <c r="I1189" s="43"/>
      <c r="J1189" s="43"/>
      <c r="K1189" s="27" t="s">
        <v>567</v>
      </c>
      <c r="L1189" s="28">
        <v>71.22</v>
      </c>
      <c r="M1189" s="27" t="s">
        <v>568</v>
      </c>
      <c r="N1189" s="27" t="s">
        <v>1685</v>
      </c>
      <c r="O1189" s="18">
        <f t="shared" si="20"/>
        <v>206957782.01594499</v>
      </c>
      <c r="P1189" s="214">
        <v>33284709.3285597</v>
      </c>
      <c r="Q1189" s="214"/>
      <c r="R1189" s="79"/>
      <c r="T1189" s="27"/>
      <c r="U1189" s="18"/>
      <c r="V1189" s="18"/>
      <c r="W1189" s="30"/>
      <c r="X1189" s="27"/>
      <c r="Y1189" s="27"/>
      <c r="Z1189" s="27"/>
      <c r="AA1189" s="27">
        <v>21</v>
      </c>
      <c r="AB1189" s="27"/>
      <c r="AC1189" s="273">
        <v>943183886</v>
      </c>
      <c r="AD1189" s="27">
        <v>6200357070.1147966</v>
      </c>
      <c r="AE1189" s="228">
        <v>0.15211767247181096</v>
      </c>
      <c r="AF1189" s="27">
        <v>1708074365.6752243</v>
      </c>
      <c r="AG1189" s="226">
        <v>0.55219134772691647</v>
      </c>
      <c r="AH1189" s="226" t="s">
        <v>2842</v>
      </c>
      <c r="AI1189" s="27">
        <v>302760000</v>
      </c>
      <c r="AJ1189" s="226">
        <v>3.115285658607478</v>
      </c>
      <c r="AK1189" s="27">
        <v>241576891.90049392</v>
      </c>
      <c r="AL1189" s="226">
        <v>3.9042802421205902</v>
      </c>
      <c r="AM1189" s="27">
        <v>333949991.72496891</v>
      </c>
      <c r="AN1189" s="271">
        <v>2.8243267236753749</v>
      </c>
      <c r="AO1189" s="27">
        <v>2712738</v>
      </c>
      <c r="AP1189" s="27">
        <v>38.700000000000003</v>
      </c>
      <c r="AQ1189" s="27">
        <v>66.894609756097566</v>
      </c>
      <c r="AR1189" s="27">
        <v>29.3</v>
      </c>
      <c r="AS1189" s="29">
        <v>98.975020000000001</v>
      </c>
      <c r="AT1189" s="270">
        <v>39</v>
      </c>
      <c r="AU1189" s="464">
        <v>50.953024059451757</v>
      </c>
      <c r="AV1189" s="29">
        <v>4.4599470651139603E-2</v>
      </c>
      <c r="AW1189" s="29">
        <v>0.590470204518041</v>
      </c>
      <c r="AX1189" s="29">
        <v>-0.57232558761858399</v>
      </c>
      <c r="AY1189" s="29">
        <v>-0.22521774246305401</v>
      </c>
      <c r="AZ1189" s="60">
        <v>-0.73017292546653501</v>
      </c>
    </row>
    <row r="1190" spans="1:52" s="29" customFormat="1" ht="15" customHeight="1">
      <c r="A1190" s="59" t="s">
        <v>368</v>
      </c>
      <c r="B1190" s="27">
        <v>2010</v>
      </c>
      <c r="C1190" s="27" t="s">
        <v>357</v>
      </c>
      <c r="D1190" s="27" t="s">
        <v>238</v>
      </c>
      <c r="E1190" s="27" t="s">
        <v>19</v>
      </c>
      <c r="F1190" s="27" t="s">
        <v>1379</v>
      </c>
      <c r="G1190" s="43">
        <f>4677*0.90718474</f>
        <v>4242.9030289800003</v>
      </c>
      <c r="H1190" s="43">
        <f>4677*0.90718474</f>
        <v>4242.9030289800003</v>
      </c>
      <c r="I1190" s="43"/>
      <c r="J1190" s="43"/>
      <c r="K1190" s="27" t="s">
        <v>567</v>
      </c>
      <c r="L1190" s="28">
        <v>10397.799999999999</v>
      </c>
      <c r="M1190" s="27" t="s">
        <v>568</v>
      </c>
      <c r="N1190" s="27" t="s">
        <v>1685</v>
      </c>
      <c r="O1190" s="18">
        <f t="shared" si="20"/>
        <v>44116857.114728242</v>
      </c>
      <c r="P1190" s="214"/>
      <c r="Q1190" s="214"/>
      <c r="R1190" s="79"/>
      <c r="S1190" s="27"/>
      <c r="T1190" s="27"/>
      <c r="U1190" s="18"/>
      <c r="V1190" s="18"/>
      <c r="W1190" s="30"/>
      <c r="X1190" s="27"/>
      <c r="Y1190" s="27"/>
      <c r="Z1190" s="27"/>
      <c r="AA1190" s="27"/>
      <c r="AB1190" s="27"/>
      <c r="AC1190" s="273">
        <v>943183886</v>
      </c>
      <c r="AD1190" s="27">
        <v>6200357070.1147966</v>
      </c>
      <c r="AE1190" s="228">
        <v>0.15211767247181096</v>
      </c>
      <c r="AF1190" s="27">
        <v>1708074365.6752243</v>
      </c>
      <c r="AG1190" s="226">
        <v>0.55219134772691647</v>
      </c>
      <c r="AH1190" s="226" t="s">
        <v>2842</v>
      </c>
      <c r="AI1190" s="27">
        <v>302760000</v>
      </c>
      <c r="AJ1190" s="226">
        <v>3.115285658607478</v>
      </c>
      <c r="AK1190" s="27">
        <v>241576891.90049392</v>
      </c>
      <c r="AL1190" s="226">
        <v>3.9042802421205902</v>
      </c>
      <c r="AM1190" s="27">
        <v>333949991.72496891</v>
      </c>
      <c r="AN1190" s="271">
        <v>2.8243267236753749</v>
      </c>
      <c r="AO1190" s="27">
        <v>2712738</v>
      </c>
      <c r="AP1190" s="27">
        <v>38.700000000000003</v>
      </c>
      <c r="AQ1190" s="27">
        <v>66.894609756097566</v>
      </c>
      <c r="AR1190" s="27">
        <v>29.3</v>
      </c>
      <c r="AS1190" s="29">
        <v>98.975020000000001</v>
      </c>
      <c r="AT1190" s="270">
        <v>39</v>
      </c>
      <c r="AU1190" s="464">
        <v>50.953024059451757</v>
      </c>
      <c r="AV1190" s="29">
        <v>4.4599470651139603E-2</v>
      </c>
      <c r="AW1190" s="29">
        <v>0.590470204518041</v>
      </c>
      <c r="AX1190" s="29">
        <v>-0.57232558761858399</v>
      </c>
      <c r="AY1190" s="29">
        <v>-0.22521774246305401</v>
      </c>
      <c r="AZ1190" s="60">
        <v>-0.73017292546653501</v>
      </c>
    </row>
    <row r="1191" spans="1:52" s="29" customFormat="1" ht="15" customHeight="1">
      <c r="A1191" s="59" t="s">
        <v>368</v>
      </c>
      <c r="B1191" s="27">
        <v>2010</v>
      </c>
      <c r="C1191" s="27" t="s">
        <v>357</v>
      </c>
      <c r="D1191" s="27" t="s">
        <v>238</v>
      </c>
      <c r="E1191" s="27" t="s">
        <v>19</v>
      </c>
      <c r="F1191" s="27" t="s">
        <v>735</v>
      </c>
      <c r="G1191" s="43">
        <f>28710*32.150743126506</f>
        <v>923047.83516198723</v>
      </c>
      <c r="H1191" s="43"/>
      <c r="I1191" s="43"/>
      <c r="J1191" s="43"/>
      <c r="K1191" s="27" t="s">
        <v>731</v>
      </c>
      <c r="L1191" s="28">
        <f>20.15295833333/1</f>
        <v>20.152958333330002</v>
      </c>
      <c r="M1191" s="27" t="s">
        <v>732</v>
      </c>
      <c r="N1191" s="27" t="s">
        <v>744</v>
      </c>
      <c r="O1191" s="18">
        <f t="shared" si="20"/>
        <v>18602144.561689988</v>
      </c>
      <c r="P1191" s="214"/>
      <c r="Q1191" s="214"/>
      <c r="R1191" s="18"/>
      <c r="S1191" s="28"/>
      <c r="T1191" s="27"/>
      <c r="U1191" s="18"/>
      <c r="V1191" s="18"/>
      <c r="W1191" s="30"/>
      <c r="X1191" s="27"/>
      <c r="Y1191" s="27"/>
      <c r="Z1191" s="27"/>
      <c r="AA1191" s="27"/>
      <c r="AB1191" s="27"/>
      <c r="AC1191" s="273">
        <v>943183886</v>
      </c>
      <c r="AD1191" s="27">
        <v>6200357070.1147966</v>
      </c>
      <c r="AE1191" s="228">
        <v>0.15211767247181096</v>
      </c>
      <c r="AF1191" s="27">
        <v>1708074365.6752243</v>
      </c>
      <c r="AG1191" s="226">
        <v>0.55219134772691647</v>
      </c>
      <c r="AH1191" s="226" t="s">
        <v>2842</v>
      </c>
      <c r="AI1191" s="27">
        <v>302760000</v>
      </c>
      <c r="AJ1191" s="226">
        <v>3.115285658607478</v>
      </c>
      <c r="AK1191" s="27">
        <v>241576891.90049392</v>
      </c>
      <c r="AL1191" s="226">
        <v>3.9042802421205902</v>
      </c>
      <c r="AM1191" s="27">
        <v>333949991.72496891</v>
      </c>
      <c r="AN1191" s="271">
        <v>2.8243267236753749</v>
      </c>
      <c r="AO1191" s="27">
        <v>2712738</v>
      </c>
      <c r="AP1191" s="27">
        <v>38.700000000000003</v>
      </c>
      <c r="AQ1191" s="27">
        <v>66.894609756097566</v>
      </c>
      <c r="AR1191" s="27">
        <v>29.3</v>
      </c>
      <c r="AS1191" s="29">
        <v>98.975020000000001</v>
      </c>
      <c r="AT1191" s="270">
        <v>39</v>
      </c>
      <c r="AU1191" s="464">
        <v>50.953024059451757</v>
      </c>
      <c r="AV1191" s="29">
        <v>4.4599470651139603E-2</v>
      </c>
      <c r="AW1191" s="29">
        <v>0.590470204518041</v>
      </c>
      <c r="AX1191" s="29">
        <v>-0.57232558761858399</v>
      </c>
      <c r="AY1191" s="29">
        <v>-0.22521774246305401</v>
      </c>
      <c r="AZ1191" s="60">
        <v>-0.73017292546653501</v>
      </c>
    </row>
    <row r="1192" spans="1:52" s="29" customFormat="1" ht="15" customHeight="1">
      <c r="A1192" s="59" t="s">
        <v>368</v>
      </c>
      <c r="B1192" s="27">
        <v>2010</v>
      </c>
      <c r="C1192" s="27" t="s">
        <v>357</v>
      </c>
      <c r="D1192" s="27" t="s">
        <v>238</v>
      </c>
      <c r="E1192" s="27" t="s">
        <v>19</v>
      </c>
      <c r="F1192" s="27" t="s">
        <v>1703</v>
      </c>
      <c r="G1192" s="43"/>
      <c r="H1192" s="43"/>
      <c r="I1192" s="43"/>
      <c r="J1192" s="43"/>
      <c r="K1192" s="27"/>
      <c r="L1192" s="28"/>
      <c r="M1192" s="27"/>
      <c r="N1192" s="27"/>
      <c r="O1192" s="18"/>
      <c r="P1192" s="214">
        <v>65325.642807505217</v>
      </c>
      <c r="Q1192" s="214">
        <v>65325.642807505217</v>
      </c>
      <c r="R1192" s="27"/>
      <c r="S1192" s="28"/>
      <c r="T1192" s="27"/>
      <c r="U1192" s="18"/>
      <c r="V1192" s="27"/>
      <c r="W1192" s="30"/>
      <c r="X1192" s="27"/>
      <c r="Y1192" s="27"/>
      <c r="Z1192" s="27"/>
      <c r="AA1192" s="27" t="s">
        <v>1704</v>
      </c>
      <c r="AB1192" s="27" t="s">
        <v>1678</v>
      </c>
      <c r="AC1192" s="273">
        <v>943183886</v>
      </c>
      <c r="AD1192" s="27">
        <v>6200357070.1147966</v>
      </c>
      <c r="AE1192" s="228">
        <v>0.15211767247181096</v>
      </c>
      <c r="AF1192" s="27">
        <v>1708074365.6752243</v>
      </c>
      <c r="AG1192" s="226">
        <v>0.55219134772691647</v>
      </c>
      <c r="AH1192" s="226" t="s">
        <v>2842</v>
      </c>
      <c r="AI1192" s="27">
        <v>302760000</v>
      </c>
      <c r="AJ1192" s="226">
        <v>3.115285658607478</v>
      </c>
      <c r="AK1192" s="27">
        <v>241576891.90049392</v>
      </c>
      <c r="AL1192" s="226">
        <v>3.9042802421205902</v>
      </c>
      <c r="AM1192" s="27">
        <v>333949991.72496891</v>
      </c>
      <c r="AN1192" s="271">
        <v>2.8243267236753749</v>
      </c>
      <c r="AO1192" s="27">
        <v>2712738</v>
      </c>
      <c r="AP1192" s="27">
        <v>38.700000000000003</v>
      </c>
      <c r="AQ1192" s="27">
        <v>66.894609756097566</v>
      </c>
      <c r="AR1192" s="27">
        <v>29.3</v>
      </c>
      <c r="AS1192" s="29">
        <v>98.975020000000001</v>
      </c>
      <c r="AT1192" s="270">
        <v>39</v>
      </c>
      <c r="AU1192" s="464">
        <v>50.953024059451757</v>
      </c>
      <c r="AV1192" s="29">
        <v>4.4599470651139603E-2</v>
      </c>
      <c r="AW1192" s="29">
        <v>0.590470204518041</v>
      </c>
      <c r="AX1192" s="29">
        <v>-0.57232558761858399</v>
      </c>
      <c r="AY1192" s="29">
        <v>-0.22521774246305401</v>
      </c>
      <c r="AZ1192" s="60">
        <v>-0.73017292546653501</v>
      </c>
    </row>
    <row r="1193" spans="1:52" s="29" customFormat="1" ht="15" customHeight="1">
      <c r="A1193" s="59" t="s">
        <v>368</v>
      </c>
      <c r="B1193" s="27">
        <v>2010</v>
      </c>
      <c r="C1193" s="27" t="s">
        <v>357</v>
      </c>
      <c r="D1193" s="27" t="s">
        <v>238</v>
      </c>
      <c r="E1193" s="27" t="s">
        <v>19</v>
      </c>
      <c r="F1193" s="27" t="s">
        <v>1637</v>
      </c>
      <c r="G1193" s="43">
        <v>20</v>
      </c>
      <c r="H1193" s="43"/>
      <c r="I1193" s="43"/>
      <c r="J1193" s="43"/>
      <c r="K1193" s="27" t="s">
        <v>567</v>
      </c>
      <c r="L1193" s="28">
        <v>166.5</v>
      </c>
      <c r="M1193" s="27" t="s">
        <v>568</v>
      </c>
      <c r="N1193" s="27" t="s">
        <v>1681</v>
      </c>
      <c r="O1193" s="18">
        <f>G1193*L1193</f>
        <v>3330</v>
      </c>
      <c r="P1193" s="214"/>
      <c r="Q1193" s="214"/>
      <c r="R1193" s="27"/>
      <c r="S1193" s="27"/>
      <c r="T1193" s="27"/>
      <c r="U1193" s="27"/>
      <c r="V1193" s="27"/>
      <c r="W1193" s="30"/>
      <c r="X1193" s="27"/>
      <c r="Y1193" s="27"/>
      <c r="Z1193" s="27"/>
      <c r="AA1193" s="27"/>
      <c r="AB1193" s="27"/>
      <c r="AC1193" s="273">
        <v>943183886</v>
      </c>
      <c r="AD1193" s="27">
        <v>6200357070.1147966</v>
      </c>
      <c r="AE1193" s="228">
        <v>0.15211767247181096</v>
      </c>
      <c r="AF1193" s="27">
        <v>1708074365.6752243</v>
      </c>
      <c r="AG1193" s="226">
        <v>0.55219134772691647</v>
      </c>
      <c r="AH1193" s="226" t="s">
        <v>2842</v>
      </c>
      <c r="AI1193" s="27">
        <v>302760000</v>
      </c>
      <c r="AJ1193" s="226">
        <v>3.115285658607478</v>
      </c>
      <c r="AK1193" s="27">
        <v>241576891.90049392</v>
      </c>
      <c r="AL1193" s="226">
        <v>3.9042802421205902</v>
      </c>
      <c r="AM1193" s="27">
        <v>333949991.72496891</v>
      </c>
      <c r="AN1193" s="271">
        <v>2.8243267236753749</v>
      </c>
      <c r="AO1193" s="27">
        <v>2712738</v>
      </c>
      <c r="AP1193" s="27">
        <v>38.700000000000003</v>
      </c>
      <c r="AQ1193" s="27">
        <v>66.894609756097566</v>
      </c>
      <c r="AR1193" s="27">
        <v>29.3</v>
      </c>
      <c r="AS1193" s="29">
        <v>98.975020000000001</v>
      </c>
      <c r="AT1193" s="270">
        <v>39</v>
      </c>
      <c r="AU1193" s="464">
        <v>50.953024059451757</v>
      </c>
      <c r="AV1193" s="29">
        <v>4.4599470651139603E-2</v>
      </c>
      <c r="AW1193" s="29">
        <v>0.590470204518041</v>
      </c>
      <c r="AX1193" s="29">
        <v>-0.57232558761858399</v>
      </c>
      <c r="AY1193" s="29">
        <v>-0.22521774246305401</v>
      </c>
      <c r="AZ1193" s="60">
        <v>-0.73017292546653501</v>
      </c>
    </row>
    <row r="1194" spans="1:52" s="29" customFormat="1" ht="15" customHeight="1">
      <c r="A1194" s="59" t="s">
        <v>368</v>
      </c>
      <c r="B1194" s="27">
        <v>2010</v>
      </c>
      <c r="C1194" s="27" t="s">
        <v>357</v>
      </c>
      <c r="D1194" s="27" t="s">
        <v>238</v>
      </c>
      <c r="E1194" s="27" t="s">
        <v>19</v>
      </c>
      <c r="F1194" s="27" t="s">
        <v>1353</v>
      </c>
      <c r="G1194" s="43"/>
      <c r="H1194" s="43"/>
      <c r="I1194" s="43"/>
      <c r="J1194" s="43"/>
      <c r="K1194" s="27"/>
      <c r="L1194" s="28"/>
      <c r="M1194" s="27"/>
      <c r="N1194" s="27"/>
      <c r="O1194" s="18"/>
      <c r="P1194" s="214">
        <v>576441.96557361283</v>
      </c>
      <c r="Q1194" s="214">
        <v>576441.96557361283</v>
      </c>
      <c r="R1194" s="18"/>
      <c r="S1194" s="28"/>
      <c r="T1194" s="27"/>
      <c r="U1194" s="18"/>
      <c r="V1194" s="18"/>
      <c r="W1194" s="30"/>
      <c r="X1194" s="27"/>
      <c r="Y1194" s="27"/>
      <c r="Z1194" s="27"/>
      <c r="AA1194" s="27" t="s">
        <v>1704</v>
      </c>
      <c r="AB1194" s="27" t="s">
        <v>1678</v>
      </c>
      <c r="AC1194" s="273">
        <v>943183886</v>
      </c>
      <c r="AD1194" s="27">
        <v>6200357070.1147966</v>
      </c>
      <c r="AE1194" s="228">
        <v>0.15211767247181096</v>
      </c>
      <c r="AF1194" s="27">
        <v>1708074365.6752243</v>
      </c>
      <c r="AG1194" s="226">
        <v>0.55219134772691647</v>
      </c>
      <c r="AH1194" s="226" t="s">
        <v>2842</v>
      </c>
      <c r="AI1194" s="27">
        <v>302760000</v>
      </c>
      <c r="AJ1194" s="226">
        <v>3.115285658607478</v>
      </c>
      <c r="AK1194" s="27">
        <v>241576891.90049392</v>
      </c>
      <c r="AL1194" s="226">
        <v>3.9042802421205902</v>
      </c>
      <c r="AM1194" s="27">
        <v>333949991.72496891</v>
      </c>
      <c r="AN1194" s="271">
        <v>2.8243267236753749</v>
      </c>
      <c r="AO1194" s="27">
        <v>2712738</v>
      </c>
      <c r="AP1194" s="27">
        <v>38.700000000000003</v>
      </c>
      <c r="AQ1194" s="27">
        <v>66.894609756097566</v>
      </c>
      <c r="AR1194" s="27">
        <v>29.3</v>
      </c>
      <c r="AS1194" s="29">
        <v>98.975020000000001</v>
      </c>
      <c r="AT1194" s="270">
        <v>39</v>
      </c>
      <c r="AU1194" s="464">
        <v>50.953024059451757</v>
      </c>
      <c r="AV1194" s="29">
        <v>4.4599470651139603E-2</v>
      </c>
      <c r="AW1194" s="29">
        <v>0.590470204518041</v>
      </c>
      <c r="AX1194" s="29">
        <v>-0.57232558761858399</v>
      </c>
      <c r="AY1194" s="29">
        <v>-0.22521774246305401</v>
      </c>
      <c r="AZ1194" s="60">
        <v>-0.73017292546653501</v>
      </c>
    </row>
    <row r="1195" spans="1:52" s="287" customFormat="1" ht="15" customHeight="1">
      <c r="A1195" s="344" t="s">
        <v>370</v>
      </c>
      <c r="B1195" s="284">
        <v>2011</v>
      </c>
      <c r="C1195" s="284" t="s">
        <v>357</v>
      </c>
      <c r="D1195" s="284" t="s">
        <v>238</v>
      </c>
      <c r="E1195" s="284" t="s">
        <v>19</v>
      </c>
      <c r="F1195" s="284" t="s">
        <v>1705</v>
      </c>
      <c r="G1195" s="303">
        <f>112600*0.90718474</f>
        <v>102149.001724</v>
      </c>
      <c r="H1195" s="303">
        <f>112600*0.90718474</f>
        <v>102149.001724</v>
      </c>
      <c r="I1195" s="303"/>
      <c r="J1195" s="303"/>
      <c r="K1195" s="284" t="s">
        <v>567</v>
      </c>
      <c r="L1195" s="304">
        <v>1117.79</v>
      </c>
      <c r="M1195" s="284" t="s">
        <v>568</v>
      </c>
      <c r="N1195" s="284" t="s">
        <v>1685</v>
      </c>
      <c r="O1195" s="305">
        <f>G1195*L1195</f>
        <v>114181132.63706996</v>
      </c>
      <c r="P1195" s="346"/>
      <c r="Q1195" s="346"/>
      <c r="R1195" s="284"/>
      <c r="S1195" s="284"/>
      <c r="T1195" s="284"/>
      <c r="U1195" s="284"/>
      <c r="V1195" s="284"/>
      <c r="W1195" s="307"/>
      <c r="X1195" s="284"/>
      <c r="Y1195" s="284"/>
      <c r="Z1195" s="284"/>
      <c r="AA1195" s="284"/>
      <c r="AB1195" s="284"/>
      <c r="AC1195" s="308">
        <v>1716796513</v>
      </c>
      <c r="AD1195" s="284">
        <v>8761426370.5587749</v>
      </c>
      <c r="AE1195" s="309">
        <v>0.19594943110735841</v>
      </c>
      <c r="AF1195" s="284">
        <v>2959434599.4473433</v>
      </c>
      <c r="AG1195" s="310">
        <v>0.58010963084658174</v>
      </c>
      <c r="AH1195" s="310" t="s">
        <v>2842</v>
      </c>
      <c r="AI1195" s="284">
        <v>350600000</v>
      </c>
      <c r="AJ1195" s="310">
        <v>4.8967384854535085</v>
      </c>
      <c r="AK1195" s="284">
        <v>330918657.00253373</v>
      </c>
      <c r="AL1195" s="310">
        <v>5.1879713538993819</v>
      </c>
      <c r="AM1195" s="284">
        <v>479790602.47662842</v>
      </c>
      <c r="AN1195" s="311">
        <v>3.5782203822627574</v>
      </c>
      <c r="AO1195" s="284">
        <v>2754209</v>
      </c>
      <c r="AP1195" s="284">
        <v>33.700000000000003</v>
      </c>
      <c r="AQ1195" s="284">
        <v>67.124707317073174</v>
      </c>
      <c r="AR1195" s="284">
        <v>28.2</v>
      </c>
      <c r="AS1195" s="287">
        <v>99.173749999999998</v>
      </c>
      <c r="AT1195" s="312">
        <v>39</v>
      </c>
      <c r="AU1195" s="465">
        <v>50.953024059451757</v>
      </c>
      <c r="AV1195" s="287">
        <v>-4.6979206513607097E-3</v>
      </c>
      <c r="AW1195" s="287">
        <v>0.60017512899051295</v>
      </c>
      <c r="AX1195" s="287">
        <v>-0.57850233098383497</v>
      </c>
      <c r="AY1195" s="287">
        <v>-0.20473166608686499</v>
      </c>
      <c r="AZ1195" s="313">
        <v>-0.67521859645444104</v>
      </c>
    </row>
    <row r="1196" spans="1:52" ht="15" customHeight="1">
      <c r="A1196" s="332" t="s">
        <v>370</v>
      </c>
      <c r="B1196" s="27">
        <v>2011</v>
      </c>
      <c r="C1196" s="27" t="s">
        <v>357</v>
      </c>
      <c r="D1196" s="27" t="s">
        <v>238</v>
      </c>
      <c r="E1196" s="27" t="s">
        <v>36</v>
      </c>
      <c r="F1196" s="27" t="s">
        <v>659</v>
      </c>
      <c r="G1196" s="43"/>
      <c r="H1196" s="43"/>
      <c r="I1196" s="43"/>
      <c r="J1196" s="43"/>
      <c r="K1196" s="27"/>
      <c r="L1196" s="28"/>
      <c r="M1196" s="27"/>
      <c r="N1196" s="27"/>
      <c r="O1196" s="18">
        <f>O1197+O1198</f>
        <v>4840137794.7793913</v>
      </c>
      <c r="P1196" s="214">
        <v>1716796513</v>
      </c>
      <c r="Q1196" s="214">
        <v>1716856381</v>
      </c>
      <c r="R1196" s="27" t="s">
        <v>3693</v>
      </c>
      <c r="S1196" s="29" t="s">
        <v>1698</v>
      </c>
      <c r="T1196" s="18">
        <v>5072799</v>
      </c>
      <c r="U1196" s="27" t="s">
        <v>1706</v>
      </c>
      <c r="V1196" s="27" t="s">
        <v>1618</v>
      </c>
      <c r="W1196" s="30">
        <v>1252.76</v>
      </c>
      <c r="X1196" s="27">
        <v>200</v>
      </c>
      <c r="Y1196" s="27" t="s">
        <v>1707</v>
      </c>
      <c r="Z1196" s="27">
        <v>200</v>
      </c>
      <c r="AA1196" s="27">
        <v>6</v>
      </c>
      <c r="AB1196" s="27" t="s">
        <v>1708</v>
      </c>
      <c r="AC1196" s="273">
        <v>1716796513</v>
      </c>
      <c r="AD1196" s="27">
        <v>8761426370.5587749</v>
      </c>
      <c r="AE1196" s="228">
        <v>0.19594943110735841</v>
      </c>
      <c r="AF1196" s="27">
        <v>2959434599.4473433</v>
      </c>
      <c r="AG1196" s="226">
        <v>0.58010963084658174</v>
      </c>
      <c r="AH1196" s="226" t="s">
        <v>2842</v>
      </c>
      <c r="AI1196" s="27">
        <v>350600000</v>
      </c>
      <c r="AJ1196" s="226">
        <v>4.8967384854535085</v>
      </c>
      <c r="AK1196" s="27">
        <v>330918657.00253373</v>
      </c>
      <c r="AL1196" s="226">
        <v>5.1879713538993819</v>
      </c>
      <c r="AM1196" s="27">
        <v>479790602.47662842</v>
      </c>
      <c r="AN1196" s="271">
        <v>3.5782203822627574</v>
      </c>
      <c r="AO1196" s="27">
        <v>2754209</v>
      </c>
      <c r="AP1196" s="27">
        <v>33.700000000000003</v>
      </c>
      <c r="AQ1196" s="27">
        <v>67.124707317073174</v>
      </c>
      <c r="AR1196" s="27">
        <v>28.2</v>
      </c>
      <c r="AS1196" s="29">
        <v>99.173749999999998</v>
      </c>
      <c r="AT1196" s="270">
        <v>39</v>
      </c>
      <c r="AU1196" s="464">
        <v>50.953024059451757</v>
      </c>
      <c r="AV1196" s="29">
        <v>-4.6979206513607097E-3</v>
      </c>
      <c r="AW1196" s="29">
        <v>0.60017512899051295</v>
      </c>
      <c r="AX1196" s="29">
        <v>-0.57850233098383497</v>
      </c>
      <c r="AY1196" s="29">
        <v>-0.20473166608686499</v>
      </c>
      <c r="AZ1196" s="60">
        <v>-0.67521859645444104</v>
      </c>
    </row>
    <row r="1197" spans="1:52" ht="15" customHeight="1">
      <c r="A1197" s="59" t="s">
        <v>370</v>
      </c>
      <c r="B1197" s="27">
        <v>2011</v>
      </c>
      <c r="C1197" s="27" t="s">
        <v>357</v>
      </c>
      <c r="D1197" s="27" t="s">
        <v>238</v>
      </c>
      <c r="E1197" s="27" t="s">
        <v>98</v>
      </c>
      <c r="F1197" s="27" t="s">
        <v>98</v>
      </c>
      <c r="G1197" s="43">
        <v>2548900</v>
      </c>
      <c r="H1197" s="43">
        <v>2548900</v>
      </c>
      <c r="I1197" s="43"/>
      <c r="J1197" s="43"/>
      <c r="K1197" s="27" t="s">
        <v>603</v>
      </c>
      <c r="L1197" s="28">
        <v>99.25</v>
      </c>
      <c r="M1197" s="27" t="s">
        <v>626</v>
      </c>
      <c r="N1197" s="27" t="s">
        <v>1709</v>
      </c>
      <c r="O1197" s="18">
        <f>G1197*L1197</f>
        <v>252978325</v>
      </c>
      <c r="P1197" s="214">
        <v>67098007.599220924</v>
      </c>
      <c r="Q1197" s="214"/>
      <c r="R1197" s="79"/>
      <c r="S1197" s="27"/>
      <c r="T1197" s="27"/>
      <c r="U1197" s="18"/>
      <c r="V1197" s="18"/>
      <c r="W1197" s="72"/>
      <c r="X1197" s="27">
        <v>13</v>
      </c>
      <c r="Y1197" s="27" t="s">
        <v>1710</v>
      </c>
      <c r="Z1197" s="27">
        <v>13</v>
      </c>
      <c r="AA1197" s="54" t="s">
        <v>1711</v>
      </c>
      <c r="AB1197" s="27"/>
      <c r="AC1197" s="273">
        <v>1716796513</v>
      </c>
      <c r="AD1197" s="27">
        <v>8761426370.5587749</v>
      </c>
      <c r="AE1197" s="228">
        <v>0.19594943110735841</v>
      </c>
      <c r="AF1197" s="27">
        <v>2959434599.4473433</v>
      </c>
      <c r="AG1197" s="226">
        <v>0.58010963084658174</v>
      </c>
      <c r="AH1197" s="226" t="s">
        <v>2842</v>
      </c>
      <c r="AI1197" s="27">
        <v>350600000</v>
      </c>
      <c r="AJ1197" s="226">
        <v>4.8967384854535085</v>
      </c>
      <c r="AK1197" s="27">
        <v>330918657.00253373</v>
      </c>
      <c r="AL1197" s="226">
        <v>5.1879713538993819</v>
      </c>
      <c r="AM1197" s="27">
        <v>479790602.47662842</v>
      </c>
      <c r="AN1197" s="271">
        <v>3.5782203822627574</v>
      </c>
      <c r="AO1197" s="27">
        <v>2754209</v>
      </c>
      <c r="AP1197" s="27">
        <v>33.700000000000003</v>
      </c>
      <c r="AQ1197" s="27">
        <v>67.124707317073174</v>
      </c>
      <c r="AR1197" s="27">
        <v>28.2</v>
      </c>
      <c r="AS1197" s="29">
        <v>99.173749999999998</v>
      </c>
      <c r="AT1197" s="270">
        <v>39</v>
      </c>
      <c r="AU1197" s="464">
        <v>50.953024059451757</v>
      </c>
      <c r="AV1197" s="29">
        <v>-4.6979206513607097E-3</v>
      </c>
      <c r="AW1197" s="29">
        <v>0.60017512899051295</v>
      </c>
      <c r="AX1197" s="29">
        <v>-0.57850233098383497</v>
      </c>
      <c r="AY1197" s="29">
        <v>-0.20473166608686499</v>
      </c>
      <c r="AZ1197" s="60">
        <v>-0.67521859645444104</v>
      </c>
    </row>
    <row r="1198" spans="1:52" ht="15" customHeight="1">
      <c r="A1198" s="59" t="s">
        <v>370</v>
      </c>
      <c r="B1198" s="27">
        <v>2011</v>
      </c>
      <c r="C1198" s="27" t="s">
        <v>357</v>
      </c>
      <c r="D1198" s="27" t="s">
        <v>238</v>
      </c>
      <c r="E1198" s="27" t="s">
        <v>19</v>
      </c>
      <c r="F1198" s="27" t="s">
        <v>559</v>
      </c>
      <c r="G1198" s="43"/>
      <c r="H1198" s="43"/>
      <c r="I1198" s="43"/>
      <c r="J1198" s="43"/>
      <c r="K1198" s="27"/>
      <c r="L1198" s="28"/>
      <c r="M1198" s="27"/>
      <c r="N1198" s="27"/>
      <c r="O1198" s="18">
        <f>SUM(O1199:O1209)</f>
        <v>4587159469.7793913</v>
      </c>
      <c r="P1198" s="214">
        <v>1649698505.400779</v>
      </c>
      <c r="Q1198" s="214"/>
      <c r="R1198" s="79"/>
      <c r="S1198" s="27"/>
      <c r="T1198" s="29"/>
      <c r="U1198" s="27"/>
      <c r="V1198" s="27"/>
      <c r="W1198" s="30"/>
      <c r="X1198" s="27">
        <v>187</v>
      </c>
      <c r="Y1198" s="27" t="s">
        <v>1712</v>
      </c>
      <c r="Z1198" s="27">
        <v>187</v>
      </c>
      <c r="AA1198" s="81"/>
      <c r="AB1198" s="27"/>
      <c r="AC1198" s="273">
        <v>1716796513</v>
      </c>
      <c r="AD1198" s="27">
        <v>8761426370.5587749</v>
      </c>
      <c r="AE1198" s="228">
        <v>0.19594943110735841</v>
      </c>
      <c r="AF1198" s="27">
        <v>2959434599.4473433</v>
      </c>
      <c r="AG1198" s="226">
        <v>0.58010963084658174</v>
      </c>
      <c r="AH1198" s="226" t="s">
        <v>2842</v>
      </c>
      <c r="AI1198" s="27">
        <v>350600000</v>
      </c>
      <c r="AJ1198" s="226">
        <v>4.8967384854535085</v>
      </c>
      <c r="AK1198" s="27">
        <v>330918657.00253373</v>
      </c>
      <c r="AL1198" s="226">
        <v>5.1879713538993819</v>
      </c>
      <c r="AM1198" s="27">
        <v>479790602.47662842</v>
      </c>
      <c r="AN1198" s="271">
        <v>3.5782203822627574</v>
      </c>
      <c r="AO1198" s="27">
        <v>2754209</v>
      </c>
      <c r="AP1198" s="27">
        <v>33.700000000000003</v>
      </c>
      <c r="AQ1198" s="27">
        <v>67.124707317073174</v>
      </c>
      <c r="AR1198" s="27">
        <v>28.2</v>
      </c>
      <c r="AS1198" s="29">
        <v>99.173749999999998</v>
      </c>
      <c r="AT1198" s="270">
        <v>39</v>
      </c>
      <c r="AU1198" s="464">
        <v>50.953024059451757</v>
      </c>
      <c r="AV1198" s="29">
        <v>-4.6979206513607097E-3</v>
      </c>
      <c r="AW1198" s="29">
        <v>0.60017512899051295</v>
      </c>
      <c r="AX1198" s="29">
        <v>-0.57850233098383497</v>
      </c>
      <c r="AY1198" s="29">
        <v>-0.20473166608686499</v>
      </c>
      <c r="AZ1198" s="60">
        <v>-0.67521859645444104</v>
      </c>
    </row>
    <row r="1199" spans="1:52" ht="15" customHeight="1">
      <c r="A1199" s="59" t="s">
        <v>370</v>
      </c>
      <c r="B1199" s="27">
        <v>2011</v>
      </c>
      <c r="C1199" s="27" t="s">
        <v>357</v>
      </c>
      <c r="D1199" s="27" t="s">
        <v>238</v>
      </c>
      <c r="E1199" s="27" t="s">
        <v>19</v>
      </c>
      <c r="F1199" s="27" t="s">
        <v>573</v>
      </c>
      <c r="G1199" s="43">
        <f>32029700*0.90718474</f>
        <v>29056855.066778</v>
      </c>
      <c r="H1199" s="43">
        <f>32029700*0.90718474</f>
        <v>29056855.066778</v>
      </c>
      <c r="I1199" s="43"/>
      <c r="J1199" s="43"/>
      <c r="K1199" s="27" t="s">
        <v>567</v>
      </c>
      <c r="L1199" s="28">
        <v>106.61</v>
      </c>
      <c r="M1199" s="27" t="s">
        <v>568</v>
      </c>
      <c r="N1199" s="27" t="s">
        <v>1709</v>
      </c>
      <c r="O1199" s="18">
        <f>G1199*L1199</f>
        <v>3097751318.6692028</v>
      </c>
      <c r="P1199" s="214">
        <v>683940259.90612721</v>
      </c>
      <c r="Q1199" s="214"/>
      <c r="R1199" s="18"/>
      <c r="S1199" s="27"/>
      <c r="T1199" s="28"/>
      <c r="U1199" s="18"/>
      <c r="V1199" s="18"/>
      <c r="W1199" s="30"/>
      <c r="X1199" s="27"/>
      <c r="Y1199" s="27"/>
      <c r="Z1199" s="27"/>
      <c r="AA1199" s="54" t="s">
        <v>1711</v>
      </c>
      <c r="AB1199" s="27"/>
      <c r="AC1199" s="273">
        <v>1716796513</v>
      </c>
      <c r="AD1199" s="27">
        <v>8761426370.5587749</v>
      </c>
      <c r="AE1199" s="228">
        <v>0.19594943110735841</v>
      </c>
      <c r="AF1199" s="27">
        <v>2959434599.4473433</v>
      </c>
      <c r="AG1199" s="226">
        <v>0.58010963084658174</v>
      </c>
      <c r="AH1199" s="226" t="s">
        <v>2842</v>
      </c>
      <c r="AI1199" s="27">
        <v>350600000</v>
      </c>
      <c r="AJ1199" s="226">
        <v>4.8967384854535085</v>
      </c>
      <c r="AK1199" s="27">
        <v>330918657.00253373</v>
      </c>
      <c r="AL1199" s="226">
        <v>5.1879713538993819</v>
      </c>
      <c r="AM1199" s="27">
        <v>479790602.47662842</v>
      </c>
      <c r="AN1199" s="271">
        <v>3.5782203822627574</v>
      </c>
      <c r="AO1199" s="27">
        <v>2754209</v>
      </c>
      <c r="AP1199" s="27">
        <v>33.700000000000003</v>
      </c>
      <c r="AQ1199" s="27">
        <v>67.124707317073174</v>
      </c>
      <c r="AR1199" s="27">
        <v>28.2</v>
      </c>
      <c r="AS1199" s="29">
        <v>99.173749999999998</v>
      </c>
      <c r="AT1199" s="270">
        <v>39</v>
      </c>
      <c r="AU1199" s="464">
        <v>50.953024059451757</v>
      </c>
      <c r="AV1199" s="29">
        <v>-4.6979206513607097E-3</v>
      </c>
      <c r="AW1199" s="29">
        <v>0.60017512899051295</v>
      </c>
      <c r="AX1199" s="29">
        <v>-0.57850233098383497</v>
      </c>
      <c r="AY1199" s="29">
        <v>-0.20473166608686499</v>
      </c>
      <c r="AZ1199" s="60">
        <v>-0.67521859645444104</v>
      </c>
    </row>
    <row r="1200" spans="1:52" ht="15" customHeight="1">
      <c r="A1200" s="59" t="s">
        <v>370</v>
      </c>
      <c r="B1200" s="27">
        <v>2011</v>
      </c>
      <c r="C1200" s="27" t="s">
        <v>357</v>
      </c>
      <c r="D1200" s="27" t="s">
        <v>238</v>
      </c>
      <c r="E1200" s="27" t="s">
        <v>19</v>
      </c>
      <c r="F1200" s="27" t="s">
        <v>1690</v>
      </c>
      <c r="G1200" s="43">
        <f>347400*0.90718474</f>
        <v>315155.97867600003</v>
      </c>
      <c r="H1200" s="43">
        <f>347400*0.90718474</f>
        <v>315155.97867600003</v>
      </c>
      <c r="I1200" s="43"/>
      <c r="J1200" s="43"/>
      <c r="K1200" s="27" t="s">
        <v>567</v>
      </c>
      <c r="L1200" s="28">
        <v>1681.67</v>
      </c>
      <c r="M1200" s="27" t="s">
        <v>568</v>
      </c>
      <c r="N1200" s="27" t="s">
        <v>1709</v>
      </c>
      <c r="O1200" s="18">
        <f>G1200*L1200</f>
        <v>529988354.66006899</v>
      </c>
      <c r="P1200" s="214"/>
      <c r="Q1200" s="214"/>
      <c r="R1200" s="79"/>
      <c r="S1200" s="27"/>
      <c r="T1200" s="27"/>
      <c r="U1200" s="18"/>
      <c r="V1200" s="18"/>
      <c r="W1200" s="30"/>
      <c r="X1200" s="27"/>
      <c r="Y1200" s="27"/>
      <c r="Z1200" s="27"/>
      <c r="AA1200" s="54" t="s">
        <v>1713</v>
      </c>
      <c r="AB1200" s="27"/>
      <c r="AC1200" s="273">
        <v>1716796513</v>
      </c>
      <c r="AD1200" s="27">
        <v>8761426370.5587749</v>
      </c>
      <c r="AE1200" s="228">
        <v>0.19594943110735841</v>
      </c>
      <c r="AF1200" s="27">
        <v>2959434599.4473433</v>
      </c>
      <c r="AG1200" s="226">
        <v>0.58010963084658174</v>
      </c>
      <c r="AH1200" s="226" t="s">
        <v>2842</v>
      </c>
      <c r="AI1200" s="27">
        <v>350600000</v>
      </c>
      <c r="AJ1200" s="226">
        <v>4.8967384854535085</v>
      </c>
      <c r="AK1200" s="27">
        <v>330918657.00253373</v>
      </c>
      <c r="AL1200" s="226">
        <v>5.1879713538993819</v>
      </c>
      <c r="AM1200" s="27">
        <v>479790602.47662842</v>
      </c>
      <c r="AN1200" s="271">
        <v>3.5782203822627574</v>
      </c>
      <c r="AO1200" s="27">
        <v>2754209</v>
      </c>
      <c r="AP1200" s="27">
        <v>33.700000000000003</v>
      </c>
      <c r="AQ1200" s="27">
        <v>67.124707317073174</v>
      </c>
      <c r="AR1200" s="27">
        <v>28.2</v>
      </c>
      <c r="AS1200" s="29">
        <v>99.173749999999998</v>
      </c>
      <c r="AT1200" s="270">
        <v>39</v>
      </c>
      <c r="AU1200" s="464">
        <v>50.953024059451757</v>
      </c>
      <c r="AV1200" s="29">
        <v>-4.6979206513607097E-3</v>
      </c>
      <c r="AW1200" s="29">
        <v>0.60017512899051295</v>
      </c>
      <c r="AX1200" s="29">
        <v>-0.57850233098383497</v>
      </c>
      <c r="AY1200" s="29">
        <v>-0.20473166608686499</v>
      </c>
      <c r="AZ1200" s="60">
        <v>-0.67521859645444104</v>
      </c>
    </row>
    <row r="1201" spans="1:52" ht="15" customHeight="1">
      <c r="A1201" s="59" t="s">
        <v>370</v>
      </c>
      <c r="B1201" s="27">
        <v>2011</v>
      </c>
      <c r="C1201" s="27" t="s">
        <v>357</v>
      </c>
      <c r="D1201" s="27" t="s">
        <v>238</v>
      </c>
      <c r="E1201" s="27" t="s">
        <v>19</v>
      </c>
      <c r="F1201" s="27" t="s">
        <v>1629</v>
      </c>
      <c r="G1201" s="43">
        <f>775100*0.90718474</f>
        <v>703158.89197400003</v>
      </c>
      <c r="H1201" s="43">
        <f>775100*0.90718474</f>
        <v>703158.89197400003</v>
      </c>
      <c r="I1201" s="43"/>
      <c r="J1201" s="43"/>
      <c r="K1201" s="27" t="s">
        <v>567</v>
      </c>
      <c r="L1201" s="28">
        <v>234.84</v>
      </c>
      <c r="M1201" s="27" t="s">
        <v>568</v>
      </c>
      <c r="N1201" s="27" t="s">
        <v>1709</v>
      </c>
      <c r="O1201" s="18">
        <f>G1201*L1201</f>
        <v>165129834.19117418</v>
      </c>
      <c r="P1201" s="214">
        <v>10587263.322583733</v>
      </c>
      <c r="Q1201" s="214"/>
      <c r="R1201" s="79"/>
      <c r="S1201" s="27"/>
      <c r="T1201" s="27"/>
      <c r="U1201" s="18"/>
      <c r="V1201" s="18"/>
      <c r="W1201" s="30"/>
      <c r="X1201" s="27"/>
      <c r="Y1201" s="27"/>
      <c r="Z1201" s="27"/>
      <c r="AA1201" s="54" t="s">
        <v>1714</v>
      </c>
      <c r="AB1201" s="27"/>
      <c r="AC1201" s="273">
        <v>1716796513</v>
      </c>
      <c r="AD1201" s="27">
        <v>8761426370.5587749</v>
      </c>
      <c r="AE1201" s="228">
        <v>0.19594943110735841</v>
      </c>
      <c r="AF1201" s="27">
        <v>2959434599.4473433</v>
      </c>
      <c r="AG1201" s="226">
        <v>0.58010963084658174</v>
      </c>
      <c r="AH1201" s="226" t="s">
        <v>2842</v>
      </c>
      <c r="AI1201" s="27">
        <v>350600000</v>
      </c>
      <c r="AJ1201" s="226">
        <v>4.8967384854535085</v>
      </c>
      <c r="AK1201" s="27">
        <v>330918657.00253373</v>
      </c>
      <c r="AL1201" s="226">
        <v>5.1879713538993819</v>
      </c>
      <c r="AM1201" s="27">
        <v>479790602.47662842</v>
      </c>
      <c r="AN1201" s="271">
        <v>3.5782203822627574</v>
      </c>
      <c r="AO1201" s="27">
        <v>2754209</v>
      </c>
      <c r="AP1201" s="27">
        <v>33.700000000000003</v>
      </c>
      <c r="AQ1201" s="27">
        <v>67.124707317073174</v>
      </c>
      <c r="AR1201" s="27">
        <v>28.2</v>
      </c>
      <c r="AS1201" s="29">
        <v>99.173749999999998</v>
      </c>
      <c r="AT1201" s="270">
        <v>39</v>
      </c>
      <c r="AU1201" s="464">
        <v>50.953024059451757</v>
      </c>
      <c r="AV1201" s="29">
        <v>-4.6979206513607097E-3</v>
      </c>
      <c r="AW1201" s="29">
        <v>0.60017512899051295</v>
      </c>
      <c r="AX1201" s="29">
        <v>-0.57850233098383497</v>
      </c>
      <c r="AY1201" s="29">
        <v>-0.20473166608686499</v>
      </c>
      <c r="AZ1201" s="60">
        <v>-0.67521859645444104</v>
      </c>
    </row>
    <row r="1202" spans="1:52" ht="15" customHeight="1">
      <c r="A1202" s="59" t="s">
        <v>370</v>
      </c>
      <c r="B1202" s="27">
        <v>2011</v>
      </c>
      <c r="C1202" s="27" t="s">
        <v>357</v>
      </c>
      <c r="D1202" s="27" t="s">
        <v>238</v>
      </c>
      <c r="E1202" s="27" t="s">
        <v>19</v>
      </c>
      <c r="F1202" s="27" t="s">
        <v>730</v>
      </c>
      <c r="G1202" s="43">
        <f>5702.6*32.150743126506</f>
        <v>183342.82775321312</v>
      </c>
      <c r="H1202" s="43">
        <f>5702.6*32.150743126506</f>
        <v>183342.82775321312</v>
      </c>
      <c r="I1202" s="43"/>
      <c r="J1202" s="43"/>
      <c r="K1202" s="27" t="s">
        <v>731</v>
      </c>
      <c r="L1202" s="28">
        <f>37682333.33/32150.7466</f>
        <v>1172.0515793558586</v>
      </c>
      <c r="M1202" s="27" t="s">
        <v>732</v>
      </c>
      <c r="N1202" s="27" t="s">
        <v>1709</v>
      </c>
      <c r="O1202" s="18">
        <f>G1202*L1202</f>
        <v>214887250.83172259</v>
      </c>
      <c r="P1202" s="214">
        <v>45860739.487212233</v>
      </c>
      <c r="Q1202" s="214"/>
      <c r="R1202" s="79"/>
      <c r="S1202" s="27"/>
      <c r="T1202" s="27"/>
      <c r="U1202" s="18"/>
      <c r="V1202" s="18"/>
      <c r="W1202" s="30"/>
      <c r="X1202" s="27"/>
      <c r="Y1202" s="27"/>
      <c r="Z1202" s="27"/>
      <c r="AA1202" s="54" t="s">
        <v>1714</v>
      </c>
      <c r="AB1202" s="27"/>
      <c r="AC1202" s="273">
        <v>1716796513</v>
      </c>
      <c r="AD1202" s="27">
        <v>8761426370.5587749</v>
      </c>
      <c r="AE1202" s="228">
        <v>0.19594943110735841</v>
      </c>
      <c r="AF1202" s="27">
        <v>2959434599.4473433</v>
      </c>
      <c r="AG1202" s="226">
        <v>0.58010963084658174</v>
      </c>
      <c r="AH1202" s="226" t="s">
        <v>2842</v>
      </c>
      <c r="AI1202" s="27">
        <v>350600000</v>
      </c>
      <c r="AJ1202" s="226">
        <v>4.8967384854535085</v>
      </c>
      <c r="AK1202" s="27">
        <v>330918657.00253373</v>
      </c>
      <c r="AL1202" s="226">
        <v>5.1879713538993819</v>
      </c>
      <c r="AM1202" s="27">
        <v>479790602.47662842</v>
      </c>
      <c r="AN1202" s="271">
        <v>3.5782203822627574</v>
      </c>
      <c r="AO1202" s="27">
        <v>2754209</v>
      </c>
      <c r="AP1202" s="27">
        <v>33.700000000000003</v>
      </c>
      <c r="AQ1202" s="27">
        <v>67.124707317073174</v>
      </c>
      <c r="AR1202" s="27">
        <v>28.2</v>
      </c>
      <c r="AS1202" s="29">
        <v>99.173749999999998</v>
      </c>
      <c r="AT1202" s="270">
        <v>39</v>
      </c>
      <c r="AU1202" s="464">
        <v>50.953024059451757</v>
      </c>
      <c r="AV1202" s="29">
        <v>-4.6979206513607097E-3</v>
      </c>
      <c r="AW1202" s="29">
        <v>0.60017512899051295</v>
      </c>
      <c r="AX1202" s="29">
        <v>-0.57850233098383497</v>
      </c>
      <c r="AY1202" s="29">
        <v>-0.20473166608686499</v>
      </c>
      <c r="AZ1202" s="60">
        <v>-0.67521859645444104</v>
      </c>
    </row>
    <row r="1203" spans="1:52" ht="15" customHeight="1">
      <c r="A1203" s="59" t="s">
        <v>370</v>
      </c>
      <c r="B1203" s="27">
        <v>2011</v>
      </c>
      <c r="C1203" s="27" t="s">
        <v>357</v>
      </c>
      <c r="D1203" s="27" t="s">
        <v>238</v>
      </c>
      <c r="E1203" s="27" t="s">
        <v>19</v>
      </c>
      <c r="F1203" s="27" t="s">
        <v>1196</v>
      </c>
      <c r="G1203" s="43">
        <f>5678300*0.90718474</f>
        <v>5151267.1091419999</v>
      </c>
      <c r="H1203" s="43">
        <f>5678300*0.90718474</f>
        <v>5151267.1091419999</v>
      </c>
      <c r="I1203" s="43"/>
      <c r="J1203" s="43"/>
      <c r="K1203" s="27" t="s">
        <v>567</v>
      </c>
      <c r="L1203" s="28">
        <v>76.02</v>
      </c>
      <c r="M1203" s="27" t="s">
        <v>568</v>
      </c>
      <c r="N1203" s="27" t="s">
        <v>1709</v>
      </c>
      <c r="O1203" s="18">
        <f>G1203*L1203</f>
        <v>391599325.63697481</v>
      </c>
      <c r="P1203" s="214">
        <v>53682828.3150803</v>
      </c>
      <c r="Q1203" s="214"/>
      <c r="R1203" s="79"/>
      <c r="S1203" s="27"/>
      <c r="T1203" s="27"/>
      <c r="U1203" s="18"/>
      <c r="V1203" s="18"/>
      <c r="W1203" s="30"/>
      <c r="X1203" s="27"/>
      <c r="Y1203" s="27"/>
      <c r="Z1203" s="27"/>
      <c r="AA1203" s="54" t="s">
        <v>1714</v>
      </c>
      <c r="AB1203" s="27"/>
      <c r="AC1203" s="273">
        <v>1716796513</v>
      </c>
      <c r="AD1203" s="27">
        <v>8761426370.5587749</v>
      </c>
      <c r="AE1203" s="228">
        <v>0.19594943110735841</v>
      </c>
      <c r="AF1203" s="27">
        <v>2959434599.4473433</v>
      </c>
      <c r="AG1203" s="226">
        <v>0.58010963084658174</v>
      </c>
      <c r="AH1203" s="226" t="s">
        <v>2842</v>
      </c>
      <c r="AI1203" s="27">
        <v>350600000</v>
      </c>
      <c r="AJ1203" s="226">
        <v>4.8967384854535085</v>
      </c>
      <c r="AK1203" s="27">
        <v>330918657.00253373</v>
      </c>
      <c r="AL1203" s="226">
        <v>5.1879713538993819</v>
      </c>
      <c r="AM1203" s="27">
        <v>479790602.47662842</v>
      </c>
      <c r="AN1203" s="271">
        <v>3.5782203822627574</v>
      </c>
      <c r="AO1203" s="27">
        <v>2754209</v>
      </c>
      <c r="AP1203" s="27">
        <v>33.700000000000003</v>
      </c>
      <c r="AQ1203" s="27">
        <v>67.124707317073174</v>
      </c>
      <c r="AR1203" s="27">
        <v>28.2</v>
      </c>
      <c r="AS1203" s="29">
        <v>99.173749999999998</v>
      </c>
      <c r="AT1203" s="270">
        <v>39</v>
      </c>
      <c r="AU1203" s="464">
        <v>50.953024059451757</v>
      </c>
      <c r="AV1203" s="29">
        <v>-4.6979206513607097E-3</v>
      </c>
      <c r="AW1203" s="29">
        <v>0.60017512899051295</v>
      </c>
      <c r="AX1203" s="29">
        <v>-0.57850233098383497</v>
      </c>
      <c r="AY1203" s="29">
        <v>-0.20473166608686499</v>
      </c>
      <c r="AZ1203" s="60">
        <v>-0.67521859645444104</v>
      </c>
    </row>
    <row r="1204" spans="1:52" ht="15" customHeight="1">
      <c r="A1204" s="59" t="s">
        <v>370</v>
      </c>
      <c r="B1204" s="27">
        <v>2011</v>
      </c>
      <c r="C1204" s="27" t="s">
        <v>357</v>
      </c>
      <c r="D1204" s="27" t="s">
        <v>238</v>
      </c>
      <c r="E1204" s="27" t="s">
        <v>19</v>
      </c>
      <c r="F1204" s="27" t="s">
        <v>1360</v>
      </c>
      <c r="G1204" s="43"/>
      <c r="H1204" s="43"/>
      <c r="I1204" s="43"/>
      <c r="J1204" s="43"/>
      <c r="K1204" s="27"/>
      <c r="L1204" s="28"/>
      <c r="M1204" s="27"/>
      <c r="N1204" s="27"/>
      <c r="O1204" s="18"/>
      <c r="P1204" s="214">
        <v>10037616.14355503</v>
      </c>
      <c r="Q1204" s="214"/>
      <c r="R1204" s="79"/>
      <c r="S1204" s="27"/>
      <c r="T1204" s="27"/>
      <c r="U1204" s="29"/>
      <c r="V1204" s="18"/>
      <c r="W1204" s="30"/>
      <c r="X1204" s="27"/>
      <c r="Y1204" s="27"/>
      <c r="Z1204" s="27"/>
      <c r="AA1204" s="54"/>
      <c r="AB1204" s="27" t="s">
        <v>1678</v>
      </c>
      <c r="AC1204" s="273">
        <v>1716796513</v>
      </c>
      <c r="AD1204" s="27">
        <v>8761426370.5587749</v>
      </c>
      <c r="AE1204" s="228">
        <v>0.19594943110735841</v>
      </c>
      <c r="AF1204" s="27">
        <v>2959434599.4473433</v>
      </c>
      <c r="AG1204" s="226">
        <v>0.58010963084658174</v>
      </c>
      <c r="AH1204" s="226" t="s">
        <v>2842</v>
      </c>
      <c r="AI1204" s="27">
        <v>350600000</v>
      </c>
      <c r="AJ1204" s="226">
        <v>4.8967384854535085</v>
      </c>
      <c r="AK1204" s="27">
        <v>330918657.00253373</v>
      </c>
      <c r="AL1204" s="226">
        <v>5.1879713538993819</v>
      </c>
      <c r="AM1204" s="27">
        <v>479790602.47662842</v>
      </c>
      <c r="AN1204" s="271">
        <v>3.5782203822627574</v>
      </c>
      <c r="AO1204" s="27">
        <v>2754209</v>
      </c>
      <c r="AP1204" s="27">
        <v>33.700000000000003</v>
      </c>
      <c r="AQ1204" s="27">
        <v>67.124707317073174</v>
      </c>
      <c r="AR1204" s="27">
        <v>28.2</v>
      </c>
      <c r="AS1204" s="29">
        <v>99.173749999999998</v>
      </c>
      <c r="AT1204" s="270">
        <v>39</v>
      </c>
      <c r="AU1204" s="464">
        <v>50.953024059451757</v>
      </c>
      <c r="AV1204" s="29">
        <v>-4.6979206513607097E-3</v>
      </c>
      <c r="AW1204" s="29">
        <v>0.60017512899051295</v>
      </c>
      <c r="AX1204" s="29">
        <v>-0.57850233098383497</v>
      </c>
      <c r="AY1204" s="29">
        <v>-0.20473166608686499</v>
      </c>
      <c r="AZ1204" s="60">
        <v>-0.67521859645444104</v>
      </c>
    </row>
    <row r="1205" spans="1:52" ht="15" customHeight="1">
      <c r="A1205" s="59" t="s">
        <v>370</v>
      </c>
      <c r="B1205" s="27">
        <v>2011</v>
      </c>
      <c r="C1205" s="27" t="s">
        <v>357</v>
      </c>
      <c r="D1205" s="27" t="s">
        <v>238</v>
      </c>
      <c r="E1205" s="27" t="s">
        <v>19</v>
      </c>
      <c r="F1205" s="27" t="s">
        <v>1379</v>
      </c>
      <c r="G1205" s="43">
        <f>4163*0.90718474</f>
        <v>3776.6100726200002</v>
      </c>
      <c r="H1205" s="43">
        <f>4163*0.90718474</f>
        <v>3776.6100726200002</v>
      </c>
      <c r="I1205" s="43"/>
      <c r="J1205" s="43"/>
      <c r="K1205" s="27" t="s">
        <v>567</v>
      </c>
      <c r="L1205" s="28">
        <v>11598.5</v>
      </c>
      <c r="M1205" s="27" t="s">
        <v>568</v>
      </c>
      <c r="N1205" s="27" t="s">
        <v>1709</v>
      </c>
      <c r="O1205" s="18">
        <f>G1205*L1205</f>
        <v>43803011.927283071</v>
      </c>
      <c r="P1205" s="214"/>
      <c r="Q1205" s="214"/>
      <c r="R1205" s="79"/>
      <c r="S1205" s="27"/>
      <c r="T1205" s="27"/>
      <c r="U1205" s="18"/>
      <c r="V1205" s="18"/>
      <c r="W1205" s="30"/>
      <c r="X1205" s="27"/>
      <c r="Y1205" s="27"/>
      <c r="Z1205" s="27"/>
      <c r="AA1205" s="54" t="s">
        <v>1715</v>
      </c>
      <c r="AB1205" s="27"/>
      <c r="AC1205" s="273">
        <v>1716796513</v>
      </c>
      <c r="AD1205" s="27">
        <v>8761426370.5587749</v>
      </c>
      <c r="AE1205" s="228">
        <v>0.19594943110735841</v>
      </c>
      <c r="AF1205" s="27">
        <v>2959434599.4473433</v>
      </c>
      <c r="AG1205" s="226">
        <v>0.58010963084658174</v>
      </c>
      <c r="AH1205" s="226" t="s">
        <v>2842</v>
      </c>
      <c r="AI1205" s="27">
        <v>350600000</v>
      </c>
      <c r="AJ1205" s="226">
        <v>4.8967384854535085</v>
      </c>
      <c r="AK1205" s="27">
        <v>330918657.00253373</v>
      </c>
      <c r="AL1205" s="226">
        <v>5.1879713538993819</v>
      </c>
      <c r="AM1205" s="27">
        <v>479790602.47662842</v>
      </c>
      <c r="AN1205" s="271">
        <v>3.5782203822627574</v>
      </c>
      <c r="AO1205" s="27">
        <v>2754209</v>
      </c>
      <c r="AP1205" s="27">
        <v>33.700000000000003</v>
      </c>
      <c r="AQ1205" s="27">
        <v>67.124707317073174</v>
      </c>
      <c r="AR1205" s="27">
        <v>28.2</v>
      </c>
      <c r="AS1205" s="29">
        <v>99.173749999999998</v>
      </c>
      <c r="AT1205" s="270">
        <v>39</v>
      </c>
      <c r="AU1205" s="464">
        <v>50.953024059451757</v>
      </c>
      <c r="AV1205" s="29">
        <v>-4.6979206513607097E-3</v>
      </c>
      <c r="AW1205" s="29">
        <v>0.60017512899051295</v>
      </c>
      <c r="AX1205" s="29">
        <v>-0.57850233098383497</v>
      </c>
      <c r="AY1205" s="29">
        <v>-0.20473166608686499</v>
      </c>
      <c r="AZ1205" s="60">
        <v>-0.67521859645444104</v>
      </c>
    </row>
    <row r="1206" spans="1:52" ht="15" customHeight="1">
      <c r="A1206" s="59" t="s">
        <v>370</v>
      </c>
      <c r="B1206" s="27">
        <v>2011</v>
      </c>
      <c r="C1206" s="27" t="s">
        <v>357</v>
      </c>
      <c r="D1206" s="27" t="s">
        <v>238</v>
      </c>
      <c r="E1206" s="27" t="s">
        <v>19</v>
      </c>
      <c r="F1206" s="27" t="s">
        <v>735</v>
      </c>
      <c r="G1206" s="43">
        <f>28254*32.150743126506</f>
        <v>908387.09629630053</v>
      </c>
      <c r="H1206" s="43"/>
      <c r="I1206" s="43"/>
      <c r="J1206" s="43"/>
      <c r="K1206" s="27" t="s">
        <v>731</v>
      </c>
      <c r="L1206" s="28">
        <f>35.22411666667/1</f>
        <v>35.22411666667</v>
      </c>
      <c r="M1206" s="27" t="s">
        <v>732</v>
      </c>
      <c r="N1206" s="27" t="s">
        <v>744</v>
      </c>
      <c r="O1206" s="18">
        <f>G1206*L1206</f>
        <v>31997133.058438484</v>
      </c>
      <c r="P1206" s="214"/>
      <c r="Q1206" s="214"/>
      <c r="R1206" s="79"/>
      <c r="S1206" s="27"/>
      <c r="T1206" s="27"/>
      <c r="U1206" s="29"/>
      <c r="V1206" s="18"/>
      <c r="W1206" s="30"/>
      <c r="X1206" s="27"/>
      <c r="Y1206" s="27"/>
      <c r="Z1206" s="27"/>
      <c r="AA1206" s="54"/>
      <c r="AB1206" s="27"/>
      <c r="AC1206" s="273">
        <v>1716796513</v>
      </c>
      <c r="AD1206" s="27">
        <v>8761426370.5587749</v>
      </c>
      <c r="AE1206" s="228">
        <v>0.19594943110735841</v>
      </c>
      <c r="AF1206" s="27">
        <v>2959434599.4473433</v>
      </c>
      <c r="AG1206" s="226">
        <v>0.58010963084658174</v>
      </c>
      <c r="AH1206" s="226" t="s">
        <v>2842</v>
      </c>
      <c r="AI1206" s="27">
        <v>350600000</v>
      </c>
      <c r="AJ1206" s="226">
        <v>4.8967384854535085</v>
      </c>
      <c r="AK1206" s="27">
        <v>330918657.00253373</v>
      </c>
      <c r="AL1206" s="226">
        <v>5.1879713538993819</v>
      </c>
      <c r="AM1206" s="27">
        <v>479790602.47662842</v>
      </c>
      <c r="AN1206" s="271">
        <v>3.5782203822627574</v>
      </c>
      <c r="AO1206" s="27">
        <v>2754209</v>
      </c>
      <c r="AP1206" s="27">
        <v>33.700000000000003</v>
      </c>
      <c r="AQ1206" s="27">
        <v>67.124707317073174</v>
      </c>
      <c r="AR1206" s="27">
        <v>28.2</v>
      </c>
      <c r="AS1206" s="29">
        <v>99.173749999999998</v>
      </c>
      <c r="AT1206" s="270">
        <v>39</v>
      </c>
      <c r="AU1206" s="464">
        <v>50.953024059451757</v>
      </c>
      <c r="AV1206" s="29">
        <v>-4.6979206513607097E-3</v>
      </c>
      <c r="AW1206" s="29">
        <v>0.60017512899051295</v>
      </c>
      <c r="AX1206" s="29">
        <v>-0.57850233098383497</v>
      </c>
      <c r="AY1206" s="29">
        <v>-0.20473166608686499</v>
      </c>
      <c r="AZ1206" s="60">
        <v>-0.67521859645444104</v>
      </c>
    </row>
    <row r="1207" spans="1:52" ht="15" customHeight="1">
      <c r="A1207" s="59" t="s">
        <v>370</v>
      </c>
      <c r="B1207" s="27">
        <v>2011</v>
      </c>
      <c r="C1207" s="27" t="s">
        <v>357</v>
      </c>
      <c r="D1207" s="27" t="s">
        <v>238</v>
      </c>
      <c r="E1207" s="27" t="s">
        <v>19</v>
      </c>
      <c r="F1207" s="27" t="s">
        <v>1637</v>
      </c>
      <c r="G1207" s="43">
        <v>20</v>
      </c>
      <c r="H1207" s="43"/>
      <c r="I1207" s="43"/>
      <c r="J1207" s="43"/>
      <c r="K1207" s="27" t="s">
        <v>567</v>
      </c>
      <c r="L1207" s="28">
        <v>199</v>
      </c>
      <c r="M1207" s="27" t="s">
        <v>568</v>
      </c>
      <c r="N1207" s="27" t="s">
        <v>1681</v>
      </c>
      <c r="O1207" s="18">
        <f>G1207*L1207</f>
        <v>3980</v>
      </c>
      <c r="P1207" s="214"/>
      <c r="Q1207" s="214"/>
      <c r="R1207" s="27"/>
      <c r="S1207" s="27"/>
      <c r="T1207" s="27"/>
      <c r="U1207" s="27"/>
      <c r="V1207" s="27"/>
      <c r="W1207" s="30"/>
      <c r="X1207" s="27"/>
      <c r="Y1207" s="27"/>
      <c r="Z1207" s="27"/>
      <c r="AA1207" s="54" t="s">
        <v>1715</v>
      </c>
      <c r="AB1207" s="27"/>
      <c r="AC1207" s="273">
        <v>1716796513</v>
      </c>
      <c r="AD1207" s="27">
        <v>8761426370.5587749</v>
      </c>
      <c r="AE1207" s="228">
        <v>0.19594943110735841</v>
      </c>
      <c r="AF1207" s="27">
        <v>2959434599.4473433</v>
      </c>
      <c r="AG1207" s="226">
        <v>0.58010963084658174</v>
      </c>
      <c r="AH1207" s="226" t="s">
        <v>2842</v>
      </c>
      <c r="AI1207" s="27">
        <v>350600000</v>
      </c>
      <c r="AJ1207" s="226">
        <v>4.8967384854535085</v>
      </c>
      <c r="AK1207" s="27">
        <v>330918657.00253373</v>
      </c>
      <c r="AL1207" s="226">
        <v>5.1879713538993819</v>
      </c>
      <c r="AM1207" s="27">
        <v>479790602.47662842</v>
      </c>
      <c r="AN1207" s="271">
        <v>3.5782203822627574</v>
      </c>
      <c r="AO1207" s="27">
        <v>2754209</v>
      </c>
      <c r="AP1207" s="27">
        <v>33.700000000000003</v>
      </c>
      <c r="AQ1207" s="27">
        <v>67.124707317073174</v>
      </c>
      <c r="AR1207" s="27">
        <v>28.2</v>
      </c>
      <c r="AS1207" s="29">
        <v>99.173749999999998</v>
      </c>
      <c r="AT1207" s="270">
        <v>39</v>
      </c>
      <c r="AU1207" s="464">
        <v>50.953024059451757</v>
      </c>
      <c r="AV1207" s="29">
        <v>-4.6979206513607097E-3</v>
      </c>
      <c r="AW1207" s="29">
        <v>0.60017512899051295</v>
      </c>
      <c r="AX1207" s="29">
        <v>-0.57850233098383497</v>
      </c>
      <c r="AY1207" s="29">
        <v>-0.20473166608686499</v>
      </c>
      <c r="AZ1207" s="60">
        <v>-0.67521859645444104</v>
      </c>
    </row>
    <row r="1208" spans="1:52" ht="15" customHeight="1">
      <c r="A1208" s="59" t="s">
        <v>370</v>
      </c>
      <c r="B1208" s="27">
        <v>2011</v>
      </c>
      <c r="C1208" s="27" t="s">
        <v>357</v>
      </c>
      <c r="D1208" s="27" t="s">
        <v>238</v>
      </c>
      <c r="E1208" s="27" t="s">
        <v>19</v>
      </c>
      <c r="F1208" s="27" t="s">
        <v>1353</v>
      </c>
      <c r="G1208" s="43"/>
      <c r="H1208" s="43"/>
      <c r="I1208" s="43"/>
      <c r="J1208" s="43"/>
      <c r="K1208" s="27"/>
      <c r="L1208" s="28"/>
      <c r="M1208" s="27"/>
      <c r="N1208" s="27"/>
      <c r="O1208" s="18"/>
      <c r="P1208" s="214">
        <v>1894895.9896548421</v>
      </c>
      <c r="Q1208" s="214"/>
      <c r="R1208" s="79"/>
      <c r="S1208" s="27"/>
      <c r="T1208" s="27"/>
      <c r="U1208" s="80"/>
      <c r="V1208" s="18"/>
      <c r="W1208" s="30"/>
      <c r="X1208" s="27"/>
      <c r="Y1208" s="27"/>
      <c r="Z1208" s="27"/>
      <c r="AA1208" s="54"/>
      <c r="AB1208" s="27" t="s">
        <v>1678</v>
      </c>
      <c r="AC1208" s="273">
        <v>1716796513</v>
      </c>
      <c r="AD1208" s="27">
        <v>8761426370.5587749</v>
      </c>
      <c r="AE1208" s="228">
        <v>0.19594943110735841</v>
      </c>
      <c r="AF1208" s="27">
        <v>2959434599.4473433</v>
      </c>
      <c r="AG1208" s="226">
        <v>0.58010963084658174</v>
      </c>
      <c r="AH1208" s="226" t="s">
        <v>2842</v>
      </c>
      <c r="AI1208" s="27">
        <v>350600000</v>
      </c>
      <c r="AJ1208" s="226">
        <v>4.8967384854535085</v>
      </c>
      <c r="AK1208" s="27">
        <v>330918657.00253373</v>
      </c>
      <c r="AL1208" s="226">
        <v>5.1879713538993819</v>
      </c>
      <c r="AM1208" s="27">
        <v>479790602.47662842</v>
      </c>
      <c r="AN1208" s="271">
        <v>3.5782203822627574</v>
      </c>
      <c r="AO1208" s="27">
        <v>2754209</v>
      </c>
      <c r="AP1208" s="27">
        <v>33.700000000000003</v>
      </c>
      <c r="AQ1208" s="27">
        <v>67.124707317073174</v>
      </c>
      <c r="AR1208" s="27">
        <v>28.2</v>
      </c>
      <c r="AS1208" s="29">
        <v>99.173749999999998</v>
      </c>
      <c r="AT1208" s="270">
        <v>39</v>
      </c>
      <c r="AU1208" s="464">
        <v>50.953024059451757</v>
      </c>
      <c r="AV1208" s="29">
        <v>-4.6979206513607097E-3</v>
      </c>
      <c r="AW1208" s="29">
        <v>0.60017512899051295</v>
      </c>
      <c r="AX1208" s="29">
        <v>-0.57850233098383497</v>
      </c>
      <c r="AY1208" s="29">
        <v>-0.20473166608686499</v>
      </c>
      <c r="AZ1208" s="60">
        <v>-0.67521859645444104</v>
      </c>
    </row>
    <row r="1209" spans="1:52" s="287" customFormat="1" ht="15" customHeight="1">
      <c r="A1209" s="344" t="s">
        <v>370</v>
      </c>
      <c r="B1209" s="284">
        <v>2011</v>
      </c>
      <c r="C1209" s="284" t="s">
        <v>357</v>
      </c>
      <c r="D1209" s="284" t="s">
        <v>238</v>
      </c>
      <c r="E1209" s="284" t="s">
        <v>19</v>
      </c>
      <c r="F1209" s="284" t="s">
        <v>790</v>
      </c>
      <c r="G1209" s="303">
        <f>104700*0.90718474</f>
        <v>94982.242278000005</v>
      </c>
      <c r="H1209" s="303">
        <f>104700*0.90718474</f>
        <v>94982.242278000005</v>
      </c>
      <c r="I1209" s="303"/>
      <c r="J1209" s="303"/>
      <c r="K1209" s="284" t="s">
        <v>567</v>
      </c>
      <c r="L1209" s="304">
        <v>1179.1600000000001</v>
      </c>
      <c r="M1209" s="284" t="s">
        <v>568</v>
      </c>
      <c r="N1209" s="284" t="s">
        <v>1709</v>
      </c>
      <c r="O1209" s="305">
        <f>G1209*L1209</f>
        <v>111999260.80452649</v>
      </c>
      <c r="P1209" s="346"/>
      <c r="Q1209" s="346"/>
      <c r="R1209" s="413"/>
      <c r="S1209" s="284"/>
      <c r="T1209" s="284"/>
      <c r="U1209" s="414"/>
      <c r="V1209" s="305"/>
      <c r="W1209" s="307"/>
      <c r="X1209" s="284"/>
      <c r="Y1209" s="284"/>
      <c r="Z1209" s="284"/>
      <c r="AA1209" s="321" t="s">
        <v>1715</v>
      </c>
      <c r="AB1209" s="284"/>
      <c r="AC1209" s="308">
        <v>1716796513</v>
      </c>
      <c r="AD1209" s="284">
        <v>8761426370.5587749</v>
      </c>
      <c r="AE1209" s="309">
        <v>0.19594943110735841</v>
      </c>
      <c r="AF1209" s="284">
        <v>2959434599.4473433</v>
      </c>
      <c r="AG1209" s="310">
        <v>0.58010963084658174</v>
      </c>
      <c r="AH1209" s="310" t="s">
        <v>2842</v>
      </c>
      <c r="AI1209" s="284">
        <v>350600000</v>
      </c>
      <c r="AJ1209" s="310">
        <v>4.8967384854535085</v>
      </c>
      <c r="AK1209" s="284">
        <v>330918657.00253373</v>
      </c>
      <c r="AL1209" s="310">
        <v>5.1879713538993819</v>
      </c>
      <c r="AM1209" s="284">
        <v>479790602.47662842</v>
      </c>
      <c r="AN1209" s="311">
        <v>3.5782203822627574</v>
      </c>
      <c r="AO1209" s="284">
        <v>2754209</v>
      </c>
      <c r="AP1209" s="284">
        <v>33.700000000000003</v>
      </c>
      <c r="AQ1209" s="284">
        <v>67.124707317073174</v>
      </c>
      <c r="AR1209" s="284">
        <v>28.2</v>
      </c>
      <c r="AS1209" s="287">
        <v>99.173749999999998</v>
      </c>
      <c r="AT1209" s="312">
        <v>39</v>
      </c>
      <c r="AU1209" s="465">
        <v>50.953024059451757</v>
      </c>
      <c r="AV1209" s="287">
        <v>-4.6979206513607097E-3</v>
      </c>
      <c r="AW1209" s="287">
        <v>0.60017512899051295</v>
      </c>
      <c r="AX1209" s="287">
        <v>-0.57850233098383497</v>
      </c>
      <c r="AY1209" s="287">
        <v>-0.20473166608686499</v>
      </c>
      <c r="AZ1209" s="313">
        <v>-0.67521859645444104</v>
      </c>
    </row>
    <row r="1210" spans="1:52" s="29" customFormat="1" ht="15" customHeight="1">
      <c r="A1210" s="332" t="s">
        <v>373</v>
      </c>
      <c r="B1210" s="27">
        <v>2012</v>
      </c>
      <c r="C1210" s="27" t="s">
        <v>357</v>
      </c>
      <c r="D1210" s="27" t="s">
        <v>238</v>
      </c>
      <c r="E1210" s="27" t="s">
        <v>36</v>
      </c>
      <c r="F1210" s="27" t="s">
        <v>659</v>
      </c>
      <c r="G1210" s="43"/>
      <c r="H1210" s="43"/>
      <c r="I1210" s="43"/>
      <c r="J1210" s="43"/>
      <c r="K1210" s="27"/>
      <c r="L1210" s="28"/>
      <c r="M1210" s="27"/>
      <c r="N1210" s="27"/>
      <c r="O1210" s="18">
        <f>O1211+O1212</f>
        <v>4477520900.0165806</v>
      </c>
      <c r="P1210" s="214">
        <v>1180619495</v>
      </c>
      <c r="Q1210" s="213">
        <v>2233069669</v>
      </c>
      <c r="R1210" s="27" t="s">
        <v>3693</v>
      </c>
      <c r="S1210" s="29" t="s">
        <v>1698</v>
      </c>
      <c r="T1210" s="18">
        <v>2367002</v>
      </c>
      <c r="U1210" s="27" t="s">
        <v>1706</v>
      </c>
      <c r="V1210" s="27" t="s">
        <v>1618</v>
      </c>
      <c r="W1210" s="412">
        <v>1349.93</v>
      </c>
      <c r="X1210" s="27">
        <v>200</v>
      </c>
      <c r="Y1210" s="27" t="s">
        <v>1716</v>
      </c>
      <c r="Z1210" s="27">
        <v>199</v>
      </c>
      <c r="AA1210" s="27" t="s">
        <v>1718</v>
      </c>
      <c r="AB1210" s="27" t="s">
        <v>1719</v>
      </c>
      <c r="AC1210" s="273">
        <v>1180619495</v>
      </c>
      <c r="AD1210" s="27">
        <v>10321968594.779902</v>
      </c>
      <c r="AE1210" s="228">
        <v>0.11437929539885165</v>
      </c>
      <c r="AF1210" s="27">
        <v>3916051665.1735468</v>
      </c>
      <c r="AG1210" s="226">
        <v>0.30148210390060792</v>
      </c>
      <c r="AH1210" s="226" t="s">
        <v>2842</v>
      </c>
      <c r="AI1210" s="27">
        <v>448780000</v>
      </c>
      <c r="AJ1210" s="226">
        <v>2.6307310820446546</v>
      </c>
      <c r="AK1210" s="27">
        <v>409409481.87033796</v>
      </c>
      <c r="AL1210" s="226">
        <v>2.8837131216562986</v>
      </c>
      <c r="AM1210" s="27" t="s">
        <v>2842</v>
      </c>
      <c r="AN1210" s="271" t="s">
        <v>2842</v>
      </c>
      <c r="AO1210" s="27">
        <v>2796484</v>
      </c>
      <c r="AP1210" s="27">
        <v>27.4</v>
      </c>
      <c r="AQ1210" s="27">
        <v>67.339439024390245</v>
      </c>
      <c r="AR1210" s="27">
        <v>27.2</v>
      </c>
      <c r="AS1210" s="29">
        <v>97.610560000000007</v>
      </c>
      <c r="AT1210" s="270">
        <v>39</v>
      </c>
      <c r="AU1210" s="464">
        <v>50.953024059451757</v>
      </c>
      <c r="AV1210" s="29">
        <v>1.9513473312359399E-2</v>
      </c>
      <c r="AW1210" s="29">
        <v>0.44897659810553098</v>
      </c>
      <c r="AX1210" s="29">
        <v>-0.63227226010712301</v>
      </c>
      <c r="AY1210" s="29">
        <v>-0.165274280560958</v>
      </c>
      <c r="AZ1210" s="60">
        <v>-0.52053676320938103</v>
      </c>
    </row>
    <row r="1211" spans="1:52" s="29" customFormat="1" ht="15" customHeight="1">
      <c r="A1211" s="59" t="s">
        <v>373</v>
      </c>
      <c r="B1211" s="27">
        <v>2012</v>
      </c>
      <c r="C1211" s="27" t="s">
        <v>357</v>
      </c>
      <c r="D1211" s="27" t="s">
        <v>238</v>
      </c>
      <c r="E1211" s="27" t="s">
        <v>98</v>
      </c>
      <c r="F1211" s="27" t="s">
        <v>98</v>
      </c>
      <c r="G1211" s="43">
        <v>3636000</v>
      </c>
      <c r="H1211" s="43">
        <v>3636000</v>
      </c>
      <c r="I1211" s="43"/>
      <c r="J1211" s="43"/>
      <c r="K1211" s="27" t="s">
        <v>603</v>
      </c>
      <c r="L1211" s="28">
        <v>94.19</v>
      </c>
      <c r="M1211" s="27" t="s">
        <v>626</v>
      </c>
      <c r="N1211" s="27" t="s">
        <v>1709</v>
      </c>
      <c r="O1211" s="18">
        <f>G1211*L1211</f>
        <v>342474840</v>
      </c>
      <c r="P1211" s="214">
        <v>103668644</v>
      </c>
      <c r="Q1211" s="214">
        <v>103869983</v>
      </c>
      <c r="R1211" s="79"/>
      <c r="S1211" s="27"/>
      <c r="T1211" s="27"/>
      <c r="U1211" s="18"/>
      <c r="V1211" s="18"/>
      <c r="W1211" s="72"/>
      <c r="X1211" s="27">
        <v>9</v>
      </c>
      <c r="Y1211" s="27" t="s">
        <v>1720</v>
      </c>
      <c r="Z1211" s="27">
        <v>8</v>
      </c>
      <c r="AA1211" s="27">
        <v>13</v>
      </c>
      <c r="AB1211" s="27"/>
      <c r="AC1211" s="273">
        <v>1180619495</v>
      </c>
      <c r="AD1211" s="27">
        <v>10321968594.779902</v>
      </c>
      <c r="AE1211" s="228">
        <v>0.11437929539885165</v>
      </c>
      <c r="AF1211" s="27">
        <v>3916051665.1735468</v>
      </c>
      <c r="AG1211" s="226">
        <v>0.30148210390060792</v>
      </c>
      <c r="AH1211" s="226" t="s">
        <v>2842</v>
      </c>
      <c r="AI1211" s="27">
        <v>448780000</v>
      </c>
      <c r="AJ1211" s="226">
        <v>2.6307310820446546</v>
      </c>
      <c r="AK1211" s="27">
        <v>409409481.87033796</v>
      </c>
      <c r="AL1211" s="226">
        <v>2.8837131216562986</v>
      </c>
      <c r="AM1211" s="27" t="s">
        <v>2842</v>
      </c>
      <c r="AN1211" s="271" t="s">
        <v>2842</v>
      </c>
      <c r="AO1211" s="27">
        <v>2796484</v>
      </c>
      <c r="AP1211" s="27">
        <v>27.4</v>
      </c>
      <c r="AQ1211" s="27">
        <v>67.339439024390245</v>
      </c>
      <c r="AR1211" s="27">
        <v>27.2</v>
      </c>
      <c r="AS1211" s="29">
        <v>97.610560000000007</v>
      </c>
      <c r="AT1211" s="270">
        <v>39</v>
      </c>
      <c r="AU1211" s="464">
        <v>50.953024059451757</v>
      </c>
      <c r="AV1211" s="29">
        <v>1.9513473312359399E-2</v>
      </c>
      <c r="AW1211" s="29">
        <v>0.44897659810553098</v>
      </c>
      <c r="AX1211" s="29">
        <v>-0.63227226010712301</v>
      </c>
      <c r="AY1211" s="29">
        <v>-0.165274280560958</v>
      </c>
      <c r="AZ1211" s="60">
        <v>-0.52053676320938103</v>
      </c>
    </row>
    <row r="1212" spans="1:52" s="29" customFormat="1" ht="15" customHeight="1">
      <c r="A1212" s="59" t="s">
        <v>373</v>
      </c>
      <c r="B1212" s="27">
        <v>2012</v>
      </c>
      <c r="C1212" s="27" t="s">
        <v>357</v>
      </c>
      <c r="D1212" s="27" t="s">
        <v>238</v>
      </c>
      <c r="E1212" s="27" t="s">
        <v>19</v>
      </c>
      <c r="F1212" s="27" t="s">
        <v>559</v>
      </c>
      <c r="G1212" s="43"/>
      <c r="H1212" s="43"/>
      <c r="I1212" s="43"/>
      <c r="J1212" s="43"/>
      <c r="K1212" s="27"/>
      <c r="L1212" s="28"/>
      <c r="M1212" s="27"/>
      <c r="N1212" s="27"/>
      <c r="O1212" s="18">
        <f>SUM(O1213:O1221)</f>
        <v>4135046060.0165806</v>
      </c>
      <c r="P1212" s="214">
        <v>1076950851</v>
      </c>
      <c r="Q1212" s="214">
        <v>2129199686</v>
      </c>
      <c r="R1212" s="79"/>
      <c r="S1212" s="27"/>
      <c r="U1212" s="27"/>
      <c r="V1212" s="27"/>
      <c r="W1212" s="30"/>
      <c r="X1212" s="27">
        <v>191</v>
      </c>
      <c r="Y1212" s="27" t="s">
        <v>1721</v>
      </c>
      <c r="Z1212" s="27">
        <v>191</v>
      </c>
      <c r="AB1212" s="27"/>
      <c r="AC1212" s="273">
        <v>1180619495</v>
      </c>
      <c r="AD1212" s="27">
        <v>10321968594.779902</v>
      </c>
      <c r="AE1212" s="228">
        <v>0.11437929539885165</v>
      </c>
      <c r="AF1212" s="27">
        <v>3916051665.1735468</v>
      </c>
      <c r="AG1212" s="226">
        <v>0.30148210390060792</v>
      </c>
      <c r="AH1212" s="226" t="s">
        <v>2842</v>
      </c>
      <c r="AI1212" s="27">
        <v>448780000</v>
      </c>
      <c r="AJ1212" s="226">
        <v>2.6307310820446546</v>
      </c>
      <c r="AK1212" s="27">
        <v>409409481.87033796</v>
      </c>
      <c r="AL1212" s="226">
        <v>2.8837131216562986</v>
      </c>
      <c r="AM1212" s="27" t="s">
        <v>2842</v>
      </c>
      <c r="AN1212" s="271" t="s">
        <v>2842</v>
      </c>
      <c r="AO1212" s="27">
        <v>2796484</v>
      </c>
      <c r="AP1212" s="27">
        <v>27.4</v>
      </c>
      <c r="AQ1212" s="27">
        <v>67.339439024390245</v>
      </c>
      <c r="AR1212" s="27">
        <v>27.2</v>
      </c>
      <c r="AS1212" s="29">
        <v>97.610560000000007</v>
      </c>
      <c r="AT1212" s="270">
        <v>39</v>
      </c>
      <c r="AU1212" s="464">
        <v>50.953024059451757</v>
      </c>
      <c r="AV1212" s="29">
        <v>1.9513473312359399E-2</v>
      </c>
      <c r="AW1212" s="29">
        <v>0.44897659810553098</v>
      </c>
      <c r="AX1212" s="29">
        <v>-0.63227226010712301</v>
      </c>
      <c r="AY1212" s="29">
        <v>-0.165274280560958</v>
      </c>
      <c r="AZ1212" s="60">
        <v>-0.52053676320938103</v>
      </c>
    </row>
    <row r="1213" spans="1:52" s="29" customFormat="1" ht="15" customHeight="1">
      <c r="A1213" s="59" t="s">
        <v>373</v>
      </c>
      <c r="B1213" s="27">
        <v>2012</v>
      </c>
      <c r="C1213" s="27" t="s">
        <v>357</v>
      </c>
      <c r="D1213" s="27" t="s">
        <v>238</v>
      </c>
      <c r="E1213" s="27" t="s">
        <v>19</v>
      </c>
      <c r="F1213" s="27" t="s">
        <v>573</v>
      </c>
      <c r="G1213" s="43">
        <f>31139000*0.90718474</f>
        <v>28248825.618860003</v>
      </c>
      <c r="H1213" s="43">
        <f>31139000*0.90718474</f>
        <v>28248825.618860003</v>
      </c>
      <c r="I1213" s="43"/>
      <c r="J1213" s="43"/>
      <c r="K1213" s="27" t="s">
        <v>567</v>
      </c>
      <c r="L1213" s="28">
        <v>90.92</v>
      </c>
      <c r="M1213" s="27" t="s">
        <v>568</v>
      </c>
      <c r="N1213" s="27" t="s">
        <v>1709</v>
      </c>
      <c r="O1213" s="18">
        <f t="shared" ref="O1213:O1221" si="21">G1213*L1213</f>
        <v>2568383225.2667513</v>
      </c>
      <c r="P1213" s="214"/>
      <c r="Q1213" s="214"/>
      <c r="R1213" s="18"/>
      <c r="S1213" s="27"/>
      <c r="T1213" s="28"/>
      <c r="U1213" s="18"/>
      <c r="V1213" s="18"/>
      <c r="W1213" s="30"/>
      <c r="X1213" s="27"/>
      <c r="Y1213" s="27"/>
      <c r="Z1213" s="27"/>
      <c r="AA1213" s="27">
        <v>14</v>
      </c>
      <c r="AB1213" s="27"/>
      <c r="AC1213" s="273">
        <v>1180619495</v>
      </c>
      <c r="AD1213" s="27">
        <v>10321968594.779902</v>
      </c>
      <c r="AE1213" s="228">
        <v>0.11437929539885165</v>
      </c>
      <c r="AF1213" s="27">
        <v>3916051665.1735468</v>
      </c>
      <c r="AG1213" s="226">
        <v>0.30148210390060792</v>
      </c>
      <c r="AH1213" s="226" t="s">
        <v>2842</v>
      </c>
      <c r="AI1213" s="27">
        <v>448780000</v>
      </c>
      <c r="AJ1213" s="226">
        <v>2.6307310820446546</v>
      </c>
      <c r="AK1213" s="27">
        <v>409409481.87033796</v>
      </c>
      <c r="AL1213" s="226">
        <v>2.8837131216562986</v>
      </c>
      <c r="AM1213" s="27" t="s">
        <v>2842</v>
      </c>
      <c r="AN1213" s="271" t="s">
        <v>2842</v>
      </c>
      <c r="AO1213" s="27">
        <v>2796484</v>
      </c>
      <c r="AP1213" s="27">
        <v>27.4</v>
      </c>
      <c r="AQ1213" s="27">
        <v>67.339439024390245</v>
      </c>
      <c r="AR1213" s="27">
        <v>27.2</v>
      </c>
      <c r="AS1213" s="29">
        <v>97.610560000000007</v>
      </c>
      <c r="AT1213" s="270">
        <v>39</v>
      </c>
      <c r="AU1213" s="464">
        <v>50.953024059451757</v>
      </c>
      <c r="AV1213" s="29">
        <v>1.9513473312359399E-2</v>
      </c>
      <c r="AW1213" s="29">
        <v>0.44897659810553098</v>
      </c>
      <c r="AX1213" s="29">
        <v>-0.63227226010712301</v>
      </c>
      <c r="AY1213" s="29">
        <v>-0.165274280560958</v>
      </c>
      <c r="AZ1213" s="60">
        <v>-0.52053676320938103</v>
      </c>
    </row>
    <row r="1214" spans="1:52" s="29" customFormat="1" ht="15" customHeight="1">
      <c r="A1214" s="59" t="s">
        <v>373</v>
      </c>
      <c r="B1214" s="27">
        <v>2012</v>
      </c>
      <c r="C1214" s="27" t="s">
        <v>357</v>
      </c>
      <c r="D1214" s="27" t="s">
        <v>238</v>
      </c>
      <c r="E1214" s="27" t="s">
        <v>19</v>
      </c>
      <c r="F1214" s="27" t="s">
        <v>1690</v>
      </c>
      <c r="G1214" s="43">
        <f>348000*0.90718474</f>
        <v>315700.28951999999</v>
      </c>
      <c r="H1214" s="43">
        <f>348000*0.90718474</f>
        <v>315700.28951999999</v>
      </c>
      <c r="I1214" s="43"/>
      <c r="J1214" s="43"/>
      <c r="K1214" s="27" t="s">
        <v>567</v>
      </c>
      <c r="L1214" s="28">
        <v>1460.94</v>
      </c>
      <c r="M1214" s="27" t="s">
        <v>568</v>
      </c>
      <c r="N1214" s="27" t="s">
        <v>1709</v>
      </c>
      <c r="O1214" s="18">
        <f t="shared" si="21"/>
        <v>461219180.97134882</v>
      </c>
      <c r="P1214" s="214"/>
      <c r="Q1214" s="214"/>
      <c r="R1214" s="79"/>
      <c r="S1214" s="27"/>
      <c r="U1214" s="18"/>
      <c r="V1214" s="18"/>
      <c r="W1214" s="30"/>
      <c r="X1214" s="27"/>
      <c r="Y1214" s="27"/>
      <c r="Z1214" s="27"/>
      <c r="AA1214" s="27">
        <v>14</v>
      </c>
      <c r="AB1214" s="27"/>
      <c r="AC1214" s="273">
        <v>1180619495</v>
      </c>
      <c r="AD1214" s="27">
        <v>10321968594.779902</v>
      </c>
      <c r="AE1214" s="228">
        <v>0.11437929539885165</v>
      </c>
      <c r="AF1214" s="27">
        <v>3916051665.1735468</v>
      </c>
      <c r="AG1214" s="226">
        <v>0.30148210390060792</v>
      </c>
      <c r="AH1214" s="226" t="s">
        <v>2842</v>
      </c>
      <c r="AI1214" s="27">
        <v>448780000</v>
      </c>
      <c r="AJ1214" s="226">
        <v>2.6307310820446546</v>
      </c>
      <c r="AK1214" s="27">
        <v>409409481.87033796</v>
      </c>
      <c r="AL1214" s="226">
        <v>2.8837131216562986</v>
      </c>
      <c r="AM1214" s="27" t="s">
        <v>2842</v>
      </c>
      <c r="AN1214" s="271" t="s">
        <v>2842</v>
      </c>
      <c r="AO1214" s="27">
        <v>2796484</v>
      </c>
      <c r="AP1214" s="27">
        <v>27.4</v>
      </c>
      <c r="AQ1214" s="27">
        <v>67.339439024390245</v>
      </c>
      <c r="AR1214" s="27">
        <v>27.2</v>
      </c>
      <c r="AS1214" s="29">
        <v>97.610560000000007</v>
      </c>
      <c r="AT1214" s="270">
        <v>39</v>
      </c>
      <c r="AU1214" s="464">
        <v>50.953024059451757</v>
      </c>
      <c r="AV1214" s="29">
        <v>1.9513473312359399E-2</v>
      </c>
      <c r="AW1214" s="29">
        <v>0.44897659810553098</v>
      </c>
      <c r="AX1214" s="29">
        <v>-0.63227226010712301</v>
      </c>
      <c r="AY1214" s="29">
        <v>-0.165274280560958</v>
      </c>
      <c r="AZ1214" s="60">
        <v>-0.52053676320938103</v>
      </c>
    </row>
    <row r="1215" spans="1:52" s="29" customFormat="1" ht="15" customHeight="1">
      <c r="A1215" s="59" t="s">
        <v>373</v>
      </c>
      <c r="B1215" s="27">
        <v>2012</v>
      </c>
      <c r="C1215" s="27" t="s">
        <v>357</v>
      </c>
      <c r="D1215" s="27" t="s">
        <v>238</v>
      </c>
      <c r="E1215" s="27" t="s">
        <v>19</v>
      </c>
      <c r="F1215" s="27" t="s">
        <v>1629</v>
      </c>
      <c r="G1215" s="43">
        <f>641000*0.90718474</f>
        <v>581505.41833999997</v>
      </c>
      <c r="H1215" s="43">
        <f>641000*0.90718474</f>
        <v>581505.41833999997</v>
      </c>
      <c r="I1215" s="43"/>
      <c r="J1215" s="43"/>
      <c r="K1215" s="27" t="s">
        <v>567</v>
      </c>
      <c r="L1215" s="28">
        <v>238.94</v>
      </c>
      <c r="M1215" s="27" t="s">
        <v>568</v>
      </c>
      <c r="N1215" s="27" t="s">
        <v>1709</v>
      </c>
      <c r="O1215" s="18">
        <f t="shared" si="21"/>
        <v>138944904.65815958</v>
      </c>
      <c r="P1215" s="214"/>
      <c r="Q1215" s="214"/>
      <c r="R1215" s="79"/>
      <c r="S1215" s="27"/>
      <c r="U1215" s="18"/>
      <c r="V1215" s="18"/>
      <c r="W1215" s="30"/>
      <c r="X1215" s="27"/>
      <c r="Y1215" s="27"/>
      <c r="Z1215" s="27"/>
      <c r="AA1215" s="27" t="s">
        <v>1722</v>
      </c>
      <c r="AB1215" s="27"/>
      <c r="AC1215" s="273">
        <v>1180619495</v>
      </c>
      <c r="AD1215" s="27">
        <v>10321968594.779902</v>
      </c>
      <c r="AE1215" s="228">
        <v>0.11437929539885165</v>
      </c>
      <c r="AF1215" s="27">
        <v>3916051665.1735468</v>
      </c>
      <c r="AG1215" s="226">
        <v>0.30148210390060792</v>
      </c>
      <c r="AH1215" s="226" t="s">
        <v>2842</v>
      </c>
      <c r="AI1215" s="27">
        <v>448780000</v>
      </c>
      <c r="AJ1215" s="226">
        <v>2.6307310820446546</v>
      </c>
      <c r="AK1215" s="27">
        <v>409409481.87033796</v>
      </c>
      <c r="AL1215" s="226">
        <v>2.8837131216562986</v>
      </c>
      <c r="AM1215" s="27" t="s">
        <v>2842</v>
      </c>
      <c r="AN1215" s="271" t="s">
        <v>2842</v>
      </c>
      <c r="AO1215" s="27">
        <v>2796484</v>
      </c>
      <c r="AP1215" s="27">
        <v>27.4</v>
      </c>
      <c r="AQ1215" s="27">
        <v>67.339439024390245</v>
      </c>
      <c r="AR1215" s="27">
        <v>27.2</v>
      </c>
      <c r="AS1215" s="29">
        <v>97.610560000000007</v>
      </c>
      <c r="AT1215" s="270">
        <v>39</v>
      </c>
      <c r="AU1215" s="464">
        <v>50.953024059451757</v>
      </c>
      <c r="AV1215" s="29">
        <v>1.9513473312359399E-2</v>
      </c>
      <c r="AW1215" s="29">
        <v>0.44897659810553098</v>
      </c>
      <c r="AX1215" s="29">
        <v>-0.63227226010712301</v>
      </c>
      <c r="AY1215" s="29">
        <v>-0.165274280560958</v>
      </c>
      <c r="AZ1215" s="60">
        <v>-0.52053676320938103</v>
      </c>
    </row>
    <row r="1216" spans="1:52" s="29" customFormat="1" ht="15" customHeight="1">
      <c r="A1216" s="59" t="s">
        <v>373</v>
      </c>
      <c r="B1216" s="27">
        <v>2012</v>
      </c>
      <c r="C1216" s="27" t="s">
        <v>357</v>
      </c>
      <c r="D1216" s="27" t="s">
        <v>238</v>
      </c>
      <c r="E1216" s="27" t="s">
        <v>19</v>
      </c>
      <c r="F1216" s="27" t="s">
        <v>730</v>
      </c>
      <c r="G1216" s="43">
        <f>5995*32.150743126506</f>
        <v>192743.70504340346</v>
      </c>
      <c r="H1216" s="43">
        <f>5995*32.150743126506</f>
        <v>192743.70504340346</v>
      </c>
      <c r="I1216" s="43"/>
      <c r="J1216" s="43"/>
      <c r="K1216" s="27" t="s">
        <v>731</v>
      </c>
      <c r="L1216" s="28">
        <f>43676428.57/32150.7466</f>
        <v>1358.4887814082676</v>
      </c>
      <c r="M1216" s="27" t="s">
        <v>732</v>
      </c>
      <c r="N1216" s="27" t="s">
        <v>1709</v>
      </c>
      <c r="O1216" s="18">
        <f t="shared" si="21"/>
        <v>261840160.98852775</v>
      </c>
      <c r="P1216" s="214"/>
      <c r="Q1216" s="214"/>
      <c r="R1216" s="79"/>
      <c r="S1216" s="27"/>
      <c r="T1216" s="27"/>
      <c r="U1216" s="18"/>
      <c r="V1216" s="18"/>
      <c r="W1216" s="30"/>
      <c r="X1216" s="27"/>
      <c r="Y1216" s="27"/>
      <c r="Z1216" s="27"/>
      <c r="AA1216" s="27">
        <v>14</v>
      </c>
      <c r="AB1216" s="27"/>
      <c r="AC1216" s="273">
        <v>1180619495</v>
      </c>
      <c r="AD1216" s="27">
        <v>10321968594.779902</v>
      </c>
      <c r="AE1216" s="228">
        <v>0.11437929539885165</v>
      </c>
      <c r="AF1216" s="27">
        <v>3916051665.1735468</v>
      </c>
      <c r="AG1216" s="226">
        <v>0.30148210390060792</v>
      </c>
      <c r="AH1216" s="226" t="s">
        <v>2842</v>
      </c>
      <c r="AI1216" s="27">
        <v>448780000</v>
      </c>
      <c r="AJ1216" s="226">
        <v>2.6307310820446546</v>
      </c>
      <c r="AK1216" s="27">
        <v>409409481.87033796</v>
      </c>
      <c r="AL1216" s="226">
        <v>2.8837131216562986</v>
      </c>
      <c r="AM1216" s="27" t="s">
        <v>2842</v>
      </c>
      <c r="AN1216" s="271" t="s">
        <v>2842</v>
      </c>
      <c r="AO1216" s="27">
        <v>2796484</v>
      </c>
      <c r="AP1216" s="27">
        <v>27.4</v>
      </c>
      <c r="AQ1216" s="27">
        <v>67.339439024390245</v>
      </c>
      <c r="AR1216" s="27">
        <v>27.2</v>
      </c>
      <c r="AS1216" s="29">
        <v>97.610560000000007</v>
      </c>
      <c r="AT1216" s="270">
        <v>39</v>
      </c>
      <c r="AU1216" s="464">
        <v>50.953024059451757</v>
      </c>
      <c r="AV1216" s="29">
        <v>1.9513473312359399E-2</v>
      </c>
      <c r="AW1216" s="29">
        <v>0.44897659810553098</v>
      </c>
      <c r="AX1216" s="29">
        <v>-0.63227226010712301</v>
      </c>
      <c r="AY1216" s="29">
        <v>-0.165274280560958</v>
      </c>
      <c r="AZ1216" s="60">
        <v>-0.52053676320938103</v>
      </c>
    </row>
    <row r="1217" spans="1:52" s="29" customFormat="1" ht="15" customHeight="1">
      <c r="A1217" s="59" t="s">
        <v>373</v>
      </c>
      <c r="B1217" s="27">
        <v>2012</v>
      </c>
      <c r="C1217" s="27" t="s">
        <v>357</v>
      </c>
      <c r="D1217" s="27" t="s">
        <v>238</v>
      </c>
      <c r="E1217" s="27" t="s">
        <v>19</v>
      </c>
      <c r="F1217" s="27" t="s">
        <v>1196</v>
      </c>
      <c r="G1217" s="43">
        <f>7561000*0.90718474</f>
        <v>6859223.8191400003</v>
      </c>
      <c r="H1217" s="43">
        <f>7561000*0.90718474</f>
        <v>6859223.8191400003</v>
      </c>
      <c r="I1217" s="43"/>
      <c r="J1217" s="43"/>
      <c r="K1217" s="27" t="s">
        <v>567</v>
      </c>
      <c r="L1217" s="28">
        <v>83</v>
      </c>
      <c r="M1217" s="27" t="s">
        <v>568</v>
      </c>
      <c r="N1217" s="27" t="s">
        <v>1709</v>
      </c>
      <c r="O1217" s="18">
        <f t="shared" si="21"/>
        <v>569315576.98862004</v>
      </c>
      <c r="P1217" s="214"/>
      <c r="Q1217" s="214"/>
      <c r="R1217" s="79"/>
      <c r="S1217" s="27"/>
      <c r="T1217" s="27"/>
      <c r="U1217" s="18"/>
      <c r="V1217" s="18"/>
      <c r="W1217" s="30"/>
      <c r="X1217" s="27"/>
      <c r="Y1217" s="27"/>
      <c r="Z1217" s="27"/>
      <c r="AA1217" s="27">
        <v>14</v>
      </c>
      <c r="AB1217" s="27"/>
      <c r="AC1217" s="273">
        <v>1180619495</v>
      </c>
      <c r="AD1217" s="27">
        <v>10321968594.779902</v>
      </c>
      <c r="AE1217" s="228">
        <v>0.11437929539885165</v>
      </c>
      <c r="AF1217" s="27">
        <v>3916051665.1735468</v>
      </c>
      <c r="AG1217" s="226">
        <v>0.30148210390060792</v>
      </c>
      <c r="AH1217" s="226" t="s">
        <v>2842</v>
      </c>
      <c r="AI1217" s="27">
        <v>448780000</v>
      </c>
      <c r="AJ1217" s="226">
        <v>2.6307310820446546</v>
      </c>
      <c r="AK1217" s="27">
        <v>409409481.87033796</v>
      </c>
      <c r="AL1217" s="226">
        <v>2.8837131216562986</v>
      </c>
      <c r="AM1217" s="27" t="s">
        <v>2842</v>
      </c>
      <c r="AN1217" s="271" t="s">
        <v>2842</v>
      </c>
      <c r="AO1217" s="27">
        <v>2796484</v>
      </c>
      <c r="AP1217" s="27">
        <v>27.4</v>
      </c>
      <c r="AQ1217" s="27">
        <v>67.339439024390245</v>
      </c>
      <c r="AR1217" s="27">
        <v>27.2</v>
      </c>
      <c r="AS1217" s="29">
        <v>97.610560000000007</v>
      </c>
      <c r="AT1217" s="270">
        <v>39</v>
      </c>
      <c r="AU1217" s="464">
        <v>50.953024059451757</v>
      </c>
      <c r="AV1217" s="29">
        <v>1.9513473312359399E-2</v>
      </c>
      <c r="AW1217" s="29">
        <v>0.44897659810553098</v>
      </c>
      <c r="AX1217" s="29">
        <v>-0.63227226010712301</v>
      </c>
      <c r="AY1217" s="29">
        <v>-0.165274280560958</v>
      </c>
      <c r="AZ1217" s="60">
        <v>-0.52053676320938103</v>
      </c>
    </row>
    <row r="1218" spans="1:52" s="29" customFormat="1" ht="15" customHeight="1">
      <c r="A1218" s="59" t="s">
        <v>373</v>
      </c>
      <c r="B1218" s="27">
        <v>2012</v>
      </c>
      <c r="C1218" s="27" t="s">
        <v>357</v>
      </c>
      <c r="D1218" s="27" t="s">
        <v>238</v>
      </c>
      <c r="E1218" s="27" t="s">
        <v>19</v>
      </c>
      <c r="F1218" s="27" t="s">
        <v>1379</v>
      </c>
      <c r="G1218" s="43">
        <f>4050*0.90718474</f>
        <v>3674.0981970000003</v>
      </c>
      <c r="H1218" s="43">
        <f>4050*0.90718474</f>
        <v>3674.0981970000003</v>
      </c>
      <c r="I1218" s="43"/>
      <c r="J1218" s="43"/>
      <c r="K1218" s="27" t="s">
        <v>567</v>
      </c>
      <c r="L1218" s="28">
        <v>9543.5</v>
      </c>
      <c r="M1218" s="27" t="s">
        <v>568</v>
      </c>
      <c r="N1218" s="27" t="s">
        <v>1709</v>
      </c>
      <c r="O1218" s="18">
        <f t="shared" si="21"/>
        <v>35063756.143069506</v>
      </c>
      <c r="P1218" s="214"/>
      <c r="Q1218" s="214"/>
      <c r="R1218" s="79"/>
      <c r="S1218" s="27"/>
      <c r="T1218" s="27"/>
      <c r="V1218" s="18"/>
      <c r="W1218" s="30"/>
      <c r="X1218" s="27"/>
      <c r="Y1218" s="27"/>
      <c r="Z1218" s="27"/>
      <c r="AA1218" s="27">
        <v>15</v>
      </c>
      <c r="AB1218" s="27"/>
      <c r="AC1218" s="273">
        <v>1180619495</v>
      </c>
      <c r="AD1218" s="27">
        <v>10321968594.779902</v>
      </c>
      <c r="AE1218" s="228">
        <v>0.11437929539885165</v>
      </c>
      <c r="AF1218" s="27">
        <v>3916051665.1735468</v>
      </c>
      <c r="AG1218" s="226">
        <v>0.30148210390060792</v>
      </c>
      <c r="AH1218" s="226" t="s">
        <v>2842</v>
      </c>
      <c r="AI1218" s="27">
        <v>448780000</v>
      </c>
      <c r="AJ1218" s="226">
        <v>2.6307310820446546</v>
      </c>
      <c r="AK1218" s="27">
        <v>409409481.87033796</v>
      </c>
      <c r="AL1218" s="226">
        <v>2.8837131216562986</v>
      </c>
      <c r="AM1218" s="27" t="s">
        <v>2842</v>
      </c>
      <c r="AN1218" s="271" t="s">
        <v>2842</v>
      </c>
      <c r="AO1218" s="27">
        <v>2796484</v>
      </c>
      <c r="AP1218" s="27">
        <v>27.4</v>
      </c>
      <c r="AQ1218" s="27">
        <v>67.339439024390245</v>
      </c>
      <c r="AR1218" s="27">
        <v>27.2</v>
      </c>
      <c r="AS1218" s="29">
        <v>97.610560000000007</v>
      </c>
      <c r="AT1218" s="270">
        <v>39</v>
      </c>
      <c r="AU1218" s="464">
        <v>50.953024059451757</v>
      </c>
      <c r="AV1218" s="29">
        <v>1.9513473312359399E-2</v>
      </c>
      <c r="AW1218" s="29">
        <v>0.44897659810553098</v>
      </c>
      <c r="AX1218" s="29">
        <v>-0.63227226010712301</v>
      </c>
      <c r="AY1218" s="29">
        <v>-0.165274280560958</v>
      </c>
      <c r="AZ1218" s="60">
        <v>-0.52053676320938103</v>
      </c>
    </row>
    <row r="1219" spans="1:52" s="29" customFormat="1" ht="15" customHeight="1">
      <c r="A1219" s="59" t="s">
        <v>373</v>
      </c>
      <c r="B1219" s="27">
        <v>2012</v>
      </c>
      <c r="C1219" s="27" t="s">
        <v>357</v>
      </c>
      <c r="D1219" s="27" t="s">
        <v>238</v>
      </c>
      <c r="E1219" s="27" t="s">
        <v>19</v>
      </c>
      <c r="F1219" s="27" t="s">
        <v>1058</v>
      </c>
      <c r="G1219" s="43">
        <f>569*0.90718474</f>
        <v>516.18811706000008</v>
      </c>
      <c r="H1219" s="43"/>
      <c r="I1219" s="43"/>
      <c r="J1219" s="43"/>
      <c r="K1219" s="27" t="s">
        <v>567</v>
      </c>
      <c r="L1219" s="28">
        <v>67.25</v>
      </c>
      <c r="M1219" s="27" t="s">
        <v>568</v>
      </c>
      <c r="N1219" s="27" t="s">
        <v>1144</v>
      </c>
      <c r="O1219" s="18">
        <f t="shared" si="21"/>
        <v>34713.650872285005</v>
      </c>
      <c r="P1219" s="214"/>
      <c r="Q1219" s="214"/>
      <c r="R1219" s="79"/>
      <c r="S1219" s="27"/>
      <c r="T1219" s="27"/>
      <c r="V1219" s="18"/>
      <c r="W1219" s="30"/>
      <c r="X1219" s="27"/>
      <c r="Y1219" s="27"/>
      <c r="Z1219" s="27"/>
      <c r="AA1219" s="27">
        <v>14</v>
      </c>
      <c r="AB1219" s="27"/>
      <c r="AC1219" s="273">
        <v>1180619495</v>
      </c>
      <c r="AD1219" s="27">
        <v>10321968594.779902</v>
      </c>
      <c r="AE1219" s="228">
        <v>0.11437929539885165</v>
      </c>
      <c r="AF1219" s="27">
        <v>3916051665.1735468</v>
      </c>
      <c r="AG1219" s="226">
        <v>0.30148210390060792</v>
      </c>
      <c r="AH1219" s="226" t="s">
        <v>2842</v>
      </c>
      <c r="AI1219" s="27">
        <v>448780000</v>
      </c>
      <c r="AJ1219" s="226">
        <v>2.6307310820446546</v>
      </c>
      <c r="AK1219" s="27">
        <v>409409481.87033796</v>
      </c>
      <c r="AL1219" s="226">
        <v>2.8837131216562986</v>
      </c>
      <c r="AM1219" s="27" t="s">
        <v>2842</v>
      </c>
      <c r="AN1219" s="271" t="s">
        <v>2842</v>
      </c>
      <c r="AO1219" s="27">
        <v>2796484</v>
      </c>
      <c r="AP1219" s="27">
        <v>27.4</v>
      </c>
      <c r="AQ1219" s="27">
        <v>67.339439024390245</v>
      </c>
      <c r="AR1219" s="27">
        <v>27.2</v>
      </c>
      <c r="AS1219" s="29">
        <v>97.610560000000007</v>
      </c>
      <c r="AT1219" s="270">
        <v>39</v>
      </c>
      <c r="AU1219" s="464">
        <v>50.953024059451757</v>
      </c>
      <c r="AV1219" s="29">
        <v>1.9513473312359399E-2</v>
      </c>
      <c r="AW1219" s="29">
        <v>0.44897659810553098</v>
      </c>
      <c r="AX1219" s="29">
        <v>-0.63227226010712301</v>
      </c>
      <c r="AY1219" s="29">
        <v>-0.165274280560958</v>
      </c>
      <c r="AZ1219" s="60">
        <v>-0.52053676320938103</v>
      </c>
    </row>
    <row r="1220" spans="1:52" s="29" customFormat="1" ht="15" customHeight="1">
      <c r="A1220" s="59" t="s">
        <v>373</v>
      </c>
      <c r="B1220" s="27">
        <v>2012</v>
      </c>
      <c r="C1220" s="27" t="s">
        <v>357</v>
      </c>
      <c r="D1220" s="27" t="s">
        <v>238</v>
      </c>
      <c r="E1220" s="27" t="s">
        <v>19</v>
      </c>
      <c r="F1220" s="27" t="s">
        <v>1637</v>
      </c>
      <c r="G1220" s="43">
        <v>20</v>
      </c>
      <c r="H1220" s="43"/>
      <c r="I1220" s="43"/>
      <c r="J1220" s="43"/>
      <c r="K1220" s="27" t="s">
        <v>567</v>
      </c>
      <c r="L1220" s="28">
        <v>255</v>
      </c>
      <c r="M1220" s="27" t="s">
        <v>568</v>
      </c>
      <c r="N1220" s="27" t="s">
        <v>1681</v>
      </c>
      <c r="O1220" s="18">
        <f t="shared" si="21"/>
        <v>5100</v>
      </c>
      <c r="P1220" s="214"/>
      <c r="Q1220" s="214"/>
      <c r="R1220" s="79"/>
      <c r="S1220" s="27"/>
      <c r="T1220" s="27"/>
      <c r="V1220" s="18"/>
      <c r="W1220" s="30"/>
      <c r="X1220" s="27"/>
      <c r="Y1220" s="27"/>
      <c r="Z1220" s="27"/>
      <c r="AA1220" s="27">
        <v>14</v>
      </c>
      <c r="AB1220" s="27"/>
      <c r="AC1220" s="273">
        <v>1180619495</v>
      </c>
      <c r="AD1220" s="27">
        <v>10321968594.779902</v>
      </c>
      <c r="AE1220" s="228">
        <v>0.11437929539885165</v>
      </c>
      <c r="AF1220" s="27">
        <v>3916051665.1735468</v>
      </c>
      <c r="AG1220" s="226">
        <v>0.30148210390060792</v>
      </c>
      <c r="AH1220" s="226" t="s">
        <v>2842</v>
      </c>
      <c r="AI1220" s="27">
        <v>448780000</v>
      </c>
      <c r="AJ1220" s="226">
        <v>2.6307310820446546</v>
      </c>
      <c r="AK1220" s="27">
        <v>409409481.87033796</v>
      </c>
      <c r="AL1220" s="226">
        <v>2.8837131216562986</v>
      </c>
      <c r="AM1220" s="27" t="s">
        <v>2842</v>
      </c>
      <c r="AN1220" s="271" t="s">
        <v>2842</v>
      </c>
      <c r="AO1220" s="27">
        <v>2796484</v>
      </c>
      <c r="AP1220" s="27">
        <v>27.4</v>
      </c>
      <c r="AQ1220" s="27">
        <v>67.339439024390245</v>
      </c>
      <c r="AR1220" s="27">
        <v>27.2</v>
      </c>
      <c r="AS1220" s="29">
        <v>97.610560000000007</v>
      </c>
      <c r="AT1220" s="270">
        <v>39</v>
      </c>
      <c r="AU1220" s="464">
        <v>50.953024059451757</v>
      </c>
      <c r="AV1220" s="29">
        <v>1.9513473312359399E-2</v>
      </c>
      <c r="AW1220" s="29">
        <v>0.44897659810553098</v>
      </c>
      <c r="AX1220" s="29">
        <v>-0.63227226010712301</v>
      </c>
      <c r="AY1220" s="29">
        <v>-0.165274280560958</v>
      </c>
      <c r="AZ1220" s="60">
        <v>-0.52053676320938103</v>
      </c>
    </row>
    <row r="1221" spans="1:52" s="287" customFormat="1" ht="15" customHeight="1">
      <c r="A1221" s="344" t="s">
        <v>373</v>
      </c>
      <c r="B1221" s="284">
        <v>2012</v>
      </c>
      <c r="C1221" s="284" t="s">
        <v>357</v>
      </c>
      <c r="D1221" s="284" t="s">
        <v>238</v>
      </c>
      <c r="E1221" s="284" t="s">
        <v>19</v>
      </c>
      <c r="F1221" s="284" t="s">
        <v>790</v>
      </c>
      <c r="G1221" s="303">
        <f>119000*0.90718474</f>
        <v>107954.98406</v>
      </c>
      <c r="H1221" s="303">
        <f>119000*0.90718474</f>
        <v>107954.98406</v>
      </c>
      <c r="I1221" s="303"/>
      <c r="J1221" s="303"/>
      <c r="K1221" s="284" t="s">
        <v>567</v>
      </c>
      <c r="L1221" s="304">
        <v>928.53</v>
      </c>
      <c r="M1221" s="284" t="s">
        <v>568</v>
      </c>
      <c r="N1221" s="284" t="s">
        <v>1709</v>
      </c>
      <c r="O1221" s="305">
        <f t="shared" si="21"/>
        <v>100239441.34923179</v>
      </c>
      <c r="P1221" s="346"/>
      <c r="Q1221" s="346"/>
      <c r="R1221" s="413"/>
      <c r="S1221" s="284"/>
      <c r="T1221" s="284"/>
      <c r="U1221" s="414"/>
      <c r="V1221" s="305"/>
      <c r="W1221" s="307"/>
      <c r="X1221" s="284"/>
      <c r="Y1221" s="284"/>
      <c r="Z1221" s="284"/>
      <c r="AA1221" s="284">
        <v>15</v>
      </c>
      <c r="AB1221" s="284"/>
      <c r="AC1221" s="308">
        <v>1180619495</v>
      </c>
      <c r="AD1221" s="284">
        <v>10321968594.779902</v>
      </c>
      <c r="AE1221" s="309">
        <v>0.11437929539885165</v>
      </c>
      <c r="AF1221" s="284">
        <v>3916051665.1735468</v>
      </c>
      <c r="AG1221" s="310">
        <v>0.30148210390060792</v>
      </c>
      <c r="AH1221" s="310" t="s">
        <v>2842</v>
      </c>
      <c r="AI1221" s="284">
        <v>448780000</v>
      </c>
      <c r="AJ1221" s="310">
        <v>2.6307310820446546</v>
      </c>
      <c r="AK1221" s="284">
        <v>409409481.87033796</v>
      </c>
      <c r="AL1221" s="310">
        <v>2.8837131216562986</v>
      </c>
      <c r="AM1221" s="284" t="s">
        <v>2842</v>
      </c>
      <c r="AN1221" s="311" t="s">
        <v>2842</v>
      </c>
      <c r="AO1221" s="284">
        <v>2796484</v>
      </c>
      <c r="AP1221" s="284">
        <v>27.4</v>
      </c>
      <c r="AQ1221" s="284">
        <v>67.339439024390245</v>
      </c>
      <c r="AR1221" s="284">
        <v>27.2</v>
      </c>
      <c r="AS1221" s="287">
        <v>97.610560000000007</v>
      </c>
      <c r="AT1221" s="312">
        <v>39</v>
      </c>
      <c r="AU1221" s="465">
        <v>50.953024059451757</v>
      </c>
      <c r="AV1221" s="287">
        <v>1.9513473312359399E-2</v>
      </c>
      <c r="AW1221" s="287">
        <v>0.44897659810553098</v>
      </c>
      <c r="AX1221" s="287">
        <v>-0.63227226010712301</v>
      </c>
      <c r="AY1221" s="287">
        <v>-0.165274280560958</v>
      </c>
      <c r="AZ1221" s="313">
        <v>-0.52053676320938103</v>
      </c>
    </row>
    <row r="1222" spans="1:52" ht="15" customHeight="1">
      <c r="A1222" s="415" t="s">
        <v>375</v>
      </c>
      <c r="B1222" s="189">
        <v>2013</v>
      </c>
      <c r="C1222" s="27" t="s">
        <v>357</v>
      </c>
      <c r="D1222" s="183" t="s">
        <v>238</v>
      </c>
      <c r="E1222" s="195" t="s">
        <v>36</v>
      </c>
      <c r="F1222" s="186" t="s">
        <v>659</v>
      </c>
      <c r="G1222" s="187"/>
      <c r="H1222" s="187"/>
      <c r="I1222" s="186"/>
      <c r="J1222" s="187"/>
      <c r="K1222" s="27"/>
      <c r="L1222" s="28"/>
      <c r="M1222" s="27"/>
      <c r="N1222" s="27"/>
      <c r="O1222" s="27"/>
      <c r="P1222" s="214">
        <v>1054895582.33</v>
      </c>
      <c r="Q1222" s="214">
        <v>1054920348.0599999</v>
      </c>
      <c r="R1222" s="27" t="s">
        <v>3693</v>
      </c>
      <c r="S1222" s="27"/>
      <c r="T1222" s="18"/>
      <c r="U1222" s="27" t="s">
        <v>999</v>
      </c>
      <c r="V1222" s="27" t="s">
        <v>1723</v>
      </c>
      <c r="W1222" s="30">
        <v>1494</v>
      </c>
      <c r="X1222" s="27">
        <v>250</v>
      </c>
      <c r="Y1222" s="27"/>
      <c r="Z1222" s="27">
        <v>240</v>
      </c>
      <c r="AA1222" s="27"/>
      <c r="AB1222" s="27" t="s">
        <v>1725</v>
      </c>
      <c r="AC1222" s="273">
        <v>1054895582.33</v>
      </c>
      <c r="AD1222" s="27">
        <v>11516409581.298849</v>
      </c>
      <c r="AE1222" s="228">
        <v>9.1599345688695655E-2</v>
      </c>
      <c r="AF1222" s="27">
        <v>3812737720.0806098</v>
      </c>
      <c r="AG1222" s="226">
        <v>0.2766766716667039</v>
      </c>
      <c r="AH1222" s="226">
        <v>0.76112760597734774</v>
      </c>
      <c r="AI1222" s="27" t="s">
        <v>2842</v>
      </c>
      <c r="AJ1222" s="226" t="s">
        <v>2842</v>
      </c>
      <c r="AK1222" s="27" t="s">
        <v>2842</v>
      </c>
      <c r="AL1222" s="226" t="s">
        <v>2842</v>
      </c>
      <c r="AM1222" s="27" t="s">
        <v>2842</v>
      </c>
      <c r="AN1222" s="271" t="s">
        <v>2842</v>
      </c>
      <c r="AO1222" s="27">
        <v>2839073</v>
      </c>
      <c r="AP1222" s="27" t="s">
        <v>2842</v>
      </c>
      <c r="AQ1222" s="27" t="s">
        <v>2842</v>
      </c>
      <c r="AR1222" s="27">
        <v>26.4</v>
      </c>
      <c r="AS1222" s="29" t="s">
        <v>2842</v>
      </c>
      <c r="AT1222" s="270">
        <v>39</v>
      </c>
      <c r="AU1222" s="464">
        <v>50.953024059451757</v>
      </c>
      <c r="AV1222" s="29">
        <v>7.2999700903892503E-2</v>
      </c>
      <c r="AW1222" s="29">
        <v>0.49927636981010398</v>
      </c>
      <c r="AX1222" s="29">
        <v>-0.54106253385543801</v>
      </c>
      <c r="AY1222" s="29">
        <v>-0.28594869375228898</v>
      </c>
      <c r="AZ1222" s="60">
        <v>-0.462237387895584</v>
      </c>
    </row>
    <row r="1223" spans="1:52" ht="15" customHeight="1">
      <c r="A1223" s="175" t="s">
        <v>375</v>
      </c>
      <c r="B1223" s="189">
        <v>2013</v>
      </c>
      <c r="C1223" s="27" t="s">
        <v>357</v>
      </c>
      <c r="D1223" s="183" t="s">
        <v>238</v>
      </c>
      <c r="E1223" s="186" t="s">
        <v>98</v>
      </c>
      <c r="F1223" s="186" t="s">
        <v>98</v>
      </c>
      <c r="G1223" s="187"/>
      <c r="H1223" s="187"/>
      <c r="I1223" s="196">
        <v>5244000</v>
      </c>
      <c r="J1223" s="196"/>
      <c r="K1223" s="27" t="s">
        <v>603</v>
      </c>
      <c r="L1223" s="28"/>
      <c r="M1223" s="27"/>
      <c r="N1223" s="27" t="s">
        <v>674</v>
      </c>
      <c r="O1223" s="18">
        <v>515000000</v>
      </c>
      <c r="P1223" s="244"/>
      <c r="Q1223" s="244"/>
      <c r="R1223" s="27"/>
      <c r="S1223" s="27"/>
      <c r="T1223" s="18"/>
      <c r="U1223" s="27"/>
      <c r="V1223" s="27"/>
      <c r="W1223" s="30"/>
      <c r="X1223" s="27"/>
      <c r="Y1223" s="27"/>
      <c r="Z1223" s="27"/>
      <c r="AA1223" s="27"/>
      <c r="AB1223" s="27"/>
      <c r="AC1223" s="273">
        <v>1054895582.33</v>
      </c>
      <c r="AD1223" s="27">
        <v>11516409581.298849</v>
      </c>
      <c r="AE1223" s="228">
        <v>9.1599345688695655E-2</v>
      </c>
      <c r="AF1223" s="27">
        <v>3812737720.0806098</v>
      </c>
      <c r="AG1223" s="226">
        <v>0.2766766716667039</v>
      </c>
      <c r="AH1223" s="226">
        <v>0.76112760597734774</v>
      </c>
      <c r="AI1223" s="27" t="s">
        <v>2842</v>
      </c>
      <c r="AJ1223" s="226" t="s">
        <v>2842</v>
      </c>
      <c r="AK1223" s="27" t="s">
        <v>2842</v>
      </c>
      <c r="AL1223" s="226" t="s">
        <v>2842</v>
      </c>
      <c r="AM1223" s="27" t="s">
        <v>2842</v>
      </c>
      <c r="AN1223" s="271" t="s">
        <v>2842</v>
      </c>
      <c r="AO1223" s="27">
        <v>2839073</v>
      </c>
      <c r="AP1223" s="27" t="s">
        <v>2842</v>
      </c>
      <c r="AQ1223" s="27" t="s">
        <v>2842</v>
      </c>
      <c r="AR1223" s="27">
        <v>26.4</v>
      </c>
      <c r="AS1223" s="29" t="s">
        <v>2842</v>
      </c>
      <c r="AT1223" s="270">
        <v>39</v>
      </c>
      <c r="AU1223" s="464">
        <v>50.953024059451757</v>
      </c>
      <c r="AV1223" s="29">
        <v>7.2999700903892503E-2</v>
      </c>
      <c r="AW1223" s="29">
        <v>0.49927636981010398</v>
      </c>
      <c r="AX1223" s="29">
        <v>-0.54106253385543801</v>
      </c>
      <c r="AY1223" s="29">
        <v>-0.28594869375228898</v>
      </c>
      <c r="AZ1223" s="60">
        <v>-0.462237387895584</v>
      </c>
    </row>
    <row r="1224" spans="1:52" ht="15" customHeight="1">
      <c r="A1224" s="175" t="s">
        <v>375</v>
      </c>
      <c r="B1224" s="189">
        <v>2013</v>
      </c>
      <c r="C1224" s="27" t="s">
        <v>357</v>
      </c>
      <c r="D1224" s="183" t="s">
        <v>238</v>
      </c>
      <c r="E1224" s="186" t="s">
        <v>19</v>
      </c>
      <c r="F1224" s="186" t="s">
        <v>559</v>
      </c>
      <c r="G1224" s="187"/>
      <c r="H1224" s="187"/>
      <c r="I1224" s="187"/>
      <c r="J1224" s="187"/>
      <c r="K1224" s="27"/>
      <c r="L1224" s="28"/>
      <c r="M1224" s="27"/>
      <c r="N1224" s="27"/>
      <c r="O1224" s="27"/>
      <c r="P1224" s="244"/>
      <c r="Q1224" s="244"/>
      <c r="R1224" s="27"/>
      <c r="S1224" s="27"/>
      <c r="T1224" s="18"/>
      <c r="U1224" s="27"/>
      <c r="V1224" s="27"/>
      <c r="W1224" s="30"/>
      <c r="X1224" s="27"/>
      <c r="Y1224" s="27"/>
      <c r="Z1224" s="27"/>
      <c r="AA1224" s="27"/>
      <c r="AB1224" s="27"/>
      <c r="AC1224" s="273">
        <v>1054895582.33</v>
      </c>
      <c r="AD1224" s="27">
        <v>11516409581.298849</v>
      </c>
      <c r="AE1224" s="228">
        <v>9.1599345688695655E-2</v>
      </c>
      <c r="AF1224" s="27">
        <v>3812737720.0806098</v>
      </c>
      <c r="AG1224" s="226">
        <v>0.2766766716667039</v>
      </c>
      <c r="AH1224" s="226">
        <v>0.76112760597734774</v>
      </c>
      <c r="AI1224" s="27" t="s">
        <v>2842</v>
      </c>
      <c r="AJ1224" s="226" t="s">
        <v>2842</v>
      </c>
      <c r="AK1224" s="27" t="s">
        <v>2842</v>
      </c>
      <c r="AL1224" s="226" t="s">
        <v>2842</v>
      </c>
      <c r="AM1224" s="27" t="s">
        <v>2842</v>
      </c>
      <c r="AN1224" s="271" t="s">
        <v>2842</v>
      </c>
      <c r="AO1224" s="27">
        <v>2839073</v>
      </c>
      <c r="AP1224" s="27" t="s">
        <v>2842</v>
      </c>
      <c r="AQ1224" s="27" t="s">
        <v>2842</v>
      </c>
      <c r="AR1224" s="27">
        <v>26.4</v>
      </c>
      <c r="AS1224" s="29" t="s">
        <v>2842</v>
      </c>
      <c r="AT1224" s="270">
        <v>39</v>
      </c>
      <c r="AU1224" s="464">
        <v>50.953024059451757</v>
      </c>
      <c r="AV1224" s="29">
        <v>7.2999700903892503E-2</v>
      </c>
      <c r="AW1224" s="29">
        <v>0.49927636981010398</v>
      </c>
      <c r="AX1224" s="29">
        <v>-0.54106253385543801</v>
      </c>
      <c r="AY1224" s="29">
        <v>-0.28594869375228898</v>
      </c>
      <c r="AZ1224" s="60">
        <v>-0.462237387895584</v>
      </c>
    </row>
    <row r="1225" spans="1:52" ht="15" customHeight="1">
      <c r="A1225" s="175" t="s">
        <v>375</v>
      </c>
      <c r="B1225" s="189">
        <v>2013</v>
      </c>
      <c r="C1225" s="27" t="s">
        <v>357</v>
      </c>
      <c r="D1225" s="183" t="s">
        <v>238</v>
      </c>
      <c r="E1225" s="186" t="s">
        <v>19</v>
      </c>
      <c r="F1225" s="186" t="s">
        <v>573</v>
      </c>
      <c r="G1225" s="187"/>
      <c r="H1225" s="187"/>
      <c r="I1225" s="196">
        <v>30123000</v>
      </c>
      <c r="J1225" s="196"/>
      <c r="K1225" s="27" t="s">
        <v>567</v>
      </c>
      <c r="L1225" s="28"/>
      <c r="M1225" s="27"/>
      <c r="N1225" s="27" t="s">
        <v>674</v>
      </c>
      <c r="O1225" s="27"/>
      <c r="P1225" s="244"/>
      <c r="Q1225" s="244"/>
      <c r="R1225" s="27"/>
      <c r="S1225" s="27"/>
      <c r="T1225" s="18"/>
      <c r="U1225" s="27"/>
      <c r="V1225" s="27"/>
      <c r="W1225" s="30"/>
      <c r="X1225" s="27"/>
      <c r="Y1225" s="27"/>
      <c r="Z1225" s="27"/>
      <c r="AA1225" s="27"/>
      <c r="AB1225" s="27"/>
      <c r="AC1225" s="273">
        <v>1054895582.33</v>
      </c>
      <c r="AD1225" s="27">
        <v>11516409581.298849</v>
      </c>
      <c r="AE1225" s="228">
        <v>9.1599345688695655E-2</v>
      </c>
      <c r="AF1225" s="27">
        <v>3812737720.0806098</v>
      </c>
      <c r="AG1225" s="226">
        <v>0.2766766716667039</v>
      </c>
      <c r="AH1225" s="226">
        <v>0.76112760597734774</v>
      </c>
      <c r="AI1225" s="27" t="s">
        <v>2842</v>
      </c>
      <c r="AJ1225" s="226" t="s">
        <v>2842</v>
      </c>
      <c r="AK1225" s="27" t="s">
        <v>2842</v>
      </c>
      <c r="AL1225" s="226" t="s">
        <v>2842</v>
      </c>
      <c r="AM1225" s="27" t="s">
        <v>2842</v>
      </c>
      <c r="AN1225" s="271" t="s">
        <v>2842</v>
      </c>
      <c r="AO1225" s="27">
        <v>2839073</v>
      </c>
      <c r="AP1225" s="27" t="s">
        <v>2842</v>
      </c>
      <c r="AQ1225" s="27" t="s">
        <v>2842</v>
      </c>
      <c r="AR1225" s="27">
        <v>26.4</v>
      </c>
      <c r="AS1225" s="29" t="s">
        <v>2842</v>
      </c>
      <c r="AT1225" s="270">
        <v>39</v>
      </c>
      <c r="AU1225" s="464">
        <v>50.953024059451757</v>
      </c>
      <c r="AV1225" s="29">
        <v>7.2999700903892503E-2</v>
      </c>
      <c r="AW1225" s="29">
        <v>0.49927636981010398</v>
      </c>
      <c r="AX1225" s="29">
        <v>-0.54106253385543801</v>
      </c>
      <c r="AY1225" s="29">
        <v>-0.28594869375228898</v>
      </c>
      <c r="AZ1225" s="60">
        <v>-0.462237387895584</v>
      </c>
    </row>
    <row r="1226" spans="1:52" ht="15" customHeight="1">
      <c r="A1226" s="175" t="s">
        <v>375</v>
      </c>
      <c r="B1226" s="189">
        <v>2013</v>
      </c>
      <c r="C1226" s="27" t="s">
        <v>357</v>
      </c>
      <c r="D1226" s="183" t="s">
        <v>238</v>
      </c>
      <c r="E1226" s="186" t="s">
        <v>19</v>
      </c>
      <c r="F1226" s="186" t="s">
        <v>1690</v>
      </c>
      <c r="G1226" s="187"/>
      <c r="H1226" s="187"/>
      <c r="I1226" s="196">
        <v>533000</v>
      </c>
      <c r="J1226" s="196"/>
      <c r="K1226" s="27" t="s">
        <v>567</v>
      </c>
      <c r="L1226" s="28"/>
      <c r="M1226" s="27"/>
      <c r="N1226" s="27" t="s">
        <v>674</v>
      </c>
      <c r="O1226" s="27"/>
      <c r="P1226" s="244"/>
      <c r="Q1226" s="244"/>
      <c r="R1226" s="27"/>
      <c r="S1226" s="27"/>
      <c r="T1226" s="18"/>
      <c r="U1226" s="27"/>
      <c r="V1226" s="27"/>
      <c r="W1226" s="30"/>
      <c r="X1226" s="27"/>
      <c r="Y1226" s="27"/>
      <c r="Z1226" s="27"/>
      <c r="AA1226" s="27"/>
      <c r="AB1226" s="27"/>
      <c r="AC1226" s="273">
        <v>1054895582.33</v>
      </c>
      <c r="AD1226" s="27">
        <v>11516409581.298849</v>
      </c>
      <c r="AE1226" s="228">
        <v>9.1599345688695655E-2</v>
      </c>
      <c r="AF1226" s="27">
        <v>3812737720.0806098</v>
      </c>
      <c r="AG1226" s="226">
        <v>0.2766766716667039</v>
      </c>
      <c r="AH1226" s="226">
        <v>0.76112760597734774</v>
      </c>
      <c r="AI1226" s="27" t="s">
        <v>2842</v>
      </c>
      <c r="AJ1226" s="226" t="s">
        <v>2842</v>
      </c>
      <c r="AK1226" s="27" t="s">
        <v>2842</v>
      </c>
      <c r="AL1226" s="226" t="s">
        <v>2842</v>
      </c>
      <c r="AM1226" s="27" t="s">
        <v>2842</v>
      </c>
      <c r="AN1226" s="271" t="s">
        <v>2842</v>
      </c>
      <c r="AO1226" s="27">
        <v>2839073</v>
      </c>
      <c r="AP1226" s="27" t="s">
        <v>2842</v>
      </c>
      <c r="AQ1226" s="27" t="s">
        <v>2842</v>
      </c>
      <c r="AR1226" s="27">
        <v>26.4</v>
      </c>
      <c r="AS1226" s="29" t="s">
        <v>2842</v>
      </c>
      <c r="AT1226" s="270">
        <v>39</v>
      </c>
      <c r="AU1226" s="464">
        <v>50.953024059451757</v>
      </c>
      <c r="AV1226" s="29">
        <v>7.2999700903892503E-2</v>
      </c>
      <c r="AW1226" s="29">
        <v>0.49927636981010398</v>
      </c>
      <c r="AX1226" s="29">
        <v>-0.54106253385543801</v>
      </c>
      <c r="AY1226" s="29">
        <v>-0.28594869375228898</v>
      </c>
      <c r="AZ1226" s="60">
        <v>-0.462237387895584</v>
      </c>
    </row>
    <row r="1227" spans="1:52" ht="15" customHeight="1">
      <c r="A1227" s="175" t="s">
        <v>375</v>
      </c>
      <c r="B1227" s="189">
        <v>2013</v>
      </c>
      <c r="C1227" s="27" t="s">
        <v>357</v>
      </c>
      <c r="D1227" s="183" t="s">
        <v>238</v>
      </c>
      <c r="E1227" s="186" t="s">
        <v>19</v>
      </c>
      <c r="F1227" s="27" t="s">
        <v>1672</v>
      </c>
      <c r="G1227" s="176"/>
      <c r="H1227" s="176"/>
      <c r="I1227" s="176">
        <v>3869000</v>
      </c>
      <c r="J1227" s="176"/>
      <c r="K1227" s="27" t="s">
        <v>567</v>
      </c>
      <c r="L1227" s="28"/>
      <c r="M1227" s="27"/>
      <c r="N1227" s="27" t="s">
        <v>674</v>
      </c>
      <c r="O1227" s="27"/>
      <c r="P1227" s="244"/>
      <c r="Q1227" s="244"/>
      <c r="R1227" s="27"/>
      <c r="S1227" s="27"/>
      <c r="T1227" s="18"/>
      <c r="U1227" s="27"/>
      <c r="V1227" s="27"/>
      <c r="W1227" s="30"/>
      <c r="X1227" s="27"/>
      <c r="Y1227" s="27"/>
      <c r="Z1227" s="27"/>
      <c r="AA1227" s="27"/>
      <c r="AB1227" s="27"/>
      <c r="AC1227" s="273">
        <v>1054895582.33</v>
      </c>
      <c r="AD1227" s="27">
        <v>11516409581.298849</v>
      </c>
      <c r="AE1227" s="228">
        <v>9.1599345688695655E-2</v>
      </c>
      <c r="AF1227" s="27">
        <v>3812737720.0806098</v>
      </c>
      <c r="AG1227" s="226">
        <v>0.2766766716667039</v>
      </c>
      <c r="AH1227" s="226">
        <v>0.76112760597734774</v>
      </c>
      <c r="AI1227" s="27" t="s">
        <v>2842</v>
      </c>
      <c r="AJ1227" s="226" t="s">
        <v>2842</v>
      </c>
      <c r="AK1227" s="27" t="s">
        <v>2842</v>
      </c>
      <c r="AL1227" s="226" t="s">
        <v>2842</v>
      </c>
      <c r="AM1227" s="27" t="s">
        <v>2842</v>
      </c>
      <c r="AN1227" s="271" t="s">
        <v>2842</v>
      </c>
      <c r="AO1227" s="27">
        <v>2839073</v>
      </c>
      <c r="AP1227" s="27" t="s">
        <v>2842</v>
      </c>
      <c r="AQ1227" s="27" t="s">
        <v>2842</v>
      </c>
      <c r="AR1227" s="27">
        <v>26.4</v>
      </c>
      <c r="AS1227" s="29" t="s">
        <v>2842</v>
      </c>
      <c r="AT1227" s="270">
        <v>39</v>
      </c>
      <c r="AU1227" s="464">
        <v>50.953024059451757</v>
      </c>
      <c r="AV1227" s="29">
        <v>7.2999700903892503E-2</v>
      </c>
      <c r="AW1227" s="29">
        <v>0.49927636981010398</v>
      </c>
      <c r="AX1227" s="29">
        <v>-0.54106253385543801</v>
      </c>
      <c r="AY1227" s="29">
        <v>-0.28594869375228898</v>
      </c>
      <c r="AZ1227" s="60">
        <v>-0.462237387895584</v>
      </c>
    </row>
    <row r="1228" spans="1:52" ht="15" customHeight="1">
      <c r="A1228" s="175" t="s">
        <v>375</v>
      </c>
      <c r="B1228" s="189">
        <v>2013</v>
      </c>
      <c r="C1228" s="27" t="s">
        <v>357</v>
      </c>
      <c r="D1228" s="183" t="s">
        <v>238</v>
      </c>
      <c r="E1228" s="27" t="s">
        <v>19</v>
      </c>
      <c r="F1228" s="27" t="s">
        <v>730</v>
      </c>
      <c r="G1228" s="176"/>
      <c r="H1228" s="176"/>
      <c r="I1228" s="176">
        <v>8904</v>
      </c>
      <c r="J1228" s="176"/>
      <c r="K1228" s="27" t="s">
        <v>894</v>
      </c>
      <c r="L1228" s="28"/>
      <c r="M1228" s="27"/>
      <c r="N1228" s="27" t="s">
        <v>674</v>
      </c>
      <c r="O1228" s="27"/>
      <c r="P1228" s="244"/>
      <c r="Q1228" s="244"/>
      <c r="R1228" s="27"/>
      <c r="S1228" s="27"/>
      <c r="T1228" s="18"/>
      <c r="U1228" s="27"/>
      <c r="V1228" s="27"/>
      <c r="W1228" s="30"/>
      <c r="X1228" s="27"/>
      <c r="Y1228" s="27"/>
      <c r="Z1228" s="27"/>
      <c r="AA1228" s="27"/>
      <c r="AB1228" s="27"/>
      <c r="AC1228" s="273">
        <v>1054895582.33</v>
      </c>
      <c r="AD1228" s="27">
        <v>11516409581.298849</v>
      </c>
      <c r="AE1228" s="228">
        <v>9.1599345688695655E-2</v>
      </c>
      <c r="AF1228" s="27">
        <v>3812737720.0806098</v>
      </c>
      <c r="AG1228" s="226">
        <v>0.2766766716667039</v>
      </c>
      <c r="AH1228" s="226">
        <v>0.76112760597734774</v>
      </c>
      <c r="AI1228" s="27" t="s">
        <v>2842</v>
      </c>
      <c r="AJ1228" s="226" t="s">
        <v>2842</v>
      </c>
      <c r="AK1228" s="27" t="s">
        <v>2842</v>
      </c>
      <c r="AL1228" s="226" t="s">
        <v>2842</v>
      </c>
      <c r="AM1228" s="27" t="s">
        <v>2842</v>
      </c>
      <c r="AN1228" s="271" t="s">
        <v>2842</v>
      </c>
      <c r="AO1228" s="27">
        <v>2839073</v>
      </c>
      <c r="AP1228" s="27" t="s">
        <v>2842</v>
      </c>
      <c r="AQ1228" s="27" t="s">
        <v>2842</v>
      </c>
      <c r="AR1228" s="27">
        <v>26.4</v>
      </c>
      <c r="AS1228" s="29" t="s">
        <v>2842</v>
      </c>
      <c r="AT1228" s="270">
        <v>39</v>
      </c>
      <c r="AU1228" s="464">
        <v>50.953024059451757</v>
      </c>
      <c r="AV1228" s="29">
        <v>7.2999700903892503E-2</v>
      </c>
      <c r="AW1228" s="29">
        <v>0.49927636981010398</v>
      </c>
      <c r="AX1228" s="29">
        <v>-0.54106253385543801</v>
      </c>
      <c r="AY1228" s="29">
        <v>-0.28594869375228898</v>
      </c>
      <c r="AZ1228" s="60">
        <v>-0.462237387895584</v>
      </c>
    </row>
    <row r="1229" spans="1:52" ht="15" customHeight="1">
      <c r="A1229" s="175" t="s">
        <v>375</v>
      </c>
      <c r="B1229" s="189">
        <v>2013</v>
      </c>
      <c r="C1229" s="27" t="s">
        <v>357</v>
      </c>
      <c r="D1229" s="183" t="s">
        <v>238</v>
      </c>
      <c r="E1229" s="27" t="s">
        <v>19</v>
      </c>
      <c r="F1229" s="27" t="s">
        <v>1726</v>
      </c>
      <c r="G1229" s="176"/>
      <c r="H1229" s="176"/>
      <c r="I1229" s="176">
        <v>162000</v>
      </c>
      <c r="J1229" s="176"/>
      <c r="K1229" s="27" t="s">
        <v>567</v>
      </c>
      <c r="L1229" s="28"/>
      <c r="M1229" s="27"/>
      <c r="N1229" s="27" t="s">
        <v>674</v>
      </c>
      <c r="O1229" s="27"/>
      <c r="P1229" s="244"/>
      <c r="Q1229" s="244"/>
      <c r="R1229" s="27"/>
      <c r="S1229" s="27"/>
      <c r="T1229" s="18"/>
      <c r="U1229" s="27"/>
      <c r="V1229" s="27"/>
      <c r="W1229" s="30"/>
      <c r="X1229" s="27"/>
      <c r="Y1229" s="27"/>
      <c r="Z1229" s="27"/>
      <c r="AA1229" s="27"/>
      <c r="AB1229" s="27"/>
      <c r="AC1229" s="273">
        <v>1054895582.33</v>
      </c>
      <c r="AD1229" s="27">
        <v>11516409581.298849</v>
      </c>
      <c r="AE1229" s="228">
        <v>9.1599345688695655E-2</v>
      </c>
      <c r="AF1229" s="27">
        <v>3812737720.0806098</v>
      </c>
      <c r="AG1229" s="226">
        <v>0.2766766716667039</v>
      </c>
      <c r="AH1229" s="226">
        <v>0.76112760597734774</v>
      </c>
      <c r="AI1229" s="27" t="s">
        <v>2842</v>
      </c>
      <c r="AJ1229" s="226" t="s">
        <v>2842</v>
      </c>
      <c r="AK1229" s="27" t="s">
        <v>2842</v>
      </c>
      <c r="AL1229" s="226" t="s">
        <v>2842</v>
      </c>
      <c r="AM1229" s="27" t="s">
        <v>2842</v>
      </c>
      <c r="AN1229" s="271" t="s">
        <v>2842</v>
      </c>
      <c r="AO1229" s="27">
        <v>2839073</v>
      </c>
      <c r="AP1229" s="27" t="s">
        <v>2842</v>
      </c>
      <c r="AQ1229" s="27" t="s">
        <v>2842</v>
      </c>
      <c r="AR1229" s="27">
        <v>26.4</v>
      </c>
      <c r="AS1229" s="29" t="s">
        <v>2842</v>
      </c>
      <c r="AT1229" s="270">
        <v>39</v>
      </c>
      <c r="AU1229" s="464">
        <v>50.953024059451757</v>
      </c>
      <c r="AV1229" s="29">
        <v>7.2999700903892503E-2</v>
      </c>
      <c r="AW1229" s="29">
        <v>0.49927636981010398</v>
      </c>
      <c r="AX1229" s="29">
        <v>-0.54106253385543801</v>
      </c>
      <c r="AY1229" s="29">
        <v>-0.28594869375228898</v>
      </c>
      <c r="AZ1229" s="60">
        <v>-0.462237387895584</v>
      </c>
    </row>
    <row r="1230" spans="1:52" ht="15" customHeight="1">
      <c r="A1230" s="175" t="s">
        <v>375</v>
      </c>
      <c r="B1230" s="189">
        <v>2013</v>
      </c>
      <c r="C1230" s="27" t="s">
        <v>357</v>
      </c>
      <c r="D1230" s="183" t="s">
        <v>238</v>
      </c>
      <c r="E1230" s="27" t="s">
        <v>19</v>
      </c>
      <c r="F1230" s="27" t="s">
        <v>1727</v>
      </c>
      <c r="G1230" s="176"/>
      <c r="H1230" s="176"/>
      <c r="I1230" s="176">
        <v>76000</v>
      </c>
      <c r="J1230" s="176"/>
      <c r="K1230" s="27" t="s">
        <v>567</v>
      </c>
      <c r="L1230" s="28"/>
      <c r="M1230" s="27"/>
      <c r="N1230" s="27" t="s">
        <v>674</v>
      </c>
      <c r="O1230" s="27"/>
      <c r="P1230" s="244"/>
      <c r="Q1230" s="244"/>
      <c r="R1230" s="27"/>
      <c r="S1230" s="27"/>
      <c r="T1230" s="18"/>
      <c r="U1230" s="27"/>
      <c r="V1230" s="27"/>
      <c r="W1230" s="30"/>
      <c r="X1230" s="27"/>
      <c r="Y1230" s="27"/>
      <c r="Z1230" s="27"/>
      <c r="AA1230" s="27"/>
      <c r="AB1230" s="27"/>
      <c r="AC1230" s="273">
        <v>1054895582.33</v>
      </c>
      <c r="AD1230" s="27">
        <v>11516409581.298849</v>
      </c>
      <c r="AE1230" s="228">
        <v>9.1599345688695655E-2</v>
      </c>
      <c r="AF1230" s="27">
        <v>3812737720.0806098</v>
      </c>
      <c r="AG1230" s="226">
        <v>0.2766766716667039</v>
      </c>
      <c r="AH1230" s="226">
        <v>0.76112760597734774</v>
      </c>
      <c r="AI1230" s="27" t="s">
        <v>2842</v>
      </c>
      <c r="AJ1230" s="226" t="s">
        <v>2842</v>
      </c>
      <c r="AK1230" s="27" t="s">
        <v>2842</v>
      </c>
      <c r="AL1230" s="226" t="s">
        <v>2842</v>
      </c>
      <c r="AM1230" s="27" t="s">
        <v>2842</v>
      </c>
      <c r="AN1230" s="271" t="s">
        <v>2842</v>
      </c>
      <c r="AO1230" s="27">
        <v>2839073</v>
      </c>
      <c r="AP1230" s="27" t="s">
        <v>2842</v>
      </c>
      <c r="AQ1230" s="27" t="s">
        <v>2842</v>
      </c>
      <c r="AR1230" s="27">
        <v>26.4</v>
      </c>
      <c r="AS1230" s="29" t="s">
        <v>2842</v>
      </c>
      <c r="AT1230" s="270">
        <v>39</v>
      </c>
      <c r="AU1230" s="464">
        <v>50.953024059451757</v>
      </c>
      <c r="AV1230" s="29">
        <v>7.2999700903892503E-2</v>
      </c>
      <c r="AW1230" s="29">
        <v>0.49927636981010398</v>
      </c>
      <c r="AX1230" s="29">
        <v>-0.54106253385543801</v>
      </c>
      <c r="AY1230" s="29">
        <v>-0.28594869375228898</v>
      </c>
      <c r="AZ1230" s="60">
        <v>-0.462237387895584</v>
      </c>
    </row>
    <row r="1231" spans="1:52" ht="15" customHeight="1">
      <c r="A1231" s="175" t="s">
        <v>375</v>
      </c>
      <c r="B1231" s="189">
        <v>2013</v>
      </c>
      <c r="C1231" s="27" t="s">
        <v>357</v>
      </c>
      <c r="D1231" s="183" t="s">
        <v>238</v>
      </c>
      <c r="E1231" s="27" t="s">
        <v>19</v>
      </c>
      <c r="F1231" s="27" t="s">
        <v>1196</v>
      </c>
      <c r="G1231" s="176"/>
      <c r="H1231" s="176"/>
      <c r="I1231" s="176">
        <v>6011000</v>
      </c>
      <c r="J1231" s="176"/>
      <c r="K1231" s="27" t="s">
        <v>567</v>
      </c>
      <c r="L1231" s="28"/>
      <c r="M1231" s="27"/>
      <c r="N1231" s="27" t="s">
        <v>674</v>
      </c>
      <c r="O1231" s="27"/>
      <c r="P1231" s="244"/>
      <c r="Q1231" s="244"/>
      <c r="R1231" s="27"/>
      <c r="S1231" s="27"/>
      <c r="T1231" s="18"/>
      <c r="U1231" s="27"/>
      <c r="V1231" s="27"/>
      <c r="W1231" s="30"/>
      <c r="X1231" s="27"/>
      <c r="Y1231" s="27"/>
      <c r="Z1231" s="27"/>
      <c r="AA1231" s="27"/>
      <c r="AB1231" s="27"/>
      <c r="AC1231" s="273">
        <v>1054895582.33</v>
      </c>
      <c r="AD1231" s="27">
        <v>11516409581.298849</v>
      </c>
      <c r="AE1231" s="228">
        <v>9.1599345688695655E-2</v>
      </c>
      <c r="AF1231" s="27">
        <v>3812737720.0806098</v>
      </c>
      <c r="AG1231" s="226">
        <v>0.2766766716667039</v>
      </c>
      <c r="AH1231" s="226">
        <v>0.76112760597734774</v>
      </c>
      <c r="AI1231" s="27" t="s">
        <v>2842</v>
      </c>
      <c r="AJ1231" s="226" t="s">
        <v>2842</v>
      </c>
      <c r="AK1231" s="27" t="s">
        <v>2842</v>
      </c>
      <c r="AL1231" s="226" t="s">
        <v>2842</v>
      </c>
      <c r="AM1231" s="27" t="s">
        <v>2842</v>
      </c>
      <c r="AN1231" s="271" t="s">
        <v>2842</v>
      </c>
      <c r="AO1231" s="27">
        <v>2839073</v>
      </c>
      <c r="AP1231" s="27" t="s">
        <v>2842</v>
      </c>
      <c r="AQ1231" s="27" t="s">
        <v>2842</v>
      </c>
      <c r="AR1231" s="27">
        <v>26.4</v>
      </c>
      <c r="AS1231" s="29" t="s">
        <v>2842</v>
      </c>
      <c r="AT1231" s="270">
        <v>39</v>
      </c>
      <c r="AU1231" s="464">
        <v>50.953024059451757</v>
      </c>
      <c r="AV1231" s="29">
        <v>7.2999700903892503E-2</v>
      </c>
      <c r="AW1231" s="29">
        <v>0.49927636981010398</v>
      </c>
      <c r="AX1231" s="29">
        <v>-0.54106253385543801</v>
      </c>
      <c r="AY1231" s="29">
        <v>-0.28594869375228898</v>
      </c>
      <c r="AZ1231" s="60">
        <v>-0.462237387895584</v>
      </c>
    </row>
    <row r="1232" spans="1:52" ht="15" customHeight="1">
      <c r="A1232" s="175" t="s">
        <v>375</v>
      </c>
      <c r="B1232" s="189">
        <v>2013</v>
      </c>
      <c r="C1232" s="27" t="s">
        <v>357</v>
      </c>
      <c r="D1232" s="183" t="s">
        <v>238</v>
      </c>
      <c r="E1232" s="27" t="s">
        <v>19</v>
      </c>
      <c r="F1232" s="27" t="s">
        <v>1728</v>
      </c>
      <c r="G1232" s="176"/>
      <c r="H1232" s="176"/>
      <c r="I1232" s="176">
        <v>104000</v>
      </c>
      <c r="J1232" s="176"/>
      <c r="K1232" s="27" t="s">
        <v>567</v>
      </c>
      <c r="L1232" s="28"/>
      <c r="M1232" s="27"/>
      <c r="N1232" s="27" t="s">
        <v>674</v>
      </c>
      <c r="O1232" s="27"/>
      <c r="P1232" s="244"/>
      <c r="Q1232" s="244"/>
      <c r="R1232" s="27"/>
      <c r="S1232" s="27"/>
      <c r="T1232" s="18"/>
      <c r="U1232" s="27"/>
      <c r="V1232" s="27"/>
      <c r="W1232" s="30"/>
      <c r="X1232" s="27"/>
      <c r="Y1232" s="27"/>
      <c r="Z1232" s="27"/>
      <c r="AA1232" s="27"/>
      <c r="AB1232" s="27"/>
      <c r="AC1232" s="273">
        <v>1054895582.33</v>
      </c>
      <c r="AD1232" s="27">
        <v>11516409581.298849</v>
      </c>
      <c r="AE1232" s="228">
        <v>9.1599345688695655E-2</v>
      </c>
      <c r="AF1232" s="27">
        <v>3812737720.0806098</v>
      </c>
      <c r="AG1232" s="226">
        <v>0.2766766716667039</v>
      </c>
      <c r="AH1232" s="226">
        <v>0.76112760597734774</v>
      </c>
      <c r="AI1232" s="27" t="s">
        <v>2842</v>
      </c>
      <c r="AJ1232" s="226" t="s">
        <v>2842</v>
      </c>
      <c r="AK1232" s="27" t="s">
        <v>2842</v>
      </c>
      <c r="AL1232" s="226" t="s">
        <v>2842</v>
      </c>
      <c r="AM1232" s="27" t="s">
        <v>2842</v>
      </c>
      <c r="AN1232" s="271" t="s">
        <v>2842</v>
      </c>
      <c r="AO1232" s="27">
        <v>2839073</v>
      </c>
      <c r="AP1232" s="27" t="s">
        <v>2842</v>
      </c>
      <c r="AQ1232" s="27" t="s">
        <v>2842</v>
      </c>
      <c r="AR1232" s="27">
        <v>26.4</v>
      </c>
      <c r="AS1232" s="29" t="s">
        <v>2842</v>
      </c>
      <c r="AT1232" s="270">
        <v>39</v>
      </c>
      <c r="AU1232" s="464">
        <v>50.953024059451757</v>
      </c>
      <c r="AV1232" s="29">
        <v>7.2999700903892503E-2</v>
      </c>
      <c r="AW1232" s="29">
        <v>0.49927636981010398</v>
      </c>
      <c r="AX1232" s="29">
        <v>-0.54106253385543801</v>
      </c>
      <c r="AY1232" s="29">
        <v>-0.28594869375228898</v>
      </c>
      <c r="AZ1232" s="60">
        <v>-0.462237387895584</v>
      </c>
    </row>
    <row r="1233" spans="1:52" s="232" customFormat="1" ht="15" customHeight="1" thickBot="1">
      <c r="A1233" s="416" t="s">
        <v>375</v>
      </c>
      <c r="B1233" s="378">
        <v>2013</v>
      </c>
      <c r="C1233" s="230" t="s">
        <v>357</v>
      </c>
      <c r="D1233" s="379" t="s">
        <v>238</v>
      </c>
      <c r="E1233" s="230" t="s">
        <v>19</v>
      </c>
      <c r="F1233" s="230" t="s">
        <v>1058</v>
      </c>
      <c r="G1233" s="317"/>
      <c r="H1233" s="317"/>
      <c r="I1233" s="317">
        <v>658</v>
      </c>
      <c r="J1233" s="317"/>
      <c r="K1233" s="230" t="s">
        <v>567</v>
      </c>
      <c r="L1233" s="298"/>
      <c r="M1233" s="230"/>
      <c r="N1233" s="230" t="s">
        <v>674</v>
      </c>
      <c r="O1233" s="230"/>
      <c r="P1233" s="318"/>
      <c r="Q1233" s="318"/>
      <c r="R1233" s="230"/>
      <c r="S1233" s="230"/>
      <c r="T1233" s="285"/>
      <c r="U1233" s="230"/>
      <c r="V1233" s="230"/>
      <c r="W1233" s="300"/>
      <c r="X1233" s="230"/>
      <c r="Y1233" s="230"/>
      <c r="Z1233" s="230"/>
      <c r="AA1233" s="230"/>
      <c r="AB1233" s="230"/>
      <c r="AC1233" s="274">
        <v>1054895582.33</v>
      </c>
      <c r="AD1233" s="230">
        <v>11516409581.298849</v>
      </c>
      <c r="AE1233" s="229">
        <v>9.1599345688695655E-2</v>
      </c>
      <c r="AF1233" s="230">
        <v>3812737720.0806098</v>
      </c>
      <c r="AG1233" s="231">
        <v>0.2766766716667039</v>
      </c>
      <c r="AH1233" s="231">
        <v>0.76112760597734774</v>
      </c>
      <c r="AI1233" s="230" t="s">
        <v>2842</v>
      </c>
      <c r="AJ1233" s="231" t="s">
        <v>2842</v>
      </c>
      <c r="AK1233" s="230" t="s">
        <v>2842</v>
      </c>
      <c r="AL1233" s="231" t="s">
        <v>2842</v>
      </c>
      <c r="AM1233" s="230" t="s">
        <v>2842</v>
      </c>
      <c r="AN1233" s="275" t="s">
        <v>2842</v>
      </c>
      <c r="AO1233" s="230">
        <v>2839073</v>
      </c>
      <c r="AP1233" s="230" t="s">
        <v>2842</v>
      </c>
      <c r="AQ1233" s="230" t="s">
        <v>2842</v>
      </c>
      <c r="AR1233" s="230">
        <v>26.4</v>
      </c>
      <c r="AS1233" s="232" t="s">
        <v>2842</v>
      </c>
      <c r="AT1233" s="276">
        <v>39</v>
      </c>
      <c r="AU1233" s="466">
        <v>50.953024059451757</v>
      </c>
      <c r="AV1233" s="232">
        <v>7.2999700903892503E-2</v>
      </c>
      <c r="AW1233" s="232">
        <v>0.49927636981010398</v>
      </c>
      <c r="AX1233" s="232">
        <v>-0.54106253385543801</v>
      </c>
      <c r="AY1233" s="232">
        <v>-0.28594869375228898</v>
      </c>
      <c r="AZ1233" s="293">
        <v>-0.462237387895584</v>
      </c>
    </row>
    <row r="1234" spans="1:52" ht="15" customHeight="1">
      <c r="A1234" s="59" t="s">
        <v>377</v>
      </c>
      <c r="B1234" s="27">
        <v>2008</v>
      </c>
      <c r="C1234" s="27" t="s">
        <v>378</v>
      </c>
      <c r="D1234" s="27" t="s">
        <v>81</v>
      </c>
      <c r="E1234" s="27" t="s">
        <v>379</v>
      </c>
      <c r="F1234" s="27" t="s">
        <v>659</v>
      </c>
      <c r="G1234" s="43"/>
      <c r="H1234" s="43"/>
      <c r="I1234" s="43"/>
      <c r="J1234" s="43"/>
      <c r="K1234" s="27"/>
      <c r="L1234" s="28"/>
      <c r="M1234" s="27"/>
      <c r="N1234" s="27"/>
      <c r="O1234" s="18">
        <f>O1235+O1236</f>
        <v>990148581.38949764</v>
      </c>
      <c r="P1234" s="214">
        <f>3839420+T1234</f>
        <v>25571802.530971412</v>
      </c>
      <c r="Q1234" s="214">
        <v>8484826</v>
      </c>
      <c r="R1234" s="27" t="s">
        <v>3745</v>
      </c>
      <c r="S1234" s="27" t="s">
        <v>1732</v>
      </c>
      <c r="T1234" s="18">
        <v>21732382.530971412</v>
      </c>
      <c r="U1234" s="27" t="s">
        <v>1730</v>
      </c>
      <c r="V1234" s="27" t="s">
        <v>1731</v>
      </c>
      <c r="W1234" s="30">
        <v>24.04</v>
      </c>
      <c r="X1234" s="27">
        <v>6</v>
      </c>
      <c r="Y1234" s="27" t="s">
        <v>1733</v>
      </c>
      <c r="Z1234" s="27">
        <v>6</v>
      </c>
      <c r="AA1234" s="27">
        <v>28</v>
      </c>
      <c r="AB1234" s="27" t="s">
        <v>1734</v>
      </c>
      <c r="AC1234" s="273">
        <v>25571802.530971412</v>
      </c>
      <c r="AD1234" s="27">
        <v>11026247458.238766</v>
      </c>
      <c r="AE1234" s="228">
        <v>2.3191754609011854E-3</v>
      </c>
      <c r="AF1234" s="27">
        <v>2484764864.7141056</v>
      </c>
      <c r="AG1234" s="226">
        <v>1.0291437589976417E-2</v>
      </c>
      <c r="AH1234" s="226" t="s">
        <v>2842</v>
      </c>
      <c r="AI1234" s="27">
        <v>1996380000</v>
      </c>
      <c r="AJ1234" s="226">
        <v>1.2809085710621931E-2</v>
      </c>
      <c r="AK1234" s="27">
        <v>321120231.15935093</v>
      </c>
      <c r="AL1234" s="226">
        <v>7.9633109501225416E-2</v>
      </c>
      <c r="AM1234" s="27" t="s">
        <v>2842</v>
      </c>
      <c r="AN1234" s="271" t="s">
        <v>2842</v>
      </c>
      <c r="AO1234" s="27">
        <v>22762525</v>
      </c>
      <c r="AP1234" s="27" t="s">
        <v>2842</v>
      </c>
      <c r="AQ1234" s="27">
        <v>48.493829268292686</v>
      </c>
      <c r="AR1234" s="27">
        <v>78.099999999999994</v>
      </c>
      <c r="AS1234" s="29" t="s">
        <v>2842</v>
      </c>
      <c r="AT1234" s="270">
        <v>31</v>
      </c>
      <c r="AU1234" s="464">
        <v>36.892105322543919</v>
      </c>
      <c r="AV1234" s="29">
        <v>-7.3130931626350204E-2</v>
      </c>
      <c r="AW1234" s="29">
        <v>0.33822144833706802</v>
      </c>
      <c r="AX1234" s="29">
        <v>-0.49578837827481598</v>
      </c>
      <c r="AY1234" s="29">
        <v>-0.447379258714726</v>
      </c>
      <c r="AZ1234" s="60">
        <v>-0.47412687816508697</v>
      </c>
    </row>
    <row r="1235" spans="1:52" ht="15" customHeight="1">
      <c r="A1235" s="59" t="s">
        <v>377</v>
      </c>
      <c r="B1235" s="27">
        <v>2008</v>
      </c>
      <c r="C1235" s="27" t="s">
        <v>378</v>
      </c>
      <c r="D1235" s="27" t="s">
        <v>81</v>
      </c>
      <c r="E1235" s="27" t="s">
        <v>552</v>
      </c>
      <c r="F1235" s="27" t="s">
        <v>552</v>
      </c>
      <c r="G1235" s="43">
        <f>104000000000*0.0283168</f>
        <v>2944947200</v>
      </c>
      <c r="H1235" s="43">
        <f>104519840*26.173</f>
        <v>2735597772.3199997</v>
      </c>
      <c r="I1235" s="43"/>
      <c r="J1235" s="43"/>
      <c r="K1235" s="27" t="s">
        <v>599</v>
      </c>
      <c r="L1235" s="28">
        <v>0.32879700000000006</v>
      </c>
      <c r="M1235" s="27" t="s">
        <v>600</v>
      </c>
      <c r="N1235" s="27" t="s">
        <v>816</v>
      </c>
      <c r="O1235" s="18">
        <f>H1235*L1235</f>
        <v>899456340.74549913</v>
      </c>
      <c r="P1235" s="214">
        <f>3770299.75041597+T1235</f>
        <v>25502682.281387381</v>
      </c>
      <c r="Q1235" s="214">
        <v>7809102</v>
      </c>
      <c r="R1235" s="27"/>
      <c r="S1235" s="27" t="s">
        <v>1732</v>
      </c>
      <c r="T1235" s="18">
        <v>21732382.530971412</v>
      </c>
      <c r="U1235" s="27"/>
      <c r="V1235" s="27"/>
      <c r="W1235" s="30"/>
      <c r="X1235" s="27">
        <v>2</v>
      </c>
      <c r="Y1235" s="27" t="s">
        <v>1735</v>
      </c>
      <c r="Z1235" s="27">
        <v>2</v>
      </c>
      <c r="AA1235" s="27" t="s">
        <v>1736</v>
      </c>
      <c r="AB1235" s="27" t="s">
        <v>1737</v>
      </c>
      <c r="AC1235" s="273">
        <v>25571802.530971412</v>
      </c>
      <c r="AD1235" s="27">
        <v>11026247458.238766</v>
      </c>
      <c r="AE1235" s="228">
        <v>2.3191754609011854E-3</v>
      </c>
      <c r="AF1235" s="27">
        <v>2484764864.7141056</v>
      </c>
      <c r="AG1235" s="226">
        <v>1.0291437589976417E-2</v>
      </c>
      <c r="AH1235" s="226" t="s">
        <v>2842</v>
      </c>
      <c r="AI1235" s="27">
        <v>1996380000</v>
      </c>
      <c r="AJ1235" s="226">
        <v>1.2809085710621931E-2</v>
      </c>
      <c r="AK1235" s="27">
        <v>321120231.15935093</v>
      </c>
      <c r="AL1235" s="226">
        <v>7.9633109501225416E-2</v>
      </c>
      <c r="AM1235" s="27" t="s">
        <v>2842</v>
      </c>
      <c r="AN1235" s="271" t="s">
        <v>2842</v>
      </c>
      <c r="AO1235" s="27">
        <v>22762525</v>
      </c>
      <c r="AP1235" s="27" t="s">
        <v>2842</v>
      </c>
      <c r="AQ1235" s="27">
        <v>48.493829268292686</v>
      </c>
      <c r="AR1235" s="27">
        <v>78.099999999999994</v>
      </c>
      <c r="AS1235" s="29" t="s">
        <v>2842</v>
      </c>
      <c r="AT1235" s="270">
        <v>31</v>
      </c>
      <c r="AU1235" s="464">
        <v>36.892105322543919</v>
      </c>
      <c r="AV1235" s="29">
        <v>-7.3130931626350204E-2</v>
      </c>
      <c r="AW1235" s="29">
        <v>0.33822144833706802</v>
      </c>
      <c r="AX1235" s="29">
        <v>-0.49578837827481598</v>
      </c>
      <c r="AY1235" s="29">
        <v>-0.447379258714726</v>
      </c>
      <c r="AZ1235" s="60">
        <v>-0.47412687816508697</v>
      </c>
    </row>
    <row r="1236" spans="1:52" ht="15" customHeight="1">
      <c r="A1236" s="59" t="s">
        <v>377</v>
      </c>
      <c r="B1236" s="27">
        <v>2008</v>
      </c>
      <c r="C1236" s="27" t="s">
        <v>378</v>
      </c>
      <c r="D1236" s="27" t="s">
        <v>81</v>
      </c>
      <c r="E1236" s="27" t="s">
        <v>19</v>
      </c>
      <c r="F1236" s="27" t="s">
        <v>559</v>
      </c>
      <c r="G1236" s="43"/>
      <c r="H1236" s="43"/>
      <c r="I1236" s="43"/>
      <c r="J1236" s="43"/>
      <c r="K1236" s="27"/>
      <c r="L1236" s="28"/>
      <c r="M1236" s="27"/>
      <c r="N1236" s="27"/>
      <c r="O1236" s="18">
        <f>SUM(O1237:O1246)-SUM(O1244:O1246)-SUM(O1239:O1241)</f>
        <v>90692240.643998459</v>
      </c>
      <c r="P1236" s="214">
        <v>69120.715474209646</v>
      </c>
      <c r="Q1236" s="214">
        <v>675724.12645590678</v>
      </c>
      <c r="R1236" s="27"/>
      <c r="S1236" s="27"/>
      <c r="T1236" s="18"/>
      <c r="U1236" s="27"/>
      <c r="V1236" s="27"/>
      <c r="W1236" s="30"/>
      <c r="X1236" s="27">
        <v>4</v>
      </c>
      <c r="Y1236" s="27" t="s">
        <v>1738</v>
      </c>
      <c r="Z1236" s="27">
        <v>4</v>
      </c>
      <c r="AA1236" s="27" t="s">
        <v>1739</v>
      </c>
      <c r="AB1236" s="27"/>
      <c r="AC1236" s="273">
        <v>25571802.530971412</v>
      </c>
      <c r="AD1236" s="27">
        <v>11026247458.238766</v>
      </c>
      <c r="AE1236" s="228">
        <v>2.3191754609011854E-3</v>
      </c>
      <c r="AF1236" s="27">
        <v>2484764864.7141056</v>
      </c>
      <c r="AG1236" s="226">
        <v>1.0291437589976417E-2</v>
      </c>
      <c r="AH1236" s="226" t="s">
        <v>2842</v>
      </c>
      <c r="AI1236" s="27">
        <v>1996380000</v>
      </c>
      <c r="AJ1236" s="226">
        <v>1.2809085710621931E-2</v>
      </c>
      <c r="AK1236" s="27">
        <v>321120231.15935093</v>
      </c>
      <c r="AL1236" s="226">
        <v>7.9633109501225416E-2</v>
      </c>
      <c r="AM1236" s="27" t="s">
        <v>2842</v>
      </c>
      <c r="AN1236" s="271" t="s">
        <v>2842</v>
      </c>
      <c r="AO1236" s="27">
        <v>22762525</v>
      </c>
      <c r="AP1236" s="27" t="s">
        <v>2842</v>
      </c>
      <c r="AQ1236" s="27">
        <v>48.493829268292686</v>
      </c>
      <c r="AR1236" s="27">
        <v>78.099999999999994</v>
      </c>
      <c r="AS1236" s="29" t="s">
        <v>2842</v>
      </c>
      <c r="AT1236" s="270">
        <v>31</v>
      </c>
      <c r="AU1236" s="464">
        <v>36.892105322543919</v>
      </c>
      <c r="AV1236" s="29">
        <v>-7.3130931626350204E-2</v>
      </c>
      <c r="AW1236" s="29">
        <v>0.33822144833706802</v>
      </c>
      <c r="AX1236" s="29">
        <v>-0.49578837827481598</v>
      </c>
      <c r="AY1236" s="29">
        <v>-0.447379258714726</v>
      </c>
      <c r="AZ1236" s="60">
        <v>-0.47412687816508697</v>
      </c>
    </row>
    <row r="1237" spans="1:52" ht="15" customHeight="1">
      <c r="A1237" s="59" t="s">
        <v>377</v>
      </c>
      <c r="B1237" s="27">
        <v>2008</v>
      </c>
      <c r="C1237" s="27" t="s">
        <v>378</v>
      </c>
      <c r="D1237" s="27" t="s">
        <v>81</v>
      </c>
      <c r="E1237" s="27" t="s">
        <v>19</v>
      </c>
      <c r="F1237" s="27" t="s">
        <v>573</v>
      </c>
      <c r="G1237" s="43">
        <f>42000*0.90718474</f>
        <v>38101.759080000003</v>
      </c>
      <c r="H1237" s="43"/>
      <c r="I1237" s="43"/>
      <c r="J1237" s="43"/>
      <c r="K1237" s="27" t="s">
        <v>567</v>
      </c>
      <c r="L1237" s="28">
        <v>138.17277433644946</v>
      </c>
      <c r="M1237" s="27" t="s">
        <v>568</v>
      </c>
      <c r="N1237" s="27" t="s">
        <v>1740</v>
      </c>
      <c r="O1237" s="18">
        <f>G1237*L1237</f>
        <v>5264625.759182605</v>
      </c>
      <c r="P1237" s="214"/>
      <c r="Q1237" s="214">
        <v>258722.96173044926</v>
      </c>
      <c r="R1237" s="27"/>
      <c r="S1237" s="27"/>
      <c r="T1237" s="18"/>
      <c r="U1237" s="27"/>
      <c r="V1237" s="27"/>
      <c r="W1237" s="30"/>
      <c r="X1237" s="27">
        <v>1</v>
      </c>
      <c r="Y1237" s="27" t="s">
        <v>1741</v>
      </c>
      <c r="Z1237" s="27">
        <v>1</v>
      </c>
      <c r="AA1237" s="27" t="s">
        <v>1739</v>
      </c>
      <c r="AB1237" s="27"/>
      <c r="AC1237" s="273">
        <v>25571802.530971412</v>
      </c>
      <c r="AD1237" s="27">
        <v>11026247458.238766</v>
      </c>
      <c r="AE1237" s="228">
        <v>2.3191754609011854E-3</v>
      </c>
      <c r="AF1237" s="27">
        <v>2484764864.7141056</v>
      </c>
      <c r="AG1237" s="226">
        <v>1.0291437589976417E-2</v>
      </c>
      <c r="AH1237" s="226" t="s">
        <v>2842</v>
      </c>
      <c r="AI1237" s="27">
        <v>1996380000</v>
      </c>
      <c r="AJ1237" s="226">
        <v>1.2809085710621931E-2</v>
      </c>
      <c r="AK1237" s="27">
        <v>321120231.15935093</v>
      </c>
      <c r="AL1237" s="226">
        <v>7.9633109501225416E-2</v>
      </c>
      <c r="AM1237" s="27" t="s">
        <v>2842</v>
      </c>
      <c r="AN1237" s="271" t="s">
        <v>2842</v>
      </c>
      <c r="AO1237" s="27">
        <v>22762525</v>
      </c>
      <c r="AP1237" s="27" t="s">
        <v>2842</v>
      </c>
      <c r="AQ1237" s="27">
        <v>48.493829268292686</v>
      </c>
      <c r="AR1237" s="27">
        <v>78.099999999999994</v>
      </c>
      <c r="AS1237" s="29" t="s">
        <v>2842</v>
      </c>
      <c r="AT1237" s="270">
        <v>31</v>
      </c>
      <c r="AU1237" s="464">
        <v>36.892105322543919</v>
      </c>
      <c r="AV1237" s="29">
        <v>-7.3130931626350204E-2</v>
      </c>
      <c r="AW1237" s="29">
        <v>0.33822144833706802</v>
      </c>
      <c r="AX1237" s="29">
        <v>-0.49578837827481598</v>
      </c>
      <c r="AY1237" s="29">
        <v>-0.447379258714726</v>
      </c>
      <c r="AZ1237" s="60">
        <v>-0.47412687816508697</v>
      </c>
    </row>
    <row r="1238" spans="1:52" ht="15" customHeight="1">
      <c r="A1238" s="59" t="s">
        <v>377</v>
      </c>
      <c r="B1238" s="27">
        <v>2008</v>
      </c>
      <c r="C1238" s="27" t="s">
        <v>378</v>
      </c>
      <c r="D1238" s="27" t="s">
        <v>81</v>
      </c>
      <c r="E1238" s="27" t="s">
        <v>19</v>
      </c>
      <c r="F1238" s="27" t="s">
        <v>981</v>
      </c>
      <c r="G1238" s="43"/>
      <c r="H1238" s="43"/>
      <c r="I1238" s="43"/>
      <c r="J1238" s="43"/>
      <c r="K1238" s="27"/>
      <c r="L1238" s="28"/>
      <c r="M1238" s="27"/>
      <c r="N1238" s="27"/>
      <c r="O1238" s="18">
        <f>SUM(O1239:O1241)</f>
        <v>11633526.193689484</v>
      </c>
      <c r="P1238" s="214"/>
      <c r="Q1238" s="214">
        <v>63640.640599001665</v>
      </c>
      <c r="R1238" s="27"/>
      <c r="S1238" s="27"/>
      <c r="T1238" s="18"/>
      <c r="U1238" s="27"/>
      <c r="V1238" s="27"/>
      <c r="W1238" s="30"/>
      <c r="X1238" s="27">
        <v>1</v>
      </c>
      <c r="Y1238" s="27" t="s">
        <v>1742</v>
      </c>
      <c r="Z1238" s="27">
        <v>1</v>
      </c>
      <c r="AA1238" s="27" t="s">
        <v>1739</v>
      </c>
      <c r="AB1238" s="27"/>
      <c r="AC1238" s="273">
        <v>25571802.530971412</v>
      </c>
      <c r="AD1238" s="27">
        <v>11026247458.238766</v>
      </c>
      <c r="AE1238" s="228">
        <v>2.3191754609011854E-3</v>
      </c>
      <c r="AF1238" s="27">
        <v>2484764864.7141056</v>
      </c>
      <c r="AG1238" s="226">
        <v>1.0291437589976417E-2</v>
      </c>
      <c r="AH1238" s="226" t="s">
        <v>2842</v>
      </c>
      <c r="AI1238" s="27">
        <v>1996380000</v>
      </c>
      <c r="AJ1238" s="226">
        <v>1.2809085710621931E-2</v>
      </c>
      <c r="AK1238" s="27">
        <v>321120231.15935093</v>
      </c>
      <c r="AL1238" s="226">
        <v>7.9633109501225416E-2</v>
      </c>
      <c r="AM1238" s="27" t="s">
        <v>2842</v>
      </c>
      <c r="AN1238" s="271" t="s">
        <v>2842</v>
      </c>
      <c r="AO1238" s="27">
        <v>22762525</v>
      </c>
      <c r="AP1238" s="27" t="s">
        <v>2842</v>
      </c>
      <c r="AQ1238" s="27">
        <v>48.493829268292686</v>
      </c>
      <c r="AR1238" s="27">
        <v>78.099999999999994</v>
      </c>
      <c r="AS1238" s="29" t="s">
        <v>2842</v>
      </c>
      <c r="AT1238" s="270">
        <v>31</v>
      </c>
      <c r="AU1238" s="464">
        <v>36.892105322543919</v>
      </c>
      <c r="AV1238" s="29">
        <v>-7.3130931626350204E-2</v>
      </c>
      <c r="AW1238" s="29">
        <v>0.33822144833706802</v>
      </c>
      <c r="AX1238" s="29">
        <v>-0.49578837827481598</v>
      </c>
      <c r="AY1238" s="29">
        <v>-0.447379258714726</v>
      </c>
      <c r="AZ1238" s="60">
        <v>-0.47412687816508697</v>
      </c>
    </row>
    <row r="1239" spans="1:52" ht="15" customHeight="1">
      <c r="A1239" s="59" t="s">
        <v>377</v>
      </c>
      <c r="B1239" s="27">
        <v>2008</v>
      </c>
      <c r="C1239" s="27" t="s">
        <v>378</v>
      </c>
      <c r="D1239" s="27" t="s">
        <v>81</v>
      </c>
      <c r="E1239" s="27" t="s">
        <v>19</v>
      </c>
      <c r="F1239" s="27" t="s">
        <v>982</v>
      </c>
      <c r="G1239" s="43">
        <v>395646</v>
      </c>
      <c r="H1239" s="43"/>
      <c r="I1239" s="43"/>
      <c r="J1239" s="43"/>
      <c r="K1239" s="27" t="s">
        <v>894</v>
      </c>
      <c r="L1239" s="28"/>
      <c r="M1239" s="27"/>
      <c r="N1239" s="27" t="s">
        <v>636</v>
      </c>
      <c r="O1239" s="18"/>
      <c r="P1239" s="214"/>
      <c r="Q1239" s="214"/>
      <c r="R1239" s="27"/>
      <c r="S1239" s="27"/>
      <c r="T1239" s="18"/>
      <c r="U1239" s="27"/>
      <c r="V1239" s="27"/>
      <c r="W1239" s="30"/>
      <c r="X1239" s="27"/>
      <c r="Y1239" s="27"/>
      <c r="Z1239" s="27"/>
      <c r="AA1239" s="27"/>
      <c r="AB1239" s="27"/>
      <c r="AC1239" s="273">
        <v>25571802.530971412</v>
      </c>
      <c r="AD1239" s="27">
        <v>11026247458.238766</v>
      </c>
      <c r="AE1239" s="228">
        <v>2.3191754609011854E-3</v>
      </c>
      <c r="AF1239" s="27">
        <v>2484764864.7141056</v>
      </c>
      <c r="AG1239" s="226">
        <v>1.0291437589976417E-2</v>
      </c>
      <c r="AH1239" s="226" t="s">
        <v>2842</v>
      </c>
      <c r="AI1239" s="27">
        <v>1996380000</v>
      </c>
      <c r="AJ1239" s="226">
        <v>1.2809085710621931E-2</v>
      </c>
      <c r="AK1239" s="27">
        <v>321120231.15935093</v>
      </c>
      <c r="AL1239" s="226">
        <v>7.9633109501225416E-2</v>
      </c>
      <c r="AM1239" s="27" t="s">
        <v>2842</v>
      </c>
      <c r="AN1239" s="271" t="s">
        <v>2842</v>
      </c>
      <c r="AO1239" s="27">
        <v>22762525</v>
      </c>
      <c r="AP1239" s="27" t="s">
        <v>2842</v>
      </c>
      <c r="AQ1239" s="27">
        <v>48.493829268292686</v>
      </c>
      <c r="AR1239" s="27">
        <v>78.099999999999994</v>
      </c>
      <c r="AS1239" s="29" t="s">
        <v>2842</v>
      </c>
      <c r="AT1239" s="270">
        <v>31</v>
      </c>
      <c r="AU1239" s="464">
        <v>36.892105322543919</v>
      </c>
      <c r="AV1239" s="29">
        <v>-7.3130931626350204E-2</v>
      </c>
      <c r="AW1239" s="29">
        <v>0.33822144833706802</v>
      </c>
      <c r="AX1239" s="29">
        <v>-0.49578837827481598</v>
      </c>
      <c r="AY1239" s="29">
        <v>-0.447379258714726</v>
      </c>
      <c r="AZ1239" s="60">
        <v>-0.47412687816508697</v>
      </c>
    </row>
    <row r="1240" spans="1:52" ht="15" customHeight="1">
      <c r="A1240" s="59" t="s">
        <v>377</v>
      </c>
      <c r="B1240" s="27">
        <v>2008</v>
      </c>
      <c r="C1240" s="27" t="s">
        <v>378</v>
      </c>
      <c r="D1240" s="27" t="s">
        <v>81</v>
      </c>
      <c r="E1240" s="27" t="s">
        <v>19</v>
      </c>
      <c r="F1240" s="27" t="s">
        <v>983</v>
      </c>
      <c r="G1240" s="43">
        <v>28</v>
      </c>
      <c r="H1240" s="43"/>
      <c r="I1240" s="43"/>
      <c r="J1240" s="43"/>
      <c r="K1240" s="27" t="s">
        <v>567</v>
      </c>
      <c r="L1240" s="28">
        <v>34398</v>
      </c>
      <c r="M1240" s="27" t="s">
        <v>568</v>
      </c>
      <c r="N1240" s="27" t="s">
        <v>1007</v>
      </c>
      <c r="O1240" s="18">
        <f>G1240*L1240</f>
        <v>963144</v>
      </c>
      <c r="P1240" s="214"/>
      <c r="Q1240" s="214"/>
      <c r="R1240" s="27"/>
      <c r="S1240" s="27"/>
      <c r="T1240" s="18"/>
      <c r="U1240" s="27"/>
      <c r="V1240" s="27"/>
      <c r="W1240" s="30"/>
      <c r="X1240" s="27"/>
      <c r="Y1240" s="27"/>
      <c r="Z1240" s="27"/>
      <c r="AA1240" s="27"/>
      <c r="AB1240" s="27"/>
      <c r="AC1240" s="273">
        <v>25571802.530971412</v>
      </c>
      <c r="AD1240" s="27">
        <v>11026247458.238766</v>
      </c>
      <c r="AE1240" s="228">
        <v>2.3191754609011854E-3</v>
      </c>
      <c r="AF1240" s="27">
        <v>2484764864.7141056</v>
      </c>
      <c r="AG1240" s="226">
        <v>1.0291437589976417E-2</v>
      </c>
      <c r="AH1240" s="226" t="s">
        <v>2842</v>
      </c>
      <c r="AI1240" s="27">
        <v>1996380000</v>
      </c>
      <c r="AJ1240" s="226">
        <v>1.2809085710621931E-2</v>
      </c>
      <c r="AK1240" s="27">
        <v>321120231.15935093</v>
      </c>
      <c r="AL1240" s="226">
        <v>7.9633109501225416E-2</v>
      </c>
      <c r="AM1240" s="27" t="s">
        <v>2842</v>
      </c>
      <c r="AN1240" s="271" t="s">
        <v>2842</v>
      </c>
      <c r="AO1240" s="27">
        <v>22762525</v>
      </c>
      <c r="AP1240" s="27" t="s">
        <v>2842</v>
      </c>
      <c r="AQ1240" s="27">
        <v>48.493829268292686</v>
      </c>
      <c r="AR1240" s="27">
        <v>78.099999999999994</v>
      </c>
      <c r="AS1240" s="29" t="s">
        <v>2842</v>
      </c>
      <c r="AT1240" s="270">
        <v>31</v>
      </c>
      <c r="AU1240" s="464">
        <v>36.892105322543919</v>
      </c>
      <c r="AV1240" s="29">
        <v>-7.3130931626350204E-2</v>
      </c>
      <c r="AW1240" s="29">
        <v>0.33822144833706802</v>
      </c>
      <c r="AX1240" s="29">
        <v>-0.49578837827481598</v>
      </c>
      <c r="AY1240" s="29">
        <v>-0.447379258714726</v>
      </c>
      <c r="AZ1240" s="60">
        <v>-0.47412687816508697</v>
      </c>
    </row>
    <row r="1241" spans="1:52" ht="15" customHeight="1">
      <c r="A1241" s="59" t="s">
        <v>377</v>
      </c>
      <c r="B1241" s="27">
        <v>2008</v>
      </c>
      <c r="C1241" s="27" t="s">
        <v>378</v>
      </c>
      <c r="D1241" s="27" t="s">
        <v>81</v>
      </c>
      <c r="E1241" s="27" t="s">
        <v>19</v>
      </c>
      <c r="F1241" s="27" t="s">
        <v>985</v>
      </c>
      <c r="G1241" s="43">
        <v>110000</v>
      </c>
      <c r="H1241" s="43"/>
      <c r="I1241" s="43"/>
      <c r="J1241" s="43"/>
      <c r="K1241" s="27" t="s">
        <v>894</v>
      </c>
      <c r="L1241" s="28">
        <f>44/0.453592</f>
        <v>97.003474488086212</v>
      </c>
      <c r="M1241" s="27" t="s">
        <v>1743</v>
      </c>
      <c r="N1241" s="27" t="s">
        <v>1008</v>
      </c>
      <c r="O1241" s="18">
        <f>G1241*L1241</f>
        <v>10670382.193689484</v>
      </c>
      <c r="P1241" s="214"/>
      <c r="Q1241" s="214"/>
      <c r="R1241" s="27"/>
      <c r="S1241" s="27"/>
      <c r="T1241" s="18"/>
      <c r="U1241" s="27"/>
      <c r="V1241" s="27"/>
      <c r="W1241" s="30"/>
      <c r="X1241" s="27"/>
      <c r="Y1241" s="27"/>
      <c r="Z1241" s="27"/>
      <c r="AA1241" s="27"/>
      <c r="AB1241" s="27"/>
      <c r="AC1241" s="273">
        <v>25571802.530971412</v>
      </c>
      <c r="AD1241" s="27">
        <v>11026247458.238766</v>
      </c>
      <c r="AE1241" s="228">
        <v>2.3191754609011854E-3</v>
      </c>
      <c r="AF1241" s="27">
        <v>2484764864.7141056</v>
      </c>
      <c r="AG1241" s="226">
        <v>1.0291437589976417E-2</v>
      </c>
      <c r="AH1241" s="226" t="s">
        <v>2842</v>
      </c>
      <c r="AI1241" s="27">
        <v>1996380000</v>
      </c>
      <c r="AJ1241" s="226">
        <v>1.2809085710621931E-2</v>
      </c>
      <c r="AK1241" s="27">
        <v>321120231.15935093</v>
      </c>
      <c r="AL1241" s="226">
        <v>7.9633109501225416E-2</v>
      </c>
      <c r="AM1241" s="27" t="s">
        <v>2842</v>
      </c>
      <c r="AN1241" s="271" t="s">
        <v>2842</v>
      </c>
      <c r="AO1241" s="27">
        <v>22762525</v>
      </c>
      <c r="AP1241" s="27" t="s">
        <v>2842</v>
      </c>
      <c r="AQ1241" s="27">
        <v>48.493829268292686</v>
      </c>
      <c r="AR1241" s="27">
        <v>78.099999999999994</v>
      </c>
      <c r="AS1241" s="29" t="s">
        <v>2842</v>
      </c>
      <c r="AT1241" s="270">
        <v>31</v>
      </c>
      <c r="AU1241" s="464">
        <v>36.892105322543919</v>
      </c>
      <c r="AV1241" s="29">
        <v>-7.3130931626350204E-2</v>
      </c>
      <c r="AW1241" s="29">
        <v>0.33822144833706802</v>
      </c>
      <c r="AX1241" s="29">
        <v>-0.49578837827481598</v>
      </c>
      <c r="AY1241" s="29">
        <v>-0.447379258714726</v>
      </c>
      <c r="AZ1241" s="60">
        <v>-0.47412687816508697</v>
      </c>
    </row>
    <row r="1242" spans="1:52" ht="15" customHeight="1">
      <c r="A1242" s="59" t="s">
        <v>377</v>
      </c>
      <c r="B1242" s="27">
        <v>2008</v>
      </c>
      <c r="C1242" s="27" t="s">
        <v>378</v>
      </c>
      <c r="D1242" s="27" t="s">
        <v>81</v>
      </c>
      <c r="E1242" s="27" t="s">
        <v>19</v>
      </c>
      <c r="F1242" s="27" t="s">
        <v>730</v>
      </c>
      <c r="G1242" s="43">
        <f>298*32.150743126506</f>
        <v>9580.9214516987886</v>
      </c>
      <c r="H1242" s="43"/>
      <c r="I1242" s="43"/>
      <c r="J1242" s="43"/>
      <c r="K1242" s="27" t="s">
        <v>731</v>
      </c>
      <c r="L1242" s="28">
        <v>871.70725000000004</v>
      </c>
      <c r="M1242" s="27" t="s">
        <v>732</v>
      </c>
      <c r="N1242" s="27" t="s">
        <v>733</v>
      </c>
      <c r="O1242" s="18">
        <f>G1242*L1242</f>
        <v>8351758.6911263596</v>
      </c>
      <c r="P1242" s="214"/>
      <c r="Q1242" s="214"/>
      <c r="R1242" s="27"/>
      <c r="S1242" s="27"/>
      <c r="T1242" s="18"/>
      <c r="U1242" s="27"/>
      <c r="V1242" s="27"/>
      <c r="W1242" s="30"/>
      <c r="X1242" s="27"/>
      <c r="Y1242" s="27"/>
      <c r="Z1242" s="27"/>
      <c r="AA1242" s="27"/>
      <c r="AB1242" s="27"/>
      <c r="AC1242" s="273">
        <v>25571802.530971412</v>
      </c>
      <c r="AD1242" s="27">
        <v>11026247458.238766</v>
      </c>
      <c r="AE1242" s="228">
        <v>2.3191754609011854E-3</v>
      </c>
      <c r="AF1242" s="27">
        <v>2484764864.7141056</v>
      </c>
      <c r="AG1242" s="226">
        <v>1.0291437589976417E-2</v>
      </c>
      <c r="AH1242" s="226" t="s">
        <v>2842</v>
      </c>
      <c r="AI1242" s="27">
        <v>1996380000</v>
      </c>
      <c r="AJ1242" s="226">
        <v>1.2809085710621931E-2</v>
      </c>
      <c r="AK1242" s="27">
        <v>321120231.15935093</v>
      </c>
      <c r="AL1242" s="226">
        <v>7.9633109501225416E-2</v>
      </c>
      <c r="AM1242" s="27" t="s">
        <v>2842</v>
      </c>
      <c r="AN1242" s="271" t="s">
        <v>2842</v>
      </c>
      <c r="AO1242" s="27">
        <v>22762525</v>
      </c>
      <c r="AP1242" s="27" t="s">
        <v>2842</v>
      </c>
      <c r="AQ1242" s="27">
        <v>48.493829268292686</v>
      </c>
      <c r="AR1242" s="27">
        <v>78.099999999999994</v>
      </c>
      <c r="AS1242" s="29" t="s">
        <v>2842</v>
      </c>
      <c r="AT1242" s="270">
        <v>31</v>
      </c>
      <c r="AU1242" s="464">
        <v>36.892105322543919</v>
      </c>
      <c r="AV1242" s="29">
        <v>-7.3130931626350204E-2</v>
      </c>
      <c r="AW1242" s="29">
        <v>0.33822144833706802</v>
      </c>
      <c r="AX1242" s="29">
        <v>-0.49578837827481598</v>
      </c>
      <c r="AY1242" s="29">
        <v>-0.447379258714726</v>
      </c>
      <c r="AZ1242" s="60">
        <v>-0.47412687816508697</v>
      </c>
    </row>
    <row r="1243" spans="1:52" ht="15" customHeight="1">
      <c r="A1243" s="59" t="s">
        <v>377</v>
      </c>
      <c r="B1243" s="27">
        <v>2008</v>
      </c>
      <c r="C1243" s="27" t="s">
        <v>378</v>
      </c>
      <c r="D1243" s="27" t="s">
        <v>81</v>
      </c>
      <c r="E1243" s="27" t="s">
        <v>19</v>
      </c>
      <c r="F1243" s="27" t="s">
        <v>1744</v>
      </c>
      <c r="G1243" s="43"/>
      <c r="H1243" s="43"/>
      <c r="I1243" s="43"/>
      <c r="J1243" s="43"/>
      <c r="K1243" s="27"/>
      <c r="L1243" s="28"/>
      <c r="M1243" s="27"/>
      <c r="N1243" s="27"/>
      <c r="O1243" s="18">
        <f>SUM(O1244:O1246)</f>
        <v>65442330</v>
      </c>
      <c r="P1243" s="214">
        <v>69120.715474209646</v>
      </c>
      <c r="Q1243" s="214">
        <v>353360.52412645594</v>
      </c>
      <c r="R1243" s="27"/>
      <c r="S1243" s="27"/>
      <c r="T1243" s="18"/>
      <c r="U1243" s="27"/>
      <c r="V1243" s="27"/>
      <c r="W1243" s="30"/>
      <c r="X1243" s="27">
        <v>2</v>
      </c>
      <c r="Y1243" s="27" t="s">
        <v>1745</v>
      </c>
      <c r="Z1243" s="27">
        <v>2</v>
      </c>
      <c r="AA1243" s="27" t="s">
        <v>1739</v>
      </c>
      <c r="AB1243" s="27"/>
      <c r="AC1243" s="273">
        <v>25571802.530971412</v>
      </c>
      <c r="AD1243" s="27">
        <v>11026247458.238766</v>
      </c>
      <c r="AE1243" s="228">
        <v>2.3191754609011854E-3</v>
      </c>
      <c r="AF1243" s="27">
        <v>2484764864.7141056</v>
      </c>
      <c r="AG1243" s="226">
        <v>1.0291437589976417E-2</v>
      </c>
      <c r="AH1243" s="226" t="s">
        <v>2842</v>
      </c>
      <c r="AI1243" s="27">
        <v>1996380000</v>
      </c>
      <c r="AJ1243" s="226">
        <v>1.2809085710621931E-2</v>
      </c>
      <c r="AK1243" s="27">
        <v>321120231.15935093</v>
      </c>
      <c r="AL1243" s="226">
        <v>7.9633109501225416E-2</v>
      </c>
      <c r="AM1243" s="27" t="s">
        <v>2842</v>
      </c>
      <c r="AN1243" s="271" t="s">
        <v>2842</v>
      </c>
      <c r="AO1243" s="27">
        <v>22762525</v>
      </c>
      <c r="AP1243" s="27" t="s">
        <v>2842</v>
      </c>
      <c r="AQ1243" s="27">
        <v>48.493829268292686</v>
      </c>
      <c r="AR1243" s="27">
        <v>78.099999999999994</v>
      </c>
      <c r="AS1243" s="29" t="s">
        <v>2842</v>
      </c>
      <c r="AT1243" s="270">
        <v>31</v>
      </c>
      <c r="AU1243" s="464">
        <v>36.892105322543919</v>
      </c>
      <c r="AV1243" s="29">
        <v>-7.3130931626350204E-2</v>
      </c>
      <c r="AW1243" s="29">
        <v>0.33822144833706802</v>
      </c>
      <c r="AX1243" s="29">
        <v>-0.49578837827481598</v>
      </c>
      <c r="AY1243" s="29">
        <v>-0.447379258714726</v>
      </c>
      <c r="AZ1243" s="60">
        <v>-0.47412687816508697</v>
      </c>
    </row>
    <row r="1244" spans="1:52" ht="15" customHeight="1">
      <c r="A1244" s="59" t="s">
        <v>377</v>
      </c>
      <c r="B1244" s="27">
        <v>2008</v>
      </c>
      <c r="C1244" s="27" t="s">
        <v>378</v>
      </c>
      <c r="D1244" s="27" t="s">
        <v>81</v>
      </c>
      <c r="E1244" s="27" t="s">
        <v>19</v>
      </c>
      <c r="F1244" s="27" t="s">
        <v>1746</v>
      </c>
      <c r="G1244" s="595">
        <v>328875</v>
      </c>
      <c r="H1244" s="595">
        <f>140515.2*0.90718474</f>
        <v>127473.24517804802</v>
      </c>
      <c r="I1244" s="43"/>
      <c r="J1244" s="43"/>
      <c r="K1244" s="27" t="s">
        <v>567</v>
      </c>
      <c r="L1244" s="28">
        <v>111</v>
      </c>
      <c r="M1244" s="27" t="s">
        <v>568</v>
      </c>
      <c r="N1244" s="27" t="s">
        <v>1546</v>
      </c>
      <c r="O1244" s="18">
        <f>G1244*L1244</f>
        <v>36505125</v>
      </c>
      <c r="P1244" s="214"/>
      <c r="Q1244" s="214"/>
      <c r="R1244" s="27"/>
      <c r="S1244" s="27"/>
      <c r="T1244" s="18"/>
      <c r="U1244" s="27"/>
      <c r="V1244" s="27"/>
      <c r="W1244" s="30"/>
      <c r="X1244" s="27"/>
      <c r="Y1244" s="27"/>
      <c r="Z1244" s="27"/>
      <c r="AA1244" s="27">
        <v>32</v>
      </c>
      <c r="AB1244" s="27"/>
      <c r="AC1244" s="273">
        <v>25571802.530971412</v>
      </c>
      <c r="AD1244" s="27">
        <v>11026247458.238766</v>
      </c>
      <c r="AE1244" s="228">
        <v>2.3191754609011854E-3</v>
      </c>
      <c r="AF1244" s="27">
        <v>2484764864.7141056</v>
      </c>
      <c r="AG1244" s="226">
        <v>1.0291437589976417E-2</v>
      </c>
      <c r="AH1244" s="226" t="s">
        <v>2842</v>
      </c>
      <c r="AI1244" s="27">
        <v>1996380000</v>
      </c>
      <c r="AJ1244" s="226">
        <v>1.2809085710621931E-2</v>
      </c>
      <c r="AK1244" s="27">
        <v>321120231.15935093</v>
      </c>
      <c r="AL1244" s="226">
        <v>7.9633109501225416E-2</v>
      </c>
      <c r="AM1244" s="27" t="s">
        <v>2842</v>
      </c>
      <c r="AN1244" s="271" t="s">
        <v>2842</v>
      </c>
      <c r="AO1244" s="27">
        <v>22762525</v>
      </c>
      <c r="AP1244" s="27" t="s">
        <v>2842</v>
      </c>
      <c r="AQ1244" s="27">
        <v>48.493829268292686</v>
      </c>
      <c r="AR1244" s="27">
        <v>78.099999999999994</v>
      </c>
      <c r="AS1244" s="29" t="s">
        <v>2842</v>
      </c>
      <c r="AT1244" s="270">
        <v>31</v>
      </c>
      <c r="AU1244" s="464">
        <v>36.892105322543919</v>
      </c>
      <c r="AV1244" s="29">
        <v>-7.3130931626350204E-2</v>
      </c>
      <c r="AW1244" s="29">
        <v>0.33822144833706802</v>
      </c>
      <c r="AX1244" s="29">
        <v>-0.49578837827481598</v>
      </c>
      <c r="AY1244" s="29">
        <v>-0.447379258714726</v>
      </c>
      <c r="AZ1244" s="60">
        <v>-0.47412687816508697</v>
      </c>
    </row>
    <row r="1245" spans="1:52" ht="15" customHeight="1">
      <c r="A1245" s="59" t="s">
        <v>377</v>
      </c>
      <c r="B1245" s="27">
        <v>2008</v>
      </c>
      <c r="C1245" s="27" t="s">
        <v>378</v>
      </c>
      <c r="D1245" s="27" t="s">
        <v>81</v>
      </c>
      <c r="E1245" s="27" t="s">
        <v>19</v>
      </c>
      <c r="F1245" s="27" t="s">
        <v>1747</v>
      </c>
      <c r="G1245" s="43">
        <v>6552</v>
      </c>
      <c r="H1245" s="43">
        <f>8782.2*0.90718474</f>
        <v>7967.0778236280012</v>
      </c>
      <c r="I1245" s="43"/>
      <c r="J1245" s="43"/>
      <c r="K1245" s="27" t="s">
        <v>567</v>
      </c>
      <c r="L1245" s="28">
        <v>525</v>
      </c>
      <c r="M1245" s="27" t="s">
        <v>568</v>
      </c>
      <c r="N1245" s="27" t="s">
        <v>1748</v>
      </c>
      <c r="O1245" s="18">
        <f>G1245*L1245</f>
        <v>3439800</v>
      </c>
      <c r="P1245" s="214"/>
      <c r="Q1245" s="214"/>
      <c r="R1245" s="27"/>
      <c r="S1245" s="27"/>
      <c r="T1245" s="18"/>
      <c r="U1245" s="27"/>
      <c r="V1245" s="27"/>
      <c r="W1245" s="30"/>
      <c r="X1245" s="27"/>
      <c r="Y1245" s="27"/>
      <c r="Z1245" s="27"/>
      <c r="AA1245" s="27">
        <v>32</v>
      </c>
      <c r="AB1245" s="27"/>
      <c r="AC1245" s="273">
        <v>25571802.530971412</v>
      </c>
      <c r="AD1245" s="27">
        <v>11026247458.238766</v>
      </c>
      <c r="AE1245" s="228">
        <v>2.3191754609011854E-3</v>
      </c>
      <c r="AF1245" s="27">
        <v>2484764864.7141056</v>
      </c>
      <c r="AG1245" s="226">
        <v>1.0291437589976417E-2</v>
      </c>
      <c r="AH1245" s="226" t="s">
        <v>2842</v>
      </c>
      <c r="AI1245" s="27">
        <v>1996380000</v>
      </c>
      <c r="AJ1245" s="226">
        <v>1.2809085710621931E-2</v>
      </c>
      <c r="AK1245" s="27">
        <v>321120231.15935093</v>
      </c>
      <c r="AL1245" s="226">
        <v>7.9633109501225416E-2</v>
      </c>
      <c r="AM1245" s="27" t="s">
        <v>2842</v>
      </c>
      <c r="AN1245" s="271" t="s">
        <v>2842</v>
      </c>
      <c r="AO1245" s="27">
        <v>22762525</v>
      </c>
      <c r="AP1245" s="27" t="s">
        <v>2842</v>
      </c>
      <c r="AQ1245" s="27">
        <v>48.493829268292686</v>
      </c>
      <c r="AR1245" s="27">
        <v>78.099999999999994</v>
      </c>
      <c r="AS1245" s="29" t="s">
        <v>2842</v>
      </c>
      <c r="AT1245" s="270">
        <v>31</v>
      </c>
      <c r="AU1245" s="464">
        <v>36.892105322543919</v>
      </c>
      <c r="AV1245" s="29">
        <v>-7.3130931626350204E-2</v>
      </c>
      <c r="AW1245" s="29">
        <v>0.33822144833706802</v>
      </c>
      <c r="AX1245" s="29">
        <v>-0.49578837827481598</v>
      </c>
      <c r="AY1245" s="29">
        <v>-0.447379258714726</v>
      </c>
      <c r="AZ1245" s="60">
        <v>-0.47412687816508697</v>
      </c>
    </row>
    <row r="1246" spans="1:52" s="287" customFormat="1" ht="15" customHeight="1">
      <c r="A1246" s="344" t="s">
        <v>377</v>
      </c>
      <c r="B1246" s="284">
        <v>2008</v>
      </c>
      <c r="C1246" s="284" t="s">
        <v>378</v>
      </c>
      <c r="D1246" s="284" t="s">
        <v>81</v>
      </c>
      <c r="E1246" s="284" t="s">
        <v>19</v>
      </c>
      <c r="F1246" s="284" t="s">
        <v>1749</v>
      </c>
      <c r="G1246" s="602">
        <v>32985</v>
      </c>
      <c r="H1246" s="602">
        <f>26346.6*0.90718474</f>
        <v>23901.233470883999</v>
      </c>
      <c r="I1246" s="303"/>
      <c r="J1246" s="303"/>
      <c r="K1246" s="284" t="s">
        <v>567</v>
      </c>
      <c r="L1246" s="304">
        <v>773</v>
      </c>
      <c r="M1246" s="284" t="s">
        <v>568</v>
      </c>
      <c r="N1246" s="284" t="s">
        <v>1750</v>
      </c>
      <c r="O1246" s="305">
        <f>G1246*L1246</f>
        <v>25497405</v>
      </c>
      <c r="P1246" s="346"/>
      <c r="Q1246" s="346"/>
      <c r="R1246" s="284"/>
      <c r="S1246" s="284"/>
      <c r="T1246" s="305"/>
      <c r="U1246" s="284"/>
      <c r="V1246" s="284"/>
      <c r="W1246" s="307"/>
      <c r="X1246" s="284"/>
      <c r="Y1246" s="284"/>
      <c r="Z1246" s="284"/>
      <c r="AA1246" s="284">
        <v>32</v>
      </c>
      <c r="AB1246" s="284"/>
      <c r="AC1246" s="308">
        <v>25571802.530971412</v>
      </c>
      <c r="AD1246" s="284">
        <v>11026247458.238766</v>
      </c>
      <c r="AE1246" s="309">
        <v>2.3191754609011854E-3</v>
      </c>
      <c r="AF1246" s="284">
        <v>2484764864.7141056</v>
      </c>
      <c r="AG1246" s="310">
        <v>1.0291437589976417E-2</v>
      </c>
      <c r="AH1246" s="310" t="s">
        <v>2842</v>
      </c>
      <c r="AI1246" s="284">
        <v>1996380000</v>
      </c>
      <c r="AJ1246" s="310">
        <v>1.2809085710621931E-2</v>
      </c>
      <c r="AK1246" s="284">
        <v>321120231.15935093</v>
      </c>
      <c r="AL1246" s="310">
        <v>7.9633109501225416E-2</v>
      </c>
      <c r="AM1246" s="284" t="s">
        <v>2842</v>
      </c>
      <c r="AN1246" s="311" t="s">
        <v>2842</v>
      </c>
      <c r="AO1246" s="284">
        <v>22762525</v>
      </c>
      <c r="AP1246" s="284" t="s">
        <v>2842</v>
      </c>
      <c r="AQ1246" s="284">
        <v>48.493829268292686</v>
      </c>
      <c r="AR1246" s="284">
        <v>78.099999999999994</v>
      </c>
      <c r="AS1246" s="287" t="s">
        <v>2842</v>
      </c>
      <c r="AT1246" s="312">
        <v>31</v>
      </c>
      <c r="AU1246" s="465">
        <v>36.892105322543919</v>
      </c>
      <c r="AV1246" s="287">
        <v>-7.3130931626350204E-2</v>
      </c>
      <c r="AW1246" s="287">
        <v>0.33822144833706802</v>
      </c>
      <c r="AX1246" s="287">
        <v>-0.49578837827481598</v>
      </c>
      <c r="AY1246" s="287">
        <v>-0.447379258714726</v>
      </c>
      <c r="AZ1246" s="313">
        <v>-0.47412687816508697</v>
      </c>
    </row>
    <row r="1247" spans="1:52" s="29" customFormat="1" ht="15" customHeight="1">
      <c r="A1247" s="332" t="s">
        <v>381</v>
      </c>
      <c r="B1247" s="27">
        <v>2009</v>
      </c>
      <c r="C1247" s="27" t="s">
        <v>378</v>
      </c>
      <c r="D1247" s="27" t="s">
        <v>81</v>
      </c>
      <c r="E1247" s="27" t="s">
        <v>379</v>
      </c>
      <c r="F1247" s="27" t="s">
        <v>659</v>
      </c>
      <c r="G1247" s="43"/>
      <c r="H1247" s="43"/>
      <c r="I1247" s="43"/>
      <c r="J1247" s="43"/>
      <c r="K1247" s="27"/>
      <c r="L1247" s="28"/>
      <c r="M1247" s="27"/>
      <c r="N1247" s="27"/>
      <c r="O1247" s="18">
        <f>O1248+O1249</f>
        <v>516592806.20477235</v>
      </c>
      <c r="P1247" s="214">
        <f>38886156.5483285+T1247</f>
        <v>51049678.183363676</v>
      </c>
      <c r="Q1247" s="214">
        <v>42568813.472747095</v>
      </c>
      <c r="R1247" s="27" t="s">
        <v>3745</v>
      </c>
      <c r="S1247" s="27" t="s">
        <v>1751</v>
      </c>
      <c r="T1247" s="18">
        <v>12163521.635035178</v>
      </c>
      <c r="U1247" s="27" t="s">
        <v>917</v>
      </c>
      <c r="V1247" s="27" t="s">
        <v>1731</v>
      </c>
      <c r="W1247" s="30">
        <v>27.52</v>
      </c>
      <c r="X1247" s="27">
        <v>36</v>
      </c>
      <c r="Y1247" s="27" t="s">
        <v>1752</v>
      </c>
      <c r="Z1247" s="27">
        <v>31</v>
      </c>
      <c r="AA1247" s="27" t="s">
        <v>1753</v>
      </c>
      <c r="AB1247" s="27" t="s">
        <v>1754</v>
      </c>
      <c r="AC1247" s="273">
        <v>51049678.183363676</v>
      </c>
      <c r="AD1247" s="27">
        <v>10726631099.557865</v>
      </c>
      <c r="AE1247" s="228">
        <v>4.7591529632698814E-3</v>
      </c>
      <c r="AF1247" s="27">
        <v>2181474966.717083</v>
      </c>
      <c r="AG1247" s="226">
        <v>2.3401450377488722E-2</v>
      </c>
      <c r="AH1247" s="226" t="s">
        <v>2842</v>
      </c>
      <c r="AI1247" s="27">
        <v>2012400000</v>
      </c>
      <c r="AJ1247" s="226">
        <v>2.5367560218328204E-2</v>
      </c>
      <c r="AK1247" s="27">
        <v>298920331.49721837</v>
      </c>
      <c r="AL1247" s="226">
        <v>0.17078021400440849</v>
      </c>
      <c r="AM1247" s="27" t="s">
        <v>2842</v>
      </c>
      <c r="AN1247" s="271" t="s">
        <v>2842</v>
      </c>
      <c r="AO1247" s="27">
        <v>23361025</v>
      </c>
      <c r="AP1247" s="27">
        <v>54.7</v>
      </c>
      <c r="AQ1247" s="27">
        <v>48.799439024390246</v>
      </c>
      <c r="AR1247" s="27">
        <v>74.3</v>
      </c>
      <c r="AS1247" s="29" t="s">
        <v>2842</v>
      </c>
      <c r="AT1247" s="270">
        <v>31</v>
      </c>
      <c r="AU1247" s="464">
        <v>36.892105322543919</v>
      </c>
      <c r="AV1247" s="29">
        <v>-0.10593740605468201</v>
      </c>
      <c r="AW1247" s="29">
        <v>0.58954037409522198</v>
      </c>
      <c r="AX1247" s="29">
        <v>-0.54382928909406303</v>
      </c>
      <c r="AY1247" s="29">
        <v>-0.38672618976353301</v>
      </c>
      <c r="AZ1247" s="60">
        <v>-0.42101975203520903</v>
      </c>
    </row>
    <row r="1248" spans="1:52" s="29" customFormat="1" ht="15" customHeight="1">
      <c r="A1248" s="59" t="s">
        <v>381</v>
      </c>
      <c r="B1248" s="27">
        <v>2009</v>
      </c>
      <c r="C1248" s="27" t="s">
        <v>378</v>
      </c>
      <c r="D1248" s="27" t="s">
        <v>81</v>
      </c>
      <c r="E1248" s="27" t="s">
        <v>552</v>
      </c>
      <c r="F1248" s="27" t="s">
        <v>1755</v>
      </c>
      <c r="G1248" s="43">
        <f>95000000000*0.0283168</f>
        <v>2690096000</v>
      </c>
      <c r="H1248" s="43"/>
      <c r="I1248" s="43"/>
      <c r="J1248" s="43"/>
      <c r="K1248" s="27" t="s">
        <v>599</v>
      </c>
      <c r="L1248" s="28">
        <v>0.14422800000000002</v>
      </c>
      <c r="M1248" s="27" t="s">
        <v>600</v>
      </c>
      <c r="N1248" s="27" t="s">
        <v>816</v>
      </c>
      <c r="O1248" s="18">
        <f>G1248*L1248</f>
        <v>387987165.88800007</v>
      </c>
      <c r="P1248" s="214">
        <f>23730124.6758721+T1248</f>
        <v>35893646.310907274</v>
      </c>
      <c r="Q1248" s="214">
        <v>27165982.621729653</v>
      </c>
      <c r="R1248" s="27"/>
      <c r="S1248" s="27" t="s">
        <v>1751</v>
      </c>
      <c r="T1248" s="18">
        <v>12163521.635035178</v>
      </c>
      <c r="U1248" s="27"/>
      <c r="V1248" s="27"/>
      <c r="W1248" s="30"/>
      <c r="X1248" s="27">
        <v>12</v>
      </c>
      <c r="Y1248" s="27" t="s">
        <v>1756</v>
      </c>
      <c r="Z1248" s="27">
        <v>11</v>
      </c>
      <c r="AA1248" s="27" t="s">
        <v>1753</v>
      </c>
      <c r="AB1248" s="27"/>
      <c r="AC1248" s="273">
        <v>51049678.183363676</v>
      </c>
      <c r="AD1248" s="27">
        <v>10726631099.557865</v>
      </c>
      <c r="AE1248" s="228">
        <v>4.7591529632698814E-3</v>
      </c>
      <c r="AF1248" s="27">
        <v>2181474966.717083</v>
      </c>
      <c r="AG1248" s="226">
        <v>2.3401450377488722E-2</v>
      </c>
      <c r="AH1248" s="226" t="s">
        <v>2842</v>
      </c>
      <c r="AI1248" s="27">
        <v>2012400000</v>
      </c>
      <c r="AJ1248" s="226">
        <v>2.5367560218328204E-2</v>
      </c>
      <c r="AK1248" s="27">
        <v>298920331.49721837</v>
      </c>
      <c r="AL1248" s="226">
        <v>0.17078021400440849</v>
      </c>
      <c r="AM1248" s="27" t="s">
        <v>2842</v>
      </c>
      <c r="AN1248" s="271" t="s">
        <v>2842</v>
      </c>
      <c r="AO1248" s="27">
        <v>23361025</v>
      </c>
      <c r="AP1248" s="27">
        <v>54.7</v>
      </c>
      <c r="AQ1248" s="27">
        <v>48.799439024390246</v>
      </c>
      <c r="AR1248" s="27">
        <v>74.3</v>
      </c>
      <c r="AS1248" s="29" t="s">
        <v>2842</v>
      </c>
      <c r="AT1248" s="270">
        <v>31</v>
      </c>
      <c r="AU1248" s="464">
        <v>36.892105322543919</v>
      </c>
      <c r="AV1248" s="29">
        <v>-0.10593740605468201</v>
      </c>
      <c r="AW1248" s="29">
        <v>0.58954037409522198</v>
      </c>
      <c r="AX1248" s="29">
        <v>-0.54382928909406303</v>
      </c>
      <c r="AY1248" s="29">
        <v>-0.38672618976353301</v>
      </c>
      <c r="AZ1248" s="60">
        <v>-0.42101975203520903</v>
      </c>
    </row>
    <row r="1249" spans="1:52" s="29" customFormat="1" ht="15" customHeight="1">
      <c r="A1249" s="59" t="s">
        <v>381</v>
      </c>
      <c r="B1249" s="27">
        <v>2009</v>
      </c>
      <c r="C1249" s="27" t="s">
        <v>378</v>
      </c>
      <c r="D1249" s="27" t="s">
        <v>81</v>
      </c>
      <c r="E1249" s="27" t="s">
        <v>19</v>
      </c>
      <c r="F1249" s="27" t="s">
        <v>559</v>
      </c>
      <c r="G1249" s="43"/>
      <c r="H1249" s="43"/>
      <c r="I1249" s="43"/>
      <c r="J1249" s="43"/>
      <c r="K1249" s="27"/>
      <c r="L1249" s="28"/>
      <c r="M1249" s="27"/>
      <c r="N1249" s="27"/>
      <c r="O1249" s="18">
        <f>SUM(O1250:O1266)-SUM(O1252:O1254)-SUM(O1259:O1261)-SUM(O1263:O1265)</f>
        <v>128605640.31677231</v>
      </c>
      <c r="P1249" s="214">
        <v>15156031.872456396</v>
      </c>
      <c r="Q1249" s="214">
        <v>15402830.851017442</v>
      </c>
      <c r="R1249" s="27"/>
      <c r="S1249" s="27"/>
      <c r="T1249" s="18"/>
      <c r="U1249" s="27"/>
      <c r="V1249" s="27"/>
      <c r="W1249" s="30"/>
      <c r="X1249" s="27">
        <v>24</v>
      </c>
      <c r="Y1249" s="27" t="s">
        <v>1757</v>
      </c>
      <c r="Z1249" s="27">
        <v>20</v>
      </c>
      <c r="AA1249" s="27" t="s">
        <v>1758</v>
      </c>
      <c r="AB1249" s="27"/>
      <c r="AC1249" s="273">
        <v>51049678.183363676</v>
      </c>
      <c r="AD1249" s="27">
        <v>10726631099.557865</v>
      </c>
      <c r="AE1249" s="228">
        <v>4.7591529632698814E-3</v>
      </c>
      <c r="AF1249" s="27">
        <v>2181474966.717083</v>
      </c>
      <c r="AG1249" s="226">
        <v>2.3401450377488722E-2</v>
      </c>
      <c r="AH1249" s="226" t="s">
        <v>2842</v>
      </c>
      <c r="AI1249" s="27">
        <v>2012400000</v>
      </c>
      <c r="AJ1249" s="226">
        <v>2.5367560218328204E-2</v>
      </c>
      <c r="AK1249" s="27">
        <v>298920331.49721837</v>
      </c>
      <c r="AL1249" s="226">
        <v>0.17078021400440849</v>
      </c>
      <c r="AM1249" s="27" t="s">
        <v>2842</v>
      </c>
      <c r="AN1249" s="271" t="s">
        <v>2842</v>
      </c>
      <c r="AO1249" s="27">
        <v>23361025</v>
      </c>
      <c r="AP1249" s="27">
        <v>54.7</v>
      </c>
      <c r="AQ1249" s="27">
        <v>48.799439024390246</v>
      </c>
      <c r="AR1249" s="27">
        <v>74.3</v>
      </c>
      <c r="AS1249" s="29" t="s">
        <v>2842</v>
      </c>
      <c r="AT1249" s="270">
        <v>31</v>
      </c>
      <c r="AU1249" s="464">
        <v>36.892105322543919</v>
      </c>
      <c r="AV1249" s="29">
        <v>-0.10593740605468201</v>
      </c>
      <c r="AW1249" s="29">
        <v>0.58954037409522198</v>
      </c>
      <c r="AX1249" s="29">
        <v>-0.54382928909406303</v>
      </c>
      <c r="AY1249" s="29">
        <v>-0.38672618976353301</v>
      </c>
      <c r="AZ1249" s="60">
        <v>-0.42101975203520903</v>
      </c>
    </row>
    <row r="1250" spans="1:52" s="29" customFormat="1" ht="15" customHeight="1">
      <c r="A1250" s="59" t="s">
        <v>381</v>
      </c>
      <c r="B1250" s="27">
        <v>2009</v>
      </c>
      <c r="C1250" s="27" t="s">
        <v>378</v>
      </c>
      <c r="D1250" s="27" t="s">
        <v>81</v>
      </c>
      <c r="E1250" s="27" t="s">
        <v>19</v>
      </c>
      <c r="F1250" s="27" t="s">
        <v>573</v>
      </c>
      <c r="G1250" s="43">
        <f>42000*0.90718474</f>
        <v>38101.759080000003</v>
      </c>
      <c r="H1250" s="43"/>
      <c r="I1250" s="43"/>
      <c r="J1250" s="43"/>
      <c r="K1250" s="27" t="s">
        <v>567</v>
      </c>
      <c r="L1250" s="28">
        <v>72.516709165814987</v>
      </c>
      <c r="M1250" s="27" t="s">
        <v>568</v>
      </c>
      <c r="N1250" s="27" t="s">
        <v>1740</v>
      </c>
      <c r="O1250" s="18">
        <f>G1250*L1250</f>
        <v>2763014.1819103109</v>
      </c>
      <c r="P1250" s="214"/>
      <c r="Q1250" s="214"/>
      <c r="R1250" s="27"/>
      <c r="S1250" s="27"/>
      <c r="T1250" s="18"/>
      <c r="U1250" s="27"/>
      <c r="V1250" s="27"/>
      <c r="W1250" s="30"/>
      <c r="X1250" s="27"/>
      <c r="Y1250" s="27"/>
      <c r="Z1250" s="27"/>
      <c r="AA1250" s="27"/>
      <c r="AB1250" s="27"/>
      <c r="AC1250" s="273">
        <v>51049678.183363676</v>
      </c>
      <c r="AD1250" s="27">
        <v>10726631099.557865</v>
      </c>
      <c r="AE1250" s="228">
        <v>4.7591529632698814E-3</v>
      </c>
      <c r="AF1250" s="27">
        <v>2181474966.717083</v>
      </c>
      <c r="AG1250" s="226">
        <v>2.3401450377488722E-2</v>
      </c>
      <c r="AH1250" s="226" t="s">
        <v>2842</v>
      </c>
      <c r="AI1250" s="27">
        <v>2012400000</v>
      </c>
      <c r="AJ1250" s="226">
        <v>2.5367560218328204E-2</v>
      </c>
      <c r="AK1250" s="27">
        <v>298920331.49721837</v>
      </c>
      <c r="AL1250" s="226">
        <v>0.17078021400440849</v>
      </c>
      <c r="AM1250" s="27" t="s">
        <v>2842</v>
      </c>
      <c r="AN1250" s="271" t="s">
        <v>2842</v>
      </c>
      <c r="AO1250" s="27">
        <v>23361025</v>
      </c>
      <c r="AP1250" s="27">
        <v>54.7</v>
      </c>
      <c r="AQ1250" s="27">
        <v>48.799439024390246</v>
      </c>
      <c r="AR1250" s="27">
        <v>74.3</v>
      </c>
      <c r="AS1250" s="29" t="s">
        <v>2842</v>
      </c>
      <c r="AT1250" s="270">
        <v>31</v>
      </c>
      <c r="AU1250" s="464">
        <v>36.892105322543919</v>
      </c>
      <c r="AV1250" s="29">
        <v>-0.10593740605468201</v>
      </c>
      <c r="AW1250" s="29">
        <v>0.58954037409522198</v>
      </c>
      <c r="AX1250" s="29">
        <v>-0.54382928909406303</v>
      </c>
      <c r="AY1250" s="29">
        <v>-0.38672618976353301</v>
      </c>
      <c r="AZ1250" s="60">
        <v>-0.42101975203520903</v>
      </c>
    </row>
    <row r="1251" spans="1:52" s="29" customFormat="1" ht="15" customHeight="1">
      <c r="A1251" s="59" t="s">
        <v>381</v>
      </c>
      <c r="B1251" s="27">
        <v>2009</v>
      </c>
      <c r="C1251" s="27" t="s">
        <v>378</v>
      </c>
      <c r="D1251" s="27" t="s">
        <v>81</v>
      </c>
      <c r="E1251" s="27" t="s">
        <v>19</v>
      </c>
      <c r="F1251" s="27" t="s">
        <v>981</v>
      </c>
      <c r="G1251" s="43"/>
      <c r="H1251" s="43"/>
      <c r="I1251" s="43"/>
      <c r="J1251" s="43"/>
      <c r="K1251" s="27"/>
      <c r="L1251" s="28"/>
      <c r="M1251" s="27"/>
      <c r="N1251" s="27"/>
      <c r="O1251" s="18">
        <f>SUM(O1252:O1254)</f>
        <v>11046544.379230674</v>
      </c>
      <c r="P1251" s="214">
        <v>59498.671875000007</v>
      </c>
      <c r="Q1251" s="214">
        <v>57568.917151162794</v>
      </c>
      <c r="R1251" s="27"/>
      <c r="S1251" s="27"/>
      <c r="T1251" s="18"/>
      <c r="U1251" s="27"/>
      <c r="V1251" s="27"/>
      <c r="W1251" s="30"/>
      <c r="X1251" s="27"/>
      <c r="Y1251" s="27"/>
      <c r="Z1251" s="27"/>
      <c r="AA1251" s="27">
        <v>8</v>
      </c>
      <c r="AB1251" s="27"/>
      <c r="AC1251" s="273">
        <v>51049678.183363676</v>
      </c>
      <c r="AD1251" s="27">
        <v>10726631099.557865</v>
      </c>
      <c r="AE1251" s="228">
        <v>4.7591529632698814E-3</v>
      </c>
      <c r="AF1251" s="27">
        <v>2181474966.717083</v>
      </c>
      <c r="AG1251" s="226">
        <v>2.3401450377488722E-2</v>
      </c>
      <c r="AH1251" s="226" t="s">
        <v>2842</v>
      </c>
      <c r="AI1251" s="27">
        <v>2012400000</v>
      </c>
      <c r="AJ1251" s="226">
        <v>2.5367560218328204E-2</v>
      </c>
      <c r="AK1251" s="27">
        <v>298920331.49721837</v>
      </c>
      <c r="AL1251" s="226">
        <v>0.17078021400440849</v>
      </c>
      <c r="AM1251" s="27" t="s">
        <v>2842</v>
      </c>
      <c r="AN1251" s="271" t="s">
        <v>2842</v>
      </c>
      <c r="AO1251" s="27">
        <v>23361025</v>
      </c>
      <c r="AP1251" s="27">
        <v>54.7</v>
      </c>
      <c r="AQ1251" s="27">
        <v>48.799439024390246</v>
      </c>
      <c r="AR1251" s="27">
        <v>74.3</v>
      </c>
      <c r="AS1251" s="29" t="s">
        <v>2842</v>
      </c>
      <c r="AT1251" s="270">
        <v>31</v>
      </c>
      <c r="AU1251" s="464">
        <v>36.892105322543919</v>
      </c>
      <c r="AV1251" s="29">
        <v>-0.10593740605468201</v>
      </c>
      <c r="AW1251" s="29">
        <v>0.58954037409522198</v>
      </c>
      <c r="AX1251" s="29">
        <v>-0.54382928909406303</v>
      </c>
      <c r="AY1251" s="29">
        <v>-0.38672618976353301</v>
      </c>
      <c r="AZ1251" s="60">
        <v>-0.42101975203520903</v>
      </c>
    </row>
    <row r="1252" spans="1:52" s="29" customFormat="1" ht="15" customHeight="1">
      <c r="A1252" s="59" t="s">
        <v>381</v>
      </c>
      <c r="B1252" s="27">
        <v>2009</v>
      </c>
      <c r="C1252" s="27" t="s">
        <v>378</v>
      </c>
      <c r="D1252" s="27" t="s">
        <v>81</v>
      </c>
      <c r="E1252" s="27" t="s">
        <v>19</v>
      </c>
      <c r="F1252" s="27" t="s">
        <v>982</v>
      </c>
      <c r="G1252" s="43">
        <v>404668</v>
      </c>
      <c r="H1252" s="43"/>
      <c r="I1252" s="43"/>
      <c r="J1252" s="43"/>
      <c r="K1252" s="27" t="s">
        <v>894</v>
      </c>
      <c r="L1252" s="28"/>
      <c r="M1252" s="27"/>
      <c r="N1252" s="27" t="s">
        <v>636</v>
      </c>
      <c r="O1252" s="18"/>
      <c r="P1252" s="214"/>
      <c r="Q1252" s="214"/>
      <c r="R1252" s="27"/>
      <c r="S1252" s="27"/>
      <c r="T1252" s="18"/>
      <c r="U1252" s="27"/>
      <c r="V1252" s="27"/>
      <c r="W1252" s="30"/>
      <c r="X1252" s="27"/>
      <c r="Y1252" s="27"/>
      <c r="Z1252" s="27"/>
      <c r="AA1252" s="27"/>
      <c r="AB1252" s="27"/>
      <c r="AC1252" s="273">
        <v>51049678.183363676</v>
      </c>
      <c r="AD1252" s="27">
        <v>10726631099.557865</v>
      </c>
      <c r="AE1252" s="228">
        <v>4.7591529632698814E-3</v>
      </c>
      <c r="AF1252" s="27">
        <v>2181474966.717083</v>
      </c>
      <c r="AG1252" s="226">
        <v>2.3401450377488722E-2</v>
      </c>
      <c r="AH1252" s="226" t="s">
        <v>2842</v>
      </c>
      <c r="AI1252" s="27">
        <v>2012400000</v>
      </c>
      <c r="AJ1252" s="226">
        <v>2.5367560218328204E-2</v>
      </c>
      <c r="AK1252" s="27">
        <v>298920331.49721837</v>
      </c>
      <c r="AL1252" s="226">
        <v>0.17078021400440849</v>
      </c>
      <c r="AM1252" s="27" t="s">
        <v>2842</v>
      </c>
      <c r="AN1252" s="271" t="s">
        <v>2842</v>
      </c>
      <c r="AO1252" s="27">
        <v>23361025</v>
      </c>
      <c r="AP1252" s="27">
        <v>54.7</v>
      </c>
      <c r="AQ1252" s="27">
        <v>48.799439024390246</v>
      </c>
      <c r="AR1252" s="27">
        <v>74.3</v>
      </c>
      <c r="AS1252" s="29" t="s">
        <v>2842</v>
      </c>
      <c r="AT1252" s="270">
        <v>31</v>
      </c>
      <c r="AU1252" s="464">
        <v>36.892105322543919</v>
      </c>
      <c r="AV1252" s="29">
        <v>-0.10593740605468201</v>
      </c>
      <c r="AW1252" s="29">
        <v>0.58954037409522198</v>
      </c>
      <c r="AX1252" s="29">
        <v>-0.54382928909406303</v>
      </c>
      <c r="AY1252" s="29">
        <v>-0.38672618976353301</v>
      </c>
      <c r="AZ1252" s="60">
        <v>-0.42101975203520903</v>
      </c>
    </row>
    <row r="1253" spans="1:52" s="29" customFormat="1" ht="15" customHeight="1">
      <c r="A1253" s="59" t="s">
        <v>381</v>
      </c>
      <c r="B1253" s="27">
        <v>2009</v>
      </c>
      <c r="C1253" s="27" t="s">
        <v>378</v>
      </c>
      <c r="D1253" s="27" t="s">
        <v>81</v>
      </c>
      <c r="E1253" s="27" t="s">
        <v>19</v>
      </c>
      <c r="F1253" s="27" t="s">
        <v>983</v>
      </c>
      <c r="G1253" s="43">
        <v>29</v>
      </c>
      <c r="H1253" s="43"/>
      <c r="I1253" s="43"/>
      <c r="J1253" s="43"/>
      <c r="K1253" s="27" t="s">
        <v>567</v>
      </c>
      <c r="L1253" s="28">
        <v>37298</v>
      </c>
      <c r="M1253" s="27" t="s">
        <v>568</v>
      </c>
      <c r="N1253" s="27" t="s">
        <v>1007</v>
      </c>
      <c r="O1253" s="18">
        <f>G1253*L1253</f>
        <v>1081642</v>
      </c>
      <c r="P1253" s="214"/>
      <c r="Q1253" s="214"/>
      <c r="R1253" s="27"/>
      <c r="S1253" s="27"/>
      <c r="T1253" s="18"/>
      <c r="U1253" s="27"/>
      <c r="V1253" s="27"/>
      <c r="W1253" s="30"/>
      <c r="X1253" s="27"/>
      <c r="Y1253" s="27"/>
      <c r="Z1253" s="27"/>
      <c r="AA1253" s="27"/>
      <c r="AB1253" s="27"/>
      <c r="AC1253" s="273">
        <v>51049678.183363676</v>
      </c>
      <c r="AD1253" s="27">
        <v>10726631099.557865</v>
      </c>
      <c r="AE1253" s="228">
        <v>4.7591529632698814E-3</v>
      </c>
      <c r="AF1253" s="27">
        <v>2181474966.717083</v>
      </c>
      <c r="AG1253" s="226">
        <v>2.3401450377488722E-2</v>
      </c>
      <c r="AH1253" s="226" t="s">
        <v>2842</v>
      </c>
      <c r="AI1253" s="27">
        <v>2012400000</v>
      </c>
      <c r="AJ1253" s="226">
        <v>2.5367560218328204E-2</v>
      </c>
      <c r="AK1253" s="27">
        <v>298920331.49721837</v>
      </c>
      <c r="AL1253" s="226">
        <v>0.17078021400440849</v>
      </c>
      <c r="AM1253" s="27" t="s">
        <v>2842</v>
      </c>
      <c r="AN1253" s="271" t="s">
        <v>2842</v>
      </c>
      <c r="AO1253" s="27">
        <v>23361025</v>
      </c>
      <c r="AP1253" s="27">
        <v>54.7</v>
      </c>
      <c r="AQ1253" s="27">
        <v>48.799439024390246</v>
      </c>
      <c r="AR1253" s="27">
        <v>74.3</v>
      </c>
      <c r="AS1253" s="29" t="s">
        <v>2842</v>
      </c>
      <c r="AT1253" s="270">
        <v>31</v>
      </c>
      <c r="AU1253" s="464">
        <v>36.892105322543919</v>
      </c>
      <c r="AV1253" s="29">
        <v>-0.10593740605468201</v>
      </c>
      <c r="AW1253" s="29">
        <v>0.58954037409522198</v>
      </c>
      <c r="AX1253" s="29">
        <v>-0.54382928909406303</v>
      </c>
      <c r="AY1253" s="29">
        <v>-0.38672618976353301</v>
      </c>
      <c r="AZ1253" s="60">
        <v>-0.42101975203520903</v>
      </c>
    </row>
    <row r="1254" spans="1:52" s="29" customFormat="1" ht="15" customHeight="1">
      <c r="A1254" s="59" t="s">
        <v>381</v>
      </c>
      <c r="B1254" s="27">
        <v>2009</v>
      </c>
      <c r="C1254" s="27" t="s">
        <v>378</v>
      </c>
      <c r="D1254" s="27" t="s">
        <v>81</v>
      </c>
      <c r="E1254" s="27" t="s">
        <v>19</v>
      </c>
      <c r="F1254" s="27" t="s">
        <v>985</v>
      </c>
      <c r="G1254" s="43">
        <v>113000</v>
      </c>
      <c r="H1254" s="43"/>
      <c r="I1254" s="43"/>
      <c r="J1254" s="43"/>
      <c r="K1254" s="27" t="s">
        <v>894</v>
      </c>
      <c r="L1254" s="28">
        <f>40/0.453592</f>
        <v>88.184976807351106</v>
      </c>
      <c r="M1254" s="27" t="s">
        <v>1743</v>
      </c>
      <c r="N1254" s="27" t="s">
        <v>1008</v>
      </c>
      <c r="O1254" s="18">
        <f>G1254*L1254</f>
        <v>9964902.3792306744</v>
      </c>
      <c r="P1254" s="214"/>
      <c r="Q1254" s="214"/>
      <c r="R1254" s="27"/>
      <c r="S1254" s="27"/>
      <c r="T1254" s="18"/>
      <c r="U1254" s="27"/>
      <c r="V1254" s="27"/>
      <c r="W1254" s="30"/>
      <c r="X1254" s="27"/>
      <c r="Y1254" s="27"/>
      <c r="Z1254" s="27"/>
      <c r="AA1254" s="27"/>
      <c r="AB1254" s="27"/>
      <c r="AC1254" s="273">
        <v>51049678.183363676</v>
      </c>
      <c r="AD1254" s="27">
        <v>10726631099.557865</v>
      </c>
      <c r="AE1254" s="228">
        <v>4.7591529632698814E-3</v>
      </c>
      <c r="AF1254" s="27">
        <v>2181474966.717083</v>
      </c>
      <c r="AG1254" s="226">
        <v>2.3401450377488722E-2</v>
      </c>
      <c r="AH1254" s="226" t="s">
        <v>2842</v>
      </c>
      <c r="AI1254" s="27">
        <v>2012400000</v>
      </c>
      <c r="AJ1254" s="226">
        <v>2.5367560218328204E-2</v>
      </c>
      <c r="AK1254" s="27">
        <v>298920331.49721837</v>
      </c>
      <c r="AL1254" s="226">
        <v>0.17078021400440849</v>
      </c>
      <c r="AM1254" s="27" t="s">
        <v>2842</v>
      </c>
      <c r="AN1254" s="271" t="s">
        <v>2842</v>
      </c>
      <c r="AO1254" s="27">
        <v>23361025</v>
      </c>
      <c r="AP1254" s="27">
        <v>54.7</v>
      </c>
      <c r="AQ1254" s="27">
        <v>48.799439024390246</v>
      </c>
      <c r="AR1254" s="27">
        <v>74.3</v>
      </c>
      <c r="AS1254" s="29" t="s">
        <v>2842</v>
      </c>
      <c r="AT1254" s="270">
        <v>31</v>
      </c>
      <c r="AU1254" s="464">
        <v>36.892105322543919</v>
      </c>
      <c r="AV1254" s="29">
        <v>-0.10593740605468201</v>
      </c>
      <c r="AW1254" s="29">
        <v>0.58954037409522198</v>
      </c>
      <c r="AX1254" s="29">
        <v>-0.54382928909406303</v>
      </c>
      <c r="AY1254" s="29">
        <v>-0.38672618976353301</v>
      </c>
      <c r="AZ1254" s="60">
        <v>-0.42101975203520903</v>
      </c>
    </row>
    <row r="1255" spans="1:52" s="29" customFormat="1" ht="15" customHeight="1">
      <c r="A1255" s="59" t="s">
        <v>381</v>
      </c>
      <c r="B1255" s="27">
        <v>2009</v>
      </c>
      <c r="C1255" s="27" t="s">
        <v>378</v>
      </c>
      <c r="D1255" s="27" t="s">
        <v>81</v>
      </c>
      <c r="E1255" s="27" t="s">
        <v>19</v>
      </c>
      <c r="F1255" s="27" t="s">
        <v>730</v>
      </c>
      <c r="G1255" s="43">
        <f>511*32.150743126506</f>
        <v>16429.029737644567</v>
      </c>
      <c r="H1255" s="43"/>
      <c r="I1255" s="43"/>
      <c r="J1255" s="43"/>
      <c r="K1255" s="27" t="s">
        <v>731</v>
      </c>
      <c r="L1255" s="28">
        <v>972.96591666666995</v>
      </c>
      <c r="M1255" s="27" t="s">
        <v>732</v>
      </c>
      <c r="N1255" s="27" t="s">
        <v>733</v>
      </c>
      <c r="O1255" s="18">
        <f>G1255*L1255</f>
        <v>15984885.978631327</v>
      </c>
      <c r="P1255" s="214"/>
      <c r="Q1255" s="214"/>
      <c r="R1255" s="27"/>
      <c r="S1255" s="27"/>
      <c r="T1255" s="18"/>
      <c r="U1255" s="27"/>
      <c r="V1255" s="27"/>
      <c r="W1255" s="30"/>
      <c r="X1255" s="27"/>
      <c r="Y1255" s="27"/>
      <c r="Z1255" s="27"/>
      <c r="AA1255" s="27"/>
      <c r="AB1255" s="27"/>
      <c r="AC1255" s="273">
        <v>51049678.183363676</v>
      </c>
      <c r="AD1255" s="27">
        <v>10726631099.557865</v>
      </c>
      <c r="AE1255" s="228">
        <v>4.7591529632698814E-3</v>
      </c>
      <c r="AF1255" s="27">
        <v>2181474966.717083</v>
      </c>
      <c r="AG1255" s="226">
        <v>2.3401450377488722E-2</v>
      </c>
      <c r="AH1255" s="226" t="s">
        <v>2842</v>
      </c>
      <c r="AI1255" s="27">
        <v>2012400000</v>
      </c>
      <c r="AJ1255" s="226">
        <v>2.5367560218328204E-2</v>
      </c>
      <c r="AK1255" s="27">
        <v>298920331.49721837</v>
      </c>
      <c r="AL1255" s="226">
        <v>0.17078021400440849</v>
      </c>
      <c r="AM1255" s="27" t="s">
        <v>2842</v>
      </c>
      <c r="AN1255" s="271" t="s">
        <v>2842</v>
      </c>
      <c r="AO1255" s="27">
        <v>23361025</v>
      </c>
      <c r="AP1255" s="27">
        <v>54.7</v>
      </c>
      <c r="AQ1255" s="27">
        <v>48.799439024390246</v>
      </c>
      <c r="AR1255" s="27">
        <v>74.3</v>
      </c>
      <c r="AS1255" s="29" t="s">
        <v>2842</v>
      </c>
      <c r="AT1255" s="270">
        <v>31</v>
      </c>
      <c r="AU1255" s="464">
        <v>36.892105322543919</v>
      </c>
      <c r="AV1255" s="29">
        <v>-0.10593740605468201</v>
      </c>
      <c r="AW1255" s="29">
        <v>0.58954037409522198</v>
      </c>
      <c r="AX1255" s="29">
        <v>-0.54382928909406303</v>
      </c>
      <c r="AY1255" s="29">
        <v>-0.38672618976353301</v>
      </c>
      <c r="AZ1255" s="60">
        <v>-0.42101975203520903</v>
      </c>
    </row>
    <row r="1256" spans="1:52" s="29" customFormat="1" ht="15" customHeight="1">
      <c r="A1256" s="59" t="s">
        <v>381</v>
      </c>
      <c r="B1256" s="27">
        <v>2009</v>
      </c>
      <c r="C1256" s="27" t="s">
        <v>378</v>
      </c>
      <c r="D1256" s="27" t="s">
        <v>81</v>
      </c>
      <c r="E1256" s="27" t="s">
        <v>19</v>
      </c>
      <c r="F1256" s="27" t="s">
        <v>653</v>
      </c>
      <c r="G1256" s="43">
        <v>234135</v>
      </c>
      <c r="H1256" s="43"/>
      <c r="I1256" s="43"/>
      <c r="J1256" s="43"/>
      <c r="K1256" s="27" t="s">
        <v>567</v>
      </c>
      <c r="L1256" s="28">
        <v>8.8699999999999992</v>
      </c>
      <c r="M1256" s="27" t="s">
        <v>568</v>
      </c>
      <c r="N1256" s="27" t="s">
        <v>1759</v>
      </c>
      <c r="O1256" s="18">
        <f>G1256*L1256</f>
        <v>2076777.4499999997</v>
      </c>
      <c r="P1256" s="214">
        <v>3497368.7441860465</v>
      </c>
      <c r="Q1256" s="214">
        <v>3425003.9825581396</v>
      </c>
      <c r="R1256" s="27"/>
      <c r="S1256" s="27"/>
      <c r="T1256" s="18"/>
      <c r="U1256" s="27"/>
      <c r="V1256" s="27"/>
      <c r="W1256" s="30"/>
      <c r="X1256" s="27"/>
      <c r="Y1256" s="27"/>
      <c r="Z1256" s="27"/>
      <c r="AA1256" s="27" t="s">
        <v>1760</v>
      </c>
      <c r="AB1256" s="27"/>
      <c r="AC1256" s="273">
        <v>51049678.183363676</v>
      </c>
      <c r="AD1256" s="27">
        <v>10726631099.557865</v>
      </c>
      <c r="AE1256" s="228">
        <v>4.7591529632698814E-3</v>
      </c>
      <c r="AF1256" s="27">
        <v>2181474966.717083</v>
      </c>
      <c r="AG1256" s="226">
        <v>2.3401450377488722E-2</v>
      </c>
      <c r="AH1256" s="226" t="s">
        <v>2842</v>
      </c>
      <c r="AI1256" s="27">
        <v>2012400000</v>
      </c>
      <c r="AJ1256" s="226">
        <v>2.5367560218328204E-2</v>
      </c>
      <c r="AK1256" s="27">
        <v>298920331.49721837</v>
      </c>
      <c r="AL1256" s="226">
        <v>0.17078021400440849</v>
      </c>
      <c r="AM1256" s="27" t="s">
        <v>2842</v>
      </c>
      <c r="AN1256" s="271" t="s">
        <v>2842</v>
      </c>
      <c r="AO1256" s="27">
        <v>23361025</v>
      </c>
      <c r="AP1256" s="27">
        <v>54.7</v>
      </c>
      <c r="AQ1256" s="27">
        <v>48.799439024390246</v>
      </c>
      <c r="AR1256" s="27">
        <v>74.3</v>
      </c>
      <c r="AS1256" s="29" t="s">
        <v>2842</v>
      </c>
      <c r="AT1256" s="270">
        <v>31</v>
      </c>
      <c r="AU1256" s="464">
        <v>36.892105322543919</v>
      </c>
      <c r="AV1256" s="29">
        <v>-0.10593740605468201</v>
      </c>
      <c r="AW1256" s="29">
        <v>0.58954037409522198</v>
      </c>
      <c r="AX1256" s="29">
        <v>-0.54382928909406303</v>
      </c>
      <c r="AY1256" s="29">
        <v>-0.38672618976353301</v>
      </c>
      <c r="AZ1256" s="60">
        <v>-0.42101975203520903</v>
      </c>
    </row>
    <row r="1257" spans="1:52" s="29" customFormat="1" ht="15" customHeight="1">
      <c r="A1257" s="59" t="s">
        <v>381</v>
      </c>
      <c r="B1257" s="27">
        <v>2009</v>
      </c>
      <c r="C1257" s="27" t="s">
        <v>378</v>
      </c>
      <c r="D1257" s="27" t="s">
        <v>81</v>
      </c>
      <c r="E1257" s="27" t="s">
        <v>19</v>
      </c>
      <c r="F1257" s="27" t="s">
        <v>897</v>
      </c>
      <c r="G1257" s="43">
        <v>1260492</v>
      </c>
      <c r="H1257" s="43"/>
      <c r="I1257" s="43"/>
      <c r="J1257" s="43"/>
      <c r="K1257" s="27" t="s">
        <v>567</v>
      </c>
      <c r="L1257" s="28">
        <v>7.57</v>
      </c>
      <c r="M1257" s="27" t="s">
        <v>568</v>
      </c>
      <c r="N1257" s="27" t="s">
        <v>1416</v>
      </c>
      <c r="O1257" s="18">
        <f>G1257*L1257</f>
        <v>9541924.4399999995</v>
      </c>
      <c r="P1257" s="214"/>
      <c r="Q1257" s="214"/>
      <c r="R1257" s="27"/>
      <c r="S1257" s="27"/>
      <c r="T1257" s="18"/>
      <c r="U1257" s="27"/>
      <c r="V1257" s="27"/>
      <c r="W1257" s="30"/>
      <c r="X1257" s="27"/>
      <c r="Y1257" s="27"/>
      <c r="Z1257" s="27"/>
      <c r="AA1257" s="27"/>
      <c r="AB1257" s="27"/>
      <c r="AC1257" s="273">
        <v>51049678.183363676</v>
      </c>
      <c r="AD1257" s="27">
        <v>10726631099.557865</v>
      </c>
      <c r="AE1257" s="228">
        <v>4.7591529632698814E-3</v>
      </c>
      <c r="AF1257" s="27">
        <v>2181474966.717083</v>
      </c>
      <c r="AG1257" s="226">
        <v>2.3401450377488722E-2</v>
      </c>
      <c r="AH1257" s="226" t="s">
        <v>2842</v>
      </c>
      <c r="AI1257" s="27">
        <v>2012400000</v>
      </c>
      <c r="AJ1257" s="226">
        <v>2.5367560218328204E-2</v>
      </c>
      <c r="AK1257" s="27">
        <v>298920331.49721837</v>
      </c>
      <c r="AL1257" s="226">
        <v>0.17078021400440849</v>
      </c>
      <c r="AM1257" s="27" t="s">
        <v>2842</v>
      </c>
      <c r="AN1257" s="271" t="s">
        <v>2842</v>
      </c>
      <c r="AO1257" s="27">
        <v>23361025</v>
      </c>
      <c r="AP1257" s="27">
        <v>54.7</v>
      </c>
      <c r="AQ1257" s="27">
        <v>48.799439024390246</v>
      </c>
      <c r="AR1257" s="27">
        <v>74.3</v>
      </c>
      <c r="AS1257" s="29" t="s">
        <v>2842</v>
      </c>
      <c r="AT1257" s="270">
        <v>31</v>
      </c>
      <c r="AU1257" s="464">
        <v>36.892105322543919</v>
      </c>
      <c r="AV1257" s="29">
        <v>-0.10593740605468201</v>
      </c>
      <c r="AW1257" s="29">
        <v>0.58954037409522198</v>
      </c>
      <c r="AX1257" s="29">
        <v>-0.54382928909406303</v>
      </c>
      <c r="AY1257" s="29">
        <v>-0.38672618976353301</v>
      </c>
      <c r="AZ1257" s="60">
        <v>-0.42101975203520903</v>
      </c>
    </row>
    <row r="1258" spans="1:52" s="29" customFormat="1" ht="15" customHeight="1">
      <c r="A1258" s="59" t="s">
        <v>381</v>
      </c>
      <c r="B1258" s="27">
        <v>2009</v>
      </c>
      <c r="C1258" s="27" t="s">
        <v>378</v>
      </c>
      <c r="D1258" s="27" t="s">
        <v>81</v>
      </c>
      <c r="E1258" s="27" t="s">
        <v>19</v>
      </c>
      <c r="F1258" s="27" t="s">
        <v>1761</v>
      </c>
      <c r="G1258" s="43"/>
      <c r="H1258" s="43"/>
      <c r="I1258" s="43"/>
      <c r="J1258" s="43"/>
      <c r="K1258" s="27"/>
      <c r="L1258" s="28"/>
      <c r="M1258" s="27"/>
      <c r="N1258" s="27"/>
      <c r="O1258" s="18">
        <f>SUM(O1259:O1261)</f>
        <v>33878593.886999995</v>
      </c>
      <c r="P1258" s="214">
        <v>3541557.8942587208</v>
      </c>
      <c r="Q1258" s="214">
        <v>3472546.9385901163</v>
      </c>
      <c r="R1258" s="27"/>
      <c r="S1258" s="27"/>
      <c r="T1258" s="18"/>
      <c r="U1258" s="27"/>
      <c r="V1258" s="27"/>
      <c r="W1258" s="30"/>
      <c r="X1258" s="27"/>
      <c r="Y1258" s="27"/>
      <c r="Z1258" s="27"/>
      <c r="AA1258" s="27">
        <v>8</v>
      </c>
      <c r="AB1258" s="27"/>
      <c r="AC1258" s="273">
        <v>51049678.183363676</v>
      </c>
      <c r="AD1258" s="27">
        <v>10726631099.557865</v>
      </c>
      <c r="AE1258" s="228">
        <v>4.7591529632698814E-3</v>
      </c>
      <c r="AF1258" s="27">
        <v>2181474966.717083</v>
      </c>
      <c r="AG1258" s="226">
        <v>2.3401450377488722E-2</v>
      </c>
      <c r="AH1258" s="226" t="s">
        <v>2842</v>
      </c>
      <c r="AI1258" s="27">
        <v>2012400000</v>
      </c>
      <c r="AJ1258" s="226">
        <v>2.5367560218328204E-2</v>
      </c>
      <c r="AK1258" s="27">
        <v>298920331.49721837</v>
      </c>
      <c r="AL1258" s="226">
        <v>0.17078021400440849</v>
      </c>
      <c r="AM1258" s="27" t="s">
        <v>2842</v>
      </c>
      <c r="AN1258" s="271" t="s">
        <v>2842</v>
      </c>
      <c r="AO1258" s="27">
        <v>23361025</v>
      </c>
      <c r="AP1258" s="27">
        <v>54.7</v>
      </c>
      <c r="AQ1258" s="27">
        <v>48.799439024390246</v>
      </c>
      <c r="AR1258" s="27">
        <v>74.3</v>
      </c>
      <c r="AS1258" s="29" t="s">
        <v>2842</v>
      </c>
      <c r="AT1258" s="270">
        <v>31</v>
      </c>
      <c r="AU1258" s="464">
        <v>36.892105322543919</v>
      </c>
      <c r="AV1258" s="29">
        <v>-0.10593740605468201</v>
      </c>
      <c r="AW1258" s="29">
        <v>0.58954037409522198</v>
      </c>
      <c r="AX1258" s="29">
        <v>-0.54382928909406303</v>
      </c>
      <c r="AY1258" s="29">
        <v>-0.38672618976353301</v>
      </c>
      <c r="AZ1258" s="60">
        <v>-0.42101975203520903</v>
      </c>
    </row>
    <row r="1259" spans="1:52" s="29" customFormat="1" ht="15" customHeight="1">
      <c r="A1259" s="59" t="s">
        <v>381</v>
      </c>
      <c r="B1259" s="27">
        <v>2009</v>
      </c>
      <c r="C1259" s="27" t="s">
        <v>378</v>
      </c>
      <c r="D1259" s="27" t="s">
        <v>81</v>
      </c>
      <c r="E1259" s="27" t="s">
        <v>19</v>
      </c>
      <c r="F1259" s="27" t="s">
        <v>1762</v>
      </c>
      <c r="G1259" s="43">
        <f>350*1.65</f>
        <v>577.5</v>
      </c>
      <c r="H1259" s="43"/>
      <c r="I1259" s="43"/>
      <c r="J1259" s="43"/>
      <c r="K1259" s="27" t="s">
        <v>567</v>
      </c>
      <c r="L1259" s="28">
        <v>12.2</v>
      </c>
      <c r="M1259" s="27" t="s">
        <v>568</v>
      </c>
      <c r="N1259" s="27" t="s">
        <v>1763</v>
      </c>
      <c r="O1259" s="18">
        <f>G1259*L1259</f>
        <v>7045.5</v>
      </c>
      <c r="P1259" s="214"/>
      <c r="Q1259" s="214"/>
      <c r="R1259" s="27"/>
      <c r="S1259" s="27"/>
      <c r="T1259" s="18"/>
      <c r="U1259" s="27"/>
      <c r="V1259" s="27"/>
      <c r="W1259" s="30"/>
      <c r="X1259" s="27"/>
      <c r="Y1259" s="27"/>
      <c r="Z1259" s="27"/>
      <c r="AA1259" s="27"/>
      <c r="AB1259" s="27"/>
      <c r="AC1259" s="273">
        <v>51049678.183363676</v>
      </c>
      <c r="AD1259" s="27">
        <v>10726631099.557865</v>
      </c>
      <c r="AE1259" s="228">
        <v>4.7591529632698814E-3</v>
      </c>
      <c r="AF1259" s="27">
        <v>2181474966.717083</v>
      </c>
      <c r="AG1259" s="226">
        <v>2.3401450377488722E-2</v>
      </c>
      <c r="AH1259" s="226" t="s">
        <v>2842</v>
      </c>
      <c r="AI1259" s="27">
        <v>2012400000</v>
      </c>
      <c r="AJ1259" s="226">
        <v>2.5367560218328204E-2</v>
      </c>
      <c r="AK1259" s="27">
        <v>298920331.49721837</v>
      </c>
      <c r="AL1259" s="226">
        <v>0.17078021400440849</v>
      </c>
      <c r="AM1259" s="27" t="s">
        <v>2842</v>
      </c>
      <c r="AN1259" s="271" t="s">
        <v>2842</v>
      </c>
      <c r="AO1259" s="27">
        <v>23361025</v>
      </c>
      <c r="AP1259" s="27">
        <v>54.7</v>
      </c>
      <c r="AQ1259" s="27">
        <v>48.799439024390246</v>
      </c>
      <c r="AR1259" s="27">
        <v>74.3</v>
      </c>
      <c r="AS1259" s="29" t="s">
        <v>2842</v>
      </c>
      <c r="AT1259" s="270">
        <v>31</v>
      </c>
      <c r="AU1259" s="464">
        <v>36.892105322543919</v>
      </c>
      <c r="AV1259" s="29">
        <v>-0.10593740605468201</v>
      </c>
      <c r="AW1259" s="29">
        <v>0.58954037409522198</v>
      </c>
      <c r="AX1259" s="29">
        <v>-0.54382928909406303</v>
      </c>
      <c r="AY1259" s="29">
        <v>-0.38672618976353301</v>
      </c>
      <c r="AZ1259" s="60">
        <v>-0.42101975203520903</v>
      </c>
    </row>
    <row r="1260" spans="1:52" s="29" customFormat="1" ht="15" customHeight="1">
      <c r="A1260" s="59" t="s">
        <v>381</v>
      </c>
      <c r="B1260" s="27">
        <v>2009</v>
      </c>
      <c r="C1260" s="27" t="s">
        <v>378</v>
      </c>
      <c r="D1260" s="27" t="s">
        <v>81</v>
      </c>
      <c r="E1260" s="27" t="s">
        <v>19</v>
      </c>
      <c r="F1260" s="27" t="s">
        <v>1764</v>
      </c>
      <c r="G1260" s="43">
        <f>2942830*1.52</f>
        <v>4473101.5999999996</v>
      </c>
      <c r="H1260" s="43"/>
      <c r="I1260" s="43"/>
      <c r="J1260" s="43"/>
      <c r="K1260" s="27" t="s">
        <v>567</v>
      </c>
      <c r="L1260" s="28">
        <v>7.57</v>
      </c>
      <c r="M1260" s="27" t="s">
        <v>568</v>
      </c>
      <c r="N1260" s="27" t="s">
        <v>1416</v>
      </c>
      <c r="O1260" s="18">
        <f>G1260*L1260</f>
        <v>33861379.111999996</v>
      </c>
      <c r="P1260" s="214"/>
      <c r="Q1260" s="214"/>
      <c r="R1260" s="27"/>
      <c r="S1260" s="27"/>
      <c r="T1260" s="18"/>
      <c r="U1260" s="27"/>
      <c r="V1260" s="27"/>
      <c r="W1260" s="30"/>
      <c r="X1260" s="27"/>
      <c r="Y1260" s="27"/>
      <c r="Z1260" s="27"/>
      <c r="AA1260" s="27"/>
      <c r="AB1260" s="27"/>
      <c r="AC1260" s="273">
        <v>51049678.183363676</v>
      </c>
      <c r="AD1260" s="27">
        <v>10726631099.557865</v>
      </c>
      <c r="AE1260" s="228">
        <v>4.7591529632698814E-3</v>
      </c>
      <c r="AF1260" s="27">
        <v>2181474966.717083</v>
      </c>
      <c r="AG1260" s="226">
        <v>2.3401450377488722E-2</v>
      </c>
      <c r="AH1260" s="226" t="s">
        <v>2842</v>
      </c>
      <c r="AI1260" s="27">
        <v>2012400000</v>
      </c>
      <c r="AJ1260" s="226">
        <v>2.5367560218328204E-2</v>
      </c>
      <c r="AK1260" s="27">
        <v>298920331.49721837</v>
      </c>
      <c r="AL1260" s="226">
        <v>0.17078021400440849</v>
      </c>
      <c r="AM1260" s="27" t="s">
        <v>2842</v>
      </c>
      <c r="AN1260" s="271" t="s">
        <v>2842</v>
      </c>
      <c r="AO1260" s="27">
        <v>23361025</v>
      </c>
      <c r="AP1260" s="27">
        <v>54.7</v>
      </c>
      <c r="AQ1260" s="27">
        <v>48.799439024390246</v>
      </c>
      <c r="AR1260" s="27">
        <v>74.3</v>
      </c>
      <c r="AS1260" s="29" t="s">
        <v>2842</v>
      </c>
      <c r="AT1260" s="270">
        <v>31</v>
      </c>
      <c r="AU1260" s="464">
        <v>36.892105322543919</v>
      </c>
      <c r="AV1260" s="29">
        <v>-0.10593740605468201</v>
      </c>
      <c r="AW1260" s="29">
        <v>0.58954037409522198</v>
      </c>
      <c r="AX1260" s="29">
        <v>-0.54382928909406303</v>
      </c>
      <c r="AY1260" s="29">
        <v>-0.38672618976353301</v>
      </c>
      <c r="AZ1260" s="60">
        <v>-0.42101975203520903</v>
      </c>
    </row>
    <row r="1261" spans="1:52" s="29" customFormat="1" ht="15" customHeight="1">
      <c r="A1261" s="59" t="s">
        <v>381</v>
      </c>
      <c r="B1261" s="27">
        <v>2009</v>
      </c>
      <c r="C1261" s="27" t="s">
        <v>378</v>
      </c>
      <c r="D1261" s="27" t="s">
        <v>81</v>
      </c>
      <c r="E1261" s="27" t="s">
        <v>19</v>
      </c>
      <c r="F1261" s="27" t="s">
        <v>1765</v>
      </c>
      <c r="G1261" s="43">
        <f>250*2.71</f>
        <v>677.5</v>
      </c>
      <c r="H1261" s="43"/>
      <c r="I1261" s="43"/>
      <c r="J1261" s="43"/>
      <c r="K1261" s="27" t="s">
        <v>567</v>
      </c>
      <c r="L1261" s="28">
        <v>15.01</v>
      </c>
      <c r="M1261" s="27" t="s">
        <v>568</v>
      </c>
      <c r="N1261" s="27" t="s">
        <v>1766</v>
      </c>
      <c r="O1261" s="18">
        <f>G1261*L1261</f>
        <v>10169.275</v>
      </c>
      <c r="P1261" s="214"/>
      <c r="Q1261" s="214"/>
      <c r="R1261" s="27"/>
      <c r="S1261" s="27"/>
      <c r="T1261" s="18"/>
      <c r="U1261" s="27"/>
      <c r="V1261" s="27"/>
      <c r="W1261" s="30"/>
      <c r="X1261" s="27"/>
      <c r="Y1261" s="27"/>
      <c r="Z1261" s="27"/>
      <c r="AA1261" s="27"/>
      <c r="AB1261" s="27"/>
      <c r="AC1261" s="273">
        <v>51049678.183363676</v>
      </c>
      <c r="AD1261" s="27">
        <v>10726631099.557865</v>
      </c>
      <c r="AE1261" s="228">
        <v>4.7591529632698814E-3</v>
      </c>
      <c r="AF1261" s="27">
        <v>2181474966.717083</v>
      </c>
      <c r="AG1261" s="226">
        <v>2.3401450377488722E-2</v>
      </c>
      <c r="AH1261" s="226" t="s">
        <v>2842</v>
      </c>
      <c r="AI1261" s="27">
        <v>2012400000</v>
      </c>
      <c r="AJ1261" s="226">
        <v>2.5367560218328204E-2</v>
      </c>
      <c r="AK1261" s="27">
        <v>298920331.49721837</v>
      </c>
      <c r="AL1261" s="226">
        <v>0.17078021400440849</v>
      </c>
      <c r="AM1261" s="27" t="s">
        <v>2842</v>
      </c>
      <c r="AN1261" s="271" t="s">
        <v>2842</v>
      </c>
      <c r="AO1261" s="27">
        <v>23361025</v>
      </c>
      <c r="AP1261" s="27">
        <v>54.7</v>
      </c>
      <c r="AQ1261" s="27">
        <v>48.799439024390246</v>
      </c>
      <c r="AR1261" s="27">
        <v>74.3</v>
      </c>
      <c r="AS1261" s="29" t="s">
        <v>2842</v>
      </c>
      <c r="AT1261" s="270">
        <v>31</v>
      </c>
      <c r="AU1261" s="464">
        <v>36.892105322543919</v>
      </c>
      <c r="AV1261" s="29">
        <v>-0.10593740605468201</v>
      </c>
      <c r="AW1261" s="29">
        <v>0.58954037409522198</v>
      </c>
      <c r="AX1261" s="29">
        <v>-0.54382928909406303</v>
      </c>
      <c r="AY1261" s="29">
        <v>-0.38672618976353301</v>
      </c>
      <c r="AZ1261" s="60">
        <v>-0.42101975203520903</v>
      </c>
    </row>
    <row r="1262" spans="1:52" s="29" customFormat="1" ht="15" customHeight="1">
      <c r="A1262" s="59" t="s">
        <v>381</v>
      </c>
      <c r="B1262" s="27">
        <v>2009</v>
      </c>
      <c r="C1262" s="27" t="s">
        <v>378</v>
      </c>
      <c r="D1262" s="27" t="s">
        <v>81</v>
      </c>
      <c r="E1262" s="27" t="s">
        <v>19</v>
      </c>
      <c r="F1262" s="27" t="s">
        <v>1744</v>
      </c>
      <c r="G1262" s="43"/>
      <c r="H1262" s="43"/>
      <c r="I1262" s="43"/>
      <c r="J1262" s="43"/>
      <c r="K1262" s="27"/>
      <c r="L1262" s="28"/>
      <c r="M1262" s="27"/>
      <c r="N1262" s="27"/>
      <c r="O1262" s="18">
        <f>SUM(O1263:O1265)</f>
        <v>53313900</v>
      </c>
      <c r="P1262" s="214">
        <v>3319897.2100290698</v>
      </c>
      <c r="Q1262" s="214">
        <v>3640703.5367005812</v>
      </c>
      <c r="R1262" s="27"/>
      <c r="S1262" s="27"/>
      <c r="T1262" s="18"/>
      <c r="U1262" s="27"/>
      <c r="V1262" s="27"/>
      <c r="W1262" s="30"/>
      <c r="X1262" s="27"/>
      <c r="Y1262" s="27"/>
      <c r="Z1262" s="27"/>
      <c r="AA1262" s="27" t="s">
        <v>1760</v>
      </c>
      <c r="AB1262" s="27"/>
      <c r="AC1262" s="273">
        <v>51049678.183363676</v>
      </c>
      <c r="AD1262" s="27">
        <v>10726631099.557865</v>
      </c>
      <c r="AE1262" s="228">
        <v>4.7591529632698814E-3</v>
      </c>
      <c r="AF1262" s="27">
        <v>2181474966.717083</v>
      </c>
      <c r="AG1262" s="226">
        <v>2.3401450377488722E-2</v>
      </c>
      <c r="AH1262" s="226" t="s">
        <v>2842</v>
      </c>
      <c r="AI1262" s="27">
        <v>2012400000</v>
      </c>
      <c r="AJ1262" s="226">
        <v>2.5367560218328204E-2</v>
      </c>
      <c r="AK1262" s="27">
        <v>298920331.49721837</v>
      </c>
      <c r="AL1262" s="226">
        <v>0.17078021400440849</v>
      </c>
      <c r="AM1262" s="27" t="s">
        <v>2842</v>
      </c>
      <c r="AN1262" s="271" t="s">
        <v>2842</v>
      </c>
      <c r="AO1262" s="27">
        <v>23361025</v>
      </c>
      <c r="AP1262" s="27">
        <v>54.7</v>
      </c>
      <c r="AQ1262" s="27">
        <v>48.799439024390246</v>
      </c>
      <c r="AR1262" s="27">
        <v>74.3</v>
      </c>
      <c r="AS1262" s="29" t="s">
        <v>2842</v>
      </c>
      <c r="AT1262" s="270">
        <v>31</v>
      </c>
      <c r="AU1262" s="464">
        <v>36.892105322543919</v>
      </c>
      <c r="AV1262" s="29">
        <v>-0.10593740605468201</v>
      </c>
      <c r="AW1262" s="29">
        <v>0.58954037409522198</v>
      </c>
      <c r="AX1262" s="29">
        <v>-0.54382928909406303</v>
      </c>
      <c r="AY1262" s="29">
        <v>-0.38672618976353301</v>
      </c>
      <c r="AZ1262" s="60">
        <v>-0.42101975203520903</v>
      </c>
    </row>
    <row r="1263" spans="1:52" s="29" customFormat="1" ht="15" customHeight="1">
      <c r="A1263" s="59" t="s">
        <v>381</v>
      </c>
      <c r="B1263" s="27">
        <v>2009</v>
      </c>
      <c r="C1263" s="27" t="s">
        <v>378</v>
      </c>
      <c r="D1263" s="27" t="s">
        <v>81</v>
      </c>
      <c r="E1263" s="27" t="s">
        <v>19</v>
      </c>
      <c r="F1263" s="27" t="s">
        <v>1746</v>
      </c>
      <c r="G1263" s="43">
        <v>471500</v>
      </c>
      <c r="H1263" s="43"/>
      <c r="I1263" s="43"/>
      <c r="J1263" s="43"/>
      <c r="K1263" s="27" t="s">
        <v>567</v>
      </c>
      <c r="L1263" s="28">
        <v>73</v>
      </c>
      <c r="M1263" s="27" t="s">
        <v>568</v>
      </c>
      <c r="N1263" s="27" t="s">
        <v>1546</v>
      </c>
      <c r="O1263" s="18">
        <f>G1263*L1263</f>
        <v>34419500</v>
      </c>
      <c r="P1263" s="214"/>
      <c r="Q1263" s="214"/>
      <c r="R1263" s="27"/>
      <c r="S1263" s="27"/>
      <c r="T1263" s="18"/>
      <c r="U1263" s="27"/>
      <c r="V1263" s="27"/>
      <c r="W1263" s="30"/>
      <c r="X1263" s="27"/>
      <c r="Y1263" s="27"/>
      <c r="Z1263" s="27"/>
      <c r="AA1263" s="27"/>
      <c r="AB1263" s="27"/>
      <c r="AC1263" s="273">
        <v>51049678.183363676</v>
      </c>
      <c r="AD1263" s="27">
        <v>10726631099.557865</v>
      </c>
      <c r="AE1263" s="228">
        <v>4.7591529632698814E-3</v>
      </c>
      <c r="AF1263" s="27">
        <v>2181474966.717083</v>
      </c>
      <c r="AG1263" s="226">
        <v>2.3401450377488722E-2</v>
      </c>
      <c r="AH1263" s="226" t="s">
        <v>2842</v>
      </c>
      <c r="AI1263" s="27">
        <v>2012400000</v>
      </c>
      <c r="AJ1263" s="226">
        <v>2.5367560218328204E-2</v>
      </c>
      <c r="AK1263" s="27">
        <v>298920331.49721837</v>
      </c>
      <c r="AL1263" s="226">
        <v>0.17078021400440849</v>
      </c>
      <c r="AM1263" s="27" t="s">
        <v>2842</v>
      </c>
      <c r="AN1263" s="271" t="s">
        <v>2842</v>
      </c>
      <c r="AO1263" s="27">
        <v>23361025</v>
      </c>
      <c r="AP1263" s="27">
        <v>54.7</v>
      </c>
      <c r="AQ1263" s="27">
        <v>48.799439024390246</v>
      </c>
      <c r="AR1263" s="27">
        <v>74.3</v>
      </c>
      <c r="AS1263" s="29" t="s">
        <v>2842</v>
      </c>
      <c r="AT1263" s="270">
        <v>31</v>
      </c>
      <c r="AU1263" s="464">
        <v>36.892105322543919</v>
      </c>
      <c r="AV1263" s="29">
        <v>-0.10593740605468201</v>
      </c>
      <c r="AW1263" s="29">
        <v>0.58954037409522198</v>
      </c>
      <c r="AX1263" s="29">
        <v>-0.54382928909406303</v>
      </c>
      <c r="AY1263" s="29">
        <v>-0.38672618976353301</v>
      </c>
      <c r="AZ1263" s="60">
        <v>-0.42101975203520903</v>
      </c>
    </row>
    <row r="1264" spans="1:52" s="29" customFormat="1" ht="15" customHeight="1">
      <c r="A1264" s="59" t="s">
        <v>381</v>
      </c>
      <c r="B1264" s="27">
        <v>2009</v>
      </c>
      <c r="C1264" s="27" t="s">
        <v>378</v>
      </c>
      <c r="D1264" s="27" t="s">
        <v>81</v>
      </c>
      <c r="E1264" s="27" t="s">
        <v>19</v>
      </c>
      <c r="F1264" s="27" t="s">
        <v>1747</v>
      </c>
      <c r="G1264" s="43">
        <v>1800</v>
      </c>
      <c r="H1264" s="43"/>
      <c r="I1264" s="43"/>
      <c r="J1264" s="43"/>
      <c r="K1264" s="27" t="s">
        <v>567</v>
      </c>
      <c r="L1264" s="28">
        <v>533</v>
      </c>
      <c r="M1264" s="27" t="s">
        <v>568</v>
      </c>
      <c r="N1264" s="27" t="s">
        <v>1748</v>
      </c>
      <c r="O1264" s="18">
        <f>G1264*L1264</f>
        <v>959400</v>
      </c>
      <c r="P1264" s="214"/>
      <c r="Q1264" s="214"/>
      <c r="R1264" s="27"/>
      <c r="S1264" s="27"/>
      <c r="T1264" s="18"/>
      <c r="U1264" s="27"/>
      <c r="V1264" s="27"/>
      <c r="W1264" s="30"/>
      <c r="X1264" s="27"/>
      <c r="Y1264" s="27"/>
      <c r="Z1264" s="27"/>
      <c r="AA1264" s="27"/>
      <c r="AB1264" s="27"/>
      <c r="AC1264" s="273">
        <v>51049678.183363676</v>
      </c>
      <c r="AD1264" s="27">
        <v>10726631099.557865</v>
      </c>
      <c r="AE1264" s="228">
        <v>4.7591529632698814E-3</v>
      </c>
      <c r="AF1264" s="27">
        <v>2181474966.717083</v>
      </c>
      <c r="AG1264" s="226">
        <v>2.3401450377488722E-2</v>
      </c>
      <c r="AH1264" s="226" t="s">
        <v>2842</v>
      </c>
      <c r="AI1264" s="27">
        <v>2012400000</v>
      </c>
      <c r="AJ1264" s="226">
        <v>2.5367560218328204E-2</v>
      </c>
      <c r="AK1264" s="27">
        <v>298920331.49721837</v>
      </c>
      <c r="AL1264" s="226">
        <v>0.17078021400440849</v>
      </c>
      <c r="AM1264" s="27" t="s">
        <v>2842</v>
      </c>
      <c r="AN1264" s="271" t="s">
        <v>2842</v>
      </c>
      <c r="AO1264" s="27">
        <v>23361025</v>
      </c>
      <c r="AP1264" s="27">
        <v>54.7</v>
      </c>
      <c r="AQ1264" s="27">
        <v>48.799439024390246</v>
      </c>
      <c r="AR1264" s="27">
        <v>74.3</v>
      </c>
      <c r="AS1264" s="29" t="s">
        <v>2842</v>
      </c>
      <c r="AT1264" s="270">
        <v>31</v>
      </c>
      <c r="AU1264" s="464">
        <v>36.892105322543919</v>
      </c>
      <c r="AV1264" s="29">
        <v>-0.10593740605468201</v>
      </c>
      <c r="AW1264" s="29">
        <v>0.58954037409522198</v>
      </c>
      <c r="AX1264" s="29">
        <v>-0.54382928909406303</v>
      </c>
      <c r="AY1264" s="29">
        <v>-0.38672618976353301</v>
      </c>
      <c r="AZ1264" s="60">
        <v>-0.42101975203520903</v>
      </c>
    </row>
    <row r="1265" spans="1:52" s="29" customFormat="1" ht="15" customHeight="1">
      <c r="A1265" s="59" t="s">
        <v>381</v>
      </c>
      <c r="B1265" s="27">
        <v>2009</v>
      </c>
      <c r="C1265" s="27" t="s">
        <v>378</v>
      </c>
      <c r="D1265" s="27" t="s">
        <v>81</v>
      </c>
      <c r="E1265" s="27" t="s">
        <v>19</v>
      </c>
      <c r="F1265" s="27" t="s">
        <v>1749</v>
      </c>
      <c r="G1265" s="43">
        <v>21100</v>
      </c>
      <c r="H1265" s="43"/>
      <c r="I1265" s="43"/>
      <c r="J1265" s="43"/>
      <c r="K1265" s="27" t="s">
        <v>567</v>
      </c>
      <c r="L1265" s="28">
        <v>850</v>
      </c>
      <c r="M1265" s="27" t="s">
        <v>568</v>
      </c>
      <c r="N1265" s="27" t="s">
        <v>1750</v>
      </c>
      <c r="O1265" s="18">
        <f>G1265*L1265</f>
        <v>17935000</v>
      </c>
      <c r="P1265" s="214"/>
      <c r="Q1265" s="214"/>
      <c r="R1265" s="27"/>
      <c r="S1265" s="27"/>
      <c r="T1265" s="18"/>
      <c r="U1265" s="27"/>
      <c r="V1265" s="27"/>
      <c r="W1265" s="30"/>
      <c r="X1265" s="27"/>
      <c r="Y1265" s="27"/>
      <c r="Z1265" s="27"/>
      <c r="AA1265" s="27"/>
      <c r="AB1265" s="27"/>
      <c r="AC1265" s="273">
        <v>51049678.183363676</v>
      </c>
      <c r="AD1265" s="27">
        <v>10726631099.557865</v>
      </c>
      <c r="AE1265" s="228">
        <v>4.7591529632698814E-3</v>
      </c>
      <c r="AF1265" s="27">
        <v>2181474966.717083</v>
      </c>
      <c r="AG1265" s="226">
        <v>2.3401450377488722E-2</v>
      </c>
      <c r="AH1265" s="226" t="s">
        <v>2842</v>
      </c>
      <c r="AI1265" s="27">
        <v>2012400000</v>
      </c>
      <c r="AJ1265" s="226">
        <v>2.5367560218328204E-2</v>
      </c>
      <c r="AK1265" s="27">
        <v>298920331.49721837</v>
      </c>
      <c r="AL1265" s="226">
        <v>0.17078021400440849</v>
      </c>
      <c r="AM1265" s="27" t="s">
        <v>2842</v>
      </c>
      <c r="AN1265" s="271" t="s">
        <v>2842</v>
      </c>
      <c r="AO1265" s="27">
        <v>23361025</v>
      </c>
      <c r="AP1265" s="27">
        <v>54.7</v>
      </c>
      <c r="AQ1265" s="27">
        <v>48.799439024390246</v>
      </c>
      <c r="AR1265" s="27">
        <v>74.3</v>
      </c>
      <c r="AS1265" s="29" t="s">
        <v>2842</v>
      </c>
      <c r="AT1265" s="270">
        <v>31</v>
      </c>
      <c r="AU1265" s="464">
        <v>36.892105322543919</v>
      </c>
      <c r="AV1265" s="29">
        <v>-0.10593740605468201</v>
      </c>
      <c r="AW1265" s="29">
        <v>0.58954037409522198</v>
      </c>
      <c r="AX1265" s="29">
        <v>-0.54382928909406303</v>
      </c>
      <c r="AY1265" s="29">
        <v>-0.38672618976353301</v>
      </c>
      <c r="AZ1265" s="60">
        <v>-0.42101975203520903</v>
      </c>
    </row>
    <row r="1266" spans="1:52" s="287" customFormat="1" ht="15" customHeight="1">
      <c r="A1266" s="344" t="s">
        <v>381</v>
      </c>
      <c r="B1266" s="284">
        <v>2009</v>
      </c>
      <c r="C1266" s="284" t="s">
        <v>378</v>
      </c>
      <c r="D1266" s="284" t="s">
        <v>81</v>
      </c>
      <c r="E1266" s="284" t="s">
        <v>19</v>
      </c>
      <c r="F1266" s="284" t="s">
        <v>1353</v>
      </c>
      <c r="G1266" s="303"/>
      <c r="H1266" s="303"/>
      <c r="I1266" s="303"/>
      <c r="J1266" s="303"/>
      <c r="K1266" s="284"/>
      <c r="L1266" s="304"/>
      <c r="M1266" s="284"/>
      <c r="N1266" s="284"/>
      <c r="O1266" s="305"/>
      <c r="P1266" s="346">
        <v>142436.74091569768</v>
      </c>
      <c r="Q1266" s="346">
        <v>148025.52398255814</v>
      </c>
      <c r="R1266" s="284"/>
      <c r="S1266" s="284"/>
      <c r="T1266" s="305"/>
      <c r="U1266" s="284"/>
      <c r="V1266" s="284"/>
      <c r="W1266" s="307"/>
      <c r="X1266" s="284"/>
      <c r="Y1266" s="284"/>
      <c r="Z1266" s="284"/>
      <c r="AA1266" s="284">
        <v>8</v>
      </c>
      <c r="AB1266" s="284" t="s">
        <v>1678</v>
      </c>
      <c r="AC1266" s="308">
        <v>51049678.183363676</v>
      </c>
      <c r="AD1266" s="284">
        <v>10726631099.557865</v>
      </c>
      <c r="AE1266" s="309">
        <v>4.7591529632698814E-3</v>
      </c>
      <c r="AF1266" s="284">
        <v>2181474966.717083</v>
      </c>
      <c r="AG1266" s="310">
        <v>2.3401450377488722E-2</v>
      </c>
      <c r="AH1266" s="310" t="s">
        <v>2842</v>
      </c>
      <c r="AI1266" s="284">
        <v>2012400000</v>
      </c>
      <c r="AJ1266" s="310">
        <v>2.5367560218328204E-2</v>
      </c>
      <c r="AK1266" s="284">
        <v>298920331.49721837</v>
      </c>
      <c r="AL1266" s="310">
        <v>0.17078021400440849</v>
      </c>
      <c r="AM1266" s="284" t="s">
        <v>2842</v>
      </c>
      <c r="AN1266" s="311" t="s">
        <v>2842</v>
      </c>
      <c r="AO1266" s="284">
        <v>23361025</v>
      </c>
      <c r="AP1266" s="284">
        <v>54.7</v>
      </c>
      <c r="AQ1266" s="284">
        <v>48.799439024390246</v>
      </c>
      <c r="AR1266" s="284">
        <v>74.3</v>
      </c>
      <c r="AS1266" s="287" t="s">
        <v>2842</v>
      </c>
      <c r="AT1266" s="312">
        <v>31</v>
      </c>
      <c r="AU1266" s="465">
        <v>36.892105322543919</v>
      </c>
      <c r="AV1266" s="287">
        <v>-0.10593740605468201</v>
      </c>
      <c r="AW1266" s="287">
        <v>0.58954037409522198</v>
      </c>
      <c r="AX1266" s="287">
        <v>-0.54382928909406303</v>
      </c>
      <c r="AY1266" s="287">
        <v>-0.38672618976353301</v>
      </c>
      <c r="AZ1266" s="313">
        <v>-0.42101975203520903</v>
      </c>
    </row>
    <row r="1267" spans="1:52" ht="15" customHeight="1">
      <c r="A1267" s="59" t="s">
        <v>384</v>
      </c>
      <c r="B1267" s="27">
        <v>2010</v>
      </c>
      <c r="C1267" s="27" t="s">
        <v>378</v>
      </c>
      <c r="D1267" s="27" t="s">
        <v>81</v>
      </c>
      <c r="E1267" s="27" t="s">
        <v>30</v>
      </c>
      <c r="F1267" s="27" t="s">
        <v>659</v>
      </c>
      <c r="G1267" s="43"/>
      <c r="H1267" s="43"/>
      <c r="I1267" s="43"/>
      <c r="J1267" s="43"/>
      <c r="K1267" s="27"/>
      <c r="L1267" s="28"/>
      <c r="M1267" s="27"/>
      <c r="N1267" s="27"/>
      <c r="O1267" s="18">
        <f>O1268+O1269</f>
        <v>648334336.97330093</v>
      </c>
      <c r="P1267" s="214">
        <f>56767512.4531802+T1267</f>
        <v>71555872.336879551</v>
      </c>
      <c r="Q1267" s="214">
        <v>56324644.57037691</v>
      </c>
      <c r="R1267" s="27" t="s">
        <v>3745</v>
      </c>
      <c r="S1267" s="27" t="s">
        <v>1767</v>
      </c>
      <c r="T1267" s="18">
        <v>14788359.88369935</v>
      </c>
      <c r="U1267" s="27" t="s">
        <v>590</v>
      </c>
      <c r="V1267" s="27" t="s">
        <v>1731</v>
      </c>
      <c r="W1267" s="30">
        <v>33.96</v>
      </c>
      <c r="X1267" s="27">
        <v>46</v>
      </c>
      <c r="Y1267" s="27" t="s">
        <v>1768</v>
      </c>
      <c r="Z1267" s="27">
        <v>44</v>
      </c>
      <c r="AA1267" s="27" t="s">
        <v>1769</v>
      </c>
      <c r="AB1267" s="27" t="s">
        <v>1770</v>
      </c>
      <c r="AC1267" s="273">
        <v>71555872.336879551</v>
      </c>
      <c r="AD1267" s="27">
        <v>10165353591.167343</v>
      </c>
      <c r="AE1267" s="228">
        <v>7.0391916715080447E-3</v>
      </c>
      <c r="AF1267" s="27">
        <v>2045269142.5428693</v>
      </c>
      <c r="AG1267" s="226">
        <v>3.4986042104910756E-2</v>
      </c>
      <c r="AH1267" s="226" t="s">
        <v>2842</v>
      </c>
      <c r="AI1267" s="27">
        <v>1951530000</v>
      </c>
      <c r="AJ1267" s="226">
        <v>3.6666550007880765E-2</v>
      </c>
      <c r="AK1267" s="27">
        <v>334744378.54732281</v>
      </c>
      <c r="AL1267" s="226">
        <v>0.21376273037775209</v>
      </c>
      <c r="AM1267" s="27" t="s">
        <v>2842</v>
      </c>
      <c r="AN1267" s="271" t="s">
        <v>2842</v>
      </c>
      <c r="AO1267" s="27">
        <v>23967265</v>
      </c>
      <c r="AP1267" s="27" t="s">
        <v>2842</v>
      </c>
      <c r="AQ1267" s="27">
        <v>49.137073170731711</v>
      </c>
      <c r="AR1267" s="27">
        <v>71.8</v>
      </c>
      <c r="AS1267" s="29" t="s">
        <v>2842</v>
      </c>
      <c r="AT1267" s="270">
        <v>31</v>
      </c>
      <c r="AU1267" s="464">
        <v>36.892105322543919</v>
      </c>
      <c r="AV1267" s="29">
        <v>-0.111384166086251</v>
      </c>
      <c r="AW1267" s="29">
        <v>0.34378680262892802</v>
      </c>
      <c r="AX1267" s="29">
        <v>-0.57351784283132501</v>
      </c>
      <c r="AY1267" s="29">
        <v>-0.390747852895661</v>
      </c>
      <c r="AZ1267" s="60">
        <v>-0.42918214861182602</v>
      </c>
    </row>
    <row r="1268" spans="1:52" ht="15" customHeight="1">
      <c r="A1268" s="59" t="s">
        <v>384</v>
      </c>
      <c r="B1268" s="27">
        <v>2010</v>
      </c>
      <c r="C1268" s="27" t="s">
        <v>378</v>
      </c>
      <c r="D1268" s="27" t="s">
        <v>81</v>
      </c>
      <c r="E1268" s="27" t="s">
        <v>50</v>
      </c>
      <c r="F1268" s="27" t="s">
        <v>597</v>
      </c>
      <c r="G1268" s="43">
        <f>110000000000*0.0283168</f>
        <v>3114848000</v>
      </c>
      <c r="H1268" s="43"/>
      <c r="I1268" s="43"/>
      <c r="J1268" s="43"/>
      <c r="K1268" s="27" t="s">
        <v>599</v>
      </c>
      <c r="L1268" s="28">
        <v>0.1741077336927683</v>
      </c>
      <c r="M1268" s="27" t="s">
        <v>600</v>
      </c>
      <c r="N1268" s="27" t="s">
        <v>816</v>
      </c>
      <c r="O1268" s="18">
        <f>G1268*L1268</f>
        <v>542319126.07745194</v>
      </c>
      <c r="P1268" s="214">
        <f>39424455.0683157+T1268</f>
        <v>54212814.95201505</v>
      </c>
      <c r="Q1268" s="214">
        <v>39414082.765606597</v>
      </c>
      <c r="R1268" s="27"/>
      <c r="S1268" s="27" t="s">
        <v>1767</v>
      </c>
      <c r="T1268" s="18">
        <v>14788359.88369935</v>
      </c>
      <c r="U1268" s="27"/>
      <c r="V1268" s="27"/>
      <c r="W1268" s="30"/>
      <c r="X1268" s="27">
        <v>12</v>
      </c>
      <c r="Y1268" s="27" t="s">
        <v>1771</v>
      </c>
      <c r="Z1268" s="27">
        <v>12</v>
      </c>
      <c r="AA1268" s="27" t="s">
        <v>1769</v>
      </c>
      <c r="AB1268" s="27"/>
      <c r="AC1268" s="273">
        <v>71555872.336879551</v>
      </c>
      <c r="AD1268" s="27">
        <v>10165353591.167343</v>
      </c>
      <c r="AE1268" s="228">
        <v>7.0391916715080447E-3</v>
      </c>
      <c r="AF1268" s="27">
        <v>2045269142.5428693</v>
      </c>
      <c r="AG1268" s="226">
        <v>3.4986042104910756E-2</v>
      </c>
      <c r="AH1268" s="226" t="s">
        <v>2842</v>
      </c>
      <c r="AI1268" s="27">
        <v>1951530000</v>
      </c>
      <c r="AJ1268" s="226">
        <v>3.6666550007880765E-2</v>
      </c>
      <c r="AK1268" s="27">
        <v>334744378.54732281</v>
      </c>
      <c r="AL1268" s="226">
        <v>0.21376273037775209</v>
      </c>
      <c r="AM1268" s="27" t="s">
        <v>2842</v>
      </c>
      <c r="AN1268" s="271" t="s">
        <v>2842</v>
      </c>
      <c r="AO1268" s="27">
        <v>23967265</v>
      </c>
      <c r="AP1268" s="27" t="s">
        <v>2842</v>
      </c>
      <c r="AQ1268" s="27">
        <v>49.137073170731711</v>
      </c>
      <c r="AR1268" s="27">
        <v>71.8</v>
      </c>
      <c r="AS1268" s="29" t="s">
        <v>2842</v>
      </c>
      <c r="AT1268" s="270">
        <v>31</v>
      </c>
      <c r="AU1268" s="464">
        <v>36.892105322543919</v>
      </c>
      <c r="AV1268" s="29">
        <v>-0.111384166086251</v>
      </c>
      <c r="AW1268" s="29">
        <v>0.34378680262892802</v>
      </c>
      <c r="AX1268" s="29">
        <v>-0.57351784283132501</v>
      </c>
      <c r="AY1268" s="29">
        <v>-0.390747852895661</v>
      </c>
      <c r="AZ1268" s="60">
        <v>-0.42918214861182602</v>
      </c>
    </row>
    <row r="1269" spans="1:52" ht="15" customHeight="1">
      <c r="A1269" s="59" t="s">
        <v>384</v>
      </c>
      <c r="B1269" s="27">
        <v>2010</v>
      </c>
      <c r="C1269" s="27" t="s">
        <v>378</v>
      </c>
      <c r="D1269" s="27" t="s">
        <v>81</v>
      </c>
      <c r="E1269" s="27" t="s">
        <v>19</v>
      </c>
      <c r="F1269" s="27" t="s">
        <v>559</v>
      </c>
      <c r="G1269" s="43"/>
      <c r="H1269" s="43"/>
      <c r="I1269" s="43"/>
      <c r="J1269" s="43"/>
      <c r="K1269" s="27"/>
      <c r="L1269" s="28"/>
      <c r="M1269" s="27"/>
      <c r="N1269" s="27"/>
      <c r="O1269" s="18">
        <f>SUM(O1270:O1280)</f>
        <v>106015210.89584905</v>
      </c>
      <c r="P1269" s="214">
        <v>17343057.384864546</v>
      </c>
      <c r="Q1269" s="214">
        <v>16910561.804770317</v>
      </c>
      <c r="R1269" s="27"/>
      <c r="S1269" s="27"/>
      <c r="T1269" s="18"/>
      <c r="U1269" s="27"/>
      <c r="V1269" s="27"/>
      <c r="W1269" s="30"/>
      <c r="X1269" s="27">
        <v>34</v>
      </c>
      <c r="Y1269" s="27" t="s">
        <v>1772</v>
      </c>
      <c r="Z1269" s="27">
        <v>32</v>
      </c>
      <c r="AA1269" s="27" t="s">
        <v>1769</v>
      </c>
      <c r="AB1269" s="27"/>
      <c r="AC1269" s="273">
        <v>71555872.336879551</v>
      </c>
      <c r="AD1269" s="27">
        <v>10165353591.167343</v>
      </c>
      <c r="AE1269" s="228">
        <v>7.0391916715080447E-3</v>
      </c>
      <c r="AF1269" s="27">
        <v>2045269142.5428693</v>
      </c>
      <c r="AG1269" s="226">
        <v>3.4986042104910756E-2</v>
      </c>
      <c r="AH1269" s="226" t="s">
        <v>2842</v>
      </c>
      <c r="AI1269" s="27">
        <v>1951530000</v>
      </c>
      <c r="AJ1269" s="226">
        <v>3.6666550007880765E-2</v>
      </c>
      <c r="AK1269" s="27">
        <v>334744378.54732281</v>
      </c>
      <c r="AL1269" s="226">
        <v>0.21376273037775209</v>
      </c>
      <c r="AM1269" s="27" t="s">
        <v>2842</v>
      </c>
      <c r="AN1269" s="271" t="s">
        <v>2842</v>
      </c>
      <c r="AO1269" s="27">
        <v>23967265</v>
      </c>
      <c r="AP1269" s="27" t="s">
        <v>2842</v>
      </c>
      <c r="AQ1269" s="27">
        <v>49.137073170731711</v>
      </c>
      <c r="AR1269" s="27">
        <v>71.8</v>
      </c>
      <c r="AS1269" s="29" t="s">
        <v>2842</v>
      </c>
      <c r="AT1269" s="270">
        <v>31</v>
      </c>
      <c r="AU1269" s="464">
        <v>36.892105322543919</v>
      </c>
      <c r="AV1269" s="29">
        <v>-0.111384166086251</v>
      </c>
      <c r="AW1269" s="29">
        <v>0.34378680262892802</v>
      </c>
      <c r="AX1269" s="29">
        <v>-0.57351784283132501</v>
      </c>
      <c r="AY1269" s="29">
        <v>-0.390747852895661</v>
      </c>
      <c r="AZ1269" s="60">
        <v>-0.42918214861182602</v>
      </c>
    </row>
    <row r="1270" spans="1:52" ht="15" customHeight="1">
      <c r="A1270" s="59" t="s">
        <v>384</v>
      </c>
      <c r="B1270" s="27">
        <v>2010</v>
      </c>
      <c r="C1270" s="27" t="s">
        <v>378</v>
      </c>
      <c r="D1270" s="27" t="s">
        <v>81</v>
      </c>
      <c r="E1270" s="27" t="s">
        <v>19</v>
      </c>
      <c r="F1270" s="27" t="s">
        <v>573</v>
      </c>
      <c r="G1270" s="43">
        <f>42000*0.90718474</f>
        <v>38101.759080000003</v>
      </c>
      <c r="H1270" s="43"/>
      <c r="I1270" s="43"/>
      <c r="J1270" s="43"/>
      <c r="K1270" s="27" t="s">
        <v>567</v>
      </c>
      <c r="L1270" s="28">
        <v>89.852021850427363</v>
      </c>
      <c r="M1270" s="27" t="s">
        <v>568</v>
      </c>
      <c r="N1270" s="27" t="s">
        <v>1740</v>
      </c>
      <c r="O1270" s="18">
        <f>G1270*L1270</f>
        <v>3423520.0893958793</v>
      </c>
      <c r="P1270" s="214"/>
      <c r="Q1270" s="214"/>
      <c r="R1270" s="27"/>
      <c r="S1270" s="27"/>
      <c r="T1270" s="18"/>
      <c r="U1270" s="27"/>
      <c r="V1270" s="27"/>
      <c r="W1270" s="30"/>
      <c r="X1270" s="27"/>
      <c r="Y1270" s="27"/>
      <c r="Z1270" s="27"/>
      <c r="AA1270" s="27"/>
      <c r="AB1270" s="27"/>
      <c r="AC1270" s="273">
        <v>71555872.336879551</v>
      </c>
      <c r="AD1270" s="27">
        <v>10165353591.167343</v>
      </c>
      <c r="AE1270" s="228">
        <v>7.0391916715080447E-3</v>
      </c>
      <c r="AF1270" s="27">
        <v>2045269142.5428693</v>
      </c>
      <c r="AG1270" s="226">
        <v>3.4986042104910756E-2</v>
      </c>
      <c r="AH1270" s="226" t="s">
        <v>2842</v>
      </c>
      <c r="AI1270" s="27">
        <v>1951530000</v>
      </c>
      <c r="AJ1270" s="226">
        <v>3.6666550007880765E-2</v>
      </c>
      <c r="AK1270" s="27">
        <v>334744378.54732281</v>
      </c>
      <c r="AL1270" s="226">
        <v>0.21376273037775209</v>
      </c>
      <c r="AM1270" s="27" t="s">
        <v>2842</v>
      </c>
      <c r="AN1270" s="271" t="s">
        <v>2842</v>
      </c>
      <c r="AO1270" s="27">
        <v>23967265</v>
      </c>
      <c r="AP1270" s="27" t="s">
        <v>2842</v>
      </c>
      <c r="AQ1270" s="27">
        <v>49.137073170731711</v>
      </c>
      <c r="AR1270" s="27">
        <v>71.8</v>
      </c>
      <c r="AS1270" s="29" t="s">
        <v>2842</v>
      </c>
      <c r="AT1270" s="270">
        <v>31</v>
      </c>
      <c r="AU1270" s="464">
        <v>36.892105322543919</v>
      </c>
      <c r="AV1270" s="29">
        <v>-0.111384166086251</v>
      </c>
      <c r="AW1270" s="29">
        <v>0.34378680262892802</v>
      </c>
      <c r="AX1270" s="29">
        <v>-0.57351784283132501</v>
      </c>
      <c r="AY1270" s="29">
        <v>-0.390747852895661</v>
      </c>
      <c r="AZ1270" s="60">
        <v>-0.42918214861182602</v>
      </c>
    </row>
    <row r="1271" spans="1:52" ht="15" customHeight="1">
      <c r="A1271" s="59" t="s">
        <v>384</v>
      </c>
      <c r="B1271" s="27">
        <v>2010</v>
      </c>
      <c r="C1271" s="27" t="s">
        <v>378</v>
      </c>
      <c r="D1271" s="27" t="s">
        <v>81</v>
      </c>
      <c r="E1271" s="27" t="s">
        <v>19</v>
      </c>
      <c r="F1271" s="27" t="s">
        <v>981</v>
      </c>
      <c r="G1271" s="43"/>
      <c r="H1271" s="43"/>
      <c r="I1271" s="43"/>
      <c r="J1271" s="43"/>
      <c r="K1271" s="27"/>
      <c r="L1271" s="28"/>
      <c r="M1271" s="27"/>
      <c r="N1271" s="27"/>
      <c r="O1271" s="18"/>
      <c r="P1271" s="214"/>
      <c r="Q1271" s="214"/>
      <c r="R1271" s="27"/>
      <c r="S1271" s="27"/>
      <c r="T1271" s="18"/>
      <c r="U1271" s="27"/>
      <c r="V1271" s="27"/>
      <c r="W1271" s="30"/>
      <c r="X1271" s="27"/>
      <c r="Y1271" s="27"/>
      <c r="Z1271" s="27"/>
      <c r="AA1271" s="27"/>
      <c r="AB1271" s="27"/>
      <c r="AC1271" s="273">
        <v>71555872.336879551</v>
      </c>
      <c r="AD1271" s="27">
        <v>10165353591.167343</v>
      </c>
      <c r="AE1271" s="228">
        <v>7.0391916715080447E-3</v>
      </c>
      <c r="AF1271" s="27">
        <v>2045269142.5428693</v>
      </c>
      <c r="AG1271" s="226">
        <v>3.4986042104910756E-2</v>
      </c>
      <c r="AH1271" s="226" t="s">
        <v>2842</v>
      </c>
      <c r="AI1271" s="27">
        <v>1951530000</v>
      </c>
      <c r="AJ1271" s="226">
        <v>3.6666550007880765E-2</v>
      </c>
      <c r="AK1271" s="27">
        <v>334744378.54732281</v>
      </c>
      <c r="AL1271" s="226">
        <v>0.21376273037775209</v>
      </c>
      <c r="AM1271" s="27" t="s">
        <v>2842</v>
      </c>
      <c r="AN1271" s="271" t="s">
        <v>2842</v>
      </c>
      <c r="AO1271" s="27">
        <v>23967265</v>
      </c>
      <c r="AP1271" s="27" t="s">
        <v>2842</v>
      </c>
      <c r="AQ1271" s="27">
        <v>49.137073170731711</v>
      </c>
      <c r="AR1271" s="27">
        <v>71.8</v>
      </c>
      <c r="AS1271" s="29" t="s">
        <v>2842</v>
      </c>
      <c r="AT1271" s="270">
        <v>31</v>
      </c>
      <c r="AU1271" s="464">
        <v>36.892105322543919</v>
      </c>
      <c r="AV1271" s="29">
        <v>-0.111384166086251</v>
      </c>
      <c r="AW1271" s="29">
        <v>0.34378680262892802</v>
      </c>
      <c r="AX1271" s="29">
        <v>-0.57351784283132501</v>
      </c>
      <c r="AY1271" s="29">
        <v>-0.390747852895661</v>
      </c>
      <c r="AZ1271" s="60">
        <v>-0.42918214861182602</v>
      </c>
    </row>
    <row r="1272" spans="1:52" ht="15" customHeight="1">
      <c r="A1272" s="59" t="s">
        <v>384</v>
      </c>
      <c r="B1272" s="27">
        <v>2010</v>
      </c>
      <c r="C1272" s="27" t="s">
        <v>378</v>
      </c>
      <c r="D1272" s="27" t="s">
        <v>81</v>
      </c>
      <c r="E1272" s="27" t="s">
        <v>19</v>
      </c>
      <c r="F1272" s="27" t="s">
        <v>982</v>
      </c>
      <c r="G1272" s="43">
        <v>55054</v>
      </c>
      <c r="H1272" s="43"/>
      <c r="I1272" s="43"/>
      <c r="J1272" s="43"/>
      <c r="K1272" s="27" t="s">
        <v>894</v>
      </c>
      <c r="L1272" s="28"/>
      <c r="M1272" s="27"/>
      <c r="N1272" s="27" t="s">
        <v>636</v>
      </c>
      <c r="O1272" s="18"/>
      <c r="P1272" s="214"/>
      <c r="Q1272" s="214"/>
      <c r="R1272" s="27"/>
      <c r="S1272" s="27"/>
      <c r="T1272" s="18"/>
      <c r="U1272" s="27"/>
      <c r="V1272" s="27"/>
      <c r="W1272" s="30"/>
      <c r="X1272" s="27"/>
      <c r="Y1272" s="27"/>
      <c r="Z1272" s="27"/>
      <c r="AA1272" s="27"/>
      <c r="AB1272" s="27"/>
      <c r="AC1272" s="273">
        <v>71555872.336879551</v>
      </c>
      <c r="AD1272" s="27">
        <v>10165353591.167343</v>
      </c>
      <c r="AE1272" s="228">
        <v>7.0391916715080447E-3</v>
      </c>
      <c r="AF1272" s="27">
        <v>2045269142.5428693</v>
      </c>
      <c r="AG1272" s="226">
        <v>3.4986042104910756E-2</v>
      </c>
      <c r="AH1272" s="226" t="s">
        <v>2842</v>
      </c>
      <c r="AI1272" s="27">
        <v>1951530000</v>
      </c>
      <c r="AJ1272" s="226">
        <v>3.6666550007880765E-2</v>
      </c>
      <c r="AK1272" s="27">
        <v>334744378.54732281</v>
      </c>
      <c r="AL1272" s="226">
        <v>0.21376273037775209</v>
      </c>
      <c r="AM1272" s="27" t="s">
        <v>2842</v>
      </c>
      <c r="AN1272" s="271" t="s">
        <v>2842</v>
      </c>
      <c r="AO1272" s="27">
        <v>23967265</v>
      </c>
      <c r="AP1272" s="27" t="s">
        <v>2842</v>
      </c>
      <c r="AQ1272" s="27">
        <v>49.137073170731711</v>
      </c>
      <c r="AR1272" s="27">
        <v>71.8</v>
      </c>
      <c r="AS1272" s="29" t="s">
        <v>2842</v>
      </c>
      <c r="AT1272" s="270">
        <v>31</v>
      </c>
      <c r="AU1272" s="464">
        <v>36.892105322543919</v>
      </c>
      <c r="AV1272" s="29">
        <v>-0.111384166086251</v>
      </c>
      <c r="AW1272" s="29">
        <v>0.34378680262892802</v>
      </c>
      <c r="AX1272" s="29">
        <v>-0.57351784283132501</v>
      </c>
      <c r="AY1272" s="29">
        <v>-0.390747852895661</v>
      </c>
      <c r="AZ1272" s="60">
        <v>-0.42918214861182602</v>
      </c>
    </row>
    <row r="1273" spans="1:52" ht="15" customHeight="1">
      <c r="A1273" s="59" t="s">
        <v>384</v>
      </c>
      <c r="B1273" s="27">
        <v>2010</v>
      </c>
      <c r="C1273" s="27" t="s">
        <v>378</v>
      </c>
      <c r="D1273" s="27" t="s">
        <v>81</v>
      </c>
      <c r="E1273" s="27" t="s">
        <v>19</v>
      </c>
      <c r="F1273" s="27" t="s">
        <v>983</v>
      </c>
      <c r="G1273" s="43">
        <v>3.9</v>
      </c>
      <c r="H1273" s="43"/>
      <c r="I1273" s="43"/>
      <c r="J1273" s="43"/>
      <c r="K1273" s="27" t="s">
        <v>567</v>
      </c>
      <c r="L1273" s="28">
        <v>37781</v>
      </c>
      <c r="M1273" s="27" t="s">
        <v>568</v>
      </c>
      <c r="N1273" s="27" t="s">
        <v>1007</v>
      </c>
      <c r="O1273" s="18">
        <f t="shared" ref="O1273:O1280" si="22">G1273*L1273</f>
        <v>147345.9</v>
      </c>
      <c r="P1273" s="214"/>
      <c r="Q1273" s="214"/>
      <c r="R1273" s="27"/>
      <c r="S1273" s="27"/>
      <c r="T1273" s="18"/>
      <c r="U1273" s="27"/>
      <c r="V1273" s="27"/>
      <c r="W1273" s="30"/>
      <c r="X1273" s="27"/>
      <c r="Y1273" s="27"/>
      <c r="Z1273" s="27"/>
      <c r="AA1273" s="27"/>
      <c r="AB1273" s="27"/>
      <c r="AC1273" s="273">
        <v>71555872.336879551</v>
      </c>
      <c r="AD1273" s="27">
        <v>10165353591.167343</v>
      </c>
      <c r="AE1273" s="228">
        <v>7.0391916715080447E-3</v>
      </c>
      <c r="AF1273" s="27">
        <v>2045269142.5428693</v>
      </c>
      <c r="AG1273" s="226">
        <v>3.4986042104910756E-2</v>
      </c>
      <c r="AH1273" s="226" t="s">
        <v>2842</v>
      </c>
      <c r="AI1273" s="27">
        <v>1951530000</v>
      </c>
      <c r="AJ1273" s="226">
        <v>3.6666550007880765E-2</v>
      </c>
      <c r="AK1273" s="27">
        <v>334744378.54732281</v>
      </c>
      <c r="AL1273" s="226">
        <v>0.21376273037775209</v>
      </c>
      <c r="AM1273" s="27" t="s">
        <v>2842</v>
      </c>
      <c r="AN1273" s="271" t="s">
        <v>2842</v>
      </c>
      <c r="AO1273" s="27">
        <v>23967265</v>
      </c>
      <c r="AP1273" s="27" t="s">
        <v>2842</v>
      </c>
      <c r="AQ1273" s="27">
        <v>49.137073170731711</v>
      </c>
      <c r="AR1273" s="27">
        <v>71.8</v>
      </c>
      <c r="AS1273" s="29" t="s">
        <v>2842</v>
      </c>
      <c r="AT1273" s="270">
        <v>31</v>
      </c>
      <c r="AU1273" s="464">
        <v>36.892105322543919</v>
      </c>
      <c r="AV1273" s="29">
        <v>-0.111384166086251</v>
      </c>
      <c r="AW1273" s="29">
        <v>0.34378680262892802</v>
      </c>
      <c r="AX1273" s="29">
        <v>-0.57351784283132501</v>
      </c>
      <c r="AY1273" s="29">
        <v>-0.390747852895661</v>
      </c>
      <c r="AZ1273" s="60">
        <v>-0.42918214861182602</v>
      </c>
    </row>
    <row r="1274" spans="1:52" ht="15" customHeight="1">
      <c r="A1274" s="59" t="s">
        <v>384</v>
      </c>
      <c r="B1274" s="27">
        <v>2010</v>
      </c>
      <c r="C1274" s="27" t="s">
        <v>378</v>
      </c>
      <c r="D1274" s="27" t="s">
        <v>81</v>
      </c>
      <c r="E1274" s="27" t="s">
        <v>19</v>
      </c>
      <c r="F1274" s="27" t="s">
        <v>985</v>
      </c>
      <c r="G1274" s="43">
        <v>15000</v>
      </c>
      <c r="H1274" s="43"/>
      <c r="I1274" s="43"/>
      <c r="J1274" s="43"/>
      <c r="K1274" s="27" t="s">
        <v>894</v>
      </c>
      <c r="L1274" s="28">
        <f>54/0.453592</f>
        <v>119.04971868992399</v>
      </c>
      <c r="M1274" s="27" t="s">
        <v>1743</v>
      </c>
      <c r="N1274" s="27" t="s">
        <v>1008</v>
      </c>
      <c r="O1274" s="18">
        <f t="shared" si="22"/>
        <v>1785745.78034886</v>
      </c>
      <c r="P1274" s="214"/>
      <c r="Q1274" s="214"/>
      <c r="R1274" s="27"/>
      <c r="S1274" s="27"/>
      <c r="T1274" s="18"/>
      <c r="U1274" s="27"/>
      <c r="V1274" s="27"/>
      <c r="W1274" s="30"/>
      <c r="X1274" s="27"/>
      <c r="Y1274" s="27"/>
      <c r="Z1274" s="27"/>
      <c r="AA1274" s="27"/>
      <c r="AB1274" s="27"/>
      <c r="AC1274" s="273">
        <v>71555872.336879551</v>
      </c>
      <c r="AD1274" s="27">
        <v>10165353591.167343</v>
      </c>
      <c r="AE1274" s="228">
        <v>7.0391916715080447E-3</v>
      </c>
      <c r="AF1274" s="27">
        <v>2045269142.5428693</v>
      </c>
      <c r="AG1274" s="226">
        <v>3.4986042104910756E-2</v>
      </c>
      <c r="AH1274" s="226" t="s">
        <v>2842</v>
      </c>
      <c r="AI1274" s="27">
        <v>1951530000</v>
      </c>
      <c r="AJ1274" s="226">
        <v>3.6666550007880765E-2</v>
      </c>
      <c r="AK1274" s="27">
        <v>334744378.54732281</v>
      </c>
      <c r="AL1274" s="226">
        <v>0.21376273037775209</v>
      </c>
      <c r="AM1274" s="27" t="s">
        <v>2842</v>
      </c>
      <c r="AN1274" s="271" t="s">
        <v>2842</v>
      </c>
      <c r="AO1274" s="27">
        <v>23967265</v>
      </c>
      <c r="AP1274" s="27" t="s">
        <v>2842</v>
      </c>
      <c r="AQ1274" s="27">
        <v>49.137073170731711</v>
      </c>
      <c r="AR1274" s="27">
        <v>71.8</v>
      </c>
      <c r="AS1274" s="29" t="s">
        <v>2842</v>
      </c>
      <c r="AT1274" s="270">
        <v>31</v>
      </c>
      <c r="AU1274" s="464">
        <v>36.892105322543919</v>
      </c>
      <c r="AV1274" s="29">
        <v>-0.111384166086251</v>
      </c>
      <c r="AW1274" s="29">
        <v>0.34378680262892802</v>
      </c>
      <c r="AX1274" s="29">
        <v>-0.57351784283132501</v>
      </c>
      <c r="AY1274" s="29">
        <v>-0.390747852895661</v>
      </c>
      <c r="AZ1274" s="60">
        <v>-0.42918214861182602</v>
      </c>
    </row>
    <row r="1275" spans="1:52" ht="15" customHeight="1">
      <c r="A1275" s="59" t="s">
        <v>384</v>
      </c>
      <c r="B1275" s="27">
        <v>2010</v>
      </c>
      <c r="C1275" s="27" t="s">
        <v>378</v>
      </c>
      <c r="D1275" s="27" t="s">
        <v>81</v>
      </c>
      <c r="E1275" s="27" t="s">
        <v>19</v>
      </c>
      <c r="F1275" s="27" t="s">
        <v>1773</v>
      </c>
      <c r="G1275" s="43">
        <f>106*32.150743126506</f>
        <v>3407.978771409636</v>
      </c>
      <c r="H1275" s="43"/>
      <c r="I1275" s="43"/>
      <c r="J1275" s="43"/>
      <c r="K1275" s="27" t="s">
        <v>731</v>
      </c>
      <c r="L1275" s="28">
        <v>1224.66425</v>
      </c>
      <c r="M1275" s="27" t="s">
        <v>732</v>
      </c>
      <c r="N1275" s="27" t="s">
        <v>733</v>
      </c>
      <c r="O1275" s="18">
        <f t="shared" si="22"/>
        <v>4173629.7661043033</v>
      </c>
      <c r="P1275" s="214"/>
      <c r="Q1275" s="214"/>
      <c r="R1275" s="27"/>
      <c r="S1275" s="27"/>
      <c r="T1275" s="18"/>
      <c r="U1275" s="27"/>
      <c r="V1275" s="27"/>
      <c r="W1275" s="30"/>
      <c r="X1275" s="27"/>
      <c r="Y1275" s="27"/>
      <c r="Z1275" s="27"/>
      <c r="AA1275" s="27"/>
      <c r="AB1275" s="27"/>
      <c r="AC1275" s="273">
        <v>71555872.336879551</v>
      </c>
      <c r="AD1275" s="27">
        <v>10165353591.167343</v>
      </c>
      <c r="AE1275" s="228">
        <v>7.0391916715080447E-3</v>
      </c>
      <c r="AF1275" s="27">
        <v>2045269142.5428693</v>
      </c>
      <c r="AG1275" s="226">
        <v>3.4986042104910756E-2</v>
      </c>
      <c r="AH1275" s="226" t="s">
        <v>2842</v>
      </c>
      <c r="AI1275" s="27">
        <v>1951530000</v>
      </c>
      <c r="AJ1275" s="226">
        <v>3.6666550007880765E-2</v>
      </c>
      <c r="AK1275" s="27">
        <v>334744378.54732281</v>
      </c>
      <c r="AL1275" s="226">
        <v>0.21376273037775209</v>
      </c>
      <c r="AM1275" s="27" t="s">
        <v>2842</v>
      </c>
      <c r="AN1275" s="271" t="s">
        <v>2842</v>
      </c>
      <c r="AO1275" s="27">
        <v>23967265</v>
      </c>
      <c r="AP1275" s="27" t="s">
        <v>2842</v>
      </c>
      <c r="AQ1275" s="27">
        <v>49.137073170731711</v>
      </c>
      <c r="AR1275" s="27">
        <v>71.8</v>
      </c>
      <c r="AS1275" s="29" t="s">
        <v>2842</v>
      </c>
      <c r="AT1275" s="270">
        <v>31</v>
      </c>
      <c r="AU1275" s="464">
        <v>36.892105322543919</v>
      </c>
      <c r="AV1275" s="29">
        <v>-0.111384166086251</v>
      </c>
      <c r="AW1275" s="29">
        <v>0.34378680262892802</v>
      </c>
      <c r="AX1275" s="29">
        <v>-0.57351784283132501</v>
      </c>
      <c r="AY1275" s="29">
        <v>-0.390747852895661</v>
      </c>
      <c r="AZ1275" s="60">
        <v>-0.42918214861182602</v>
      </c>
    </row>
    <row r="1276" spans="1:52" ht="15" customHeight="1">
      <c r="A1276" s="59" t="s">
        <v>384</v>
      </c>
      <c r="B1276" s="27">
        <v>2010</v>
      </c>
      <c r="C1276" s="27" t="s">
        <v>378</v>
      </c>
      <c r="D1276" s="27" t="s">
        <v>81</v>
      </c>
      <c r="E1276" s="27" t="s">
        <v>19</v>
      </c>
      <c r="F1276" s="27" t="s">
        <v>1545</v>
      </c>
      <c r="G1276" s="43">
        <v>678400</v>
      </c>
      <c r="H1276" s="43"/>
      <c r="I1276" s="43"/>
      <c r="J1276" s="43"/>
      <c r="K1276" s="27" t="s">
        <v>567</v>
      </c>
      <c r="L1276" s="28">
        <v>75</v>
      </c>
      <c r="M1276" s="27" t="s">
        <v>568</v>
      </c>
      <c r="N1276" s="27" t="s">
        <v>1546</v>
      </c>
      <c r="O1276" s="18">
        <f t="shared" si="22"/>
        <v>50880000</v>
      </c>
      <c r="P1276" s="214"/>
      <c r="Q1276" s="214"/>
      <c r="R1276" s="27"/>
      <c r="S1276" s="27"/>
      <c r="T1276" s="18"/>
      <c r="U1276" s="27"/>
      <c r="V1276" s="27"/>
      <c r="W1276" s="30"/>
      <c r="X1276" s="27"/>
      <c r="Y1276" s="27"/>
      <c r="Z1276" s="27"/>
      <c r="AA1276" s="27"/>
      <c r="AB1276" s="27"/>
      <c r="AC1276" s="273">
        <v>71555872.336879551</v>
      </c>
      <c r="AD1276" s="27">
        <v>10165353591.167343</v>
      </c>
      <c r="AE1276" s="228">
        <v>7.0391916715080447E-3</v>
      </c>
      <c r="AF1276" s="27">
        <v>2045269142.5428693</v>
      </c>
      <c r="AG1276" s="226">
        <v>3.4986042104910756E-2</v>
      </c>
      <c r="AH1276" s="226" t="s">
        <v>2842</v>
      </c>
      <c r="AI1276" s="27">
        <v>1951530000</v>
      </c>
      <c r="AJ1276" s="226">
        <v>3.6666550007880765E-2</v>
      </c>
      <c r="AK1276" s="27">
        <v>334744378.54732281</v>
      </c>
      <c r="AL1276" s="226">
        <v>0.21376273037775209</v>
      </c>
      <c r="AM1276" s="27" t="s">
        <v>2842</v>
      </c>
      <c r="AN1276" s="271" t="s">
        <v>2842</v>
      </c>
      <c r="AO1276" s="27">
        <v>23967265</v>
      </c>
      <c r="AP1276" s="27" t="s">
        <v>2842</v>
      </c>
      <c r="AQ1276" s="27">
        <v>49.137073170731711</v>
      </c>
      <c r="AR1276" s="27">
        <v>71.8</v>
      </c>
      <c r="AS1276" s="29" t="s">
        <v>2842</v>
      </c>
      <c r="AT1276" s="270">
        <v>31</v>
      </c>
      <c r="AU1276" s="464">
        <v>36.892105322543919</v>
      </c>
      <c r="AV1276" s="29">
        <v>-0.111384166086251</v>
      </c>
      <c r="AW1276" s="29">
        <v>0.34378680262892802</v>
      </c>
      <c r="AX1276" s="29">
        <v>-0.57351784283132501</v>
      </c>
      <c r="AY1276" s="29">
        <v>-0.390747852895661</v>
      </c>
      <c r="AZ1276" s="60">
        <v>-0.42918214861182602</v>
      </c>
    </row>
    <row r="1277" spans="1:52" ht="15" customHeight="1">
      <c r="A1277" s="59" t="s">
        <v>384</v>
      </c>
      <c r="B1277" s="27">
        <v>2010</v>
      </c>
      <c r="C1277" s="27" t="s">
        <v>378</v>
      </c>
      <c r="D1277" s="27" t="s">
        <v>81</v>
      </c>
      <c r="E1277" s="27" t="s">
        <v>19</v>
      </c>
      <c r="F1277" s="29" t="s">
        <v>653</v>
      </c>
      <c r="G1277" s="43">
        <v>263908</v>
      </c>
      <c r="H1277" s="43"/>
      <c r="I1277" s="43"/>
      <c r="J1277" s="43"/>
      <c r="K1277" s="27" t="s">
        <v>567</v>
      </c>
      <c r="L1277" s="28">
        <v>9.0299999999999994</v>
      </c>
      <c r="M1277" s="27" t="s">
        <v>568</v>
      </c>
      <c r="N1277" s="27" t="s">
        <v>654</v>
      </c>
      <c r="O1277" s="18">
        <f t="shared" si="22"/>
        <v>2383089.2399999998</v>
      </c>
      <c r="P1277" s="214"/>
      <c r="Q1277" s="214"/>
      <c r="R1277" s="27"/>
      <c r="S1277" s="27"/>
      <c r="T1277" s="18"/>
      <c r="U1277" s="27"/>
      <c r="V1277" s="27"/>
      <c r="W1277" s="30"/>
      <c r="X1277" s="27"/>
      <c r="Y1277" s="27"/>
      <c r="Z1277" s="27"/>
      <c r="AA1277" s="27"/>
      <c r="AB1277" s="27"/>
      <c r="AC1277" s="273">
        <v>71555872.336879551</v>
      </c>
      <c r="AD1277" s="27">
        <v>10165353591.167343</v>
      </c>
      <c r="AE1277" s="228">
        <v>7.0391916715080447E-3</v>
      </c>
      <c r="AF1277" s="27">
        <v>2045269142.5428693</v>
      </c>
      <c r="AG1277" s="226">
        <v>3.4986042104910756E-2</v>
      </c>
      <c r="AH1277" s="226" t="s">
        <v>2842</v>
      </c>
      <c r="AI1277" s="27">
        <v>1951530000</v>
      </c>
      <c r="AJ1277" s="226">
        <v>3.6666550007880765E-2</v>
      </c>
      <c r="AK1277" s="27">
        <v>334744378.54732281</v>
      </c>
      <c r="AL1277" s="226">
        <v>0.21376273037775209</v>
      </c>
      <c r="AM1277" s="27" t="s">
        <v>2842</v>
      </c>
      <c r="AN1277" s="271" t="s">
        <v>2842</v>
      </c>
      <c r="AO1277" s="27">
        <v>23967265</v>
      </c>
      <c r="AP1277" s="27" t="s">
        <v>2842</v>
      </c>
      <c r="AQ1277" s="27">
        <v>49.137073170731711</v>
      </c>
      <c r="AR1277" s="27">
        <v>71.8</v>
      </c>
      <c r="AS1277" s="29" t="s">
        <v>2842</v>
      </c>
      <c r="AT1277" s="270">
        <v>31</v>
      </c>
      <c r="AU1277" s="464">
        <v>36.892105322543919</v>
      </c>
      <c r="AV1277" s="29">
        <v>-0.111384166086251</v>
      </c>
      <c r="AW1277" s="29">
        <v>0.34378680262892802</v>
      </c>
      <c r="AX1277" s="29">
        <v>-0.57351784283132501</v>
      </c>
      <c r="AY1277" s="29">
        <v>-0.390747852895661</v>
      </c>
      <c r="AZ1277" s="60">
        <v>-0.42918214861182602</v>
      </c>
    </row>
    <row r="1278" spans="1:52" ht="15" customHeight="1">
      <c r="A1278" s="59" t="s">
        <v>384</v>
      </c>
      <c r="B1278" s="27">
        <v>2010</v>
      </c>
      <c r="C1278" s="27" t="s">
        <v>378</v>
      </c>
      <c r="D1278" s="27" t="s">
        <v>81</v>
      </c>
      <c r="E1278" s="27" t="s">
        <v>19</v>
      </c>
      <c r="F1278" s="29" t="s">
        <v>1774</v>
      </c>
      <c r="G1278" s="43">
        <v>4700</v>
      </c>
      <c r="H1278" s="43"/>
      <c r="I1278" s="43"/>
      <c r="J1278" s="43"/>
      <c r="K1278" s="27" t="s">
        <v>567</v>
      </c>
      <c r="L1278" s="28">
        <v>540</v>
      </c>
      <c r="M1278" s="27" t="s">
        <v>568</v>
      </c>
      <c r="N1278" s="27" t="s">
        <v>1748</v>
      </c>
      <c r="O1278" s="18">
        <f t="shared" si="22"/>
        <v>2538000</v>
      </c>
      <c r="P1278" s="214"/>
      <c r="Q1278" s="214"/>
      <c r="R1278" s="27"/>
      <c r="S1278" s="27"/>
      <c r="T1278" s="18"/>
      <c r="U1278" s="27"/>
      <c r="V1278" s="27"/>
      <c r="W1278" s="30"/>
      <c r="X1278" s="27"/>
      <c r="Y1278" s="27"/>
      <c r="Z1278" s="27"/>
      <c r="AA1278" s="27"/>
      <c r="AB1278" s="27"/>
      <c r="AC1278" s="273">
        <v>71555872.336879551</v>
      </c>
      <c r="AD1278" s="27">
        <v>10165353591.167343</v>
      </c>
      <c r="AE1278" s="228">
        <v>7.0391916715080447E-3</v>
      </c>
      <c r="AF1278" s="27">
        <v>2045269142.5428693</v>
      </c>
      <c r="AG1278" s="226">
        <v>3.4986042104910756E-2</v>
      </c>
      <c r="AH1278" s="226" t="s">
        <v>2842</v>
      </c>
      <c r="AI1278" s="27">
        <v>1951530000</v>
      </c>
      <c r="AJ1278" s="226">
        <v>3.6666550007880765E-2</v>
      </c>
      <c r="AK1278" s="27">
        <v>334744378.54732281</v>
      </c>
      <c r="AL1278" s="226">
        <v>0.21376273037775209</v>
      </c>
      <c r="AM1278" s="27" t="s">
        <v>2842</v>
      </c>
      <c r="AN1278" s="271" t="s">
        <v>2842</v>
      </c>
      <c r="AO1278" s="27">
        <v>23967265</v>
      </c>
      <c r="AP1278" s="27" t="s">
        <v>2842</v>
      </c>
      <c r="AQ1278" s="27">
        <v>49.137073170731711</v>
      </c>
      <c r="AR1278" s="27">
        <v>71.8</v>
      </c>
      <c r="AS1278" s="29" t="s">
        <v>2842</v>
      </c>
      <c r="AT1278" s="270">
        <v>31</v>
      </c>
      <c r="AU1278" s="464">
        <v>36.892105322543919</v>
      </c>
      <c r="AV1278" s="29">
        <v>-0.111384166086251</v>
      </c>
      <c r="AW1278" s="29">
        <v>0.34378680262892802</v>
      </c>
      <c r="AX1278" s="29">
        <v>-0.57351784283132501</v>
      </c>
      <c r="AY1278" s="29">
        <v>-0.390747852895661</v>
      </c>
      <c r="AZ1278" s="60">
        <v>-0.42918214861182602</v>
      </c>
    </row>
    <row r="1279" spans="1:52" ht="15" customHeight="1">
      <c r="A1279" s="59" t="s">
        <v>384</v>
      </c>
      <c r="B1279" s="27">
        <v>2010</v>
      </c>
      <c r="C1279" s="27" t="s">
        <v>378</v>
      </c>
      <c r="D1279" s="27" t="s">
        <v>81</v>
      </c>
      <c r="E1279" s="27" t="s">
        <v>19</v>
      </c>
      <c r="F1279" s="29" t="s">
        <v>897</v>
      </c>
      <c r="G1279" s="43">
        <v>1150052</v>
      </c>
      <c r="H1279" s="43"/>
      <c r="I1279" s="43"/>
      <c r="J1279" s="43"/>
      <c r="K1279" s="27" t="s">
        <v>567</v>
      </c>
      <c r="L1279" s="28">
        <v>7.31</v>
      </c>
      <c r="M1279" s="27" t="s">
        <v>568</v>
      </c>
      <c r="N1279" s="27" t="s">
        <v>1145</v>
      </c>
      <c r="O1279" s="18">
        <f t="shared" si="22"/>
        <v>8406880.1199999992</v>
      </c>
      <c r="P1279" s="214"/>
      <c r="Q1279" s="214"/>
      <c r="R1279" s="27"/>
      <c r="S1279" s="27"/>
      <c r="T1279" s="18"/>
      <c r="U1279" s="27"/>
      <c r="V1279" s="27"/>
      <c r="W1279" s="30"/>
      <c r="X1279" s="27"/>
      <c r="Y1279" s="27"/>
      <c r="Z1279" s="27"/>
      <c r="AA1279" s="27"/>
      <c r="AB1279" s="27"/>
      <c r="AC1279" s="273">
        <v>71555872.336879551</v>
      </c>
      <c r="AD1279" s="27">
        <v>10165353591.167343</v>
      </c>
      <c r="AE1279" s="228">
        <v>7.0391916715080447E-3</v>
      </c>
      <c r="AF1279" s="27">
        <v>2045269142.5428693</v>
      </c>
      <c r="AG1279" s="226">
        <v>3.4986042104910756E-2</v>
      </c>
      <c r="AH1279" s="226" t="s">
        <v>2842</v>
      </c>
      <c r="AI1279" s="27">
        <v>1951530000</v>
      </c>
      <c r="AJ1279" s="226">
        <v>3.6666550007880765E-2</v>
      </c>
      <c r="AK1279" s="27">
        <v>334744378.54732281</v>
      </c>
      <c r="AL1279" s="226">
        <v>0.21376273037775209</v>
      </c>
      <c r="AM1279" s="27" t="s">
        <v>2842</v>
      </c>
      <c r="AN1279" s="271" t="s">
        <v>2842</v>
      </c>
      <c r="AO1279" s="27">
        <v>23967265</v>
      </c>
      <c r="AP1279" s="27" t="s">
        <v>2842</v>
      </c>
      <c r="AQ1279" s="27">
        <v>49.137073170731711</v>
      </c>
      <c r="AR1279" s="27">
        <v>71.8</v>
      </c>
      <c r="AS1279" s="29" t="s">
        <v>2842</v>
      </c>
      <c r="AT1279" s="270">
        <v>31</v>
      </c>
      <c r="AU1279" s="464">
        <v>36.892105322543919</v>
      </c>
      <c r="AV1279" s="29">
        <v>-0.111384166086251</v>
      </c>
      <c r="AW1279" s="29">
        <v>0.34378680262892802</v>
      </c>
      <c r="AX1279" s="29">
        <v>-0.57351784283132501</v>
      </c>
      <c r="AY1279" s="29">
        <v>-0.390747852895661</v>
      </c>
      <c r="AZ1279" s="60">
        <v>-0.42918214861182602</v>
      </c>
    </row>
    <row r="1280" spans="1:52" s="287" customFormat="1" ht="15" customHeight="1">
      <c r="A1280" s="344" t="s">
        <v>384</v>
      </c>
      <c r="B1280" s="284">
        <v>2010</v>
      </c>
      <c r="C1280" s="284" t="s">
        <v>378</v>
      </c>
      <c r="D1280" s="284" t="s">
        <v>81</v>
      </c>
      <c r="E1280" s="284" t="s">
        <v>19</v>
      </c>
      <c r="F1280" s="287" t="s">
        <v>1775</v>
      </c>
      <c r="G1280" s="303">
        <v>37100</v>
      </c>
      <c r="H1280" s="303"/>
      <c r="I1280" s="303"/>
      <c r="J1280" s="303"/>
      <c r="K1280" s="284" t="s">
        <v>567</v>
      </c>
      <c r="L1280" s="304">
        <v>870</v>
      </c>
      <c r="M1280" s="284" t="s">
        <v>568</v>
      </c>
      <c r="N1280" s="284" t="s">
        <v>1750</v>
      </c>
      <c r="O1280" s="305">
        <f t="shared" si="22"/>
        <v>32277000</v>
      </c>
      <c r="P1280" s="346"/>
      <c r="Q1280" s="346"/>
      <c r="R1280" s="284"/>
      <c r="S1280" s="284"/>
      <c r="T1280" s="305"/>
      <c r="U1280" s="284"/>
      <c r="V1280" s="284"/>
      <c r="W1280" s="307"/>
      <c r="X1280" s="284"/>
      <c r="Y1280" s="284"/>
      <c r="Z1280" s="284"/>
      <c r="AA1280" s="284"/>
      <c r="AB1280" s="284"/>
      <c r="AC1280" s="308">
        <v>71555872.336879551</v>
      </c>
      <c r="AD1280" s="284">
        <v>10165353591.167343</v>
      </c>
      <c r="AE1280" s="309">
        <v>7.0391916715080447E-3</v>
      </c>
      <c r="AF1280" s="284">
        <v>2045269142.5428693</v>
      </c>
      <c r="AG1280" s="310">
        <v>3.4986042104910756E-2</v>
      </c>
      <c r="AH1280" s="310" t="s">
        <v>2842</v>
      </c>
      <c r="AI1280" s="284">
        <v>1951530000</v>
      </c>
      <c r="AJ1280" s="310">
        <v>3.6666550007880765E-2</v>
      </c>
      <c r="AK1280" s="284">
        <v>334744378.54732281</v>
      </c>
      <c r="AL1280" s="310">
        <v>0.21376273037775209</v>
      </c>
      <c r="AM1280" s="284" t="s">
        <v>2842</v>
      </c>
      <c r="AN1280" s="311" t="s">
        <v>2842</v>
      </c>
      <c r="AO1280" s="284">
        <v>23967265</v>
      </c>
      <c r="AP1280" s="284" t="s">
        <v>2842</v>
      </c>
      <c r="AQ1280" s="284">
        <v>49.137073170731711</v>
      </c>
      <c r="AR1280" s="284">
        <v>71.8</v>
      </c>
      <c r="AS1280" s="287" t="s">
        <v>2842</v>
      </c>
      <c r="AT1280" s="312">
        <v>31</v>
      </c>
      <c r="AU1280" s="465">
        <v>36.892105322543919</v>
      </c>
      <c r="AV1280" s="287">
        <v>-0.111384166086251</v>
      </c>
      <c r="AW1280" s="287">
        <v>0.34378680262892802</v>
      </c>
      <c r="AX1280" s="287">
        <v>-0.57351784283132501</v>
      </c>
      <c r="AY1280" s="287">
        <v>-0.390747852895661</v>
      </c>
      <c r="AZ1280" s="313">
        <v>-0.42918214861182602</v>
      </c>
    </row>
    <row r="1281" spans="1:52" s="29" customFormat="1" ht="15" customHeight="1">
      <c r="A1281" s="332" t="s">
        <v>1776</v>
      </c>
      <c r="B1281" s="27">
        <v>2011</v>
      </c>
      <c r="C1281" s="27" t="s">
        <v>378</v>
      </c>
      <c r="D1281" s="27" t="s">
        <v>81</v>
      </c>
      <c r="E1281" s="27" t="s">
        <v>379</v>
      </c>
      <c r="F1281" s="27" t="s">
        <v>659</v>
      </c>
      <c r="G1281" s="43"/>
      <c r="H1281" s="43"/>
      <c r="I1281" s="43"/>
      <c r="J1281" s="43"/>
      <c r="K1281" s="27"/>
      <c r="L1281" s="28"/>
      <c r="M1281" s="27"/>
      <c r="N1281" s="27"/>
      <c r="O1281" s="18">
        <f>O1282+O1283</f>
        <v>449726378.16752666</v>
      </c>
      <c r="P1281" s="214">
        <v>115116240.28</v>
      </c>
      <c r="Q1281" s="214">
        <v>114608833.28</v>
      </c>
      <c r="R1281" s="27" t="s">
        <v>3745</v>
      </c>
      <c r="S1281" s="27" t="s">
        <v>1778</v>
      </c>
      <c r="T1281" s="18">
        <v>2347532.2799999998</v>
      </c>
      <c r="U1281" s="27" t="s">
        <v>1777</v>
      </c>
      <c r="V1281" s="27" t="s">
        <v>1731</v>
      </c>
      <c r="W1281" s="30">
        <v>27.22</v>
      </c>
      <c r="X1281" s="27">
        <v>39</v>
      </c>
      <c r="Y1281" s="27" t="s">
        <v>1779</v>
      </c>
      <c r="Z1281" s="27">
        <v>37</v>
      </c>
      <c r="AA1281" s="27" t="s">
        <v>1781</v>
      </c>
      <c r="AB1281" s="27" t="s">
        <v>1782</v>
      </c>
      <c r="AC1281" s="273">
        <v>115116240.28</v>
      </c>
      <c r="AD1281" s="27">
        <v>13244880034.848072</v>
      </c>
      <c r="AE1281" s="228">
        <v>8.6913765905861189E-3</v>
      </c>
      <c r="AF1281" s="27">
        <v>3036388747.9889207</v>
      </c>
      <c r="AG1281" s="226">
        <v>3.7912220678674453E-2</v>
      </c>
      <c r="AH1281" s="226" t="s">
        <v>2842</v>
      </c>
      <c r="AI1281" s="27">
        <v>2084980000</v>
      </c>
      <c r="AJ1281" s="226">
        <v>5.5212155646576944E-2</v>
      </c>
      <c r="AK1281" s="27">
        <v>370573742.16707557</v>
      </c>
      <c r="AL1281" s="226">
        <v>0.31064327333829039</v>
      </c>
      <c r="AM1281" s="27" t="s">
        <v>2842</v>
      </c>
      <c r="AN1281" s="271" t="s">
        <v>2842</v>
      </c>
      <c r="AO1281" s="27">
        <v>24581367</v>
      </c>
      <c r="AP1281" s="27" t="s">
        <v>2842</v>
      </c>
      <c r="AQ1281" s="27">
        <v>49.487829268292693</v>
      </c>
      <c r="AR1281" s="27">
        <v>67.8</v>
      </c>
      <c r="AS1281" s="29" t="s">
        <v>2842</v>
      </c>
      <c r="AT1281" s="270">
        <v>31</v>
      </c>
      <c r="AU1281" s="464">
        <v>36.892105322543919</v>
      </c>
      <c r="AV1281" s="29">
        <v>-0.17324928389538299</v>
      </c>
      <c r="AW1281" s="29">
        <v>0.29734052019608598</v>
      </c>
      <c r="AX1281" s="29">
        <v>-0.624712275124643</v>
      </c>
      <c r="AY1281" s="29">
        <v>-0.42342402646736998</v>
      </c>
      <c r="AZ1281" s="60">
        <v>-0.49207789524085799</v>
      </c>
    </row>
    <row r="1282" spans="1:52" s="29" customFormat="1" ht="15" customHeight="1">
      <c r="A1282" s="59" t="s">
        <v>1776</v>
      </c>
      <c r="B1282" s="27">
        <v>2011</v>
      </c>
      <c r="C1282" s="27" t="s">
        <v>378</v>
      </c>
      <c r="D1282" s="27" t="s">
        <v>81</v>
      </c>
      <c r="E1282" s="27" t="s">
        <v>552</v>
      </c>
      <c r="F1282" s="27" t="s">
        <v>1755</v>
      </c>
      <c r="G1282" s="43">
        <f>135000000000*0.0283168</f>
        <v>3822768000</v>
      </c>
      <c r="H1282" s="43">
        <f>131555851.49*26.173</f>
        <v>3443211301.0477695</v>
      </c>
      <c r="I1282" s="43"/>
      <c r="J1282" s="43"/>
      <c r="K1282" s="27" t="s">
        <v>599</v>
      </c>
      <c r="L1282" s="28">
        <v>2.5634154978385615E-2</v>
      </c>
      <c r="M1282" s="27" t="s">
        <v>600</v>
      </c>
      <c r="N1282" s="27" t="s">
        <v>816</v>
      </c>
      <c r="O1282" s="18">
        <f>G1282*L1282</f>
        <v>97993427.358413219</v>
      </c>
      <c r="P1282" s="214">
        <v>79823404.865598798</v>
      </c>
      <c r="Q1282" s="214">
        <v>79654064.4060103</v>
      </c>
      <c r="R1282" s="27"/>
      <c r="S1282" s="27" t="s">
        <v>1778</v>
      </c>
      <c r="T1282" s="18">
        <v>2347532.2799999998</v>
      </c>
      <c r="U1282" s="27"/>
      <c r="V1282" s="27"/>
      <c r="W1282" s="30"/>
      <c r="X1282" s="27">
        <v>16</v>
      </c>
      <c r="Y1282" s="27" t="s">
        <v>1783</v>
      </c>
      <c r="Z1282" s="27">
        <v>16</v>
      </c>
      <c r="AA1282" s="27" t="s">
        <v>1781</v>
      </c>
      <c r="AB1282" s="27"/>
      <c r="AC1282" s="273">
        <v>115116240.28</v>
      </c>
      <c r="AD1282" s="27">
        <v>13244880034.848072</v>
      </c>
      <c r="AE1282" s="228">
        <v>8.6913765905861189E-3</v>
      </c>
      <c r="AF1282" s="27">
        <v>3036388747.9889207</v>
      </c>
      <c r="AG1282" s="226">
        <v>3.7912220678674453E-2</v>
      </c>
      <c r="AH1282" s="226" t="s">
        <v>2842</v>
      </c>
      <c r="AI1282" s="27">
        <v>2084980000</v>
      </c>
      <c r="AJ1282" s="226">
        <v>5.5212155646576944E-2</v>
      </c>
      <c r="AK1282" s="27">
        <v>370573742.16707557</v>
      </c>
      <c r="AL1282" s="226">
        <v>0.31064327333829039</v>
      </c>
      <c r="AM1282" s="27" t="s">
        <v>2842</v>
      </c>
      <c r="AN1282" s="271" t="s">
        <v>2842</v>
      </c>
      <c r="AO1282" s="27">
        <v>24581367</v>
      </c>
      <c r="AP1282" s="27" t="s">
        <v>2842</v>
      </c>
      <c r="AQ1282" s="27">
        <v>49.487829268292693</v>
      </c>
      <c r="AR1282" s="27">
        <v>67.8</v>
      </c>
      <c r="AS1282" s="29" t="s">
        <v>2842</v>
      </c>
      <c r="AT1282" s="270">
        <v>31</v>
      </c>
      <c r="AU1282" s="464">
        <v>36.892105322543919</v>
      </c>
      <c r="AV1282" s="29">
        <v>-0.17324928389538299</v>
      </c>
      <c r="AW1282" s="29">
        <v>0.29734052019608598</v>
      </c>
      <c r="AX1282" s="29">
        <v>-0.624712275124643</v>
      </c>
      <c r="AY1282" s="29">
        <v>-0.42342402646736998</v>
      </c>
      <c r="AZ1282" s="60">
        <v>-0.49207789524085799</v>
      </c>
    </row>
    <row r="1283" spans="1:52" s="29" customFormat="1" ht="15" customHeight="1">
      <c r="A1283" s="59" t="s">
        <v>1776</v>
      </c>
      <c r="B1283" s="27">
        <v>2011</v>
      </c>
      <c r="C1283" s="27" t="s">
        <v>378</v>
      </c>
      <c r="D1283" s="27" t="s">
        <v>81</v>
      </c>
      <c r="E1283" s="27" t="s">
        <v>19</v>
      </c>
      <c r="F1283" s="27" t="s">
        <v>559</v>
      </c>
      <c r="G1283" s="43"/>
      <c r="H1283" s="43"/>
      <c r="I1283" s="43"/>
      <c r="J1283" s="43"/>
      <c r="K1283" s="27"/>
      <c r="L1283" s="28"/>
      <c r="N1283" s="27"/>
      <c r="O1283" s="18">
        <f>SUM(O1284:O1294)</f>
        <v>351732950.80911344</v>
      </c>
      <c r="P1283" s="214">
        <f>P1281-P1282</f>
        <v>35292835.414401203</v>
      </c>
      <c r="Q1283" s="214">
        <f>Q1281-Q1282</f>
        <v>34954768.873989701</v>
      </c>
      <c r="R1283" s="27"/>
      <c r="S1283" s="27"/>
      <c r="T1283" s="18"/>
      <c r="U1283" s="27"/>
      <c r="V1283" s="27"/>
      <c r="W1283" s="30"/>
      <c r="X1283" s="27">
        <v>23</v>
      </c>
      <c r="Y1283" s="27" t="s">
        <v>1784</v>
      </c>
      <c r="Z1283" s="27">
        <v>21</v>
      </c>
      <c r="AA1283" s="27"/>
      <c r="AB1283" s="27"/>
      <c r="AC1283" s="273">
        <v>115116240.28</v>
      </c>
      <c r="AD1283" s="27">
        <v>13244880034.848072</v>
      </c>
      <c r="AE1283" s="228">
        <v>8.6913765905861189E-3</v>
      </c>
      <c r="AF1283" s="27">
        <v>3036388747.9889207</v>
      </c>
      <c r="AG1283" s="226">
        <v>3.7912220678674453E-2</v>
      </c>
      <c r="AH1283" s="226" t="s">
        <v>2842</v>
      </c>
      <c r="AI1283" s="27">
        <v>2084980000</v>
      </c>
      <c r="AJ1283" s="226">
        <v>5.5212155646576944E-2</v>
      </c>
      <c r="AK1283" s="27">
        <v>370573742.16707557</v>
      </c>
      <c r="AL1283" s="226">
        <v>0.31064327333829039</v>
      </c>
      <c r="AM1283" s="27" t="s">
        <v>2842</v>
      </c>
      <c r="AN1283" s="271" t="s">
        <v>2842</v>
      </c>
      <c r="AO1283" s="27">
        <v>24581367</v>
      </c>
      <c r="AP1283" s="27" t="s">
        <v>2842</v>
      </c>
      <c r="AQ1283" s="27">
        <v>49.487829268292693</v>
      </c>
      <c r="AR1283" s="27">
        <v>67.8</v>
      </c>
      <c r="AS1283" s="29" t="s">
        <v>2842</v>
      </c>
      <c r="AT1283" s="270">
        <v>31</v>
      </c>
      <c r="AU1283" s="464">
        <v>36.892105322543919</v>
      </c>
      <c r="AV1283" s="29">
        <v>-0.17324928389538299</v>
      </c>
      <c r="AW1283" s="29">
        <v>0.29734052019608598</v>
      </c>
      <c r="AX1283" s="29">
        <v>-0.624712275124643</v>
      </c>
      <c r="AY1283" s="29">
        <v>-0.42342402646736998</v>
      </c>
      <c r="AZ1283" s="60">
        <v>-0.49207789524085799</v>
      </c>
    </row>
    <row r="1284" spans="1:52" s="29" customFormat="1" ht="15" customHeight="1">
      <c r="A1284" s="59" t="s">
        <v>1776</v>
      </c>
      <c r="B1284" s="27">
        <v>2011</v>
      </c>
      <c r="C1284" s="27" t="s">
        <v>378</v>
      </c>
      <c r="D1284" s="27" t="s">
        <v>81</v>
      </c>
      <c r="E1284" s="27" t="s">
        <v>19</v>
      </c>
      <c r="F1284" s="27" t="s">
        <v>573</v>
      </c>
      <c r="G1284" s="43">
        <f>714000*0.90718474</f>
        <v>647729.90436000004</v>
      </c>
      <c r="H1284" s="43"/>
      <c r="I1284" s="43"/>
      <c r="J1284" s="43"/>
      <c r="K1284" s="27" t="s">
        <v>567</v>
      </c>
      <c r="L1284" s="28">
        <v>111.54662184722224</v>
      </c>
      <c r="M1284" s="27" t="s">
        <v>568</v>
      </c>
      <c r="N1284" s="27" t="s">
        <v>1740</v>
      </c>
      <c r="O1284" s="18">
        <f>G1284*L1284</f>
        <v>72252082.700782359</v>
      </c>
      <c r="P1284" s="214"/>
      <c r="Q1284" s="214"/>
      <c r="R1284" s="27"/>
      <c r="S1284" s="27"/>
      <c r="T1284" s="18"/>
      <c r="U1284" s="27"/>
      <c r="V1284" s="27"/>
      <c r="W1284" s="30"/>
      <c r="X1284" s="27"/>
      <c r="Y1284" s="27"/>
      <c r="Z1284" s="27"/>
      <c r="AA1284" s="27"/>
      <c r="AB1284" s="27"/>
      <c r="AC1284" s="273">
        <v>115116240.28</v>
      </c>
      <c r="AD1284" s="27">
        <v>13244880034.848072</v>
      </c>
      <c r="AE1284" s="228">
        <v>8.6913765905861189E-3</v>
      </c>
      <c r="AF1284" s="27">
        <v>3036388747.9889207</v>
      </c>
      <c r="AG1284" s="226">
        <v>3.7912220678674453E-2</v>
      </c>
      <c r="AH1284" s="226" t="s">
        <v>2842</v>
      </c>
      <c r="AI1284" s="27">
        <v>2084980000</v>
      </c>
      <c r="AJ1284" s="226">
        <v>5.5212155646576944E-2</v>
      </c>
      <c r="AK1284" s="27">
        <v>370573742.16707557</v>
      </c>
      <c r="AL1284" s="226">
        <v>0.31064327333829039</v>
      </c>
      <c r="AM1284" s="27" t="s">
        <v>2842</v>
      </c>
      <c r="AN1284" s="271" t="s">
        <v>2842</v>
      </c>
      <c r="AO1284" s="27">
        <v>24581367</v>
      </c>
      <c r="AP1284" s="27" t="s">
        <v>2842</v>
      </c>
      <c r="AQ1284" s="27">
        <v>49.487829268292693</v>
      </c>
      <c r="AR1284" s="27">
        <v>67.8</v>
      </c>
      <c r="AS1284" s="29" t="s">
        <v>2842</v>
      </c>
      <c r="AT1284" s="270">
        <v>31</v>
      </c>
      <c r="AU1284" s="464">
        <v>36.892105322543919</v>
      </c>
      <c r="AV1284" s="29">
        <v>-0.17324928389538299</v>
      </c>
      <c r="AW1284" s="29">
        <v>0.29734052019608598</v>
      </c>
      <c r="AX1284" s="29">
        <v>-0.624712275124643</v>
      </c>
      <c r="AY1284" s="29">
        <v>-0.42342402646736998</v>
      </c>
      <c r="AZ1284" s="60">
        <v>-0.49207789524085799</v>
      </c>
    </row>
    <row r="1285" spans="1:52" s="29" customFormat="1" ht="15" customHeight="1">
      <c r="A1285" s="59" t="s">
        <v>1776</v>
      </c>
      <c r="B1285" s="27">
        <v>2011</v>
      </c>
      <c r="C1285" s="27" t="s">
        <v>378</v>
      </c>
      <c r="D1285" s="27" t="s">
        <v>81</v>
      </c>
      <c r="E1285" s="27" t="s">
        <v>19</v>
      </c>
      <c r="F1285" s="27" t="s">
        <v>981</v>
      </c>
      <c r="G1285" s="43"/>
      <c r="H1285" s="43"/>
      <c r="I1285" s="43"/>
      <c r="J1285" s="43"/>
      <c r="K1285" s="27"/>
      <c r="L1285" s="28"/>
      <c r="M1285" s="27"/>
      <c r="N1285" s="27"/>
      <c r="O1285" s="18"/>
      <c r="P1285" s="214"/>
      <c r="Q1285" s="214"/>
      <c r="R1285" s="27"/>
      <c r="S1285" s="27"/>
      <c r="T1285" s="18"/>
      <c r="U1285" s="27"/>
      <c r="V1285" s="27"/>
      <c r="W1285" s="30"/>
      <c r="X1285" s="27"/>
      <c r="Y1285" s="27"/>
      <c r="Z1285" s="27"/>
      <c r="AA1285" s="27"/>
      <c r="AB1285" s="27"/>
      <c r="AC1285" s="273">
        <v>115116240.28</v>
      </c>
      <c r="AD1285" s="27">
        <v>13244880034.848072</v>
      </c>
      <c r="AE1285" s="228">
        <v>8.6913765905861189E-3</v>
      </c>
      <c r="AF1285" s="27">
        <v>3036388747.9889207</v>
      </c>
      <c r="AG1285" s="226">
        <v>3.7912220678674453E-2</v>
      </c>
      <c r="AH1285" s="226" t="s">
        <v>2842</v>
      </c>
      <c r="AI1285" s="27">
        <v>2084980000</v>
      </c>
      <c r="AJ1285" s="226">
        <v>5.5212155646576944E-2</v>
      </c>
      <c r="AK1285" s="27">
        <v>370573742.16707557</v>
      </c>
      <c r="AL1285" s="226">
        <v>0.31064327333829039</v>
      </c>
      <c r="AM1285" s="27" t="s">
        <v>2842</v>
      </c>
      <c r="AN1285" s="271" t="s">
        <v>2842</v>
      </c>
      <c r="AO1285" s="27">
        <v>24581367</v>
      </c>
      <c r="AP1285" s="27" t="s">
        <v>2842</v>
      </c>
      <c r="AQ1285" s="27">
        <v>49.487829268292693</v>
      </c>
      <c r="AR1285" s="27">
        <v>67.8</v>
      </c>
      <c r="AS1285" s="29" t="s">
        <v>2842</v>
      </c>
      <c r="AT1285" s="270">
        <v>31</v>
      </c>
      <c r="AU1285" s="464">
        <v>36.892105322543919</v>
      </c>
      <c r="AV1285" s="29">
        <v>-0.17324928389538299</v>
      </c>
      <c r="AW1285" s="29">
        <v>0.29734052019608598</v>
      </c>
      <c r="AX1285" s="29">
        <v>-0.624712275124643</v>
      </c>
      <c r="AY1285" s="29">
        <v>-0.42342402646736998</v>
      </c>
      <c r="AZ1285" s="60">
        <v>-0.49207789524085799</v>
      </c>
    </row>
    <row r="1286" spans="1:52" s="29" customFormat="1" ht="15" customHeight="1">
      <c r="A1286" s="59" t="s">
        <v>1776</v>
      </c>
      <c r="B1286" s="27">
        <v>2011</v>
      </c>
      <c r="C1286" s="27" t="s">
        <v>378</v>
      </c>
      <c r="D1286" s="27" t="s">
        <v>81</v>
      </c>
      <c r="E1286" s="27" t="s">
        <v>19</v>
      </c>
      <c r="F1286" s="27" t="s">
        <v>982</v>
      </c>
      <c r="G1286" s="43">
        <v>139145</v>
      </c>
      <c r="H1286" s="43"/>
      <c r="I1286" s="43"/>
      <c r="J1286" s="43"/>
      <c r="K1286" s="27" t="s">
        <v>894</v>
      </c>
      <c r="L1286" s="28"/>
      <c r="M1286" s="27"/>
      <c r="N1286" s="27" t="s">
        <v>636</v>
      </c>
      <c r="O1286" s="18"/>
      <c r="P1286" s="214"/>
      <c r="Q1286" s="214"/>
      <c r="R1286" s="27"/>
      <c r="S1286" s="27"/>
      <c r="T1286" s="18"/>
      <c r="U1286" s="27"/>
      <c r="V1286" s="27"/>
      <c r="W1286" s="30"/>
      <c r="X1286" s="27"/>
      <c r="Y1286" s="27"/>
      <c r="Z1286" s="27"/>
      <c r="AA1286" s="27"/>
      <c r="AB1286" s="27"/>
      <c r="AC1286" s="273">
        <v>115116240.28</v>
      </c>
      <c r="AD1286" s="27">
        <v>13244880034.848072</v>
      </c>
      <c r="AE1286" s="228">
        <v>8.6913765905861189E-3</v>
      </c>
      <c r="AF1286" s="27">
        <v>3036388747.9889207</v>
      </c>
      <c r="AG1286" s="226">
        <v>3.7912220678674453E-2</v>
      </c>
      <c r="AH1286" s="226" t="s">
        <v>2842</v>
      </c>
      <c r="AI1286" s="27">
        <v>2084980000</v>
      </c>
      <c r="AJ1286" s="226">
        <v>5.5212155646576944E-2</v>
      </c>
      <c r="AK1286" s="27">
        <v>370573742.16707557</v>
      </c>
      <c r="AL1286" s="226">
        <v>0.31064327333829039</v>
      </c>
      <c r="AM1286" s="27" t="s">
        <v>2842</v>
      </c>
      <c r="AN1286" s="271" t="s">
        <v>2842</v>
      </c>
      <c r="AO1286" s="27">
        <v>24581367</v>
      </c>
      <c r="AP1286" s="27" t="s">
        <v>2842</v>
      </c>
      <c r="AQ1286" s="27">
        <v>49.487829268292693</v>
      </c>
      <c r="AR1286" s="27">
        <v>67.8</v>
      </c>
      <c r="AS1286" s="29" t="s">
        <v>2842</v>
      </c>
      <c r="AT1286" s="270">
        <v>31</v>
      </c>
      <c r="AU1286" s="464">
        <v>36.892105322543919</v>
      </c>
      <c r="AV1286" s="29">
        <v>-0.17324928389538299</v>
      </c>
      <c r="AW1286" s="29">
        <v>0.29734052019608598</v>
      </c>
      <c r="AX1286" s="29">
        <v>-0.624712275124643</v>
      </c>
      <c r="AY1286" s="29">
        <v>-0.42342402646736998</v>
      </c>
      <c r="AZ1286" s="60">
        <v>-0.49207789524085799</v>
      </c>
    </row>
    <row r="1287" spans="1:52" s="29" customFormat="1" ht="15" customHeight="1">
      <c r="A1287" s="59" t="s">
        <v>1776</v>
      </c>
      <c r="B1287" s="27">
        <v>2011</v>
      </c>
      <c r="C1287" s="27" t="s">
        <v>378</v>
      </c>
      <c r="D1287" s="27" t="s">
        <v>81</v>
      </c>
      <c r="E1287" s="27" t="s">
        <v>19</v>
      </c>
      <c r="F1287" s="27" t="s">
        <v>983</v>
      </c>
      <c r="G1287" s="43">
        <v>10</v>
      </c>
      <c r="H1287" s="43"/>
      <c r="I1287" s="43"/>
      <c r="J1287" s="43"/>
      <c r="K1287" s="27" t="s">
        <v>567</v>
      </c>
      <c r="L1287" s="28">
        <v>41000</v>
      </c>
      <c r="M1287" s="27" t="s">
        <v>568</v>
      </c>
      <c r="N1287" s="27" t="s">
        <v>1007</v>
      </c>
      <c r="O1287" s="18">
        <f t="shared" ref="O1287:O1294" si="23">G1287*L1287</f>
        <v>410000</v>
      </c>
      <c r="P1287" s="214"/>
      <c r="Q1287" s="214"/>
      <c r="R1287" s="27"/>
      <c r="S1287" s="27"/>
      <c r="T1287" s="18"/>
      <c r="U1287" s="27"/>
      <c r="V1287" s="27"/>
      <c r="W1287" s="30"/>
      <c r="X1287" s="27"/>
      <c r="Y1287" s="27"/>
      <c r="Z1287" s="27"/>
      <c r="AA1287" s="27"/>
      <c r="AB1287" s="27"/>
      <c r="AC1287" s="273">
        <v>115116240.28</v>
      </c>
      <c r="AD1287" s="27">
        <v>13244880034.848072</v>
      </c>
      <c r="AE1287" s="228">
        <v>8.6913765905861189E-3</v>
      </c>
      <c r="AF1287" s="27">
        <v>3036388747.9889207</v>
      </c>
      <c r="AG1287" s="226">
        <v>3.7912220678674453E-2</v>
      </c>
      <c r="AH1287" s="226" t="s">
        <v>2842</v>
      </c>
      <c r="AI1287" s="27">
        <v>2084980000</v>
      </c>
      <c r="AJ1287" s="226">
        <v>5.5212155646576944E-2</v>
      </c>
      <c r="AK1287" s="27">
        <v>370573742.16707557</v>
      </c>
      <c r="AL1287" s="226">
        <v>0.31064327333829039</v>
      </c>
      <c r="AM1287" s="27" t="s">
        <v>2842</v>
      </c>
      <c r="AN1287" s="271" t="s">
        <v>2842</v>
      </c>
      <c r="AO1287" s="27">
        <v>24581367</v>
      </c>
      <c r="AP1287" s="27" t="s">
        <v>2842</v>
      </c>
      <c r="AQ1287" s="27">
        <v>49.487829268292693</v>
      </c>
      <c r="AR1287" s="27">
        <v>67.8</v>
      </c>
      <c r="AS1287" s="29" t="s">
        <v>2842</v>
      </c>
      <c r="AT1287" s="270">
        <v>31</v>
      </c>
      <c r="AU1287" s="464">
        <v>36.892105322543919</v>
      </c>
      <c r="AV1287" s="29">
        <v>-0.17324928389538299</v>
      </c>
      <c r="AW1287" s="29">
        <v>0.29734052019608598</v>
      </c>
      <c r="AX1287" s="29">
        <v>-0.624712275124643</v>
      </c>
      <c r="AY1287" s="29">
        <v>-0.42342402646736998</v>
      </c>
      <c r="AZ1287" s="60">
        <v>-0.49207789524085799</v>
      </c>
    </row>
    <row r="1288" spans="1:52" s="29" customFormat="1" ht="15" customHeight="1">
      <c r="A1288" s="59" t="s">
        <v>1776</v>
      </c>
      <c r="B1288" s="27">
        <v>2011</v>
      </c>
      <c r="C1288" s="27" t="s">
        <v>378</v>
      </c>
      <c r="D1288" s="27" t="s">
        <v>81</v>
      </c>
      <c r="E1288" s="27" t="s">
        <v>19</v>
      </c>
      <c r="F1288" s="27" t="s">
        <v>985</v>
      </c>
      <c r="G1288" s="43">
        <v>39000</v>
      </c>
      <c r="H1288" s="43"/>
      <c r="I1288" s="43"/>
      <c r="J1288" s="43"/>
      <c r="K1288" s="27" t="s">
        <v>894</v>
      </c>
      <c r="L1288" s="28">
        <f>125/0.453592</f>
        <v>275.5780525229722</v>
      </c>
      <c r="M1288" s="27" t="s">
        <v>1743</v>
      </c>
      <c r="N1288" s="27" t="s">
        <v>1008</v>
      </c>
      <c r="O1288" s="18">
        <f t="shared" si="23"/>
        <v>10747544.048395915</v>
      </c>
      <c r="P1288" s="214"/>
      <c r="Q1288" s="214"/>
      <c r="R1288" s="27"/>
      <c r="S1288" s="27"/>
      <c r="T1288" s="18"/>
      <c r="U1288" s="27"/>
      <c r="V1288" s="27"/>
      <c r="W1288" s="30"/>
      <c r="X1288" s="27"/>
      <c r="Y1288" s="27"/>
      <c r="Z1288" s="27"/>
      <c r="AA1288" s="27"/>
      <c r="AB1288" s="27"/>
      <c r="AC1288" s="273">
        <v>115116240.28</v>
      </c>
      <c r="AD1288" s="27">
        <v>13244880034.848072</v>
      </c>
      <c r="AE1288" s="228">
        <v>8.6913765905861189E-3</v>
      </c>
      <c r="AF1288" s="27">
        <v>3036388747.9889207</v>
      </c>
      <c r="AG1288" s="226">
        <v>3.7912220678674453E-2</v>
      </c>
      <c r="AH1288" s="226" t="s">
        <v>2842</v>
      </c>
      <c r="AI1288" s="27">
        <v>2084980000</v>
      </c>
      <c r="AJ1288" s="226">
        <v>5.5212155646576944E-2</v>
      </c>
      <c r="AK1288" s="27">
        <v>370573742.16707557</v>
      </c>
      <c r="AL1288" s="226">
        <v>0.31064327333829039</v>
      </c>
      <c r="AM1288" s="27" t="s">
        <v>2842</v>
      </c>
      <c r="AN1288" s="271" t="s">
        <v>2842</v>
      </c>
      <c r="AO1288" s="27">
        <v>24581367</v>
      </c>
      <c r="AP1288" s="27" t="s">
        <v>2842</v>
      </c>
      <c r="AQ1288" s="27">
        <v>49.487829268292693</v>
      </c>
      <c r="AR1288" s="27">
        <v>67.8</v>
      </c>
      <c r="AS1288" s="29" t="s">
        <v>2842</v>
      </c>
      <c r="AT1288" s="270">
        <v>31</v>
      </c>
      <c r="AU1288" s="464">
        <v>36.892105322543919</v>
      </c>
      <c r="AV1288" s="29">
        <v>-0.17324928389538299</v>
      </c>
      <c r="AW1288" s="29">
        <v>0.29734052019608598</v>
      </c>
      <c r="AX1288" s="29">
        <v>-0.624712275124643</v>
      </c>
      <c r="AY1288" s="29">
        <v>-0.42342402646736998</v>
      </c>
      <c r="AZ1288" s="60">
        <v>-0.49207789524085799</v>
      </c>
    </row>
    <row r="1289" spans="1:52" s="29" customFormat="1" ht="15" customHeight="1">
      <c r="A1289" s="59" t="s">
        <v>1776</v>
      </c>
      <c r="B1289" s="27">
        <v>2011</v>
      </c>
      <c r="C1289" s="27" t="s">
        <v>378</v>
      </c>
      <c r="D1289" s="27" t="s">
        <v>81</v>
      </c>
      <c r="E1289" s="27" t="s">
        <v>19</v>
      </c>
      <c r="F1289" s="27" t="s">
        <v>1773</v>
      </c>
      <c r="G1289" s="43">
        <f>111*32.150743126506</f>
        <v>3568.7324870421662</v>
      </c>
      <c r="H1289" s="43"/>
      <c r="I1289" s="43"/>
      <c r="J1289" s="43"/>
      <c r="K1289" s="27" t="s">
        <v>731</v>
      </c>
      <c r="L1289" s="28">
        <v>1569.2108333333299</v>
      </c>
      <c r="M1289" s="27" t="s">
        <v>732</v>
      </c>
      <c r="N1289" s="27" t="s">
        <v>733</v>
      </c>
      <c r="O1289" s="18">
        <f t="shared" si="23"/>
        <v>5600093.6799351647</v>
      </c>
      <c r="P1289" s="214"/>
      <c r="Q1289" s="214"/>
      <c r="R1289" s="27"/>
      <c r="S1289" s="27"/>
      <c r="T1289" s="18"/>
      <c r="U1289" s="27"/>
      <c r="V1289" s="27"/>
      <c r="W1289" s="30"/>
      <c r="X1289" s="27"/>
      <c r="Y1289" s="27"/>
      <c r="Z1289" s="27"/>
      <c r="AA1289" s="27"/>
      <c r="AB1289" s="27"/>
      <c r="AC1289" s="273">
        <v>115116240.28</v>
      </c>
      <c r="AD1289" s="27">
        <v>13244880034.848072</v>
      </c>
      <c r="AE1289" s="228">
        <v>8.6913765905861189E-3</v>
      </c>
      <c r="AF1289" s="27">
        <v>3036388747.9889207</v>
      </c>
      <c r="AG1289" s="226">
        <v>3.7912220678674453E-2</v>
      </c>
      <c r="AH1289" s="226" t="s">
        <v>2842</v>
      </c>
      <c r="AI1289" s="27">
        <v>2084980000</v>
      </c>
      <c r="AJ1289" s="226">
        <v>5.5212155646576944E-2</v>
      </c>
      <c r="AK1289" s="27">
        <v>370573742.16707557</v>
      </c>
      <c r="AL1289" s="226">
        <v>0.31064327333829039</v>
      </c>
      <c r="AM1289" s="27" t="s">
        <v>2842</v>
      </c>
      <c r="AN1289" s="271" t="s">
        <v>2842</v>
      </c>
      <c r="AO1289" s="27">
        <v>24581367</v>
      </c>
      <c r="AP1289" s="27" t="s">
        <v>2842</v>
      </c>
      <c r="AQ1289" s="27">
        <v>49.487829268292693</v>
      </c>
      <c r="AR1289" s="27">
        <v>67.8</v>
      </c>
      <c r="AS1289" s="29" t="s">
        <v>2842</v>
      </c>
      <c r="AT1289" s="270">
        <v>31</v>
      </c>
      <c r="AU1289" s="464">
        <v>36.892105322543919</v>
      </c>
      <c r="AV1289" s="29">
        <v>-0.17324928389538299</v>
      </c>
      <c r="AW1289" s="29">
        <v>0.29734052019608598</v>
      </c>
      <c r="AX1289" s="29">
        <v>-0.624712275124643</v>
      </c>
      <c r="AY1289" s="29">
        <v>-0.42342402646736998</v>
      </c>
      <c r="AZ1289" s="60">
        <v>-0.49207789524085799</v>
      </c>
    </row>
    <row r="1290" spans="1:52" s="29" customFormat="1" ht="15" customHeight="1">
      <c r="A1290" s="59" t="s">
        <v>1776</v>
      </c>
      <c r="B1290" s="27">
        <v>2011</v>
      </c>
      <c r="C1290" s="27" t="s">
        <v>378</v>
      </c>
      <c r="D1290" s="27" t="s">
        <v>81</v>
      </c>
      <c r="E1290" s="27" t="s">
        <v>19</v>
      </c>
      <c r="F1290" s="27" t="s">
        <v>1545</v>
      </c>
      <c r="G1290" s="43">
        <v>656800</v>
      </c>
      <c r="H1290" s="43"/>
      <c r="I1290" s="43"/>
      <c r="J1290" s="43"/>
      <c r="K1290" s="27" t="s">
        <v>567</v>
      </c>
      <c r="L1290" s="28">
        <v>195</v>
      </c>
      <c r="M1290" s="27" t="s">
        <v>568</v>
      </c>
      <c r="N1290" s="27" t="s">
        <v>1546</v>
      </c>
      <c r="O1290" s="18">
        <f t="shared" si="23"/>
        <v>128076000</v>
      </c>
      <c r="P1290" s="214"/>
      <c r="Q1290" s="214"/>
      <c r="R1290" s="27"/>
      <c r="S1290" s="27"/>
      <c r="T1290" s="18"/>
      <c r="U1290" s="27"/>
      <c r="V1290" s="27"/>
      <c r="W1290" s="30"/>
      <c r="X1290" s="27"/>
      <c r="Y1290" s="27"/>
      <c r="Z1290" s="27"/>
      <c r="AA1290" s="27"/>
      <c r="AB1290" s="27"/>
      <c r="AC1290" s="273">
        <v>115116240.28</v>
      </c>
      <c r="AD1290" s="27">
        <v>13244880034.848072</v>
      </c>
      <c r="AE1290" s="228">
        <v>8.6913765905861189E-3</v>
      </c>
      <c r="AF1290" s="27">
        <v>3036388747.9889207</v>
      </c>
      <c r="AG1290" s="226">
        <v>3.7912220678674453E-2</v>
      </c>
      <c r="AH1290" s="226" t="s">
        <v>2842</v>
      </c>
      <c r="AI1290" s="27">
        <v>2084980000</v>
      </c>
      <c r="AJ1290" s="226">
        <v>5.5212155646576944E-2</v>
      </c>
      <c r="AK1290" s="27">
        <v>370573742.16707557</v>
      </c>
      <c r="AL1290" s="226">
        <v>0.31064327333829039</v>
      </c>
      <c r="AM1290" s="27" t="s">
        <v>2842</v>
      </c>
      <c r="AN1290" s="271" t="s">
        <v>2842</v>
      </c>
      <c r="AO1290" s="27">
        <v>24581367</v>
      </c>
      <c r="AP1290" s="27" t="s">
        <v>2842</v>
      </c>
      <c r="AQ1290" s="27">
        <v>49.487829268292693</v>
      </c>
      <c r="AR1290" s="27">
        <v>67.8</v>
      </c>
      <c r="AS1290" s="29" t="s">
        <v>2842</v>
      </c>
      <c r="AT1290" s="270">
        <v>31</v>
      </c>
      <c r="AU1290" s="464">
        <v>36.892105322543919</v>
      </c>
      <c r="AV1290" s="29">
        <v>-0.17324928389538299</v>
      </c>
      <c r="AW1290" s="29">
        <v>0.29734052019608598</v>
      </c>
      <c r="AX1290" s="29">
        <v>-0.624712275124643</v>
      </c>
      <c r="AY1290" s="29">
        <v>-0.42342402646736998</v>
      </c>
      <c r="AZ1290" s="60">
        <v>-0.49207789524085799</v>
      </c>
    </row>
    <row r="1291" spans="1:52" s="29" customFormat="1" ht="15" customHeight="1">
      <c r="A1291" s="59" t="s">
        <v>1776</v>
      </c>
      <c r="B1291" s="27">
        <v>2011</v>
      </c>
      <c r="C1291" s="27" t="s">
        <v>378</v>
      </c>
      <c r="D1291" s="27" t="s">
        <v>81</v>
      </c>
      <c r="E1291" s="27" t="s">
        <v>19</v>
      </c>
      <c r="F1291" s="29" t="s">
        <v>653</v>
      </c>
      <c r="G1291" s="43">
        <v>415883</v>
      </c>
      <c r="H1291" s="43"/>
      <c r="I1291" s="43"/>
      <c r="J1291" s="43"/>
      <c r="K1291" s="27" t="s">
        <v>567</v>
      </c>
      <c r="L1291" s="28">
        <v>9.06</v>
      </c>
      <c r="M1291" s="27" t="s">
        <v>568</v>
      </c>
      <c r="N1291" s="27" t="s">
        <v>1785</v>
      </c>
      <c r="O1291" s="18">
        <f t="shared" si="23"/>
        <v>3767899.98</v>
      </c>
      <c r="P1291" s="214"/>
      <c r="Q1291" s="214"/>
      <c r="R1291" s="27"/>
      <c r="S1291" s="27"/>
      <c r="T1291" s="18"/>
      <c r="U1291" s="27"/>
      <c r="V1291" s="27"/>
      <c r="W1291" s="30"/>
      <c r="X1291" s="27"/>
      <c r="Y1291" s="27"/>
      <c r="Z1291" s="27"/>
      <c r="AA1291" s="27"/>
      <c r="AB1291" s="27"/>
      <c r="AC1291" s="273">
        <v>115116240.28</v>
      </c>
      <c r="AD1291" s="27">
        <v>13244880034.848072</v>
      </c>
      <c r="AE1291" s="228">
        <v>8.6913765905861189E-3</v>
      </c>
      <c r="AF1291" s="27">
        <v>3036388747.9889207</v>
      </c>
      <c r="AG1291" s="226">
        <v>3.7912220678674453E-2</v>
      </c>
      <c r="AH1291" s="226" t="s">
        <v>2842</v>
      </c>
      <c r="AI1291" s="27">
        <v>2084980000</v>
      </c>
      <c r="AJ1291" s="226">
        <v>5.5212155646576944E-2</v>
      </c>
      <c r="AK1291" s="27">
        <v>370573742.16707557</v>
      </c>
      <c r="AL1291" s="226">
        <v>0.31064327333829039</v>
      </c>
      <c r="AM1291" s="27" t="s">
        <v>2842</v>
      </c>
      <c r="AN1291" s="271" t="s">
        <v>2842</v>
      </c>
      <c r="AO1291" s="27">
        <v>24581367</v>
      </c>
      <c r="AP1291" s="27" t="s">
        <v>2842</v>
      </c>
      <c r="AQ1291" s="27">
        <v>49.487829268292693</v>
      </c>
      <c r="AR1291" s="27">
        <v>67.8</v>
      </c>
      <c r="AS1291" s="29" t="s">
        <v>2842</v>
      </c>
      <c r="AT1291" s="270">
        <v>31</v>
      </c>
      <c r="AU1291" s="464">
        <v>36.892105322543919</v>
      </c>
      <c r="AV1291" s="29">
        <v>-0.17324928389538299</v>
      </c>
      <c r="AW1291" s="29">
        <v>0.29734052019608598</v>
      </c>
      <c r="AX1291" s="29">
        <v>-0.624712275124643</v>
      </c>
      <c r="AY1291" s="29">
        <v>-0.42342402646736998</v>
      </c>
      <c r="AZ1291" s="60">
        <v>-0.49207789524085799</v>
      </c>
    </row>
    <row r="1292" spans="1:52" s="29" customFormat="1" ht="15" customHeight="1">
      <c r="A1292" s="59" t="s">
        <v>1776</v>
      </c>
      <c r="B1292" s="27">
        <v>2011</v>
      </c>
      <c r="C1292" s="27" t="s">
        <v>378</v>
      </c>
      <c r="D1292" s="27" t="s">
        <v>81</v>
      </c>
      <c r="E1292" s="27" t="s">
        <v>19</v>
      </c>
      <c r="F1292" s="29" t="s">
        <v>1774</v>
      </c>
      <c r="G1292" s="43">
        <v>6455</v>
      </c>
      <c r="H1292" s="43"/>
      <c r="I1292" s="43"/>
      <c r="J1292" s="43"/>
      <c r="K1292" s="27" t="s">
        <v>567</v>
      </c>
      <c r="L1292" s="28">
        <v>1400</v>
      </c>
      <c r="M1292" s="27" t="s">
        <v>568</v>
      </c>
      <c r="N1292" s="27" t="s">
        <v>1748</v>
      </c>
      <c r="O1292" s="18">
        <f t="shared" si="23"/>
        <v>9037000</v>
      </c>
      <c r="P1292" s="214"/>
      <c r="Q1292" s="214"/>
      <c r="R1292" s="27"/>
      <c r="S1292" s="27"/>
      <c r="T1292" s="18"/>
      <c r="U1292" s="27"/>
      <c r="V1292" s="27"/>
      <c r="W1292" s="30"/>
      <c r="X1292" s="27"/>
      <c r="Y1292" s="27"/>
      <c r="Z1292" s="27"/>
      <c r="AA1292" s="27"/>
      <c r="AB1292" s="27"/>
      <c r="AC1292" s="273">
        <v>115116240.28</v>
      </c>
      <c r="AD1292" s="27">
        <v>13244880034.848072</v>
      </c>
      <c r="AE1292" s="228">
        <v>8.6913765905861189E-3</v>
      </c>
      <c r="AF1292" s="27">
        <v>3036388747.9889207</v>
      </c>
      <c r="AG1292" s="226">
        <v>3.7912220678674453E-2</v>
      </c>
      <c r="AH1292" s="226" t="s">
        <v>2842</v>
      </c>
      <c r="AI1292" s="27">
        <v>2084980000</v>
      </c>
      <c r="AJ1292" s="226">
        <v>5.5212155646576944E-2</v>
      </c>
      <c r="AK1292" s="27">
        <v>370573742.16707557</v>
      </c>
      <c r="AL1292" s="226">
        <v>0.31064327333829039</v>
      </c>
      <c r="AM1292" s="27" t="s">
        <v>2842</v>
      </c>
      <c r="AN1292" s="271" t="s">
        <v>2842</v>
      </c>
      <c r="AO1292" s="27">
        <v>24581367</v>
      </c>
      <c r="AP1292" s="27" t="s">
        <v>2842</v>
      </c>
      <c r="AQ1292" s="27">
        <v>49.487829268292693</v>
      </c>
      <c r="AR1292" s="27">
        <v>67.8</v>
      </c>
      <c r="AS1292" s="29" t="s">
        <v>2842</v>
      </c>
      <c r="AT1292" s="270">
        <v>31</v>
      </c>
      <c r="AU1292" s="464">
        <v>36.892105322543919</v>
      </c>
      <c r="AV1292" s="29">
        <v>-0.17324928389538299</v>
      </c>
      <c r="AW1292" s="29">
        <v>0.29734052019608598</v>
      </c>
      <c r="AX1292" s="29">
        <v>-0.624712275124643</v>
      </c>
      <c r="AY1292" s="29">
        <v>-0.42342402646736998</v>
      </c>
      <c r="AZ1292" s="60">
        <v>-0.49207789524085799</v>
      </c>
    </row>
    <row r="1293" spans="1:52" s="29" customFormat="1" ht="15" customHeight="1">
      <c r="A1293" s="59" t="s">
        <v>1776</v>
      </c>
      <c r="B1293" s="27">
        <v>2011</v>
      </c>
      <c r="C1293" s="27" t="s">
        <v>378</v>
      </c>
      <c r="D1293" s="27" t="s">
        <v>81</v>
      </c>
      <c r="E1293" s="27" t="s">
        <v>19</v>
      </c>
      <c r="F1293" s="29" t="s">
        <v>897</v>
      </c>
      <c r="G1293" s="43">
        <v>1678736</v>
      </c>
      <c r="H1293" s="43"/>
      <c r="I1293" s="43"/>
      <c r="J1293" s="43"/>
      <c r="K1293" s="27" t="s">
        <v>567</v>
      </c>
      <c r="L1293" s="28">
        <v>7.65</v>
      </c>
      <c r="M1293" s="27" t="s">
        <v>568</v>
      </c>
      <c r="N1293" s="27" t="s">
        <v>1158</v>
      </c>
      <c r="O1293" s="18">
        <f t="shared" si="23"/>
        <v>12842330.4</v>
      </c>
      <c r="P1293" s="214"/>
      <c r="Q1293" s="214"/>
      <c r="R1293" s="27"/>
      <c r="S1293" s="27"/>
      <c r="T1293" s="18"/>
      <c r="U1293" s="27"/>
      <c r="V1293" s="27"/>
      <c r="W1293" s="30"/>
      <c r="X1293" s="27"/>
      <c r="Y1293" s="27"/>
      <c r="Z1293" s="27"/>
      <c r="AA1293" s="27"/>
      <c r="AB1293" s="27"/>
      <c r="AC1293" s="273">
        <v>115116240.28</v>
      </c>
      <c r="AD1293" s="27">
        <v>13244880034.848072</v>
      </c>
      <c r="AE1293" s="228">
        <v>8.6913765905861189E-3</v>
      </c>
      <c r="AF1293" s="27">
        <v>3036388747.9889207</v>
      </c>
      <c r="AG1293" s="226">
        <v>3.7912220678674453E-2</v>
      </c>
      <c r="AH1293" s="226" t="s">
        <v>2842</v>
      </c>
      <c r="AI1293" s="27">
        <v>2084980000</v>
      </c>
      <c r="AJ1293" s="226">
        <v>5.5212155646576944E-2</v>
      </c>
      <c r="AK1293" s="27">
        <v>370573742.16707557</v>
      </c>
      <c r="AL1293" s="226">
        <v>0.31064327333829039</v>
      </c>
      <c r="AM1293" s="27" t="s">
        <v>2842</v>
      </c>
      <c r="AN1293" s="271" t="s">
        <v>2842</v>
      </c>
      <c r="AO1293" s="27">
        <v>24581367</v>
      </c>
      <c r="AP1293" s="27" t="s">
        <v>2842</v>
      </c>
      <c r="AQ1293" s="27">
        <v>49.487829268292693</v>
      </c>
      <c r="AR1293" s="27">
        <v>67.8</v>
      </c>
      <c r="AS1293" s="29" t="s">
        <v>2842</v>
      </c>
      <c r="AT1293" s="270">
        <v>31</v>
      </c>
      <c r="AU1293" s="464">
        <v>36.892105322543919</v>
      </c>
      <c r="AV1293" s="29">
        <v>-0.17324928389538299</v>
      </c>
      <c r="AW1293" s="29">
        <v>0.29734052019608598</v>
      </c>
      <c r="AX1293" s="29">
        <v>-0.624712275124643</v>
      </c>
      <c r="AY1293" s="29">
        <v>-0.42342402646736998</v>
      </c>
      <c r="AZ1293" s="60">
        <v>-0.49207789524085799</v>
      </c>
    </row>
    <row r="1294" spans="1:52" s="232" customFormat="1" ht="15" customHeight="1" thickBot="1">
      <c r="A1294" s="360" t="s">
        <v>1776</v>
      </c>
      <c r="B1294" s="230">
        <v>2011</v>
      </c>
      <c r="C1294" s="230" t="s">
        <v>378</v>
      </c>
      <c r="D1294" s="230" t="s">
        <v>81</v>
      </c>
      <c r="E1294" s="230" t="s">
        <v>19</v>
      </c>
      <c r="F1294" s="232" t="s">
        <v>1775</v>
      </c>
      <c r="G1294" s="297">
        <v>43600</v>
      </c>
      <c r="H1294" s="297"/>
      <c r="I1294" s="297"/>
      <c r="J1294" s="297"/>
      <c r="K1294" s="230" t="s">
        <v>567</v>
      </c>
      <c r="L1294" s="298">
        <v>2500</v>
      </c>
      <c r="M1294" s="230" t="s">
        <v>568</v>
      </c>
      <c r="N1294" s="230" t="s">
        <v>1750</v>
      </c>
      <c r="O1294" s="285">
        <f t="shared" si="23"/>
        <v>109000000</v>
      </c>
      <c r="P1294" s="387"/>
      <c r="Q1294" s="387"/>
      <c r="R1294" s="230"/>
      <c r="S1294" s="230"/>
      <c r="T1294" s="285"/>
      <c r="U1294" s="230"/>
      <c r="V1294" s="230"/>
      <c r="W1294" s="300"/>
      <c r="X1294" s="230"/>
      <c r="Y1294" s="230"/>
      <c r="Z1294" s="230"/>
      <c r="AA1294" s="230"/>
      <c r="AB1294" s="230"/>
      <c r="AC1294" s="274">
        <v>115116240.28</v>
      </c>
      <c r="AD1294" s="230">
        <v>13244880034.848072</v>
      </c>
      <c r="AE1294" s="229">
        <v>8.6913765905861189E-3</v>
      </c>
      <c r="AF1294" s="230">
        <v>3036388747.9889207</v>
      </c>
      <c r="AG1294" s="231">
        <v>3.7912220678674453E-2</v>
      </c>
      <c r="AH1294" s="231" t="s">
        <v>2842</v>
      </c>
      <c r="AI1294" s="230">
        <v>2084980000</v>
      </c>
      <c r="AJ1294" s="231">
        <v>5.5212155646576944E-2</v>
      </c>
      <c r="AK1294" s="230">
        <v>370573742.16707557</v>
      </c>
      <c r="AL1294" s="231">
        <v>0.31064327333829039</v>
      </c>
      <c r="AM1294" s="230" t="s">
        <v>2842</v>
      </c>
      <c r="AN1294" s="275" t="s">
        <v>2842</v>
      </c>
      <c r="AO1294" s="230">
        <v>24581367</v>
      </c>
      <c r="AP1294" s="230" t="s">
        <v>2842</v>
      </c>
      <c r="AQ1294" s="230">
        <v>49.487829268292693</v>
      </c>
      <c r="AR1294" s="230">
        <v>67.8</v>
      </c>
      <c r="AS1294" s="232" t="s">
        <v>2842</v>
      </c>
      <c r="AT1294" s="276">
        <v>31</v>
      </c>
      <c r="AU1294" s="466">
        <v>36.892105322543919</v>
      </c>
      <c r="AV1294" s="232">
        <v>-0.17324928389538299</v>
      </c>
      <c r="AW1294" s="232">
        <v>0.29734052019608598</v>
      </c>
      <c r="AX1294" s="232">
        <v>-0.624712275124643</v>
      </c>
      <c r="AY1294" s="232">
        <v>-0.42342402646736998</v>
      </c>
      <c r="AZ1294" s="293">
        <v>-0.49207789524085799</v>
      </c>
    </row>
    <row r="1295" spans="1:52" ht="15" customHeight="1">
      <c r="A1295" s="347" t="s">
        <v>386</v>
      </c>
      <c r="B1295" s="53">
        <v>2005</v>
      </c>
      <c r="C1295" s="146" t="s">
        <v>387</v>
      </c>
      <c r="D1295" s="69" t="s">
        <v>81</v>
      </c>
      <c r="E1295" s="27" t="s">
        <v>19</v>
      </c>
      <c r="F1295" s="27" t="s">
        <v>659</v>
      </c>
      <c r="G1295" s="43"/>
      <c r="H1295" s="43"/>
      <c r="I1295" s="43"/>
      <c r="J1295" s="43"/>
      <c r="K1295" s="27"/>
      <c r="L1295" s="28"/>
      <c r="M1295" s="27"/>
      <c r="N1295" s="27"/>
      <c r="O1295" s="18">
        <f>SUM(O1296:O1298)</f>
        <v>82719254.337548986</v>
      </c>
      <c r="P1295" s="214">
        <v>14928853.70728069</v>
      </c>
      <c r="Q1295" s="214">
        <v>15079465.449712178</v>
      </c>
      <c r="R1295" s="27" t="s">
        <v>619</v>
      </c>
      <c r="S1295" s="27"/>
      <c r="T1295" s="18"/>
      <c r="U1295" s="27" t="s">
        <v>777</v>
      </c>
      <c r="V1295" s="27"/>
      <c r="W1295" s="30">
        <v>522.89</v>
      </c>
      <c r="X1295" s="27"/>
      <c r="Y1295" s="27"/>
      <c r="Z1295" s="27">
        <v>13</v>
      </c>
      <c r="AA1295" s="27"/>
      <c r="AB1295" s="27"/>
      <c r="AC1295" s="273">
        <v>14928853.70728069</v>
      </c>
      <c r="AD1295" s="27">
        <v>3405134555.2916574</v>
      </c>
      <c r="AE1295" s="228">
        <v>4.3842184397914347E-3</v>
      </c>
      <c r="AF1295" s="27">
        <v>486253214.49564874</v>
      </c>
      <c r="AG1295" s="226">
        <v>3.0701809802461021E-2</v>
      </c>
      <c r="AH1295" s="226">
        <v>0.33398321673538295</v>
      </c>
      <c r="AI1295" s="27">
        <v>522150000</v>
      </c>
      <c r="AJ1295" s="226">
        <v>2.8591120764685798E-2</v>
      </c>
      <c r="AK1295" s="27">
        <v>101422221.77405448</v>
      </c>
      <c r="AL1295" s="226">
        <v>0.14719509636200598</v>
      </c>
      <c r="AM1295" s="27" t="s">
        <v>2842</v>
      </c>
      <c r="AN1295" s="271" t="s">
        <v>2842</v>
      </c>
      <c r="AO1295" s="27">
        <v>13183798</v>
      </c>
      <c r="AP1295" s="27" t="s">
        <v>2842</v>
      </c>
      <c r="AQ1295" s="27">
        <v>54.120146341463418</v>
      </c>
      <c r="AR1295" s="27">
        <v>82.4</v>
      </c>
      <c r="AS1295" s="29">
        <v>42.756720000000001</v>
      </c>
      <c r="AT1295" s="270">
        <v>35</v>
      </c>
      <c r="AU1295" s="464" t="s">
        <v>2842</v>
      </c>
      <c r="AV1295" s="29">
        <v>-0.29942159472943602</v>
      </c>
      <c r="AW1295" s="29">
        <v>-0.47753458972371499</v>
      </c>
      <c r="AX1295" s="29">
        <v>-0.78861405735764301</v>
      </c>
      <c r="AY1295" s="29">
        <v>-0.42081365309733498</v>
      </c>
      <c r="AZ1295" s="60">
        <v>-0.72529246513046297</v>
      </c>
    </row>
    <row r="1296" spans="1:52" ht="15" customHeight="1">
      <c r="A1296" s="63" t="s">
        <v>386</v>
      </c>
      <c r="B1296" s="53">
        <v>2005</v>
      </c>
      <c r="C1296" s="146" t="s">
        <v>387</v>
      </c>
      <c r="D1296" s="69" t="s">
        <v>81</v>
      </c>
      <c r="E1296" s="27" t="s">
        <v>19</v>
      </c>
      <c r="F1296" s="27" t="s">
        <v>573</v>
      </c>
      <c r="G1296" s="43">
        <v>182060</v>
      </c>
      <c r="H1296" s="43"/>
      <c r="I1296" s="43"/>
      <c r="J1296" s="43"/>
      <c r="K1296" s="27" t="s">
        <v>567</v>
      </c>
      <c r="L1296" s="28">
        <v>64.167195325854706</v>
      </c>
      <c r="M1296" s="27" t="s">
        <v>568</v>
      </c>
      <c r="N1296" s="27" t="s">
        <v>1788</v>
      </c>
      <c r="O1296" s="18">
        <f>G1296*L1296</f>
        <v>11682279.581025109</v>
      </c>
      <c r="P1296" s="214"/>
      <c r="Q1296" s="214"/>
      <c r="R1296" s="27"/>
      <c r="S1296" s="27"/>
      <c r="T1296" s="18"/>
      <c r="U1296" s="27"/>
      <c r="V1296" s="27"/>
      <c r="W1296" s="30"/>
      <c r="X1296" s="27"/>
      <c r="Y1296" s="27"/>
      <c r="Z1296" s="27"/>
      <c r="AA1296" s="27"/>
      <c r="AB1296" s="27"/>
      <c r="AC1296" s="273">
        <v>14928853.70728069</v>
      </c>
      <c r="AD1296" s="27">
        <v>3405134555.2916574</v>
      </c>
      <c r="AE1296" s="228">
        <v>4.3842184397914347E-3</v>
      </c>
      <c r="AF1296" s="27">
        <v>486253214.49564874</v>
      </c>
      <c r="AG1296" s="226">
        <v>3.0701809802461021E-2</v>
      </c>
      <c r="AH1296" s="226">
        <v>0.33398321673538295</v>
      </c>
      <c r="AI1296" s="27">
        <v>522150000</v>
      </c>
      <c r="AJ1296" s="226">
        <v>2.8591120764685798E-2</v>
      </c>
      <c r="AK1296" s="27">
        <v>101422221.77405448</v>
      </c>
      <c r="AL1296" s="226">
        <v>0.14719509636200598</v>
      </c>
      <c r="AM1296" s="27" t="s">
        <v>2842</v>
      </c>
      <c r="AN1296" s="271" t="s">
        <v>2842</v>
      </c>
      <c r="AO1296" s="27">
        <v>13183798</v>
      </c>
      <c r="AP1296" s="27" t="s">
        <v>2842</v>
      </c>
      <c r="AQ1296" s="27">
        <v>54.120146341463418</v>
      </c>
      <c r="AR1296" s="27">
        <v>82.4</v>
      </c>
      <c r="AS1296" s="29">
        <v>42.756720000000001</v>
      </c>
      <c r="AT1296" s="270">
        <v>35</v>
      </c>
      <c r="AU1296" s="464" t="s">
        <v>2842</v>
      </c>
      <c r="AV1296" s="29">
        <v>-0.29942159472943602</v>
      </c>
      <c r="AW1296" s="29">
        <v>-0.47753458972371499</v>
      </c>
      <c r="AX1296" s="29">
        <v>-0.78861405735764301</v>
      </c>
      <c r="AY1296" s="29">
        <v>-0.42081365309733498</v>
      </c>
      <c r="AZ1296" s="60">
        <v>-0.72529246513046297</v>
      </c>
    </row>
    <row r="1297" spans="1:52" ht="15" customHeight="1">
      <c r="A1297" s="63" t="s">
        <v>386</v>
      </c>
      <c r="B1297" s="53">
        <v>2005</v>
      </c>
      <c r="C1297" s="146" t="s">
        <v>387</v>
      </c>
      <c r="D1297" s="69" t="s">
        <v>81</v>
      </c>
      <c r="E1297" s="27" t="s">
        <v>19</v>
      </c>
      <c r="F1297" s="27" t="s">
        <v>1773</v>
      </c>
      <c r="G1297" s="43">
        <f>4962*32.150743126506</f>
        <v>159531.98739372278</v>
      </c>
      <c r="H1297" s="43"/>
      <c r="I1297" s="43"/>
      <c r="J1297" s="43"/>
      <c r="K1297" s="27" t="s">
        <v>731</v>
      </c>
      <c r="L1297" s="28">
        <v>444.84258333333003</v>
      </c>
      <c r="M1297" s="27" t="s">
        <v>732</v>
      </c>
      <c r="N1297" s="27" t="s">
        <v>1386</v>
      </c>
      <c r="O1297" s="18">
        <f>G1297*L1297</f>
        <v>70966621.396523878</v>
      </c>
      <c r="P1297" s="214"/>
      <c r="Q1297" s="214"/>
      <c r="R1297" s="27"/>
      <c r="S1297" s="27"/>
      <c r="T1297" s="18"/>
      <c r="U1297" s="27"/>
      <c r="V1297" s="27"/>
      <c r="W1297" s="30"/>
      <c r="X1297" s="27"/>
      <c r="Y1297" s="27"/>
      <c r="Z1297" s="27"/>
      <c r="AA1297" s="27"/>
      <c r="AB1297" s="27"/>
      <c r="AC1297" s="273">
        <v>14928853.70728069</v>
      </c>
      <c r="AD1297" s="27">
        <v>3405134555.2916574</v>
      </c>
      <c r="AE1297" s="228">
        <v>4.3842184397914347E-3</v>
      </c>
      <c r="AF1297" s="27">
        <v>486253214.49564874</v>
      </c>
      <c r="AG1297" s="226">
        <v>3.0701809802461021E-2</v>
      </c>
      <c r="AH1297" s="226">
        <v>0.33398321673538295</v>
      </c>
      <c r="AI1297" s="27">
        <v>522150000</v>
      </c>
      <c r="AJ1297" s="226">
        <v>2.8591120764685798E-2</v>
      </c>
      <c r="AK1297" s="27">
        <v>101422221.77405448</v>
      </c>
      <c r="AL1297" s="226">
        <v>0.14719509636200598</v>
      </c>
      <c r="AM1297" s="27" t="s">
        <v>2842</v>
      </c>
      <c r="AN1297" s="271" t="s">
        <v>2842</v>
      </c>
      <c r="AO1297" s="27">
        <v>13183798</v>
      </c>
      <c r="AP1297" s="27" t="s">
        <v>2842</v>
      </c>
      <c r="AQ1297" s="27">
        <v>54.120146341463418</v>
      </c>
      <c r="AR1297" s="27">
        <v>82.4</v>
      </c>
      <c r="AS1297" s="29">
        <v>42.756720000000001</v>
      </c>
      <c r="AT1297" s="270">
        <v>35</v>
      </c>
      <c r="AU1297" s="464" t="s">
        <v>2842</v>
      </c>
      <c r="AV1297" s="29">
        <v>-0.29942159472943602</v>
      </c>
      <c r="AW1297" s="29">
        <v>-0.47753458972371499</v>
      </c>
      <c r="AX1297" s="29">
        <v>-0.78861405735764301</v>
      </c>
      <c r="AY1297" s="29">
        <v>-0.42081365309733498</v>
      </c>
      <c r="AZ1297" s="60">
        <v>-0.72529246513046297</v>
      </c>
    </row>
    <row r="1298" spans="1:52" ht="15" customHeight="1">
      <c r="A1298" s="63" t="s">
        <v>386</v>
      </c>
      <c r="B1298" s="53">
        <v>2005</v>
      </c>
      <c r="C1298" s="146" t="s">
        <v>387</v>
      </c>
      <c r="D1298" s="69" t="s">
        <v>81</v>
      </c>
      <c r="E1298" s="27" t="s">
        <v>19</v>
      </c>
      <c r="F1298" s="27" t="s">
        <v>1058</v>
      </c>
      <c r="G1298" s="43">
        <v>1269</v>
      </c>
      <c r="H1298" s="43"/>
      <c r="I1298" s="43"/>
      <c r="J1298" s="43"/>
      <c r="K1298" s="27" t="s">
        <v>567</v>
      </c>
      <c r="L1298" s="28">
        <v>55.44</v>
      </c>
      <c r="M1298" s="27" t="s">
        <v>568</v>
      </c>
      <c r="N1298" s="27" t="s">
        <v>1789</v>
      </c>
      <c r="O1298" s="18">
        <f>G1298*L1298</f>
        <v>70353.36</v>
      </c>
      <c r="P1298" s="214"/>
      <c r="Q1298" s="214"/>
      <c r="R1298" s="27"/>
      <c r="S1298" s="27"/>
      <c r="T1298" s="18"/>
      <c r="U1298" s="27"/>
      <c r="V1298" s="27"/>
      <c r="W1298" s="30"/>
      <c r="X1298" s="27"/>
      <c r="Y1298" s="27"/>
      <c r="Z1298" s="27"/>
      <c r="AA1298" s="27"/>
      <c r="AB1298" s="27"/>
      <c r="AC1298" s="273">
        <v>14928853.70728069</v>
      </c>
      <c r="AD1298" s="27">
        <v>3405134555.2916574</v>
      </c>
      <c r="AE1298" s="228">
        <v>4.3842184397914347E-3</v>
      </c>
      <c r="AF1298" s="27">
        <v>486253214.49564874</v>
      </c>
      <c r="AG1298" s="226">
        <v>3.0701809802461021E-2</v>
      </c>
      <c r="AH1298" s="226">
        <v>0.33398321673538295</v>
      </c>
      <c r="AI1298" s="27">
        <v>522150000</v>
      </c>
      <c r="AJ1298" s="226">
        <v>2.8591120764685798E-2</v>
      </c>
      <c r="AK1298" s="27">
        <v>101422221.77405448</v>
      </c>
      <c r="AL1298" s="226">
        <v>0.14719509636200598</v>
      </c>
      <c r="AM1298" s="27" t="s">
        <v>2842</v>
      </c>
      <c r="AN1298" s="271" t="s">
        <v>2842</v>
      </c>
      <c r="AO1298" s="27">
        <v>13183798</v>
      </c>
      <c r="AP1298" s="27" t="s">
        <v>2842</v>
      </c>
      <c r="AQ1298" s="27">
        <v>54.120146341463418</v>
      </c>
      <c r="AR1298" s="27">
        <v>82.4</v>
      </c>
      <c r="AS1298" s="29">
        <v>42.756720000000001</v>
      </c>
      <c r="AT1298" s="270">
        <v>35</v>
      </c>
      <c r="AU1298" s="464" t="s">
        <v>2842</v>
      </c>
      <c r="AV1298" s="29">
        <v>-0.29942159472943602</v>
      </c>
      <c r="AW1298" s="29">
        <v>-0.47753458972371499</v>
      </c>
      <c r="AX1298" s="29">
        <v>-0.78861405735764301</v>
      </c>
      <c r="AY1298" s="29">
        <v>-0.42081365309733498</v>
      </c>
      <c r="AZ1298" s="60">
        <v>-0.72529246513046297</v>
      </c>
    </row>
    <row r="1299" spans="1:52" s="287" customFormat="1" ht="15" customHeight="1">
      <c r="A1299" s="359" t="s">
        <v>386</v>
      </c>
      <c r="B1299" s="302">
        <v>2005</v>
      </c>
      <c r="C1299" s="383" t="s">
        <v>387</v>
      </c>
      <c r="D1299" s="369" t="s">
        <v>81</v>
      </c>
      <c r="E1299" s="284" t="s">
        <v>19</v>
      </c>
      <c r="F1299" s="284" t="s">
        <v>1353</v>
      </c>
      <c r="G1299" s="303">
        <v>3093</v>
      </c>
      <c r="H1299" s="303"/>
      <c r="I1299" s="303"/>
      <c r="J1299" s="303"/>
      <c r="K1299" s="284" t="s">
        <v>567</v>
      </c>
      <c r="L1299" s="304"/>
      <c r="M1299" s="284"/>
      <c r="N1299" s="284" t="s">
        <v>1171</v>
      </c>
      <c r="O1299" s="305"/>
      <c r="P1299" s="346"/>
      <c r="Q1299" s="346"/>
      <c r="R1299" s="284"/>
      <c r="S1299" s="284"/>
      <c r="T1299" s="305"/>
      <c r="U1299" s="284"/>
      <c r="V1299" s="284"/>
      <c r="W1299" s="307"/>
      <c r="X1299" s="284"/>
      <c r="Y1299" s="284"/>
      <c r="Z1299" s="284"/>
      <c r="AA1299" s="284"/>
      <c r="AB1299" s="284"/>
      <c r="AC1299" s="308">
        <v>14928853.70728069</v>
      </c>
      <c r="AD1299" s="284">
        <v>3405134555.2916574</v>
      </c>
      <c r="AE1299" s="309">
        <v>4.3842184397914347E-3</v>
      </c>
      <c r="AF1299" s="284">
        <v>486253214.49564874</v>
      </c>
      <c r="AG1299" s="310">
        <v>3.0701809802461021E-2</v>
      </c>
      <c r="AH1299" s="310">
        <v>0.33398321673538295</v>
      </c>
      <c r="AI1299" s="284">
        <v>522150000</v>
      </c>
      <c r="AJ1299" s="310">
        <v>2.8591120764685798E-2</v>
      </c>
      <c r="AK1299" s="284">
        <v>101422221.77405448</v>
      </c>
      <c r="AL1299" s="310">
        <v>0.14719509636200598</v>
      </c>
      <c r="AM1299" s="284" t="s">
        <v>2842</v>
      </c>
      <c r="AN1299" s="311" t="s">
        <v>2842</v>
      </c>
      <c r="AO1299" s="284">
        <v>13183798</v>
      </c>
      <c r="AP1299" s="284" t="s">
        <v>2842</v>
      </c>
      <c r="AQ1299" s="284">
        <v>54.120146341463418</v>
      </c>
      <c r="AR1299" s="284">
        <v>82.4</v>
      </c>
      <c r="AS1299" s="287">
        <v>42.756720000000001</v>
      </c>
      <c r="AT1299" s="312">
        <v>35</v>
      </c>
      <c r="AU1299" s="465" t="s">
        <v>2842</v>
      </c>
      <c r="AV1299" s="287">
        <v>-0.29942159472943602</v>
      </c>
      <c r="AW1299" s="287">
        <v>-0.47753458972371499</v>
      </c>
      <c r="AX1299" s="287">
        <v>-0.78861405735764301</v>
      </c>
      <c r="AY1299" s="287">
        <v>-0.42081365309733498</v>
      </c>
      <c r="AZ1299" s="313">
        <v>-0.72529246513046297</v>
      </c>
    </row>
    <row r="1300" spans="1:52" s="29" customFormat="1" ht="15" customHeight="1">
      <c r="A1300" s="347" t="s">
        <v>390</v>
      </c>
      <c r="B1300" s="53">
        <v>2006</v>
      </c>
      <c r="C1300" s="146" t="s">
        <v>387</v>
      </c>
      <c r="D1300" s="69" t="s">
        <v>81</v>
      </c>
      <c r="E1300" s="27" t="s">
        <v>19</v>
      </c>
      <c r="F1300" s="27" t="s">
        <v>659</v>
      </c>
      <c r="G1300" s="43"/>
      <c r="H1300" s="43"/>
      <c r="I1300" s="43"/>
      <c r="J1300" s="43"/>
      <c r="K1300" s="27"/>
      <c r="L1300" s="28"/>
      <c r="M1300" s="27"/>
      <c r="N1300" s="27"/>
      <c r="O1300" s="18">
        <f>SUM(O1301:O1303)</f>
        <v>61675160.615972482</v>
      </c>
      <c r="P1300" s="214">
        <v>25063833.699167486</v>
      </c>
      <c r="Q1300" s="214">
        <v>25374332.380495336</v>
      </c>
      <c r="R1300" s="27" t="s">
        <v>619</v>
      </c>
      <c r="S1300" s="27"/>
      <c r="T1300" s="18"/>
      <c r="U1300" s="27" t="s">
        <v>777</v>
      </c>
      <c r="V1300" s="27"/>
      <c r="W1300" s="30">
        <v>479.27</v>
      </c>
      <c r="X1300" s="27"/>
      <c r="Y1300" s="27"/>
      <c r="Z1300" s="27">
        <v>13</v>
      </c>
      <c r="AA1300" s="27"/>
      <c r="AB1300" s="27"/>
      <c r="AC1300" s="273">
        <v>25063833.699167486</v>
      </c>
      <c r="AD1300" s="27">
        <v>3646727993.0369811</v>
      </c>
      <c r="AE1300" s="228">
        <v>6.8729649557148411E-3</v>
      </c>
      <c r="AF1300" s="27">
        <v>546644526.15624344</v>
      </c>
      <c r="AG1300" s="226">
        <v>4.5850333260272456E-2</v>
      </c>
      <c r="AH1300" s="226">
        <v>0.32179289709826642</v>
      </c>
      <c r="AI1300" s="27">
        <v>544410000</v>
      </c>
      <c r="AJ1300" s="226">
        <v>4.6038525558251109E-2</v>
      </c>
      <c r="AK1300" s="27">
        <v>115801618.29219109</v>
      </c>
      <c r="AL1300" s="226">
        <v>0.21643768082693218</v>
      </c>
      <c r="AM1300" s="27">
        <v>121584099.32464877</v>
      </c>
      <c r="AN1300" s="271">
        <v>0.20614400927742277</v>
      </c>
      <c r="AO1300" s="27">
        <v>13679705</v>
      </c>
      <c r="AP1300" s="27" t="s">
        <v>2842</v>
      </c>
      <c r="AQ1300" s="27">
        <v>54.75141463414635</v>
      </c>
      <c r="AR1300" s="27">
        <v>78.7</v>
      </c>
      <c r="AS1300" s="29">
        <v>44.070430000000002</v>
      </c>
      <c r="AT1300" s="270">
        <v>35</v>
      </c>
      <c r="AU1300" s="464" t="s">
        <v>2842</v>
      </c>
      <c r="AV1300" s="29">
        <v>-0.38839845249419203</v>
      </c>
      <c r="AW1300" s="29">
        <v>-0.233169147210184</v>
      </c>
      <c r="AX1300" s="29">
        <v>-0.79821619778679698</v>
      </c>
      <c r="AY1300" s="29">
        <v>-0.498181393717259</v>
      </c>
      <c r="AZ1300" s="60">
        <v>-0.854506371170488</v>
      </c>
    </row>
    <row r="1301" spans="1:52" s="29" customFormat="1" ht="15" customHeight="1">
      <c r="A1301" s="63" t="s">
        <v>390</v>
      </c>
      <c r="B1301" s="53">
        <v>2006</v>
      </c>
      <c r="C1301" s="146" t="s">
        <v>387</v>
      </c>
      <c r="D1301" s="69" t="s">
        <v>81</v>
      </c>
      <c r="E1301" s="27" t="s">
        <v>19</v>
      </c>
      <c r="F1301" s="27" t="s">
        <v>573</v>
      </c>
      <c r="G1301" s="43">
        <v>176320</v>
      </c>
      <c r="H1301" s="43"/>
      <c r="I1301" s="43"/>
      <c r="J1301" s="43"/>
      <c r="K1301" s="27" t="s">
        <v>567</v>
      </c>
      <c r="L1301" s="28">
        <v>61.17946892471906</v>
      </c>
      <c r="M1301" s="27" t="s">
        <v>568</v>
      </c>
      <c r="N1301" s="27" t="s">
        <v>1788</v>
      </c>
      <c r="O1301" s="18">
        <f>G1301*L1301</f>
        <v>10787163.960806465</v>
      </c>
      <c r="P1301" s="214"/>
      <c r="Q1301" s="214"/>
      <c r="R1301" s="27"/>
      <c r="S1301" s="27"/>
      <c r="T1301" s="18"/>
      <c r="U1301" s="27"/>
      <c r="V1301" s="27"/>
      <c r="W1301" s="30"/>
      <c r="X1301" s="27"/>
      <c r="Y1301" s="27"/>
      <c r="Z1301" s="27"/>
      <c r="AA1301" s="27"/>
      <c r="AB1301" s="27"/>
      <c r="AC1301" s="273">
        <v>25063833.699167486</v>
      </c>
      <c r="AD1301" s="27">
        <v>3646727993.0369811</v>
      </c>
      <c r="AE1301" s="228">
        <v>6.8729649557148411E-3</v>
      </c>
      <c r="AF1301" s="27">
        <v>546644526.15624344</v>
      </c>
      <c r="AG1301" s="226">
        <v>4.5850333260272456E-2</v>
      </c>
      <c r="AH1301" s="226">
        <v>0.32179289709826642</v>
      </c>
      <c r="AI1301" s="27">
        <v>544410000</v>
      </c>
      <c r="AJ1301" s="226">
        <v>4.6038525558251109E-2</v>
      </c>
      <c r="AK1301" s="27">
        <v>115801618.29219109</v>
      </c>
      <c r="AL1301" s="226">
        <v>0.21643768082693218</v>
      </c>
      <c r="AM1301" s="27">
        <v>121584099.32464877</v>
      </c>
      <c r="AN1301" s="271">
        <v>0.20614400927742277</v>
      </c>
      <c r="AO1301" s="27">
        <v>13679705</v>
      </c>
      <c r="AP1301" s="27" t="s">
        <v>2842</v>
      </c>
      <c r="AQ1301" s="27">
        <v>54.75141463414635</v>
      </c>
      <c r="AR1301" s="27">
        <v>78.7</v>
      </c>
      <c r="AS1301" s="29">
        <v>44.070430000000002</v>
      </c>
      <c r="AT1301" s="270">
        <v>35</v>
      </c>
      <c r="AU1301" s="464" t="s">
        <v>2842</v>
      </c>
      <c r="AV1301" s="29">
        <v>-0.38839845249419203</v>
      </c>
      <c r="AW1301" s="29">
        <v>-0.233169147210184</v>
      </c>
      <c r="AX1301" s="29">
        <v>-0.79821619778679698</v>
      </c>
      <c r="AY1301" s="29">
        <v>-0.498181393717259</v>
      </c>
      <c r="AZ1301" s="60">
        <v>-0.854506371170488</v>
      </c>
    </row>
    <row r="1302" spans="1:52" s="29" customFormat="1" ht="15" customHeight="1">
      <c r="A1302" s="63" t="s">
        <v>390</v>
      </c>
      <c r="B1302" s="53">
        <v>2006</v>
      </c>
      <c r="C1302" s="146" t="s">
        <v>387</v>
      </c>
      <c r="D1302" s="69" t="s">
        <v>81</v>
      </c>
      <c r="E1302" s="27" t="s">
        <v>19</v>
      </c>
      <c r="F1302" s="27" t="s">
        <v>1773</v>
      </c>
      <c r="G1302" s="43">
        <f>2615*32.150743126506</f>
        <v>84074.193275813188</v>
      </c>
      <c r="H1302" s="43"/>
      <c r="I1302" s="43"/>
      <c r="J1302" s="43"/>
      <c r="K1302" s="27" t="s">
        <v>731</v>
      </c>
      <c r="L1302" s="28">
        <v>604.33583333333002</v>
      </c>
      <c r="M1302" s="27" t="s">
        <v>732</v>
      </c>
      <c r="N1302" s="27" t="s">
        <v>1386</v>
      </c>
      <c r="O1302" s="18">
        <f>G1302*L1302</f>
        <v>50809047.655166015</v>
      </c>
      <c r="P1302" s="214"/>
      <c r="Q1302" s="214"/>
      <c r="R1302" s="27"/>
      <c r="S1302" s="27"/>
      <c r="T1302" s="18"/>
      <c r="U1302" s="27"/>
      <c r="V1302" s="27"/>
      <c r="W1302" s="30"/>
      <c r="X1302" s="27"/>
      <c r="Y1302" s="27"/>
      <c r="Z1302" s="27"/>
      <c r="AA1302" s="27"/>
      <c r="AB1302" s="27"/>
      <c r="AC1302" s="273">
        <v>25063833.699167486</v>
      </c>
      <c r="AD1302" s="27">
        <v>3646727993.0369811</v>
      </c>
      <c r="AE1302" s="228">
        <v>6.8729649557148411E-3</v>
      </c>
      <c r="AF1302" s="27">
        <v>546644526.15624344</v>
      </c>
      <c r="AG1302" s="226">
        <v>4.5850333260272456E-2</v>
      </c>
      <c r="AH1302" s="226">
        <v>0.32179289709826642</v>
      </c>
      <c r="AI1302" s="27">
        <v>544410000</v>
      </c>
      <c r="AJ1302" s="226">
        <v>4.6038525558251109E-2</v>
      </c>
      <c r="AK1302" s="27">
        <v>115801618.29219109</v>
      </c>
      <c r="AL1302" s="226">
        <v>0.21643768082693218</v>
      </c>
      <c r="AM1302" s="27">
        <v>121584099.32464877</v>
      </c>
      <c r="AN1302" s="271">
        <v>0.20614400927742277</v>
      </c>
      <c r="AO1302" s="27">
        <v>13679705</v>
      </c>
      <c r="AP1302" s="27" t="s">
        <v>2842</v>
      </c>
      <c r="AQ1302" s="27">
        <v>54.75141463414635</v>
      </c>
      <c r="AR1302" s="27">
        <v>78.7</v>
      </c>
      <c r="AS1302" s="29">
        <v>44.070430000000002</v>
      </c>
      <c r="AT1302" s="270">
        <v>35</v>
      </c>
      <c r="AU1302" s="464" t="s">
        <v>2842</v>
      </c>
      <c r="AV1302" s="29">
        <v>-0.38839845249419203</v>
      </c>
      <c r="AW1302" s="29">
        <v>-0.233169147210184</v>
      </c>
      <c r="AX1302" s="29">
        <v>-0.79821619778679698</v>
      </c>
      <c r="AY1302" s="29">
        <v>-0.498181393717259</v>
      </c>
      <c r="AZ1302" s="60">
        <v>-0.854506371170488</v>
      </c>
    </row>
    <row r="1303" spans="1:52" s="29" customFormat="1" ht="15" customHeight="1">
      <c r="A1303" s="63" t="s">
        <v>390</v>
      </c>
      <c r="B1303" s="53">
        <v>2006</v>
      </c>
      <c r="C1303" s="146" t="s">
        <v>387</v>
      </c>
      <c r="D1303" s="69" t="s">
        <v>81</v>
      </c>
      <c r="E1303" s="27" t="s">
        <v>19</v>
      </c>
      <c r="F1303" s="27" t="s">
        <v>1058</v>
      </c>
      <c r="G1303" s="43">
        <v>1300</v>
      </c>
      <c r="H1303" s="43"/>
      <c r="I1303" s="43"/>
      <c r="J1303" s="43"/>
      <c r="K1303" s="27" t="s">
        <v>567</v>
      </c>
      <c r="L1303" s="28">
        <v>60.73</v>
      </c>
      <c r="M1303" s="27" t="s">
        <v>568</v>
      </c>
      <c r="N1303" s="27" t="s">
        <v>1789</v>
      </c>
      <c r="O1303" s="18">
        <f>G1303*L1303</f>
        <v>78949</v>
      </c>
      <c r="P1303" s="214"/>
      <c r="Q1303" s="214"/>
      <c r="R1303" s="27"/>
      <c r="S1303" s="27"/>
      <c r="T1303" s="18"/>
      <c r="U1303" s="27"/>
      <c r="V1303" s="27"/>
      <c r="W1303" s="30"/>
      <c r="X1303" s="27"/>
      <c r="Y1303" s="27"/>
      <c r="Z1303" s="27"/>
      <c r="AA1303" s="27"/>
      <c r="AB1303" s="27"/>
      <c r="AC1303" s="273">
        <v>25063833.699167486</v>
      </c>
      <c r="AD1303" s="27">
        <v>3646727993.0369811</v>
      </c>
      <c r="AE1303" s="228">
        <v>6.8729649557148411E-3</v>
      </c>
      <c r="AF1303" s="27">
        <v>546644526.15624344</v>
      </c>
      <c r="AG1303" s="226">
        <v>4.5850333260272456E-2</v>
      </c>
      <c r="AH1303" s="226">
        <v>0.32179289709826642</v>
      </c>
      <c r="AI1303" s="27">
        <v>544410000</v>
      </c>
      <c r="AJ1303" s="226">
        <v>4.6038525558251109E-2</v>
      </c>
      <c r="AK1303" s="27">
        <v>115801618.29219109</v>
      </c>
      <c r="AL1303" s="226">
        <v>0.21643768082693218</v>
      </c>
      <c r="AM1303" s="27">
        <v>121584099.32464877</v>
      </c>
      <c r="AN1303" s="271">
        <v>0.20614400927742277</v>
      </c>
      <c r="AO1303" s="27">
        <v>13679705</v>
      </c>
      <c r="AP1303" s="27" t="s">
        <v>2842</v>
      </c>
      <c r="AQ1303" s="27">
        <v>54.75141463414635</v>
      </c>
      <c r="AR1303" s="27">
        <v>78.7</v>
      </c>
      <c r="AS1303" s="29">
        <v>44.070430000000002</v>
      </c>
      <c r="AT1303" s="270">
        <v>35</v>
      </c>
      <c r="AU1303" s="464" t="s">
        <v>2842</v>
      </c>
      <c r="AV1303" s="29">
        <v>-0.38839845249419203</v>
      </c>
      <c r="AW1303" s="29">
        <v>-0.233169147210184</v>
      </c>
      <c r="AX1303" s="29">
        <v>-0.79821619778679698</v>
      </c>
      <c r="AY1303" s="29">
        <v>-0.498181393717259</v>
      </c>
      <c r="AZ1303" s="60">
        <v>-0.854506371170488</v>
      </c>
    </row>
    <row r="1304" spans="1:52" s="287" customFormat="1" ht="15" customHeight="1">
      <c r="A1304" s="359" t="s">
        <v>390</v>
      </c>
      <c r="B1304" s="302">
        <v>2006</v>
      </c>
      <c r="C1304" s="383" t="s">
        <v>387</v>
      </c>
      <c r="D1304" s="369" t="s">
        <v>81</v>
      </c>
      <c r="E1304" s="284" t="s">
        <v>19</v>
      </c>
      <c r="F1304" s="284" t="s">
        <v>1353</v>
      </c>
      <c r="G1304" s="303">
        <v>3434</v>
      </c>
      <c r="H1304" s="303"/>
      <c r="I1304" s="303"/>
      <c r="J1304" s="303"/>
      <c r="K1304" s="284" t="s">
        <v>567</v>
      </c>
      <c r="L1304" s="304"/>
      <c r="M1304" s="284"/>
      <c r="N1304" s="284" t="s">
        <v>1171</v>
      </c>
      <c r="O1304" s="305"/>
      <c r="P1304" s="346"/>
      <c r="Q1304" s="346"/>
      <c r="R1304" s="284"/>
      <c r="S1304" s="284"/>
      <c r="T1304" s="305"/>
      <c r="U1304" s="284"/>
      <c r="V1304" s="284"/>
      <c r="W1304" s="307"/>
      <c r="X1304" s="284"/>
      <c r="Y1304" s="284"/>
      <c r="Z1304" s="284"/>
      <c r="AA1304" s="284"/>
      <c r="AB1304" s="284"/>
      <c r="AC1304" s="308">
        <v>25063833.699167486</v>
      </c>
      <c r="AD1304" s="284">
        <v>3646727993.0369811</v>
      </c>
      <c r="AE1304" s="309">
        <v>6.8729649557148411E-3</v>
      </c>
      <c r="AF1304" s="284">
        <v>546644526.15624344</v>
      </c>
      <c r="AG1304" s="310">
        <v>4.5850333260272456E-2</v>
      </c>
      <c r="AH1304" s="310">
        <v>0.32179289709826642</v>
      </c>
      <c r="AI1304" s="284">
        <v>544410000</v>
      </c>
      <c r="AJ1304" s="310">
        <v>4.6038525558251109E-2</v>
      </c>
      <c r="AK1304" s="284">
        <v>115801618.29219109</v>
      </c>
      <c r="AL1304" s="310">
        <v>0.21643768082693218</v>
      </c>
      <c r="AM1304" s="284">
        <v>121584099.32464877</v>
      </c>
      <c r="AN1304" s="311">
        <v>0.20614400927742277</v>
      </c>
      <c r="AO1304" s="284">
        <v>13679705</v>
      </c>
      <c r="AP1304" s="284" t="s">
        <v>2842</v>
      </c>
      <c r="AQ1304" s="284">
        <v>54.75141463414635</v>
      </c>
      <c r="AR1304" s="284">
        <v>78.7</v>
      </c>
      <c r="AS1304" s="287">
        <v>44.070430000000002</v>
      </c>
      <c r="AT1304" s="312">
        <v>35</v>
      </c>
      <c r="AU1304" s="465" t="s">
        <v>2842</v>
      </c>
      <c r="AV1304" s="287">
        <v>-0.38839845249419203</v>
      </c>
      <c r="AW1304" s="287">
        <v>-0.233169147210184</v>
      </c>
      <c r="AX1304" s="287">
        <v>-0.79821619778679698</v>
      </c>
      <c r="AY1304" s="287">
        <v>-0.498181393717259</v>
      </c>
      <c r="AZ1304" s="313">
        <v>-0.854506371170488</v>
      </c>
    </row>
    <row r="1305" spans="1:52" ht="15" customHeight="1">
      <c r="A1305" s="347" t="s">
        <v>392</v>
      </c>
      <c r="B1305" s="53">
        <v>2007</v>
      </c>
      <c r="C1305" s="146" t="s">
        <v>387</v>
      </c>
      <c r="D1305" s="69" t="s">
        <v>81</v>
      </c>
      <c r="E1305" s="27" t="s">
        <v>19</v>
      </c>
      <c r="F1305" s="27" t="s">
        <v>659</v>
      </c>
      <c r="G1305" s="43"/>
      <c r="H1305" s="43"/>
      <c r="I1305" s="43"/>
      <c r="J1305" s="43"/>
      <c r="K1305" s="27"/>
      <c r="L1305" s="28"/>
      <c r="M1305" s="27"/>
      <c r="N1305" s="27"/>
      <c r="O1305" s="18">
        <f>SUM(O1306:O1308)</f>
        <v>89666287.341742158</v>
      </c>
      <c r="P1305" s="214">
        <v>147175593.54643524</v>
      </c>
      <c r="Q1305" s="214">
        <v>147175593.54643524</v>
      </c>
      <c r="R1305" s="27" t="s">
        <v>619</v>
      </c>
      <c r="S1305" s="27"/>
      <c r="T1305" s="18"/>
      <c r="U1305" s="27" t="s">
        <v>1025</v>
      </c>
      <c r="V1305" s="27"/>
      <c r="W1305" s="30">
        <v>479.27</v>
      </c>
      <c r="X1305" s="27"/>
      <c r="Y1305" s="27"/>
      <c r="Z1305" s="27">
        <v>68</v>
      </c>
      <c r="AA1305" s="27"/>
      <c r="AB1305" s="27"/>
      <c r="AC1305" s="273">
        <v>147175593.54643524</v>
      </c>
      <c r="AD1305" s="27">
        <v>4291363546.824791</v>
      </c>
      <c r="AE1305" s="228">
        <v>3.4295764490829835E-2</v>
      </c>
      <c r="AF1305" s="27">
        <v>701981248.98959935</v>
      </c>
      <c r="AG1305" s="226">
        <v>0.20965744278536394</v>
      </c>
      <c r="AH1305" s="226">
        <v>0.48957989658472773</v>
      </c>
      <c r="AI1305" s="27">
        <v>544300000</v>
      </c>
      <c r="AJ1305" s="226">
        <v>0.27039425601035316</v>
      </c>
      <c r="AK1305" s="27">
        <v>114273315.52119805</v>
      </c>
      <c r="AL1305" s="226">
        <v>1.2879261695976059</v>
      </c>
      <c r="AM1305" s="27">
        <v>172554440.80876079</v>
      </c>
      <c r="AN1305" s="271">
        <v>0.85292266519844306</v>
      </c>
      <c r="AO1305" s="27">
        <v>14197289</v>
      </c>
      <c r="AP1305" s="27">
        <v>59.5</v>
      </c>
      <c r="AQ1305" s="27">
        <v>55.353146341463422</v>
      </c>
      <c r="AR1305" s="27">
        <v>75.2</v>
      </c>
      <c r="AS1305" s="29">
        <v>45.302909999999997</v>
      </c>
      <c r="AT1305" s="270">
        <v>35</v>
      </c>
      <c r="AU1305" s="464" t="s">
        <v>2842</v>
      </c>
      <c r="AV1305" s="29">
        <v>-0.42877526295087998</v>
      </c>
      <c r="AW1305" s="29">
        <v>-0.45958424405975401</v>
      </c>
      <c r="AX1305" s="29">
        <v>-0.78642460572514605</v>
      </c>
      <c r="AY1305" s="29">
        <v>-0.50030816063510797</v>
      </c>
      <c r="AZ1305" s="60">
        <v>-0.77649622509326099</v>
      </c>
    </row>
    <row r="1306" spans="1:52" ht="15" customHeight="1">
      <c r="A1306" s="63" t="s">
        <v>392</v>
      </c>
      <c r="B1306" s="53">
        <v>2007</v>
      </c>
      <c r="C1306" s="146" t="s">
        <v>387</v>
      </c>
      <c r="D1306" s="69" t="s">
        <v>81</v>
      </c>
      <c r="E1306" s="27" t="s">
        <v>19</v>
      </c>
      <c r="F1306" s="27" t="s">
        <v>573</v>
      </c>
      <c r="G1306" s="43">
        <v>171296</v>
      </c>
      <c r="H1306" s="43"/>
      <c r="I1306" s="43"/>
      <c r="J1306" s="43"/>
      <c r="K1306" s="27" t="s">
        <v>567</v>
      </c>
      <c r="L1306" s="28">
        <v>74.838160071314121</v>
      </c>
      <c r="M1306" s="27" t="s">
        <v>568</v>
      </c>
      <c r="N1306" s="27" t="s">
        <v>1791</v>
      </c>
      <c r="O1306" s="18">
        <f>G1306*L1306</f>
        <v>12819477.467575824</v>
      </c>
      <c r="P1306" s="214"/>
      <c r="Q1306" s="214"/>
      <c r="R1306" s="27"/>
      <c r="S1306" s="27"/>
      <c r="T1306" s="18"/>
      <c r="U1306" s="27"/>
      <c r="V1306" s="27"/>
      <c r="W1306" s="30"/>
      <c r="X1306" s="27"/>
      <c r="Y1306" s="27"/>
      <c r="Z1306" s="27"/>
      <c r="AA1306" s="27"/>
      <c r="AB1306" s="27"/>
      <c r="AC1306" s="273">
        <v>147175593.54643524</v>
      </c>
      <c r="AD1306" s="27">
        <v>4291363546.824791</v>
      </c>
      <c r="AE1306" s="228">
        <v>3.4295764490829835E-2</v>
      </c>
      <c r="AF1306" s="27">
        <v>701981248.98959935</v>
      </c>
      <c r="AG1306" s="226">
        <v>0.20965744278536394</v>
      </c>
      <c r="AH1306" s="226">
        <v>0.48957989658472773</v>
      </c>
      <c r="AI1306" s="27">
        <v>544300000</v>
      </c>
      <c r="AJ1306" s="226">
        <v>0.27039425601035316</v>
      </c>
      <c r="AK1306" s="27">
        <v>114273315.52119805</v>
      </c>
      <c r="AL1306" s="226">
        <v>1.2879261695976059</v>
      </c>
      <c r="AM1306" s="27">
        <v>172554440.80876079</v>
      </c>
      <c r="AN1306" s="271">
        <v>0.85292266519844306</v>
      </c>
      <c r="AO1306" s="27">
        <v>14197289</v>
      </c>
      <c r="AP1306" s="27">
        <v>59.5</v>
      </c>
      <c r="AQ1306" s="27">
        <v>55.353146341463422</v>
      </c>
      <c r="AR1306" s="27">
        <v>75.2</v>
      </c>
      <c r="AS1306" s="29">
        <v>45.302909999999997</v>
      </c>
      <c r="AT1306" s="270">
        <v>35</v>
      </c>
      <c r="AU1306" s="464" t="s">
        <v>2842</v>
      </c>
      <c r="AV1306" s="29">
        <v>-0.42877526295087998</v>
      </c>
      <c r="AW1306" s="29">
        <v>-0.45958424405975401</v>
      </c>
      <c r="AX1306" s="29">
        <v>-0.78642460572514605</v>
      </c>
      <c r="AY1306" s="29">
        <v>-0.50030816063510797</v>
      </c>
      <c r="AZ1306" s="60">
        <v>-0.77649622509326099</v>
      </c>
    </row>
    <row r="1307" spans="1:52" ht="15" customHeight="1">
      <c r="A1307" s="63" t="s">
        <v>392</v>
      </c>
      <c r="B1307" s="53">
        <v>2007</v>
      </c>
      <c r="C1307" s="146" t="s">
        <v>387</v>
      </c>
      <c r="D1307" s="69" t="s">
        <v>81</v>
      </c>
      <c r="E1307" s="27" t="s">
        <v>19</v>
      </c>
      <c r="F1307" s="27" t="s">
        <v>1773</v>
      </c>
      <c r="G1307" s="43">
        <f>3427*32.150743126506</f>
        <v>110180.59669453607</v>
      </c>
      <c r="H1307" s="43"/>
      <c r="I1307" s="43"/>
      <c r="J1307" s="43"/>
      <c r="K1307" s="27" t="s">
        <v>731</v>
      </c>
      <c r="L1307" s="28">
        <v>696.72024999999996</v>
      </c>
      <c r="M1307" s="27" t="s">
        <v>732</v>
      </c>
      <c r="N1307" s="27" t="s">
        <v>782</v>
      </c>
      <c r="O1307" s="18">
        <f>G1307*L1307</f>
        <v>76765052.87416634</v>
      </c>
      <c r="P1307" s="214"/>
      <c r="Q1307" s="214"/>
      <c r="R1307" s="27"/>
      <c r="S1307" s="27"/>
      <c r="T1307" s="18"/>
      <c r="U1307" s="27"/>
      <c r="V1307" s="27"/>
      <c r="W1307" s="30"/>
      <c r="X1307" s="27"/>
      <c r="Y1307" s="27"/>
      <c r="Z1307" s="27"/>
      <c r="AA1307" s="27"/>
      <c r="AB1307" s="27"/>
      <c r="AC1307" s="273">
        <v>147175593.54643524</v>
      </c>
      <c r="AD1307" s="27">
        <v>4291363546.824791</v>
      </c>
      <c r="AE1307" s="228">
        <v>3.4295764490829835E-2</v>
      </c>
      <c r="AF1307" s="27">
        <v>701981248.98959935</v>
      </c>
      <c r="AG1307" s="226">
        <v>0.20965744278536394</v>
      </c>
      <c r="AH1307" s="226">
        <v>0.48957989658472773</v>
      </c>
      <c r="AI1307" s="27">
        <v>544300000</v>
      </c>
      <c r="AJ1307" s="226">
        <v>0.27039425601035316</v>
      </c>
      <c r="AK1307" s="27">
        <v>114273315.52119805</v>
      </c>
      <c r="AL1307" s="226">
        <v>1.2879261695976059</v>
      </c>
      <c r="AM1307" s="27">
        <v>172554440.80876079</v>
      </c>
      <c r="AN1307" s="271">
        <v>0.85292266519844306</v>
      </c>
      <c r="AO1307" s="27">
        <v>14197289</v>
      </c>
      <c r="AP1307" s="27">
        <v>59.5</v>
      </c>
      <c r="AQ1307" s="27">
        <v>55.353146341463422</v>
      </c>
      <c r="AR1307" s="27">
        <v>75.2</v>
      </c>
      <c r="AS1307" s="29">
        <v>45.302909999999997</v>
      </c>
      <c r="AT1307" s="270">
        <v>35</v>
      </c>
      <c r="AU1307" s="464" t="s">
        <v>2842</v>
      </c>
      <c r="AV1307" s="29">
        <v>-0.42877526295087998</v>
      </c>
      <c r="AW1307" s="29">
        <v>-0.45958424405975401</v>
      </c>
      <c r="AX1307" s="29">
        <v>-0.78642460572514605</v>
      </c>
      <c r="AY1307" s="29">
        <v>-0.50030816063510797</v>
      </c>
      <c r="AZ1307" s="60">
        <v>-0.77649622509326099</v>
      </c>
    </row>
    <row r="1308" spans="1:52" ht="15" customHeight="1">
      <c r="A1308" s="63" t="s">
        <v>392</v>
      </c>
      <c r="B1308" s="53">
        <v>2007</v>
      </c>
      <c r="C1308" s="146" t="s">
        <v>387</v>
      </c>
      <c r="D1308" s="69" t="s">
        <v>81</v>
      </c>
      <c r="E1308" s="27" t="s">
        <v>19</v>
      </c>
      <c r="F1308" s="27" t="s">
        <v>1058</v>
      </c>
      <c r="G1308" s="43">
        <v>1300</v>
      </c>
      <c r="H1308" s="43"/>
      <c r="I1308" s="43"/>
      <c r="J1308" s="43"/>
      <c r="K1308" s="27" t="s">
        <v>567</v>
      </c>
      <c r="L1308" s="28">
        <v>62.89</v>
      </c>
      <c r="M1308" s="27" t="s">
        <v>568</v>
      </c>
      <c r="N1308" s="27" t="s">
        <v>1073</v>
      </c>
      <c r="O1308" s="18">
        <f>G1308*L1308</f>
        <v>81757</v>
      </c>
      <c r="P1308" s="214"/>
      <c r="Q1308" s="214"/>
      <c r="R1308" s="27"/>
      <c r="S1308" s="27"/>
      <c r="T1308" s="18"/>
      <c r="U1308" s="27"/>
      <c r="V1308" s="27"/>
      <c r="W1308" s="30"/>
      <c r="X1308" s="27"/>
      <c r="Y1308" s="27"/>
      <c r="Z1308" s="27"/>
      <c r="AA1308" s="27"/>
      <c r="AB1308" s="27"/>
      <c r="AC1308" s="273">
        <v>147175593.54643524</v>
      </c>
      <c r="AD1308" s="27">
        <v>4291363546.824791</v>
      </c>
      <c r="AE1308" s="228">
        <v>3.4295764490829835E-2</v>
      </c>
      <c r="AF1308" s="27">
        <v>701981248.98959935</v>
      </c>
      <c r="AG1308" s="226">
        <v>0.20965744278536394</v>
      </c>
      <c r="AH1308" s="226">
        <v>0.48957989658472773</v>
      </c>
      <c r="AI1308" s="27">
        <v>544300000</v>
      </c>
      <c r="AJ1308" s="226">
        <v>0.27039425601035316</v>
      </c>
      <c r="AK1308" s="27">
        <v>114273315.52119805</v>
      </c>
      <c r="AL1308" s="226">
        <v>1.2879261695976059</v>
      </c>
      <c r="AM1308" s="27">
        <v>172554440.80876079</v>
      </c>
      <c r="AN1308" s="271">
        <v>0.85292266519844306</v>
      </c>
      <c r="AO1308" s="27">
        <v>14197289</v>
      </c>
      <c r="AP1308" s="27">
        <v>59.5</v>
      </c>
      <c r="AQ1308" s="27">
        <v>55.353146341463422</v>
      </c>
      <c r="AR1308" s="27">
        <v>75.2</v>
      </c>
      <c r="AS1308" s="29">
        <v>45.302909999999997</v>
      </c>
      <c r="AT1308" s="270">
        <v>35</v>
      </c>
      <c r="AU1308" s="464" t="s">
        <v>2842</v>
      </c>
      <c r="AV1308" s="29">
        <v>-0.42877526295087998</v>
      </c>
      <c r="AW1308" s="29">
        <v>-0.45958424405975401</v>
      </c>
      <c r="AX1308" s="29">
        <v>-0.78642460572514605</v>
      </c>
      <c r="AY1308" s="29">
        <v>-0.50030816063510797</v>
      </c>
      <c r="AZ1308" s="60">
        <v>-0.77649622509326099</v>
      </c>
    </row>
    <row r="1309" spans="1:52" s="287" customFormat="1" ht="15" customHeight="1">
      <c r="A1309" s="359" t="s">
        <v>392</v>
      </c>
      <c r="B1309" s="302">
        <v>2007</v>
      </c>
      <c r="C1309" s="383" t="s">
        <v>387</v>
      </c>
      <c r="D1309" s="369" t="s">
        <v>81</v>
      </c>
      <c r="E1309" s="284" t="s">
        <v>19</v>
      </c>
      <c r="F1309" s="284" t="s">
        <v>1353</v>
      </c>
      <c r="G1309" s="303">
        <v>3153</v>
      </c>
      <c r="H1309" s="303"/>
      <c r="I1309" s="303"/>
      <c r="J1309" s="303"/>
      <c r="K1309" s="284" t="s">
        <v>567</v>
      </c>
      <c r="L1309" s="304"/>
      <c r="M1309" s="284"/>
      <c r="N1309" s="284" t="s">
        <v>788</v>
      </c>
      <c r="O1309" s="305"/>
      <c r="P1309" s="346"/>
      <c r="Q1309" s="346"/>
      <c r="R1309" s="284"/>
      <c r="S1309" s="284"/>
      <c r="T1309" s="305"/>
      <c r="U1309" s="284"/>
      <c r="V1309" s="284"/>
      <c r="W1309" s="307"/>
      <c r="X1309" s="284"/>
      <c r="Y1309" s="284"/>
      <c r="Z1309" s="284"/>
      <c r="AA1309" s="284"/>
      <c r="AB1309" s="284"/>
      <c r="AC1309" s="308">
        <v>147175593.54643524</v>
      </c>
      <c r="AD1309" s="284">
        <v>4291363546.824791</v>
      </c>
      <c r="AE1309" s="309">
        <v>3.4295764490829835E-2</v>
      </c>
      <c r="AF1309" s="284">
        <v>701981248.98959935</v>
      </c>
      <c r="AG1309" s="310">
        <v>0.20965744278536394</v>
      </c>
      <c r="AH1309" s="310">
        <v>0.48957989658472773</v>
      </c>
      <c r="AI1309" s="284">
        <v>544300000</v>
      </c>
      <c r="AJ1309" s="310">
        <v>0.27039425601035316</v>
      </c>
      <c r="AK1309" s="284">
        <v>114273315.52119805</v>
      </c>
      <c r="AL1309" s="310">
        <v>1.2879261695976059</v>
      </c>
      <c r="AM1309" s="284">
        <v>172554440.80876079</v>
      </c>
      <c r="AN1309" s="311">
        <v>0.85292266519844306</v>
      </c>
      <c r="AO1309" s="284">
        <v>14197289</v>
      </c>
      <c r="AP1309" s="284">
        <v>59.5</v>
      </c>
      <c r="AQ1309" s="284">
        <v>55.353146341463422</v>
      </c>
      <c r="AR1309" s="284">
        <v>75.2</v>
      </c>
      <c r="AS1309" s="287">
        <v>45.302909999999997</v>
      </c>
      <c r="AT1309" s="312">
        <v>35</v>
      </c>
      <c r="AU1309" s="465" t="s">
        <v>2842</v>
      </c>
      <c r="AV1309" s="287">
        <v>-0.42877526295087998</v>
      </c>
      <c r="AW1309" s="287">
        <v>-0.45958424405975401</v>
      </c>
      <c r="AX1309" s="287">
        <v>-0.78642460572514605</v>
      </c>
      <c r="AY1309" s="287">
        <v>-0.50030816063510797</v>
      </c>
      <c r="AZ1309" s="313">
        <v>-0.77649622509326099</v>
      </c>
    </row>
    <row r="1310" spans="1:52" s="29" customFormat="1" ht="15" customHeight="1">
      <c r="A1310" s="347" t="s">
        <v>395</v>
      </c>
      <c r="B1310" s="53">
        <v>2008</v>
      </c>
      <c r="C1310" s="146" t="s">
        <v>387</v>
      </c>
      <c r="D1310" s="69" t="s">
        <v>81</v>
      </c>
      <c r="E1310" s="27" t="s">
        <v>19</v>
      </c>
      <c r="F1310" s="27" t="s">
        <v>659</v>
      </c>
      <c r="G1310" s="43"/>
      <c r="H1310" s="43"/>
      <c r="I1310" s="43"/>
      <c r="J1310" s="43"/>
      <c r="K1310" s="27"/>
      <c r="L1310" s="28"/>
      <c r="M1310" s="27"/>
      <c r="N1310" s="27"/>
      <c r="O1310" s="18">
        <f>SUM(O1311:O1313)</f>
        <v>90250307.517101109</v>
      </c>
      <c r="P1310" s="214">
        <v>418740295.82386595</v>
      </c>
      <c r="Q1310" s="214">
        <v>418740295.82386595</v>
      </c>
      <c r="R1310" s="27" t="s">
        <v>619</v>
      </c>
      <c r="S1310" s="27"/>
      <c r="T1310" s="18"/>
      <c r="U1310" s="27" t="s">
        <v>1025</v>
      </c>
      <c r="V1310" s="27"/>
      <c r="W1310" s="30">
        <v>447.81</v>
      </c>
      <c r="X1310" s="27"/>
      <c r="Y1310" s="27"/>
      <c r="Z1310" s="27">
        <v>63</v>
      </c>
      <c r="AA1310" s="27"/>
      <c r="AB1310" s="27"/>
      <c r="AC1310" s="273">
        <v>418740295.82386595</v>
      </c>
      <c r="AD1310" s="27">
        <v>5403364453.527771</v>
      </c>
      <c r="AE1310" s="228">
        <v>7.7496215446003658E-2</v>
      </c>
      <c r="AF1310" s="27">
        <v>819474253.02202165</v>
      </c>
      <c r="AG1310" s="226">
        <v>0.51098651883162116</v>
      </c>
      <c r="AH1310" s="226">
        <v>0.40495161063133578</v>
      </c>
      <c r="AI1310" s="27">
        <v>612290000</v>
      </c>
      <c r="AJ1310" s="226">
        <v>0.68389210312738402</v>
      </c>
      <c r="AK1310" s="27">
        <v>145667807.70515156</v>
      </c>
      <c r="AL1310" s="226">
        <v>2.8746248221943769</v>
      </c>
      <c r="AM1310" s="27">
        <v>197921457.57760477</v>
      </c>
      <c r="AN1310" s="271">
        <v>2.1156892281862789</v>
      </c>
      <c r="AO1310" s="27">
        <v>14737895</v>
      </c>
      <c r="AP1310" s="27" t="s">
        <v>2842</v>
      </c>
      <c r="AQ1310" s="27">
        <v>55.925390243902449</v>
      </c>
      <c r="AR1310" s="27">
        <v>71.900000000000006</v>
      </c>
      <c r="AS1310" s="29">
        <v>48.807490000000001</v>
      </c>
      <c r="AT1310" s="270">
        <v>35</v>
      </c>
      <c r="AU1310" s="464" t="s">
        <v>2842</v>
      </c>
      <c r="AV1310" s="29">
        <v>-0.50444450020509601</v>
      </c>
      <c r="AW1310" s="29">
        <v>-0.67486077787918697</v>
      </c>
      <c r="AX1310" s="29">
        <v>-0.70901600720683799</v>
      </c>
      <c r="AY1310" s="29">
        <v>-0.42427492845597198</v>
      </c>
      <c r="AZ1310" s="60">
        <v>-0.750296420017735</v>
      </c>
    </row>
    <row r="1311" spans="1:52" s="29" customFormat="1" ht="15" customHeight="1">
      <c r="A1311" s="63" t="s">
        <v>395</v>
      </c>
      <c r="B1311" s="53">
        <v>2008</v>
      </c>
      <c r="C1311" s="146" t="s">
        <v>387</v>
      </c>
      <c r="D1311" s="69" t="s">
        <v>81</v>
      </c>
      <c r="E1311" s="27" t="s">
        <v>19</v>
      </c>
      <c r="F1311" s="27" t="s">
        <v>573</v>
      </c>
      <c r="G1311" s="43">
        <v>182912</v>
      </c>
      <c r="H1311" s="43"/>
      <c r="I1311" s="43"/>
      <c r="J1311" s="43"/>
      <c r="K1311" s="27" t="s">
        <v>567</v>
      </c>
      <c r="L1311" s="28">
        <v>138.17277433644946</v>
      </c>
      <c r="M1311" s="27" t="s">
        <v>568</v>
      </c>
      <c r="N1311" s="27" t="s">
        <v>1791</v>
      </c>
      <c r="O1311" s="18">
        <f>G1311*L1311</f>
        <v>25273458.499428645</v>
      </c>
      <c r="P1311" s="214"/>
      <c r="Q1311" s="214"/>
      <c r="R1311" s="27"/>
      <c r="S1311" s="27"/>
      <c r="T1311" s="18"/>
      <c r="U1311" s="27"/>
      <c r="V1311" s="27"/>
      <c r="W1311" s="30"/>
      <c r="X1311" s="27"/>
      <c r="Y1311" s="27"/>
      <c r="Z1311" s="27"/>
      <c r="AA1311" s="27"/>
      <c r="AB1311" s="27"/>
      <c r="AC1311" s="273">
        <v>418740295.82386595</v>
      </c>
      <c r="AD1311" s="27">
        <v>5403364453.527771</v>
      </c>
      <c r="AE1311" s="228">
        <v>7.7496215446003658E-2</v>
      </c>
      <c r="AF1311" s="27">
        <v>819474253.02202165</v>
      </c>
      <c r="AG1311" s="226">
        <v>0.51098651883162116</v>
      </c>
      <c r="AH1311" s="226">
        <v>0.40495161063133578</v>
      </c>
      <c r="AI1311" s="27">
        <v>612290000</v>
      </c>
      <c r="AJ1311" s="226">
        <v>0.68389210312738402</v>
      </c>
      <c r="AK1311" s="27">
        <v>145667807.70515156</v>
      </c>
      <c r="AL1311" s="226">
        <v>2.8746248221943769</v>
      </c>
      <c r="AM1311" s="27">
        <v>197921457.57760477</v>
      </c>
      <c r="AN1311" s="271">
        <v>2.1156892281862789</v>
      </c>
      <c r="AO1311" s="27">
        <v>14737895</v>
      </c>
      <c r="AP1311" s="27" t="s">
        <v>2842</v>
      </c>
      <c r="AQ1311" s="27">
        <v>55.925390243902449</v>
      </c>
      <c r="AR1311" s="27">
        <v>71.900000000000006</v>
      </c>
      <c r="AS1311" s="29">
        <v>48.807490000000001</v>
      </c>
      <c r="AT1311" s="270">
        <v>35</v>
      </c>
      <c r="AU1311" s="464" t="s">
        <v>2842</v>
      </c>
      <c r="AV1311" s="29">
        <v>-0.50444450020509601</v>
      </c>
      <c r="AW1311" s="29">
        <v>-0.67486077787918697</v>
      </c>
      <c r="AX1311" s="29">
        <v>-0.70901600720683799</v>
      </c>
      <c r="AY1311" s="29">
        <v>-0.42427492845597198</v>
      </c>
      <c r="AZ1311" s="60">
        <v>-0.750296420017735</v>
      </c>
    </row>
    <row r="1312" spans="1:52" s="29" customFormat="1" ht="15" customHeight="1">
      <c r="A1312" s="63" t="s">
        <v>395</v>
      </c>
      <c r="B1312" s="53">
        <v>2008</v>
      </c>
      <c r="C1312" s="146" t="s">
        <v>387</v>
      </c>
      <c r="D1312" s="69" t="s">
        <v>81</v>
      </c>
      <c r="E1312" s="27" t="s">
        <v>19</v>
      </c>
      <c r="F1312" s="27" t="s">
        <v>1773</v>
      </c>
      <c r="G1312" s="43">
        <f>2314*32.150743126506</f>
        <v>74396.819594734887</v>
      </c>
      <c r="H1312" s="43"/>
      <c r="I1312" s="43"/>
      <c r="J1312" s="43"/>
      <c r="K1312" s="27" t="s">
        <v>731</v>
      </c>
      <c r="L1312" s="28">
        <v>871.70725000000004</v>
      </c>
      <c r="M1312" s="27" t="s">
        <v>732</v>
      </c>
      <c r="N1312" s="27" t="s">
        <v>782</v>
      </c>
      <c r="O1312" s="18">
        <f>G1312*L1312</f>
        <v>64852247.017672464</v>
      </c>
      <c r="P1312" s="214"/>
      <c r="Q1312" s="214"/>
      <c r="R1312" s="27"/>
      <c r="S1312" s="27"/>
      <c r="T1312" s="18"/>
      <c r="U1312" s="27"/>
      <c r="V1312" s="27"/>
      <c r="W1312" s="30"/>
      <c r="X1312" s="27"/>
      <c r="Y1312" s="27"/>
      <c r="Z1312" s="27"/>
      <c r="AA1312" s="27"/>
      <c r="AB1312" s="27"/>
      <c r="AC1312" s="273">
        <v>418740295.82386595</v>
      </c>
      <c r="AD1312" s="27">
        <v>5403364453.527771</v>
      </c>
      <c r="AE1312" s="228">
        <v>7.7496215446003658E-2</v>
      </c>
      <c r="AF1312" s="27">
        <v>819474253.02202165</v>
      </c>
      <c r="AG1312" s="226">
        <v>0.51098651883162116</v>
      </c>
      <c r="AH1312" s="226">
        <v>0.40495161063133578</v>
      </c>
      <c r="AI1312" s="27">
        <v>612290000</v>
      </c>
      <c r="AJ1312" s="226">
        <v>0.68389210312738402</v>
      </c>
      <c r="AK1312" s="27">
        <v>145667807.70515156</v>
      </c>
      <c r="AL1312" s="226">
        <v>2.8746248221943769</v>
      </c>
      <c r="AM1312" s="27">
        <v>197921457.57760477</v>
      </c>
      <c r="AN1312" s="271">
        <v>2.1156892281862789</v>
      </c>
      <c r="AO1312" s="27">
        <v>14737895</v>
      </c>
      <c r="AP1312" s="27" t="s">
        <v>2842</v>
      </c>
      <c r="AQ1312" s="27">
        <v>55.925390243902449</v>
      </c>
      <c r="AR1312" s="27">
        <v>71.900000000000006</v>
      </c>
      <c r="AS1312" s="29">
        <v>48.807490000000001</v>
      </c>
      <c r="AT1312" s="270">
        <v>35</v>
      </c>
      <c r="AU1312" s="464" t="s">
        <v>2842</v>
      </c>
      <c r="AV1312" s="29">
        <v>-0.50444450020509601</v>
      </c>
      <c r="AW1312" s="29">
        <v>-0.67486077787918697</v>
      </c>
      <c r="AX1312" s="29">
        <v>-0.70901600720683799</v>
      </c>
      <c r="AY1312" s="29">
        <v>-0.42427492845597198</v>
      </c>
      <c r="AZ1312" s="60">
        <v>-0.750296420017735</v>
      </c>
    </row>
    <row r="1313" spans="1:52" s="29" customFormat="1" ht="15" customHeight="1">
      <c r="A1313" s="63" t="s">
        <v>395</v>
      </c>
      <c r="B1313" s="53">
        <v>2008</v>
      </c>
      <c r="C1313" s="146" t="s">
        <v>387</v>
      </c>
      <c r="D1313" s="69" t="s">
        <v>81</v>
      </c>
      <c r="E1313" s="27" t="s">
        <v>19</v>
      </c>
      <c r="F1313" s="27" t="s">
        <v>1058</v>
      </c>
      <c r="G1313" s="43">
        <v>1900</v>
      </c>
      <c r="H1313" s="43"/>
      <c r="I1313" s="43"/>
      <c r="J1313" s="43"/>
      <c r="K1313" s="27" t="s">
        <v>567</v>
      </c>
      <c r="L1313" s="28">
        <v>65.58</v>
      </c>
      <c r="M1313" s="27" t="s">
        <v>568</v>
      </c>
      <c r="N1313" s="27" t="s">
        <v>1078</v>
      </c>
      <c r="O1313" s="18">
        <f>G1313*L1313</f>
        <v>124602</v>
      </c>
      <c r="P1313" s="214"/>
      <c r="Q1313" s="214"/>
      <c r="R1313" s="27"/>
      <c r="S1313" s="27"/>
      <c r="T1313" s="18"/>
      <c r="U1313" s="27"/>
      <c r="V1313" s="27"/>
      <c r="W1313" s="30"/>
      <c r="X1313" s="27"/>
      <c r="Y1313" s="27"/>
      <c r="Z1313" s="27"/>
      <c r="AA1313" s="27"/>
      <c r="AB1313" s="27"/>
      <c r="AC1313" s="273">
        <v>418740295.82386595</v>
      </c>
      <c r="AD1313" s="27">
        <v>5403364453.527771</v>
      </c>
      <c r="AE1313" s="228">
        <v>7.7496215446003658E-2</v>
      </c>
      <c r="AF1313" s="27">
        <v>819474253.02202165</v>
      </c>
      <c r="AG1313" s="226">
        <v>0.51098651883162116</v>
      </c>
      <c r="AH1313" s="226">
        <v>0.40495161063133578</v>
      </c>
      <c r="AI1313" s="27">
        <v>612290000</v>
      </c>
      <c r="AJ1313" s="226">
        <v>0.68389210312738402</v>
      </c>
      <c r="AK1313" s="27">
        <v>145667807.70515156</v>
      </c>
      <c r="AL1313" s="226">
        <v>2.8746248221943769</v>
      </c>
      <c r="AM1313" s="27">
        <v>197921457.57760477</v>
      </c>
      <c r="AN1313" s="271">
        <v>2.1156892281862789</v>
      </c>
      <c r="AO1313" s="27">
        <v>14737895</v>
      </c>
      <c r="AP1313" s="27" t="s">
        <v>2842</v>
      </c>
      <c r="AQ1313" s="27">
        <v>55.925390243902449</v>
      </c>
      <c r="AR1313" s="27">
        <v>71.900000000000006</v>
      </c>
      <c r="AS1313" s="29">
        <v>48.807490000000001</v>
      </c>
      <c r="AT1313" s="270">
        <v>35</v>
      </c>
      <c r="AU1313" s="464" t="s">
        <v>2842</v>
      </c>
      <c r="AV1313" s="29">
        <v>-0.50444450020509601</v>
      </c>
      <c r="AW1313" s="29">
        <v>-0.67486077787918697</v>
      </c>
      <c r="AX1313" s="29">
        <v>-0.70901600720683799</v>
      </c>
      <c r="AY1313" s="29">
        <v>-0.42427492845597198</v>
      </c>
      <c r="AZ1313" s="60">
        <v>-0.750296420017735</v>
      </c>
    </row>
    <row r="1314" spans="1:52" s="287" customFormat="1" ht="15" customHeight="1">
      <c r="A1314" s="359" t="s">
        <v>395</v>
      </c>
      <c r="B1314" s="302">
        <v>2008</v>
      </c>
      <c r="C1314" s="383" t="s">
        <v>387</v>
      </c>
      <c r="D1314" s="369" t="s">
        <v>81</v>
      </c>
      <c r="E1314" s="284" t="s">
        <v>19</v>
      </c>
      <c r="F1314" s="284" t="s">
        <v>1353</v>
      </c>
      <c r="G1314" s="303">
        <v>3032</v>
      </c>
      <c r="H1314" s="303"/>
      <c r="I1314" s="303"/>
      <c r="J1314" s="303"/>
      <c r="K1314" s="284" t="s">
        <v>567</v>
      </c>
      <c r="L1314" s="304"/>
      <c r="M1314" s="284"/>
      <c r="N1314" s="284" t="s">
        <v>788</v>
      </c>
      <c r="O1314" s="305"/>
      <c r="P1314" s="346"/>
      <c r="Q1314" s="346"/>
      <c r="R1314" s="284"/>
      <c r="S1314" s="284"/>
      <c r="T1314" s="305"/>
      <c r="U1314" s="284"/>
      <c r="V1314" s="284"/>
      <c r="W1314" s="307"/>
      <c r="X1314" s="284"/>
      <c r="Y1314" s="284"/>
      <c r="Z1314" s="284"/>
      <c r="AA1314" s="284"/>
      <c r="AB1314" s="284"/>
      <c r="AC1314" s="308">
        <v>418740295.82386595</v>
      </c>
      <c r="AD1314" s="284">
        <v>5403364453.527771</v>
      </c>
      <c r="AE1314" s="309">
        <v>7.7496215446003658E-2</v>
      </c>
      <c r="AF1314" s="284">
        <v>819474253.02202165</v>
      </c>
      <c r="AG1314" s="310">
        <v>0.51098651883162116</v>
      </c>
      <c r="AH1314" s="310">
        <v>0.40495161063133578</v>
      </c>
      <c r="AI1314" s="284">
        <v>612290000</v>
      </c>
      <c r="AJ1314" s="310">
        <v>0.68389210312738402</v>
      </c>
      <c r="AK1314" s="284">
        <v>145667807.70515156</v>
      </c>
      <c r="AL1314" s="310">
        <v>2.8746248221943769</v>
      </c>
      <c r="AM1314" s="284">
        <v>197921457.57760477</v>
      </c>
      <c r="AN1314" s="311">
        <v>2.1156892281862789</v>
      </c>
      <c r="AO1314" s="284">
        <v>14737895</v>
      </c>
      <c r="AP1314" s="284" t="s">
        <v>2842</v>
      </c>
      <c r="AQ1314" s="284">
        <v>55.925390243902449</v>
      </c>
      <c r="AR1314" s="284">
        <v>71.900000000000006</v>
      </c>
      <c r="AS1314" s="287">
        <v>48.807490000000001</v>
      </c>
      <c r="AT1314" s="312">
        <v>35</v>
      </c>
      <c r="AU1314" s="465" t="s">
        <v>2842</v>
      </c>
      <c r="AV1314" s="287">
        <v>-0.50444450020509601</v>
      </c>
      <c r="AW1314" s="287">
        <v>-0.67486077787918697</v>
      </c>
      <c r="AX1314" s="287">
        <v>-0.70901600720683799</v>
      </c>
      <c r="AY1314" s="287">
        <v>-0.42427492845597198</v>
      </c>
      <c r="AZ1314" s="313">
        <v>-0.750296420017735</v>
      </c>
    </row>
    <row r="1315" spans="1:52" ht="15" customHeight="1">
      <c r="A1315" s="347" t="s">
        <v>397</v>
      </c>
      <c r="B1315" s="53">
        <v>2009</v>
      </c>
      <c r="C1315" s="146" t="s">
        <v>387</v>
      </c>
      <c r="D1315" s="69" t="s">
        <v>81</v>
      </c>
      <c r="E1315" s="27" t="s">
        <v>19</v>
      </c>
      <c r="F1315" s="27" t="s">
        <v>659</v>
      </c>
      <c r="G1315" s="43"/>
      <c r="H1315" s="43"/>
      <c r="I1315" s="43"/>
      <c r="J1315" s="43"/>
      <c r="K1315" s="27"/>
      <c r="L1315" s="28"/>
      <c r="M1315" s="27"/>
      <c r="N1315" s="27"/>
      <c r="O1315" s="18">
        <f>SUM(O1316:O1318)</f>
        <v>81083638.956818312</v>
      </c>
      <c r="P1315" s="214">
        <v>143129702.9482843</v>
      </c>
      <c r="Q1315" s="214">
        <v>143129702.9482843</v>
      </c>
      <c r="R1315" s="27" t="s">
        <v>619</v>
      </c>
      <c r="S1315" s="27"/>
      <c r="T1315" s="18"/>
      <c r="U1315" s="27" t="s">
        <v>560</v>
      </c>
      <c r="V1315" s="27"/>
      <c r="W1315" s="30">
        <v>472.19</v>
      </c>
      <c r="X1315" s="27"/>
      <c r="Y1315" s="27"/>
      <c r="Z1315" s="27">
        <v>39</v>
      </c>
      <c r="AA1315" s="27"/>
      <c r="AB1315" s="27"/>
      <c r="AC1315" s="273">
        <v>143129702.9482843</v>
      </c>
      <c r="AD1315" s="27">
        <v>5397121962.0242481</v>
      </c>
      <c r="AE1315" s="228">
        <v>2.651963471557385E-2</v>
      </c>
      <c r="AF1315" s="27">
        <v>927495409.17386711</v>
      </c>
      <c r="AG1315" s="226">
        <v>0.15431850285466306</v>
      </c>
      <c r="AH1315" s="226">
        <v>0.55621001632039757</v>
      </c>
      <c r="AI1315" s="27">
        <v>469290000</v>
      </c>
      <c r="AJ1315" s="226">
        <v>0.30499201548783117</v>
      </c>
      <c r="AK1315" s="27">
        <v>145131603.44883126</v>
      </c>
      <c r="AL1315" s="226">
        <v>0.98620630894322914</v>
      </c>
      <c r="AM1315" s="27">
        <v>244275359.13780609</v>
      </c>
      <c r="AN1315" s="271">
        <v>0.58593590222720238</v>
      </c>
      <c r="AO1315" s="27">
        <v>15302948</v>
      </c>
      <c r="AP1315" s="27" t="s">
        <v>2842</v>
      </c>
      <c r="AQ1315" s="27">
        <v>56.468219512195127</v>
      </c>
      <c r="AR1315" s="27">
        <v>68.8</v>
      </c>
      <c r="AS1315" s="29">
        <v>52.717500000000001</v>
      </c>
      <c r="AT1315" s="270">
        <v>35</v>
      </c>
      <c r="AU1315" s="464" t="s">
        <v>2842</v>
      </c>
      <c r="AV1315" s="29">
        <v>-0.78435006215137004</v>
      </c>
      <c r="AW1315" s="29">
        <v>-1.15669978560293</v>
      </c>
      <c r="AX1315" s="29">
        <v>-0.66111858643714605</v>
      </c>
      <c r="AY1315" s="29">
        <v>-0.48242411907739402</v>
      </c>
      <c r="AZ1315" s="60">
        <v>-0.60858375851193602</v>
      </c>
    </row>
    <row r="1316" spans="1:52" ht="15" customHeight="1">
      <c r="A1316" s="63" t="s">
        <v>397</v>
      </c>
      <c r="B1316" s="53">
        <v>2009</v>
      </c>
      <c r="C1316" s="146" t="s">
        <v>387</v>
      </c>
      <c r="D1316" s="69" t="s">
        <v>81</v>
      </c>
      <c r="E1316" s="27" t="s">
        <v>19</v>
      </c>
      <c r="F1316" s="27" t="s">
        <v>573</v>
      </c>
      <c r="G1316" s="43">
        <v>225072</v>
      </c>
      <c r="H1316" s="43"/>
      <c r="I1316" s="43"/>
      <c r="J1316" s="43"/>
      <c r="K1316" s="27" t="s">
        <v>567</v>
      </c>
      <c r="L1316" s="28">
        <v>72.516709165814987</v>
      </c>
      <c r="M1316" s="27" t="s">
        <v>568</v>
      </c>
      <c r="N1316" s="27" t="s">
        <v>1791</v>
      </c>
      <c r="O1316" s="18">
        <f>G1316*L1316</f>
        <v>16321480.765368311</v>
      </c>
      <c r="P1316" s="214"/>
      <c r="Q1316" s="214"/>
      <c r="R1316" s="27"/>
      <c r="S1316" s="27"/>
      <c r="T1316" s="18"/>
      <c r="U1316" s="27"/>
      <c r="V1316" s="27"/>
      <c r="W1316" s="30"/>
      <c r="X1316" s="27"/>
      <c r="Y1316" s="27"/>
      <c r="Z1316" s="27"/>
      <c r="AA1316" s="27"/>
      <c r="AB1316" s="27"/>
      <c r="AC1316" s="273">
        <v>143129702.9482843</v>
      </c>
      <c r="AD1316" s="27">
        <v>5397121962.0242481</v>
      </c>
      <c r="AE1316" s="228">
        <v>2.651963471557385E-2</v>
      </c>
      <c r="AF1316" s="27">
        <v>927495409.17386711</v>
      </c>
      <c r="AG1316" s="226">
        <v>0.15431850285466306</v>
      </c>
      <c r="AH1316" s="226">
        <v>0.55621001632039757</v>
      </c>
      <c r="AI1316" s="27">
        <v>469290000</v>
      </c>
      <c r="AJ1316" s="226">
        <v>0.30499201548783117</v>
      </c>
      <c r="AK1316" s="27">
        <v>145131603.44883126</v>
      </c>
      <c r="AL1316" s="226">
        <v>0.98620630894322914</v>
      </c>
      <c r="AM1316" s="27">
        <v>244275359.13780609</v>
      </c>
      <c r="AN1316" s="271">
        <v>0.58593590222720238</v>
      </c>
      <c r="AO1316" s="27">
        <v>15302948</v>
      </c>
      <c r="AP1316" s="27" t="s">
        <v>2842</v>
      </c>
      <c r="AQ1316" s="27">
        <v>56.468219512195127</v>
      </c>
      <c r="AR1316" s="27">
        <v>68.8</v>
      </c>
      <c r="AS1316" s="29">
        <v>52.717500000000001</v>
      </c>
      <c r="AT1316" s="270">
        <v>35</v>
      </c>
      <c r="AU1316" s="464" t="s">
        <v>2842</v>
      </c>
      <c r="AV1316" s="29">
        <v>-0.78435006215137004</v>
      </c>
      <c r="AW1316" s="29">
        <v>-1.15669978560293</v>
      </c>
      <c r="AX1316" s="29">
        <v>-0.66111858643714605</v>
      </c>
      <c r="AY1316" s="29">
        <v>-0.48242411907739402</v>
      </c>
      <c r="AZ1316" s="60">
        <v>-0.60858375851193602</v>
      </c>
    </row>
    <row r="1317" spans="1:52" ht="15" customHeight="1">
      <c r="A1317" s="63" t="s">
        <v>397</v>
      </c>
      <c r="B1317" s="53">
        <v>2009</v>
      </c>
      <c r="C1317" s="146" t="s">
        <v>387</v>
      </c>
      <c r="D1317" s="69" t="s">
        <v>81</v>
      </c>
      <c r="E1317" s="27" t="s">
        <v>19</v>
      </c>
      <c r="F1317" s="27" t="s">
        <v>1773</v>
      </c>
      <c r="G1317" s="43">
        <f>2067*32.150743126506</f>
        <v>66455.586042487907</v>
      </c>
      <c r="H1317" s="43"/>
      <c r="I1317" s="43"/>
      <c r="J1317" s="43"/>
      <c r="K1317" s="27" t="s">
        <v>731</v>
      </c>
      <c r="L1317" s="28">
        <v>972.96591666666995</v>
      </c>
      <c r="M1317" s="27" t="s">
        <v>732</v>
      </c>
      <c r="N1317" s="27" t="s">
        <v>782</v>
      </c>
      <c r="O1317" s="18">
        <f>G1317*L1317</f>
        <v>64659020.19145</v>
      </c>
      <c r="P1317" s="214"/>
      <c r="Q1317" s="214"/>
      <c r="R1317" s="27"/>
      <c r="S1317" s="27"/>
      <c r="T1317" s="18"/>
      <c r="U1317" s="27"/>
      <c r="V1317" s="27"/>
      <c r="W1317" s="30"/>
      <c r="X1317" s="27"/>
      <c r="Y1317" s="27"/>
      <c r="Z1317" s="27"/>
      <c r="AA1317" s="27"/>
      <c r="AB1317" s="27"/>
      <c r="AC1317" s="273">
        <v>143129702.9482843</v>
      </c>
      <c r="AD1317" s="27">
        <v>5397121962.0242481</v>
      </c>
      <c r="AE1317" s="228">
        <v>2.651963471557385E-2</v>
      </c>
      <c r="AF1317" s="27">
        <v>927495409.17386711</v>
      </c>
      <c r="AG1317" s="226">
        <v>0.15431850285466306</v>
      </c>
      <c r="AH1317" s="226">
        <v>0.55621001632039757</v>
      </c>
      <c r="AI1317" s="27">
        <v>469290000</v>
      </c>
      <c r="AJ1317" s="226">
        <v>0.30499201548783117</v>
      </c>
      <c r="AK1317" s="27">
        <v>145131603.44883126</v>
      </c>
      <c r="AL1317" s="226">
        <v>0.98620630894322914</v>
      </c>
      <c r="AM1317" s="27">
        <v>244275359.13780609</v>
      </c>
      <c r="AN1317" s="271">
        <v>0.58593590222720238</v>
      </c>
      <c r="AO1317" s="27">
        <v>15302948</v>
      </c>
      <c r="AP1317" s="27" t="s">
        <v>2842</v>
      </c>
      <c r="AQ1317" s="27">
        <v>56.468219512195127</v>
      </c>
      <c r="AR1317" s="27">
        <v>68.8</v>
      </c>
      <c r="AS1317" s="29">
        <v>52.717500000000001</v>
      </c>
      <c r="AT1317" s="270">
        <v>35</v>
      </c>
      <c r="AU1317" s="464" t="s">
        <v>2842</v>
      </c>
      <c r="AV1317" s="29">
        <v>-0.78435006215137004</v>
      </c>
      <c r="AW1317" s="29">
        <v>-1.15669978560293</v>
      </c>
      <c r="AX1317" s="29">
        <v>-0.66111858643714605</v>
      </c>
      <c r="AY1317" s="29">
        <v>-0.48242411907739402</v>
      </c>
      <c r="AZ1317" s="60">
        <v>-0.60858375851193602</v>
      </c>
    </row>
    <row r="1318" spans="1:52" ht="15" customHeight="1">
      <c r="A1318" s="63" t="s">
        <v>397</v>
      </c>
      <c r="B1318" s="53">
        <v>2009</v>
      </c>
      <c r="C1318" s="146" t="s">
        <v>387</v>
      </c>
      <c r="D1318" s="69" t="s">
        <v>81</v>
      </c>
      <c r="E1318" s="27" t="s">
        <v>19</v>
      </c>
      <c r="F1318" s="27" t="s">
        <v>1058</v>
      </c>
      <c r="G1318" s="43">
        <v>1400</v>
      </c>
      <c r="H1318" s="43"/>
      <c r="I1318" s="43"/>
      <c r="J1318" s="43"/>
      <c r="K1318" s="27" t="s">
        <v>567</v>
      </c>
      <c r="L1318" s="28">
        <v>73.67</v>
      </c>
      <c r="M1318" s="27" t="s">
        <v>568</v>
      </c>
      <c r="N1318" s="27" t="s">
        <v>1078</v>
      </c>
      <c r="O1318" s="18">
        <f>G1318*L1318</f>
        <v>103138</v>
      </c>
      <c r="P1318" s="214"/>
      <c r="Q1318" s="214"/>
      <c r="R1318" s="27"/>
      <c r="S1318" s="27"/>
      <c r="T1318" s="18"/>
      <c r="U1318" s="27"/>
      <c r="V1318" s="27"/>
      <c r="W1318" s="30"/>
      <c r="X1318" s="27"/>
      <c r="Y1318" s="27"/>
      <c r="Z1318" s="27"/>
      <c r="AA1318" s="27"/>
      <c r="AB1318" s="27"/>
      <c r="AC1318" s="273">
        <v>143129702.9482843</v>
      </c>
      <c r="AD1318" s="27">
        <v>5397121962.0242481</v>
      </c>
      <c r="AE1318" s="228">
        <v>2.651963471557385E-2</v>
      </c>
      <c r="AF1318" s="27">
        <v>927495409.17386711</v>
      </c>
      <c r="AG1318" s="226">
        <v>0.15431850285466306</v>
      </c>
      <c r="AH1318" s="226">
        <v>0.55621001632039757</v>
      </c>
      <c r="AI1318" s="27">
        <v>469290000</v>
      </c>
      <c r="AJ1318" s="226">
        <v>0.30499201548783117</v>
      </c>
      <c r="AK1318" s="27">
        <v>145131603.44883126</v>
      </c>
      <c r="AL1318" s="226">
        <v>0.98620630894322914</v>
      </c>
      <c r="AM1318" s="27">
        <v>244275359.13780609</v>
      </c>
      <c r="AN1318" s="271">
        <v>0.58593590222720238</v>
      </c>
      <c r="AO1318" s="27">
        <v>15302948</v>
      </c>
      <c r="AP1318" s="27" t="s">
        <v>2842</v>
      </c>
      <c r="AQ1318" s="27">
        <v>56.468219512195127</v>
      </c>
      <c r="AR1318" s="27">
        <v>68.8</v>
      </c>
      <c r="AS1318" s="29">
        <v>52.717500000000001</v>
      </c>
      <c r="AT1318" s="270">
        <v>35</v>
      </c>
      <c r="AU1318" s="464" t="s">
        <v>2842</v>
      </c>
      <c r="AV1318" s="29">
        <v>-0.78435006215137004</v>
      </c>
      <c r="AW1318" s="29">
        <v>-1.15669978560293</v>
      </c>
      <c r="AX1318" s="29">
        <v>-0.66111858643714605</v>
      </c>
      <c r="AY1318" s="29">
        <v>-0.48242411907739402</v>
      </c>
      <c r="AZ1318" s="60">
        <v>-0.60858375851193602</v>
      </c>
    </row>
    <row r="1319" spans="1:52" s="287" customFormat="1" ht="15" customHeight="1">
      <c r="A1319" s="359" t="s">
        <v>397</v>
      </c>
      <c r="B1319" s="302">
        <v>2009</v>
      </c>
      <c r="C1319" s="383" t="s">
        <v>387</v>
      </c>
      <c r="D1319" s="369" t="s">
        <v>81</v>
      </c>
      <c r="E1319" s="284" t="s">
        <v>19</v>
      </c>
      <c r="F1319" s="284" t="s">
        <v>1353</v>
      </c>
      <c r="G1319" s="303">
        <v>3243</v>
      </c>
      <c r="H1319" s="303"/>
      <c r="I1319" s="303"/>
      <c r="J1319" s="303"/>
      <c r="K1319" s="284" t="s">
        <v>567</v>
      </c>
      <c r="L1319" s="304"/>
      <c r="M1319" s="284"/>
      <c r="N1319" s="284" t="s">
        <v>788</v>
      </c>
      <c r="O1319" s="305"/>
      <c r="P1319" s="346"/>
      <c r="Q1319" s="346"/>
      <c r="R1319" s="284"/>
      <c r="S1319" s="284"/>
      <c r="T1319" s="305"/>
      <c r="U1319" s="284"/>
      <c r="V1319" s="284"/>
      <c r="W1319" s="307"/>
      <c r="X1319" s="284"/>
      <c r="Y1319" s="284"/>
      <c r="Z1319" s="284"/>
      <c r="AA1319" s="284"/>
      <c r="AB1319" s="284"/>
      <c r="AC1319" s="308">
        <v>143129702.9482843</v>
      </c>
      <c r="AD1319" s="284">
        <v>5397121962.0242481</v>
      </c>
      <c r="AE1319" s="309">
        <v>2.651963471557385E-2</v>
      </c>
      <c r="AF1319" s="284">
        <v>927495409.17386711</v>
      </c>
      <c r="AG1319" s="310">
        <v>0.15431850285466306</v>
      </c>
      <c r="AH1319" s="310">
        <v>0.55621001632039757</v>
      </c>
      <c r="AI1319" s="284">
        <v>469290000</v>
      </c>
      <c r="AJ1319" s="310">
        <v>0.30499201548783117</v>
      </c>
      <c r="AK1319" s="284">
        <v>145131603.44883126</v>
      </c>
      <c r="AL1319" s="310">
        <v>0.98620630894322914</v>
      </c>
      <c r="AM1319" s="284">
        <v>244275359.13780609</v>
      </c>
      <c r="AN1319" s="311">
        <v>0.58593590222720238</v>
      </c>
      <c r="AO1319" s="284">
        <v>15302948</v>
      </c>
      <c r="AP1319" s="284" t="s">
        <v>2842</v>
      </c>
      <c r="AQ1319" s="284">
        <v>56.468219512195127</v>
      </c>
      <c r="AR1319" s="284">
        <v>68.8</v>
      </c>
      <c r="AS1319" s="287">
        <v>52.717500000000001</v>
      </c>
      <c r="AT1319" s="312">
        <v>35</v>
      </c>
      <c r="AU1319" s="465" t="s">
        <v>2842</v>
      </c>
      <c r="AV1319" s="287">
        <v>-0.78435006215137004</v>
      </c>
      <c r="AW1319" s="287">
        <v>-1.15669978560293</v>
      </c>
      <c r="AX1319" s="287">
        <v>-0.66111858643714605</v>
      </c>
      <c r="AY1319" s="287">
        <v>-0.48242411907739402</v>
      </c>
      <c r="AZ1319" s="313">
        <v>-0.60858375851193602</v>
      </c>
    </row>
    <row r="1320" spans="1:52" s="29" customFormat="1" ht="15" customHeight="1">
      <c r="A1320" s="347" t="s">
        <v>399</v>
      </c>
      <c r="B1320" s="53">
        <v>2010</v>
      </c>
      <c r="C1320" s="146" t="s">
        <v>387</v>
      </c>
      <c r="D1320" s="69" t="s">
        <v>81</v>
      </c>
      <c r="E1320" s="27" t="s">
        <v>19</v>
      </c>
      <c r="F1320" s="27" t="s">
        <v>659</v>
      </c>
      <c r="G1320" s="43"/>
      <c r="H1320" s="43"/>
      <c r="I1320" s="43"/>
      <c r="J1320" s="43"/>
      <c r="K1320" s="27"/>
      <c r="L1320" s="28"/>
      <c r="M1320" s="27"/>
      <c r="N1320" s="27"/>
      <c r="O1320" s="18">
        <f>SUM(O1321:O1323)</f>
        <v>98169065.773352399</v>
      </c>
      <c r="P1320" s="214">
        <v>109503726.04387245</v>
      </c>
      <c r="Q1320" s="214">
        <v>107544027.23628214</v>
      </c>
      <c r="R1320" s="27" t="s">
        <v>619</v>
      </c>
      <c r="S1320" s="27"/>
      <c r="T1320" s="18"/>
      <c r="U1320" s="27" t="s">
        <v>1061</v>
      </c>
      <c r="V1320" s="27" t="s">
        <v>778</v>
      </c>
      <c r="W1320" s="30">
        <v>486.41</v>
      </c>
      <c r="X1320" s="27">
        <v>73</v>
      </c>
      <c r="Y1320" s="27" t="s">
        <v>1792</v>
      </c>
      <c r="Z1320" s="27">
        <v>50</v>
      </c>
      <c r="AA1320" s="27" t="s">
        <v>1793</v>
      </c>
      <c r="AB1320" s="27" t="s">
        <v>1794</v>
      </c>
      <c r="AC1320" s="273">
        <v>109503726.04387245</v>
      </c>
      <c r="AD1320" s="27">
        <v>5718589550.1634874</v>
      </c>
      <c r="AE1320" s="228">
        <v>1.9148729784382212E-2</v>
      </c>
      <c r="AF1320" s="27">
        <v>1039868323.8017286</v>
      </c>
      <c r="AG1320" s="226">
        <v>0.1053053771688419</v>
      </c>
      <c r="AH1320" s="226">
        <v>0.55598156806107002</v>
      </c>
      <c r="AI1320" s="27">
        <v>744520000</v>
      </c>
      <c r="AJ1320" s="226">
        <v>0.14707962988754156</v>
      </c>
      <c r="AK1320" s="27">
        <v>133862208.77232076</v>
      </c>
      <c r="AL1320" s="226">
        <v>0.81803316296776196</v>
      </c>
      <c r="AM1320" s="27">
        <v>213497250.40684864</v>
      </c>
      <c r="AN1320" s="271">
        <v>0.51290461977940183</v>
      </c>
      <c r="AO1320" s="27">
        <v>15893746</v>
      </c>
      <c r="AP1320" s="27" t="s">
        <v>2842</v>
      </c>
      <c r="AQ1320" s="27">
        <v>56.985634146341468</v>
      </c>
      <c r="AR1320" s="27">
        <v>66.099999999999994</v>
      </c>
      <c r="AS1320" s="29">
        <v>56.970750000000002</v>
      </c>
      <c r="AT1320" s="270">
        <v>35</v>
      </c>
      <c r="AU1320" s="464" t="s">
        <v>2842</v>
      </c>
      <c r="AV1320" s="29">
        <v>-0.66823919544980104</v>
      </c>
      <c r="AW1320" s="29">
        <v>-1.1754146989248599</v>
      </c>
      <c r="AX1320" s="29">
        <v>-0.66564869018927197</v>
      </c>
      <c r="AY1320" s="29">
        <v>-0.51060959829524299</v>
      </c>
      <c r="AZ1320" s="60">
        <v>-0.66761756527553595</v>
      </c>
    </row>
    <row r="1321" spans="1:52" s="29" customFormat="1" ht="15" customHeight="1">
      <c r="A1321" s="63" t="s">
        <v>399</v>
      </c>
      <c r="B1321" s="53">
        <v>2010</v>
      </c>
      <c r="C1321" s="146" t="s">
        <v>387</v>
      </c>
      <c r="D1321" s="69" t="s">
        <v>81</v>
      </c>
      <c r="E1321" s="27" t="s">
        <v>19</v>
      </c>
      <c r="F1321" s="27" t="s">
        <v>573</v>
      </c>
      <c r="G1321" s="43">
        <v>246558</v>
      </c>
      <c r="H1321" s="43"/>
      <c r="I1321" s="43"/>
      <c r="J1321" s="43"/>
      <c r="K1321" s="27" t="s">
        <v>567</v>
      </c>
      <c r="L1321" s="28">
        <v>89.852021850427363</v>
      </c>
      <c r="M1321" s="27" t="s">
        <v>568</v>
      </c>
      <c r="N1321" s="27" t="s">
        <v>1791</v>
      </c>
      <c r="O1321" s="18">
        <f>G1321*L1321</f>
        <v>22153734.80339767</v>
      </c>
      <c r="P1321" s="214"/>
      <c r="Q1321" s="214"/>
      <c r="R1321" s="27"/>
      <c r="S1321" s="27"/>
      <c r="T1321" s="18"/>
      <c r="U1321" s="27"/>
      <c r="V1321" s="27"/>
      <c r="W1321" s="30"/>
      <c r="X1321" s="27"/>
      <c r="Y1321" s="27"/>
      <c r="Z1321" s="27"/>
      <c r="AA1321" s="27"/>
      <c r="AB1321" s="27"/>
      <c r="AC1321" s="273">
        <v>109503726.04387245</v>
      </c>
      <c r="AD1321" s="27">
        <v>5718589550.1634874</v>
      </c>
      <c r="AE1321" s="228">
        <v>1.9148729784382212E-2</v>
      </c>
      <c r="AF1321" s="27">
        <v>1039868323.8017286</v>
      </c>
      <c r="AG1321" s="226">
        <v>0.1053053771688419</v>
      </c>
      <c r="AH1321" s="226">
        <v>0.55598156806107002</v>
      </c>
      <c r="AI1321" s="27">
        <v>744520000</v>
      </c>
      <c r="AJ1321" s="226">
        <v>0.14707962988754156</v>
      </c>
      <c r="AK1321" s="27">
        <v>133862208.77232076</v>
      </c>
      <c r="AL1321" s="226">
        <v>0.81803316296776196</v>
      </c>
      <c r="AM1321" s="27">
        <v>213497250.40684864</v>
      </c>
      <c r="AN1321" s="271">
        <v>0.51290461977940183</v>
      </c>
      <c r="AO1321" s="27">
        <v>15893746</v>
      </c>
      <c r="AP1321" s="27" t="s">
        <v>2842</v>
      </c>
      <c r="AQ1321" s="27">
        <v>56.985634146341468</v>
      </c>
      <c r="AR1321" s="27">
        <v>66.099999999999994</v>
      </c>
      <c r="AS1321" s="29">
        <v>56.970750000000002</v>
      </c>
      <c r="AT1321" s="270">
        <v>35</v>
      </c>
      <c r="AU1321" s="464" t="s">
        <v>2842</v>
      </c>
      <c r="AV1321" s="29">
        <v>-0.66823919544980104</v>
      </c>
      <c r="AW1321" s="29">
        <v>-1.1754146989248599</v>
      </c>
      <c r="AX1321" s="29">
        <v>-0.66564869018927197</v>
      </c>
      <c r="AY1321" s="29">
        <v>-0.51060959829524299</v>
      </c>
      <c r="AZ1321" s="60">
        <v>-0.66761756527553595</v>
      </c>
    </row>
    <row r="1322" spans="1:52" s="29" customFormat="1" ht="15" customHeight="1">
      <c r="A1322" s="63" t="s">
        <v>399</v>
      </c>
      <c r="B1322" s="53">
        <v>2010</v>
      </c>
      <c r="C1322" s="146" t="s">
        <v>387</v>
      </c>
      <c r="D1322" s="69" t="s">
        <v>81</v>
      </c>
      <c r="E1322" s="27" t="s">
        <v>19</v>
      </c>
      <c r="F1322" s="27" t="s">
        <v>1773</v>
      </c>
      <c r="G1322" s="43">
        <f>1929*32.150743126506</f>
        <v>62018.783491030073</v>
      </c>
      <c r="H1322" s="43"/>
      <c r="I1322" s="43"/>
      <c r="J1322" s="43"/>
      <c r="K1322" s="27" t="s">
        <v>731</v>
      </c>
      <c r="L1322" s="28">
        <v>1224.66425</v>
      </c>
      <c r="M1322" s="27" t="s">
        <v>732</v>
      </c>
      <c r="N1322" s="27" t="s">
        <v>782</v>
      </c>
      <c r="O1322" s="18">
        <f>G1322*L1322</f>
        <v>75952186.969954729</v>
      </c>
      <c r="P1322" s="214"/>
      <c r="Q1322" s="214"/>
      <c r="R1322" s="27"/>
      <c r="S1322" s="27"/>
      <c r="T1322" s="18"/>
      <c r="U1322" s="27"/>
      <c r="V1322" s="27"/>
      <c r="W1322" s="30"/>
      <c r="X1322" s="27"/>
      <c r="Y1322" s="27"/>
      <c r="Z1322" s="27"/>
      <c r="AA1322" s="27"/>
      <c r="AB1322" s="27"/>
      <c r="AC1322" s="273">
        <v>109503726.04387245</v>
      </c>
      <c r="AD1322" s="27">
        <v>5718589550.1634874</v>
      </c>
      <c r="AE1322" s="228">
        <v>1.9148729784382212E-2</v>
      </c>
      <c r="AF1322" s="27">
        <v>1039868323.8017286</v>
      </c>
      <c r="AG1322" s="226">
        <v>0.1053053771688419</v>
      </c>
      <c r="AH1322" s="226">
        <v>0.55598156806107002</v>
      </c>
      <c r="AI1322" s="27">
        <v>744520000</v>
      </c>
      <c r="AJ1322" s="226">
        <v>0.14707962988754156</v>
      </c>
      <c r="AK1322" s="27">
        <v>133862208.77232076</v>
      </c>
      <c r="AL1322" s="226">
        <v>0.81803316296776196</v>
      </c>
      <c r="AM1322" s="27">
        <v>213497250.40684864</v>
      </c>
      <c r="AN1322" s="271">
        <v>0.51290461977940183</v>
      </c>
      <c r="AO1322" s="27">
        <v>15893746</v>
      </c>
      <c r="AP1322" s="27" t="s">
        <v>2842</v>
      </c>
      <c r="AQ1322" s="27">
        <v>56.985634146341468</v>
      </c>
      <c r="AR1322" s="27">
        <v>66.099999999999994</v>
      </c>
      <c r="AS1322" s="29">
        <v>56.970750000000002</v>
      </c>
      <c r="AT1322" s="270">
        <v>35</v>
      </c>
      <c r="AU1322" s="464" t="s">
        <v>2842</v>
      </c>
      <c r="AV1322" s="29">
        <v>-0.66823919544980104</v>
      </c>
      <c r="AW1322" s="29">
        <v>-1.1754146989248599</v>
      </c>
      <c r="AX1322" s="29">
        <v>-0.66564869018927197</v>
      </c>
      <c r="AY1322" s="29">
        <v>-0.51060959829524299</v>
      </c>
      <c r="AZ1322" s="60">
        <v>-0.66761756527553595</v>
      </c>
    </row>
    <row r="1323" spans="1:52" s="29" customFormat="1" ht="15" customHeight="1">
      <c r="A1323" s="63" t="s">
        <v>399</v>
      </c>
      <c r="B1323" s="53">
        <v>2010</v>
      </c>
      <c r="C1323" s="146" t="s">
        <v>387</v>
      </c>
      <c r="D1323" s="69" t="s">
        <v>81</v>
      </c>
      <c r="E1323" s="27" t="s">
        <v>19</v>
      </c>
      <c r="F1323" s="27" t="s">
        <v>1058</v>
      </c>
      <c r="G1323" s="43">
        <v>900</v>
      </c>
      <c r="H1323" s="43"/>
      <c r="I1323" s="43"/>
      <c r="J1323" s="43"/>
      <c r="K1323" s="27" t="s">
        <v>567</v>
      </c>
      <c r="L1323" s="28">
        <v>70.16</v>
      </c>
      <c r="M1323" s="27" t="s">
        <v>568</v>
      </c>
      <c r="N1323" s="27" t="s">
        <v>1078</v>
      </c>
      <c r="O1323" s="18">
        <f>G1323*L1323</f>
        <v>63144</v>
      </c>
      <c r="P1323" s="214"/>
      <c r="Q1323" s="214"/>
      <c r="R1323" s="27"/>
      <c r="S1323" s="27"/>
      <c r="T1323" s="18"/>
      <c r="U1323" s="27"/>
      <c r="V1323" s="27"/>
      <c r="W1323" s="30"/>
      <c r="X1323" s="27"/>
      <c r="Y1323" s="27"/>
      <c r="Z1323" s="27"/>
      <c r="AA1323" s="27"/>
      <c r="AB1323" s="27"/>
      <c r="AC1323" s="273">
        <v>109503726.04387245</v>
      </c>
      <c r="AD1323" s="27">
        <v>5718589550.1634874</v>
      </c>
      <c r="AE1323" s="228">
        <v>1.9148729784382212E-2</v>
      </c>
      <c r="AF1323" s="27">
        <v>1039868323.8017286</v>
      </c>
      <c r="AG1323" s="226">
        <v>0.1053053771688419</v>
      </c>
      <c r="AH1323" s="226">
        <v>0.55598156806107002</v>
      </c>
      <c r="AI1323" s="27">
        <v>744520000</v>
      </c>
      <c r="AJ1323" s="226">
        <v>0.14707962988754156</v>
      </c>
      <c r="AK1323" s="27">
        <v>133862208.77232076</v>
      </c>
      <c r="AL1323" s="226">
        <v>0.81803316296776196</v>
      </c>
      <c r="AM1323" s="27">
        <v>213497250.40684864</v>
      </c>
      <c r="AN1323" s="271">
        <v>0.51290461977940183</v>
      </c>
      <c r="AO1323" s="27">
        <v>15893746</v>
      </c>
      <c r="AP1323" s="27" t="s">
        <v>2842</v>
      </c>
      <c r="AQ1323" s="27">
        <v>56.985634146341468</v>
      </c>
      <c r="AR1323" s="27">
        <v>66.099999999999994</v>
      </c>
      <c r="AS1323" s="29">
        <v>56.970750000000002</v>
      </c>
      <c r="AT1323" s="270">
        <v>35</v>
      </c>
      <c r="AU1323" s="464" t="s">
        <v>2842</v>
      </c>
      <c r="AV1323" s="29">
        <v>-0.66823919544980104</v>
      </c>
      <c r="AW1323" s="29">
        <v>-1.1754146989248599</v>
      </c>
      <c r="AX1323" s="29">
        <v>-0.66564869018927197</v>
      </c>
      <c r="AY1323" s="29">
        <v>-0.51060959829524299</v>
      </c>
      <c r="AZ1323" s="60">
        <v>-0.66761756527553595</v>
      </c>
    </row>
    <row r="1324" spans="1:52" s="287" customFormat="1" ht="15" customHeight="1">
      <c r="A1324" s="359" t="s">
        <v>399</v>
      </c>
      <c r="B1324" s="302">
        <v>2010</v>
      </c>
      <c r="C1324" s="383" t="s">
        <v>387</v>
      </c>
      <c r="D1324" s="369" t="s">
        <v>81</v>
      </c>
      <c r="E1324" s="284" t="s">
        <v>19</v>
      </c>
      <c r="F1324" s="284" t="s">
        <v>1353</v>
      </c>
      <c r="G1324" s="303">
        <v>4198</v>
      </c>
      <c r="H1324" s="303"/>
      <c r="I1324" s="303"/>
      <c r="J1324" s="303"/>
      <c r="K1324" s="284" t="s">
        <v>567</v>
      </c>
      <c r="L1324" s="304"/>
      <c r="M1324" s="284"/>
      <c r="N1324" s="284" t="s">
        <v>788</v>
      </c>
      <c r="O1324" s="305"/>
      <c r="P1324" s="346"/>
      <c r="Q1324" s="346"/>
      <c r="R1324" s="284"/>
      <c r="S1324" s="284"/>
      <c r="T1324" s="305"/>
      <c r="U1324" s="284"/>
      <c r="V1324" s="284"/>
      <c r="W1324" s="307"/>
      <c r="X1324" s="284"/>
      <c r="Y1324" s="284"/>
      <c r="Z1324" s="284"/>
      <c r="AA1324" s="284"/>
      <c r="AB1324" s="284"/>
      <c r="AC1324" s="308">
        <v>109503726.04387245</v>
      </c>
      <c r="AD1324" s="284">
        <v>5718589550.1634874</v>
      </c>
      <c r="AE1324" s="309">
        <v>1.9148729784382212E-2</v>
      </c>
      <c r="AF1324" s="284">
        <v>1039868323.8017286</v>
      </c>
      <c r="AG1324" s="310">
        <v>0.1053053771688419</v>
      </c>
      <c r="AH1324" s="310">
        <v>0.55598156806107002</v>
      </c>
      <c r="AI1324" s="284">
        <v>744520000</v>
      </c>
      <c r="AJ1324" s="310">
        <v>0.14707962988754156</v>
      </c>
      <c r="AK1324" s="284">
        <v>133862208.77232076</v>
      </c>
      <c r="AL1324" s="310">
        <v>0.81803316296776196</v>
      </c>
      <c r="AM1324" s="284">
        <v>213497250.40684864</v>
      </c>
      <c r="AN1324" s="311">
        <v>0.51290461977940183</v>
      </c>
      <c r="AO1324" s="284">
        <v>15893746</v>
      </c>
      <c r="AP1324" s="284" t="s">
        <v>2842</v>
      </c>
      <c r="AQ1324" s="284">
        <v>56.985634146341468</v>
      </c>
      <c r="AR1324" s="284">
        <v>66.099999999999994</v>
      </c>
      <c r="AS1324" s="287">
        <v>56.970750000000002</v>
      </c>
      <c r="AT1324" s="312">
        <v>35</v>
      </c>
      <c r="AU1324" s="465" t="s">
        <v>2842</v>
      </c>
      <c r="AV1324" s="287">
        <v>-0.66823919544980104</v>
      </c>
      <c r="AW1324" s="287">
        <v>-1.1754146989248599</v>
      </c>
      <c r="AX1324" s="287">
        <v>-0.66564869018927197</v>
      </c>
      <c r="AY1324" s="287">
        <v>-0.51060959829524299</v>
      </c>
      <c r="AZ1324" s="313">
        <v>-0.66761756527553595</v>
      </c>
    </row>
    <row r="1325" spans="1:52" ht="15" customHeight="1">
      <c r="A1325" s="347" t="s">
        <v>401</v>
      </c>
      <c r="B1325" s="53">
        <v>2011</v>
      </c>
      <c r="C1325" s="146" t="s">
        <v>387</v>
      </c>
      <c r="D1325" s="69" t="s">
        <v>81</v>
      </c>
      <c r="E1325" s="27" t="s">
        <v>36</v>
      </c>
      <c r="F1325" s="27" t="s">
        <v>659</v>
      </c>
      <c r="G1325" s="43"/>
      <c r="H1325" s="43"/>
      <c r="I1325" s="43"/>
      <c r="J1325" s="43"/>
      <c r="K1325" s="27"/>
      <c r="L1325" s="28"/>
      <c r="M1325" s="27"/>
      <c r="N1325" s="27"/>
      <c r="O1325" s="18">
        <f>O1326+O1327</f>
        <v>383259662.98305523</v>
      </c>
      <c r="P1325" s="214">
        <v>119279040.34148772</v>
      </c>
      <c r="Q1325" s="214">
        <v>117840829.10229464</v>
      </c>
      <c r="R1325" s="27" t="s">
        <v>3699</v>
      </c>
      <c r="S1325" s="18" t="s">
        <v>1795</v>
      </c>
      <c r="T1325" s="18">
        <f>68730445/W1325</f>
        <v>148925.14788411953</v>
      </c>
      <c r="U1325" s="27" t="s">
        <v>917</v>
      </c>
      <c r="V1325" s="27" t="s">
        <v>778</v>
      </c>
      <c r="W1325" s="30">
        <v>461.51</v>
      </c>
      <c r="X1325" s="27">
        <v>20</v>
      </c>
      <c r="Y1325" s="27" t="s">
        <v>1796</v>
      </c>
      <c r="Z1325" s="27">
        <v>113</v>
      </c>
      <c r="AA1325" s="27" t="s">
        <v>1798</v>
      </c>
      <c r="AB1325" s="27" t="s">
        <v>1799</v>
      </c>
      <c r="AC1325" s="273">
        <v>119279040.34148772</v>
      </c>
      <c r="AD1325" s="27">
        <v>6409169698.1069489</v>
      </c>
      <c r="AE1325" s="228">
        <v>1.8610685308694308E-2</v>
      </c>
      <c r="AF1325" s="27">
        <v>3851077796.5015225</v>
      </c>
      <c r="AG1325" s="226">
        <v>3.097289814551285E-2</v>
      </c>
      <c r="AH1325" s="226">
        <v>0.65110914529876895</v>
      </c>
      <c r="AI1325" s="27">
        <v>649500000</v>
      </c>
      <c r="AJ1325" s="226">
        <v>0.18364748320475399</v>
      </c>
      <c r="AK1325" s="27">
        <v>145545164.82285845</v>
      </c>
      <c r="AL1325" s="226">
        <v>0.81953282671163297</v>
      </c>
      <c r="AM1325" s="27">
        <v>269532504.31812924</v>
      </c>
      <c r="AN1325" s="271">
        <v>0.44254046703288391</v>
      </c>
      <c r="AO1325" s="27">
        <v>16511462</v>
      </c>
      <c r="AP1325" s="27" t="s">
        <v>2842</v>
      </c>
      <c r="AQ1325" s="27">
        <v>57.482634146341475</v>
      </c>
      <c r="AR1325" s="27">
        <v>63.7</v>
      </c>
      <c r="AS1325" s="29">
        <v>62.002719999999997</v>
      </c>
      <c r="AT1325" s="270">
        <v>35</v>
      </c>
      <c r="AU1325" s="464" t="s">
        <v>2842</v>
      </c>
      <c r="AV1325" s="29">
        <v>-0.352969275704617</v>
      </c>
      <c r="AW1325" s="29">
        <v>-0.87073551340548005</v>
      </c>
      <c r="AX1325" s="29">
        <v>-0.623013538093247</v>
      </c>
      <c r="AY1325" s="29">
        <v>-0.52521654966283304</v>
      </c>
      <c r="AZ1325" s="60">
        <v>-0.64676699637527801</v>
      </c>
    </row>
    <row r="1326" spans="1:52" ht="15" customHeight="1">
      <c r="A1326" s="63" t="s">
        <v>401</v>
      </c>
      <c r="B1326" s="53">
        <v>2011</v>
      </c>
      <c r="C1326" s="146" t="s">
        <v>387</v>
      </c>
      <c r="D1326" s="69" t="s">
        <v>81</v>
      </c>
      <c r="E1326" s="27" t="s">
        <v>98</v>
      </c>
      <c r="F1326" s="27" t="s">
        <v>98</v>
      </c>
      <c r="G1326" s="43">
        <v>2445500</v>
      </c>
      <c r="H1326" s="43"/>
      <c r="I1326" s="43"/>
      <c r="J1326" s="43"/>
      <c r="K1326" s="27" t="s">
        <v>603</v>
      </c>
      <c r="L1326" s="28">
        <v>106.530653575</v>
      </c>
      <c r="M1326" s="27" t="s">
        <v>626</v>
      </c>
      <c r="N1326" s="27" t="s">
        <v>947</v>
      </c>
      <c r="O1326" s="18">
        <f>G1326*L1326</f>
        <v>260520713.31766251</v>
      </c>
      <c r="P1326" s="214"/>
      <c r="Q1326" s="214"/>
      <c r="R1326" s="27"/>
      <c r="S1326" s="27"/>
      <c r="T1326" s="18"/>
      <c r="U1326" s="27"/>
      <c r="V1326" s="27"/>
      <c r="W1326" s="30"/>
      <c r="X1326" s="27"/>
      <c r="Y1326" s="27"/>
      <c r="Z1326" s="27"/>
      <c r="AA1326" s="27"/>
      <c r="AB1326" s="27"/>
      <c r="AC1326" s="273">
        <v>119279040.34148772</v>
      </c>
      <c r="AD1326" s="27">
        <v>6409169698.1069489</v>
      </c>
      <c r="AE1326" s="228">
        <v>1.8610685308694308E-2</v>
      </c>
      <c r="AF1326" s="27">
        <v>3851077796.5015225</v>
      </c>
      <c r="AG1326" s="226">
        <v>3.097289814551285E-2</v>
      </c>
      <c r="AH1326" s="226">
        <v>0.65110914529876895</v>
      </c>
      <c r="AI1326" s="27">
        <v>649500000</v>
      </c>
      <c r="AJ1326" s="226">
        <v>0.18364748320475399</v>
      </c>
      <c r="AK1326" s="27">
        <v>145545164.82285845</v>
      </c>
      <c r="AL1326" s="226">
        <v>0.81953282671163297</v>
      </c>
      <c r="AM1326" s="27">
        <v>269532504.31812924</v>
      </c>
      <c r="AN1326" s="271">
        <v>0.44254046703288391</v>
      </c>
      <c r="AO1326" s="27">
        <v>16511462</v>
      </c>
      <c r="AP1326" s="27" t="s">
        <v>2842</v>
      </c>
      <c r="AQ1326" s="27">
        <v>57.482634146341475</v>
      </c>
      <c r="AR1326" s="27">
        <v>63.7</v>
      </c>
      <c r="AS1326" s="29">
        <v>62.002719999999997</v>
      </c>
      <c r="AT1326" s="270">
        <v>35</v>
      </c>
      <c r="AU1326" s="464" t="s">
        <v>2842</v>
      </c>
      <c r="AV1326" s="29">
        <v>-0.352969275704617</v>
      </c>
      <c r="AW1326" s="29">
        <v>-0.87073551340548005</v>
      </c>
      <c r="AX1326" s="29">
        <v>-0.623013538093247</v>
      </c>
      <c r="AY1326" s="29">
        <v>-0.52521654966283304</v>
      </c>
      <c r="AZ1326" s="60">
        <v>-0.64676699637527801</v>
      </c>
    </row>
    <row r="1327" spans="1:52" ht="15" customHeight="1">
      <c r="A1327" s="63" t="s">
        <v>401</v>
      </c>
      <c r="B1327" s="53">
        <v>2011</v>
      </c>
      <c r="C1327" s="146" t="s">
        <v>387</v>
      </c>
      <c r="D1327" s="69" t="s">
        <v>81</v>
      </c>
      <c r="E1327" s="27" t="s">
        <v>19</v>
      </c>
      <c r="F1327" s="27" t="s">
        <v>559</v>
      </c>
      <c r="G1327" s="43"/>
      <c r="H1327" s="43"/>
      <c r="I1327" s="43"/>
      <c r="J1327" s="43"/>
      <c r="K1327" s="27"/>
      <c r="L1327" s="28"/>
      <c r="M1327" s="27"/>
      <c r="N1327" s="27"/>
      <c r="O1327" s="18">
        <f>SUM(O1328:O1331)</f>
        <v>122738949.6653927</v>
      </c>
      <c r="P1327" s="214"/>
      <c r="Q1327" s="214"/>
      <c r="R1327" s="27"/>
      <c r="S1327" s="27"/>
      <c r="T1327" s="18"/>
      <c r="U1327" s="27"/>
      <c r="V1327" s="27"/>
      <c r="W1327" s="30"/>
      <c r="X1327" s="27"/>
      <c r="Y1327" s="27"/>
      <c r="Z1327" s="27"/>
      <c r="AA1327" s="27"/>
      <c r="AB1327" s="27"/>
      <c r="AC1327" s="273">
        <v>119279040.34148772</v>
      </c>
      <c r="AD1327" s="27">
        <v>6409169698.1069489</v>
      </c>
      <c r="AE1327" s="228">
        <v>1.8610685308694308E-2</v>
      </c>
      <c r="AF1327" s="27">
        <v>3851077796.5015225</v>
      </c>
      <c r="AG1327" s="226">
        <v>3.097289814551285E-2</v>
      </c>
      <c r="AH1327" s="226">
        <v>0.65110914529876895</v>
      </c>
      <c r="AI1327" s="27">
        <v>649500000</v>
      </c>
      <c r="AJ1327" s="226">
        <v>0.18364748320475399</v>
      </c>
      <c r="AK1327" s="27">
        <v>145545164.82285845</v>
      </c>
      <c r="AL1327" s="226">
        <v>0.81953282671163297</v>
      </c>
      <c r="AM1327" s="27">
        <v>269532504.31812924</v>
      </c>
      <c r="AN1327" s="271">
        <v>0.44254046703288391</v>
      </c>
      <c r="AO1327" s="27">
        <v>16511462</v>
      </c>
      <c r="AP1327" s="27" t="s">
        <v>2842</v>
      </c>
      <c r="AQ1327" s="27">
        <v>57.482634146341475</v>
      </c>
      <c r="AR1327" s="27">
        <v>63.7</v>
      </c>
      <c r="AS1327" s="29">
        <v>62.002719999999997</v>
      </c>
      <c r="AT1327" s="270">
        <v>35</v>
      </c>
      <c r="AU1327" s="464" t="s">
        <v>2842</v>
      </c>
      <c r="AV1327" s="29">
        <v>-0.352969275704617</v>
      </c>
      <c r="AW1327" s="29">
        <v>-0.87073551340548005</v>
      </c>
      <c r="AX1327" s="29">
        <v>-0.623013538093247</v>
      </c>
      <c r="AY1327" s="29">
        <v>-0.52521654966283304</v>
      </c>
      <c r="AZ1327" s="60">
        <v>-0.64676699637527801</v>
      </c>
    </row>
    <row r="1328" spans="1:52" ht="15" customHeight="1">
      <c r="A1328" s="63" t="s">
        <v>401</v>
      </c>
      <c r="B1328" s="53">
        <v>2011</v>
      </c>
      <c r="C1328" s="146" t="s">
        <v>387</v>
      </c>
      <c r="D1328" s="69" t="s">
        <v>81</v>
      </c>
      <c r="E1328" s="27" t="s">
        <v>19</v>
      </c>
      <c r="F1328" s="27" t="s">
        <v>573</v>
      </c>
      <c r="G1328" s="43">
        <v>250000</v>
      </c>
      <c r="H1328" s="43"/>
      <c r="I1328" s="43"/>
      <c r="J1328" s="43"/>
      <c r="K1328" s="27" t="s">
        <v>567</v>
      </c>
      <c r="L1328" s="28">
        <v>111.54662184722224</v>
      </c>
      <c r="M1328" s="27" t="s">
        <v>568</v>
      </c>
      <c r="N1328" s="27" t="s">
        <v>1791</v>
      </c>
      <c r="O1328" s="18">
        <f>G1328*L1328</f>
        <v>27886655.46180556</v>
      </c>
      <c r="P1328" s="214"/>
      <c r="Q1328" s="214"/>
      <c r="R1328" s="27"/>
      <c r="S1328" s="27"/>
      <c r="T1328" s="18"/>
      <c r="U1328" s="27"/>
      <c r="V1328" s="27"/>
      <c r="W1328" s="30"/>
      <c r="X1328" s="27"/>
      <c r="Y1328" s="27"/>
      <c r="Z1328" s="27"/>
      <c r="AA1328" s="27"/>
      <c r="AB1328" s="27"/>
      <c r="AC1328" s="273">
        <v>119279040.34148772</v>
      </c>
      <c r="AD1328" s="27">
        <v>6409169698.1069489</v>
      </c>
      <c r="AE1328" s="228">
        <v>1.8610685308694308E-2</v>
      </c>
      <c r="AF1328" s="27">
        <v>3851077796.5015225</v>
      </c>
      <c r="AG1328" s="226">
        <v>3.097289814551285E-2</v>
      </c>
      <c r="AH1328" s="226">
        <v>0.65110914529876895</v>
      </c>
      <c r="AI1328" s="27">
        <v>649500000</v>
      </c>
      <c r="AJ1328" s="226">
        <v>0.18364748320475399</v>
      </c>
      <c r="AK1328" s="27">
        <v>145545164.82285845</v>
      </c>
      <c r="AL1328" s="226">
        <v>0.81953282671163297</v>
      </c>
      <c r="AM1328" s="27">
        <v>269532504.31812924</v>
      </c>
      <c r="AN1328" s="271">
        <v>0.44254046703288391</v>
      </c>
      <c r="AO1328" s="27">
        <v>16511462</v>
      </c>
      <c r="AP1328" s="27" t="s">
        <v>2842</v>
      </c>
      <c r="AQ1328" s="27">
        <v>57.482634146341475</v>
      </c>
      <c r="AR1328" s="27">
        <v>63.7</v>
      </c>
      <c r="AS1328" s="29">
        <v>62.002719999999997</v>
      </c>
      <c r="AT1328" s="270">
        <v>35</v>
      </c>
      <c r="AU1328" s="464" t="s">
        <v>2842</v>
      </c>
      <c r="AV1328" s="29">
        <v>-0.352969275704617</v>
      </c>
      <c r="AW1328" s="29">
        <v>-0.87073551340548005</v>
      </c>
      <c r="AX1328" s="29">
        <v>-0.623013538093247</v>
      </c>
      <c r="AY1328" s="29">
        <v>-0.52521654966283304</v>
      </c>
      <c r="AZ1328" s="60">
        <v>-0.64676699637527801</v>
      </c>
    </row>
    <row r="1329" spans="1:52" ht="15" customHeight="1">
      <c r="A1329" s="63" t="s">
        <v>401</v>
      </c>
      <c r="B1329" s="53">
        <v>2011</v>
      </c>
      <c r="C1329" s="146" t="s">
        <v>387</v>
      </c>
      <c r="D1329" s="69" t="s">
        <v>81</v>
      </c>
      <c r="E1329" s="27" t="s">
        <v>19</v>
      </c>
      <c r="F1329" s="27" t="s">
        <v>1773</v>
      </c>
      <c r="G1329" s="43">
        <f>1879*32.150743126506</f>
        <v>60411.246334704774</v>
      </c>
      <c r="H1329" s="43"/>
      <c r="I1329" s="43"/>
      <c r="J1329" s="43"/>
      <c r="K1329" s="27" t="s">
        <v>731</v>
      </c>
      <c r="L1329" s="28">
        <v>1569.2108333333299</v>
      </c>
      <c r="M1329" s="27" t="s">
        <v>732</v>
      </c>
      <c r="N1329" s="27" t="s">
        <v>782</v>
      </c>
      <c r="O1329" s="18">
        <f>G1329*L1329</f>
        <v>94797982.203587145</v>
      </c>
      <c r="P1329" s="214"/>
      <c r="Q1329" s="214"/>
      <c r="R1329" s="27"/>
      <c r="S1329" s="27"/>
      <c r="T1329" s="18"/>
      <c r="U1329" s="27"/>
      <c r="V1329" s="27"/>
      <c r="W1329" s="30"/>
      <c r="X1329" s="27"/>
      <c r="Y1329" s="27"/>
      <c r="Z1329" s="27"/>
      <c r="AA1329" s="27"/>
      <c r="AB1329" s="27"/>
      <c r="AC1329" s="273">
        <v>119279040.34148772</v>
      </c>
      <c r="AD1329" s="27">
        <v>6409169698.1069489</v>
      </c>
      <c r="AE1329" s="228">
        <v>1.8610685308694308E-2</v>
      </c>
      <c r="AF1329" s="27">
        <v>3851077796.5015225</v>
      </c>
      <c r="AG1329" s="226">
        <v>3.097289814551285E-2</v>
      </c>
      <c r="AH1329" s="226">
        <v>0.65110914529876895</v>
      </c>
      <c r="AI1329" s="27">
        <v>649500000</v>
      </c>
      <c r="AJ1329" s="226">
        <v>0.18364748320475399</v>
      </c>
      <c r="AK1329" s="27">
        <v>145545164.82285845</v>
      </c>
      <c r="AL1329" s="226">
        <v>0.81953282671163297</v>
      </c>
      <c r="AM1329" s="27">
        <v>269532504.31812924</v>
      </c>
      <c r="AN1329" s="271">
        <v>0.44254046703288391</v>
      </c>
      <c r="AO1329" s="27">
        <v>16511462</v>
      </c>
      <c r="AP1329" s="27" t="s">
        <v>2842</v>
      </c>
      <c r="AQ1329" s="27">
        <v>57.482634146341475</v>
      </c>
      <c r="AR1329" s="27">
        <v>63.7</v>
      </c>
      <c r="AS1329" s="29">
        <v>62.002719999999997</v>
      </c>
      <c r="AT1329" s="270">
        <v>35</v>
      </c>
      <c r="AU1329" s="464" t="s">
        <v>2842</v>
      </c>
      <c r="AV1329" s="29">
        <v>-0.352969275704617</v>
      </c>
      <c r="AW1329" s="29">
        <v>-0.87073551340548005</v>
      </c>
      <c r="AX1329" s="29">
        <v>-0.623013538093247</v>
      </c>
      <c r="AY1329" s="29">
        <v>-0.52521654966283304</v>
      </c>
      <c r="AZ1329" s="60">
        <v>-0.64676699637527801</v>
      </c>
    </row>
    <row r="1330" spans="1:52" ht="15" customHeight="1">
      <c r="A1330" s="63" t="s">
        <v>401</v>
      </c>
      <c r="B1330" s="53">
        <v>2011</v>
      </c>
      <c r="C1330" s="146" t="s">
        <v>387</v>
      </c>
      <c r="D1330" s="69" t="s">
        <v>81</v>
      </c>
      <c r="E1330" s="27" t="s">
        <v>19</v>
      </c>
      <c r="F1330" s="27" t="s">
        <v>1058</v>
      </c>
      <c r="G1330" s="43">
        <v>800</v>
      </c>
      <c r="H1330" s="43"/>
      <c r="I1330" s="43"/>
      <c r="J1330" s="43"/>
      <c r="K1330" s="27" t="s">
        <v>567</v>
      </c>
      <c r="L1330" s="28">
        <v>67.89</v>
      </c>
      <c r="M1330" s="27" t="s">
        <v>568</v>
      </c>
      <c r="N1330" s="27" t="s">
        <v>1078</v>
      </c>
      <c r="O1330" s="18">
        <f>G1330*L1330</f>
        <v>54312</v>
      </c>
      <c r="P1330" s="214"/>
      <c r="Q1330" s="214"/>
      <c r="R1330" s="27"/>
      <c r="S1330" s="27"/>
      <c r="T1330" s="18"/>
      <c r="U1330" s="27"/>
      <c r="V1330" s="27"/>
      <c r="W1330" s="30"/>
      <c r="X1330" s="27"/>
      <c r="Y1330" s="27"/>
      <c r="Z1330" s="27"/>
      <c r="AA1330" s="27"/>
      <c r="AB1330" s="27"/>
      <c r="AC1330" s="273">
        <v>119279040.34148772</v>
      </c>
      <c r="AD1330" s="27">
        <v>6409169698.1069489</v>
      </c>
      <c r="AE1330" s="228">
        <v>1.8610685308694308E-2</v>
      </c>
      <c r="AF1330" s="27">
        <v>3851077796.5015225</v>
      </c>
      <c r="AG1330" s="226">
        <v>3.097289814551285E-2</v>
      </c>
      <c r="AH1330" s="226">
        <v>0.65110914529876895</v>
      </c>
      <c r="AI1330" s="27">
        <v>649500000</v>
      </c>
      <c r="AJ1330" s="226">
        <v>0.18364748320475399</v>
      </c>
      <c r="AK1330" s="27">
        <v>145545164.82285845</v>
      </c>
      <c r="AL1330" s="226">
        <v>0.81953282671163297</v>
      </c>
      <c r="AM1330" s="27">
        <v>269532504.31812924</v>
      </c>
      <c r="AN1330" s="271">
        <v>0.44254046703288391</v>
      </c>
      <c r="AO1330" s="27">
        <v>16511462</v>
      </c>
      <c r="AP1330" s="27" t="s">
        <v>2842</v>
      </c>
      <c r="AQ1330" s="27">
        <v>57.482634146341475</v>
      </c>
      <c r="AR1330" s="27">
        <v>63.7</v>
      </c>
      <c r="AS1330" s="29">
        <v>62.002719999999997</v>
      </c>
      <c r="AT1330" s="270">
        <v>35</v>
      </c>
      <c r="AU1330" s="464" t="s">
        <v>2842</v>
      </c>
      <c r="AV1330" s="29">
        <v>-0.352969275704617</v>
      </c>
      <c r="AW1330" s="29">
        <v>-0.87073551340548005</v>
      </c>
      <c r="AX1330" s="29">
        <v>-0.623013538093247</v>
      </c>
      <c r="AY1330" s="29">
        <v>-0.52521654966283304</v>
      </c>
      <c r="AZ1330" s="60">
        <v>-0.64676699637527801</v>
      </c>
    </row>
    <row r="1331" spans="1:52" s="287" customFormat="1" ht="15" customHeight="1">
      <c r="A1331" s="359" t="s">
        <v>401</v>
      </c>
      <c r="B1331" s="302">
        <v>2011</v>
      </c>
      <c r="C1331" s="383" t="s">
        <v>387</v>
      </c>
      <c r="D1331" s="369" t="s">
        <v>81</v>
      </c>
      <c r="E1331" s="284" t="s">
        <v>19</v>
      </c>
      <c r="F1331" s="284" t="s">
        <v>1353</v>
      </c>
      <c r="G1331" s="303">
        <v>4351</v>
      </c>
      <c r="H1331" s="303"/>
      <c r="I1331" s="303"/>
      <c r="J1331" s="303"/>
      <c r="K1331" s="284" t="s">
        <v>567</v>
      </c>
      <c r="L1331" s="304"/>
      <c r="M1331" s="284"/>
      <c r="N1331" s="284" t="s">
        <v>788</v>
      </c>
      <c r="O1331" s="305"/>
      <c r="P1331" s="346"/>
      <c r="Q1331" s="346"/>
      <c r="R1331" s="284"/>
      <c r="S1331" s="284"/>
      <c r="T1331" s="305"/>
      <c r="U1331" s="284"/>
      <c r="V1331" s="284"/>
      <c r="W1331" s="307"/>
      <c r="X1331" s="284"/>
      <c r="Y1331" s="284"/>
      <c r="Z1331" s="284"/>
      <c r="AA1331" s="284"/>
      <c r="AB1331" s="284"/>
      <c r="AC1331" s="308">
        <v>119279040.34148772</v>
      </c>
      <c r="AD1331" s="284">
        <v>6409169698.1069489</v>
      </c>
      <c r="AE1331" s="309">
        <v>1.8610685308694308E-2</v>
      </c>
      <c r="AF1331" s="284">
        <v>3851077796.5015225</v>
      </c>
      <c r="AG1331" s="310">
        <v>3.097289814551285E-2</v>
      </c>
      <c r="AH1331" s="310">
        <v>0.65110914529876895</v>
      </c>
      <c r="AI1331" s="284">
        <v>649500000</v>
      </c>
      <c r="AJ1331" s="310">
        <v>0.18364748320475399</v>
      </c>
      <c r="AK1331" s="284">
        <v>145545164.82285845</v>
      </c>
      <c r="AL1331" s="310">
        <v>0.81953282671163297</v>
      </c>
      <c r="AM1331" s="284">
        <v>269532504.31812924</v>
      </c>
      <c r="AN1331" s="311">
        <v>0.44254046703288391</v>
      </c>
      <c r="AO1331" s="284">
        <v>16511462</v>
      </c>
      <c r="AP1331" s="284" t="s">
        <v>2842</v>
      </c>
      <c r="AQ1331" s="284">
        <v>57.482634146341475</v>
      </c>
      <c r="AR1331" s="284">
        <v>63.7</v>
      </c>
      <c r="AS1331" s="287">
        <v>62.002719999999997</v>
      </c>
      <c r="AT1331" s="312">
        <v>35</v>
      </c>
      <c r="AU1331" s="465" t="s">
        <v>2842</v>
      </c>
      <c r="AV1331" s="287">
        <v>-0.352969275704617</v>
      </c>
      <c r="AW1331" s="287">
        <v>-0.87073551340548005</v>
      </c>
      <c r="AX1331" s="287">
        <v>-0.623013538093247</v>
      </c>
      <c r="AY1331" s="287">
        <v>-0.52521654966283304</v>
      </c>
      <c r="AZ1331" s="313">
        <v>-0.64676699637527801</v>
      </c>
    </row>
    <row r="1332" spans="1:52" ht="15" customHeight="1">
      <c r="A1332" s="59" t="s">
        <v>403</v>
      </c>
      <c r="B1332" s="27">
        <v>2012</v>
      </c>
      <c r="C1332" s="27" t="s">
        <v>387</v>
      </c>
      <c r="D1332" s="27" t="s">
        <v>81</v>
      </c>
      <c r="E1332" s="27" t="s">
        <v>36</v>
      </c>
      <c r="F1332" s="27" t="s">
        <v>659</v>
      </c>
      <c r="G1332" s="176"/>
      <c r="H1332" s="176"/>
      <c r="I1332" s="27"/>
      <c r="J1332" s="176"/>
      <c r="K1332" s="27"/>
      <c r="L1332" s="28"/>
      <c r="M1332" s="27"/>
      <c r="N1332" s="27"/>
      <c r="O1332" s="27"/>
      <c r="P1332" s="214">
        <v>344759167</v>
      </c>
      <c r="Q1332" s="214">
        <v>340897169</v>
      </c>
      <c r="R1332" s="27" t="s">
        <v>619</v>
      </c>
      <c r="S1332" s="27"/>
      <c r="T1332" s="18"/>
      <c r="U1332" s="27" t="s">
        <v>1800</v>
      </c>
      <c r="V1332" s="27" t="s">
        <v>778</v>
      </c>
      <c r="W1332" s="30">
        <v>507.2</v>
      </c>
      <c r="X1332" s="27"/>
      <c r="Y1332" s="27"/>
      <c r="Z1332" s="27">
        <v>63</v>
      </c>
      <c r="AA1332" s="27"/>
      <c r="AB1332" s="27" t="s">
        <v>1802</v>
      </c>
      <c r="AC1332" s="273">
        <v>344759167</v>
      </c>
      <c r="AD1332" s="27">
        <v>6611341028.9871645</v>
      </c>
      <c r="AE1332" s="228">
        <v>5.2146631899400893E-2</v>
      </c>
      <c r="AF1332" s="27">
        <v>1466924347.511672</v>
      </c>
      <c r="AG1332" s="226">
        <v>0.23502177708401339</v>
      </c>
      <c r="AH1332" s="226" t="s">
        <v>2842</v>
      </c>
      <c r="AI1332" s="27">
        <v>901870000</v>
      </c>
      <c r="AJ1332" s="226">
        <v>0.38227146595407319</v>
      </c>
      <c r="AK1332" s="27">
        <v>188087154.50217244</v>
      </c>
      <c r="AL1332" s="226">
        <v>1.8329756112931039</v>
      </c>
      <c r="AM1332" s="27">
        <v>293257270.62047493</v>
      </c>
      <c r="AN1332" s="271">
        <v>1.1756201858885107</v>
      </c>
      <c r="AO1332" s="27">
        <v>17157042</v>
      </c>
      <c r="AP1332" s="27" t="s">
        <v>2842</v>
      </c>
      <c r="AQ1332" s="27">
        <v>57.966170731707322</v>
      </c>
      <c r="AR1332" s="27">
        <v>61.6</v>
      </c>
      <c r="AS1332" s="29">
        <v>63.622169999999997</v>
      </c>
      <c r="AT1332" s="270">
        <v>35</v>
      </c>
      <c r="AU1332" s="464" t="s">
        <v>2842</v>
      </c>
      <c r="AV1332" s="29">
        <v>-0.395079599525754</v>
      </c>
      <c r="AW1332" s="29">
        <v>-1.17281728195836</v>
      </c>
      <c r="AX1332" s="29">
        <v>-0.70399601649343702</v>
      </c>
      <c r="AY1332" s="29">
        <v>-0.60796690667479703</v>
      </c>
      <c r="AZ1332" s="60">
        <v>-0.68559744135101297</v>
      </c>
    </row>
    <row r="1333" spans="1:52" ht="15" customHeight="1">
      <c r="A1333" s="59" t="s">
        <v>403</v>
      </c>
      <c r="B1333" s="27">
        <v>2012</v>
      </c>
      <c r="C1333" s="27" t="s">
        <v>387</v>
      </c>
      <c r="D1333" s="27" t="s">
        <v>81</v>
      </c>
      <c r="E1333" s="27" t="s">
        <v>98</v>
      </c>
      <c r="F1333" s="18" t="s">
        <v>98</v>
      </c>
      <c r="G1333" s="176"/>
      <c r="H1333" s="176"/>
      <c r="I1333" s="178">
        <v>4642828</v>
      </c>
      <c r="J1333" s="178"/>
      <c r="K1333" s="27" t="s">
        <v>603</v>
      </c>
      <c r="L1333" s="28"/>
      <c r="M1333" s="27"/>
      <c r="N1333" s="27" t="s">
        <v>674</v>
      </c>
      <c r="O1333" s="27"/>
      <c r="P1333" s="244"/>
      <c r="Q1333" s="244"/>
      <c r="R1333" s="27"/>
      <c r="S1333" s="27"/>
      <c r="T1333" s="18"/>
      <c r="U1333" s="27"/>
      <c r="V1333" s="27"/>
      <c r="W1333" s="30"/>
      <c r="X1333" s="27"/>
      <c r="Y1333" s="27"/>
      <c r="Z1333" s="27"/>
      <c r="AA1333" s="27"/>
      <c r="AB1333" s="27"/>
      <c r="AC1333" s="273">
        <v>344759167</v>
      </c>
      <c r="AD1333" s="27">
        <v>6611341028.9871645</v>
      </c>
      <c r="AE1333" s="228">
        <v>5.2146631899400893E-2</v>
      </c>
      <c r="AF1333" s="27">
        <v>1466924347.511672</v>
      </c>
      <c r="AG1333" s="226">
        <v>0.23502177708401339</v>
      </c>
      <c r="AH1333" s="226" t="s">
        <v>2842</v>
      </c>
      <c r="AI1333" s="27">
        <v>901870000</v>
      </c>
      <c r="AJ1333" s="226">
        <v>0.38227146595407319</v>
      </c>
      <c r="AK1333" s="27">
        <v>188087154.50217244</v>
      </c>
      <c r="AL1333" s="226">
        <v>1.8329756112931039</v>
      </c>
      <c r="AM1333" s="27">
        <v>293257270.62047493</v>
      </c>
      <c r="AN1333" s="271">
        <v>1.1756201858885107</v>
      </c>
      <c r="AO1333" s="27">
        <v>17157042</v>
      </c>
      <c r="AP1333" s="27" t="s">
        <v>2842</v>
      </c>
      <c r="AQ1333" s="27">
        <v>57.966170731707322</v>
      </c>
      <c r="AR1333" s="27">
        <v>61.6</v>
      </c>
      <c r="AS1333" s="29">
        <v>63.622169999999997</v>
      </c>
      <c r="AT1333" s="270">
        <v>35</v>
      </c>
      <c r="AU1333" s="464" t="s">
        <v>2842</v>
      </c>
      <c r="AV1333" s="29">
        <v>-0.395079599525754</v>
      </c>
      <c r="AW1333" s="29">
        <v>-1.17281728195836</v>
      </c>
      <c r="AX1333" s="29">
        <v>-0.70399601649343702</v>
      </c>
      <c r="AY1333" s="29">
        <v>-0.60796690667479703</v>
      </c>
      <c r="AZ1333" s="60">
        <v>-0.68559744135101297</v>
      </c>
    </row>
    <row r="1334" spans="1:52" ht="15" customHeight="1">
      <c r="A1334" s="171" t="s">
        <v>403</v>
      </c>
      <c r="B1334" s="177">
        <v>2012</v>
      </c>
      <c r="C1334" s="177" t="s">
        <v>387</v>
      </c>
      <c r="D1334" s="177" t="s">
        <v>81</v>
      </c>
      <c r="E1334" s="27" t="s">
        <v>19</v>
      </c>
      <c r="F1334" s="27" t="s">
        <v>1353</v>
      </c>
      <c r="G1334" s="176"/>
      <c r="H1334" s="176"/>
      <c r="I1334" s="176">
        <v>1773</v>
      </c>
      <c r="J1334" s="176"/>
      <c r="K1334" s="27" t="s">
        <v>567</v>
      </c>
      <c r="L1334" s="28"/>
      <c r="M1334" s="27"/>
      <c r="N1334" s="27" t="s">
        <v>674</v>
      </c>
      <c r="O1334" s="27"/>
      <c r="P1334" s="244"/>
      <c r="Q1334" s="244"/>
      <c r="R1334" s="27"/>
      <c r="S1334" s="27"/>
      <c r="T1334" s="18"/>
      <c r="U1334" s="27"/>
      <c r="V1334" s="27"/>
      <c r="W1334" s="30"/>
      <c r="X1334" s="27"/>
      <c r="Y1334" s="27"/>
      <c r="Z1334" s="27"/>
      <c r="AA1334" s="27"/>
      <c r="AB1334" s="27"/>
      <c r="AC1334" s="273">
        <v>344759167</v>
      </c>
      <c r="AD1334" s="27">
        <v>6611341028.9871645</v>
      </c>
      <c r="AE1334" s="228">
        <v>5.2146631899400893E-2</v>
      </c>
      <c r="AF1334" s="27">
        <v>1466924347.511672</v>
      </c>
      <c r="AG1334" s="226">
        <v>0.23502177708401339</v>
      </c>
      <c r="AH1334" s="226" t="s">
        <v>2842</v>
      </c>
      <c r="AI1334" s="27">
        <v>901870000</v>
      </c>
      <c r="AJ1334" s="226">
        <v>0.38227146595407319</v>
      </c>
      <c r="AK1334" s="27">
        <v>188087154.50217244</v>
      </c>
      <c r="AL1334" s="226">
        <v>1.8329756112931039</v>
      </c>
      <c r="AM1334" s="27">
        <v>293257270.62047493</v>
      </c>
      <c r="AN1334" s="271">
        <v>1.1756201858885107</v>
      </c>
      <c r="AO1334" s="27">
        <v>17157042</v>
      </c>
      <c r="AP1334" s="27" t="s">
        <v>2842</v>
      </c>
      <c r="AQ1334" s="27">
        <v>57.966170731707322</v>
      </c>
      <c r="AR1334" s="27">
        <v>61.6</v>
      </c>
      <c r="AS1334" s="29">
        <v>63.622169999999997</v>
      </c>
      <c r="AT1334" s="270">
        <v>35</v>
      </c>
      <c r="AU1334" s="464" t="s">
        <v>2842</v>
      </c>
      <c r="AV1334" s="29">
        <v>-0.395079599525754</v>
      </c>
      <c r="AW1334" s="29">
        <v>-1.17281728195836</v>
      </c>
      <c r="AX1334" s="29">
        <v>-0.70399601649343702</v>
      </c>
      <c r="AY1334" s="29">
        <v>-0.60796690667479703</v>
      </c>
      <c r="AZ1334" s="60">
        <v>-0.68559744135101297</v>
      </c>
    </row>
    <row r="1335" spans="1:52" s="232" customFormat="1" ht="15" customHeight="1" thickBot="1">
      <c r="A1335" s="316" t="s">
        <v>403</v>
      </c>
      <c r="B1335" s="361">
        <v>2012</v>
      </c>
      <c r="C1335" s="361" t="s">
        <v>387</v>
      </c>
      <c r="D1335" s="361" t="s">
        <v>81</v>
      </c>
      <c r="E1335" s="230" t="s">
        <v>19</v>
      </c>
      <c r="F1335" s="230" t="s">
        <v>730</v>
      </c>
      <c r="G1335" s="317"/>
      <c r="H1335" s="317"/>
      <c r="I1335" s="317">
        <v>1662</v>
      </c>
      <c r="J1335" s="317"/>
      <c r="K1335" s="230" t="s">
        <v>894</v>
      </c>
      <c r="L1335" s="298"/>
      <c r="M1335" s="230"/>
      <c r="N1335" s="230" t="s">
        <v>674</v>
      </c>
      <c r="O1335" s="230"/>
      <c r="P1335" s="318"/>
      <c r="Q1335" s="318"/>
      <c r="R1335" s="230"/>
      <c r="S1335" s="230"/>
      <c r="T1335" s="285"/>
      <c r="U1335" s="230"/>
      <c r="V1335" s="230"/>
      <c r="W1335" s="300"/>
      <c r="X1335" s="230"/>
      <c r="Y1335" s="230"/>
      <c r="Z1335" s="230"/>
      <c r="AA1335" s="230"/>
      <c r="AB1335" s="230"/>
      <c r="AC1335" s="274">
        <v>344759167</v>
      </c>
      <c r="AD1335" s="230">
        <v>6611341028.9871645</v>
      </c>
      <c r="AE1335" s="229">
        <v>5.2146631899400893E-2</v>
      </c>
      <c r="AF1335" s="230">
        <v>1466924347.511672</v>
      </c>
      <c r="AG1335" s="231">
        <v>0.23502177708401339</v>
      </c>
      <c r="AH1335" s="231" t="s">
        <v>2842</v>
      </c>
      <c r="AI1335" s="230">
        <v>901870000</v>
      </c>
      <c r="AJ1335" s="231">
        <v>0.38227146595407319</v>
      </c>
      <c r="AK1335" s="230">
        <v>188087154.50217244</v>
      </c>
      <c r="AL1335" s="231">
        <v>1.8329756112931039</v>
      </c>
      <c r="AM1335" s="230">
        <v>293257270.62047493</v>
      </c>
      <c r="AN1335" s="275">
        <v>1.1756201858885107</v>
      </c>
      <c r="AO1335" s="230">
        <v>17157042</v>
      </c>
      <c r="AP1335" s="230" t="s">
        <v>2842</v>
      </c>
      <c r="AQ1335" s="230">
        <v>57.966170731707322</v>
      </c>
      <c r="AR1335" s="230">
        <v>61.6</v>
      </c>
      <c r="AS1335" s="232">
        <v>63.622169999999997</v>
      </c>
      <c r="AT1335" s="276">
        <v>35</v>
      </c>
      <c r="AU1335" s="466" t="s">
        <v>2842</v>
      </c>
      <c r="AV1335" s="232">
        <v>-0.395079599525754</v>
      </c>
      <c r="AW1335" s="232">
        <v>-1.17281728195836</v>
      </c>
      <c r="AX1335" s="232">
        <v>-0.70399601649343702</v>
      </c>
      <c r="AY1335" s="232">
        <v>-0.60796690667479703</v>
      </c>
      <c r="AZ1335" s="293">
        <v>-0.68559744135101297</v>
      </c>
    </row>
    <row r="1336" spans="1:52" s="29" customFormat="1" ht="15" customHeight="1">
      <c r="A1336" s="332" t="s">
        <v>405</v>
      </c>
      <c r="B1336" s="27">
        <v>1999</v>
      </c>
      <c r="C1336" s="146" t="s">
        <v>406</v>
      </c>
      <c r="D1336" s="27" t="s">
        <v>81</v>
      </c>
      <c r="E1336" s="27" t="s">
        <v>50</v>
      </c>
      <c r="F1336" s="27" t="s">
        <v>659</v>
      </c>
      <c r="G1336" s="43"/>
      <c r="H1336" s="43"/>
      <c r="I1336" s="43"/>
      <c r="J1336" s="43"/>
      <c r="K1336" s="27"/>
      <c r="L1336" s="28"/>
      <c r="M1336" s="27"/>
      <c r="N1336" s="27"/>
      <c r="O1336" s="18">
        <f>SUM(O1337:O1338)</f>
        <v>10877489000</v>
      </c>
      <c r="P1336" s="214">
        <v>8073000000</v>
      </c>
      <c r="Q1336" s="214">
        <v>8084000000</v>
      </c>
      <c r="R1336" s="27" t="s">
        <v>3693</v>
      </c>
      <c r="S1336" s="27" t="s">
        <v>1804</v>
      </c>
      <c r="T1336" s="18">
        <v>5929000000</v>
      </c>
      <c r="U1336" s="27" t="s">
        <v>852</v>
      </c>
      <c r="V1336" s="27" t="s">
        <v>802</v>
      </c>
      <c r="W1336" s="30" t="s">
        <v>803</v>
      </c>
      <c r="X1336" s="27">
        <v>24</v>
      </c>
      <c r="Y1336" s="27" t="s">
        <v>1805</v>
      </c>
      <c r="Z1336" s="27">
        <v>24</v>
      </c>
      <c r="AA1336" s="27" t="s">
        <v>1438</v>
      </c>
      <c r="AB1336" s="27" t="s">
        <v>1807</v>
      </c>
      <c r="AC1336" s="273">
        <v>8073000000</v>
      </c>
      <c r="AD1336" s="27">
        <v>35870792987.943222</v>
      </c>
      <c r="AE1336" s="228">
        <v>0.22505775109888068</v>
      </c>
      <c r="AF1336" s="27" t="s">
        <v>2842</v>
      </c>
      <c r="AG1336" s="226" t="s">
        <v>2842</v>
      </c>
      <c r="AH1336" s="226">
        <v>0.98945569709541614</v>
      </c>
      <c r="AI1336" s="27">
        <v>151800000</v>
      </c>
      <c r="AJ1336" s="226">
        <v>53.18181818181818</v>
      </c>
      <c r="AK1336" s="27">
        <v>585266591.63391316</v>
      </c>
      <c r="AL1336" s="226">
        <v>13.793714036303131</v>
      </c>
      <c r="AM1336" s="27" t="s">
        <v>2842</v>
      </c>
      <c r="AN1336" s="271" t="s">
        <v>2842</v>
      </c>
      <c r="AO1336" s="27">
        <v>119831888</v>
      </c>
      <c r="AP1336" s="27" t="s">
        <v>2842</v>
      </c>
      <c r="AQ1336" s="27">
        <v>46.442682926829278</v>
      </c>
      <c r="AR1336" s="27">
        <v>115.3</v>
      </c>
      <c r="AS1336" s="29">
        <v>62.909489999999998</v>
      </c>
      <c r="AT1336" s="270">
        <v>27</v>
      </c>
      <c r="AU1336" s="464">
        <v>42.488892080090132</v>
      </c>
      <c r="AV1336" s="29" t="s">
        <v>2842</v>
      </c>
      <c r="AW1336" s="29" t="s">
        <v>2842</v>
      </c>
      <c r="AX1336" s="29" t="s">
        <v>2842</v>
      </c>
      <c r="AY1336" s="29" t="s">
        <v>2842</v>
      </c>
      <c r="AZ1336" s="60" t="s">
        <v>2842</v>
      </c>
    </row>
    <row r="1337" spans="1:52" s="29" customFormat="1" ht="15" customHeight="1">
      <c r="A1337" s="59" t="s">
        <v>405</v>
      </c>
      <c r="B1337" s="27">
        <v>1999</v>
      </c>
      <c r="C1337" s="146" t="s">
        <v>406</v>
      </c>
      <c r="D1337" s="27" t="s">
        <v>81</v>
      </c>
      <c r="E1337" s="27" t="s">
        <v>552</v>
      </c>
      <c r="F1337" s="27" t="s">
        <v>552</v>
      </c>
      <c r="G1337" s="43">
        <v>4600000000</v>
      </c>
      <c r="H1337" s="43"/>
      <c r="I1337" s="43"/>
      <c r="J1337" s="43"/>
      <c r="K1337" s="27" t="s">
        <v>599</v>
      </c>
      <c r="L1337" s="28">
        <v>6.9614999999999996E-2</v>
      </c>
      <c r="M1337" s="27" t="s">
        <v>600</v>
      </c>
      <c r="N1337" s="27" t="s">
        <v>685</v>
      </c>
      <c r="O1337" s="18">
        <f>G1337*L1337</f>
        <v>320229000</v>
      </c>
      <c r="P1337" s="244"/>
      <c r="Q1337" s="244"/>
      <c r="R1337" s="27"/>
      <c r="S1337" s="27"/>
      <c r="T1337" s="18"/>
      <c r="U1337" s="27"/>
      <c r="V1337" s="27"/>
      <c r="W1337" s="30"/>
      <c r="X1337" s="27"/>
      <c r="Y1337" s="27"/>
      <c r="Z1337" s="27"/>
      <c r="AA1337" s="27"/>
      <c r="AB1337" s="27"/>
      <c r="AC1337" s="273">
        <v>8073000000</v>
      </c>
      <c r="AD1337" s="27">
        <v>35870792987.943222</v>
      </c>
      <c r="AE1337" s="228">
        <v>0.22505775109888068</v>
      </c>
      <c r="AF1337" s="27" t="s">
        <v>2842</v>
      </c>
      <c r="AG1337" s="226" t="s">
        <v>2842</v>
      </c>
      <c r="AH1337" s="226">
        <v>0.98945569709541614</v>
      </c>
      <c r="AI1337" s="27">
        <v>151800000</v>
      </c>
      <c r="AJ1337" s="226">
        <v>53.18181818181818</v>
      </c>
      <c r="AK1337" s="27">
        <v>585266591.63391316</v>
      </c>
      <c r="AL1337" s="226">
        <v>13.793714036303131</v>
      </c>
      <c r="AM1337" s="27" t="s">
        <v>2842</v>
      </c>
      <c r="AN1337" s="271" t="s">
        <v>2842</v>
      </c>
      <c r="AO1337" s="27">
        <v>119831888</v>
      </c>
      <c r="AP1337" s="27" t="s">
        <v>2842</v>
      </c>
      <c r="AQ1337" s="27">
        <v>46.442682926829278</v>
      </c>
      <c r="AR1337" s="27">
        <v>115.3</v>
      </c>
      <c r="AS1337" s="29">
        <v>62.909489999999998</v>
      </c>
      <c r="AT1337" s="270">
        <v>27</v>
      </c>
      <c r="AU1337" s="464">
        <v>42.488892080090132</v>
      </c>
      <c r="AV1337" s="29" t="s">
        <v>2842</v>
      </c>
      <c r="AW1337" s="29" t="s">
        <v>2842</v>
      </c>
      <c r="AX1337" s="29" t="s">
        <v>2842</v>
      </c>
      <c r="AY1337" s="29" t="s">
        <v>2842</v>
      </c>
      <c r="AZ1337" s="60" t="s">
        <v>2842</v>
      </c>
    </row>
    <row r="1338" spans="1:52" s="287" customFormat="1" ht="15" customHeight="1">
      <c r="A1338" s="344" t="s">
        <v>405</v>
      </c>
      <c r="B1338" s="284">
        <v>1999</v>
      </c>
      <c r="C1338" s="383" t="s">
        <v>406</v>
      </c>
      <c r="D1338" s="284" t="s">
        <v>81</v>
      </c>
      <c r="E1338" s="284" t="s">
        <v>98</v>
      </c>
      <c r="F1338" s="284" t="s">
        <v>98</v>
      </c>
      <c r="G1338" s="303">
        <v>754090000</v>
      </c>
      <c r="H1338" s="303"/>
      <c r="I1338" s="303"/>
      <c r="J1338" s="303"/>
      <c r="K1338" s="284" t="s">
        <v>603</v>
      </c>
      <c r="L1338" s="304">
        <v>14</v>
      </c>
      <c r="M1338" s="284" t="s">
        <v>626</v>
      </c>
      <c r="N1338" s="284" t="s">
        <v>1808</v>
      </c>
      <c r="O1338" s="305">
        <f>G1338*L1338</f>
        <v>10557260000</v>
      </c>
      <c r="P1338" s="374"/>
      <c r="Q1338" s="374"/>
      <c r="R1338" s="284"/>
      <c r="S1338" s="284"/>
      <c r="T1338" s="305"/>
      <c r="U1338" s="284"/>
      <c r="V1338" s="284"/>
      <c r="W1338" s="307"/>
      <c r="X1338" s="284"/>
      <c r="Y1338" s="284"/>
      <c r="Z1338" s="284"/>
      <c r="AA1338" s="284">
        <v>51</v>
      </c>
      <c r="AB1338" s="284"/>
      <c r="AC1338" s="308">
        <v>8073000000</v>
      </c>
      <c r="AD1338" s="284">
        <v>35870792987.943222</v>
      </c>
      <c r="AE1338" s="309">
        <v>0.22505775109888068</v>
      </c>
      <c r="AF1338" s="284" t="s">
        <v>2842</v>
      </c>
      <c r="AG1338" s="310" t="s">
        <v>2842</v>
      </c>
      <c r="AH1338" s="310">
        <v>0.98945569709541614</v>
      </c>
      <c r="AI1338" s="284">
        <v>151800000</v>
      </c>
      <c r="AJ1338" s="310">
        <v>53.18181818181818</v>
      </c>
      <c r="AK1338" s="284">
        <v>585266591.63391316</v>
      </c>
      <c r="AL1338" s="310">
        <v>13.793714036303131</v>
      </c>
      <c r="AM1338" s="284" t="s">
        <v>2842</v>
      </c>
      <c r="AN1338" s="311" t="s">
        <v>2842</v>
      </c>
      <c r="AO1338" s="284">
        <v>119831888</v>
      </c>
      <c r="AP1338" s="284" t="s">
        <v>2842</v>
      </c>
      <c r="AQ1338" s="284">
        <v>46.442682926829278</v>
      </c>
      <c r="AR1338" s="284">
        <v>115.3</v>
      </c>
      <c r="AS1338" s="287">
        <v>62.909489999999998</v>
      </c>
      <c r="AT1338" s="312">
        <v>27</v>
      </c>
      <c r="AU1338" s="465">
        <v>42.488892080090132</v>
      </c>
      <c r="AV1338" s="287" t="s">
        <v>2842</v>
      </c>
      <c r="AW1338" s="287" t="s">
        <v>2842</v>
      </c>
      <c r="AX1338" s="287" t="s">
        <v>2842</v>
      </c>
      <c r="AY1338" s="287" t="s">
        <v>2842</v>
      </c>
      <c r="AZ1338" s="313" t="s">
        <v>2842</v>
      </c>
    </row>
    <row r="1339" spans="1:52" ht="15" customHeight="1">
      <c r="A1339" s="332" t="s">
        <v>408</v>
      </c>
      <c r="B1339" s="27">
        <v>2000</v>
      </c>
      <c r="C1339" s="146" t="s">
        <v>406</v>
      </c>
      <c r="D1339" s="27" t="s">
        <v>81</v>
      </c>
      <c r="E1339" s="27" t="s">
        <v>50</v>
      </c>
      <c r="F1339" s="27" t="s">
        <v>659</v>
      </c>
      <c r="G1339" s="43"/>
      <c r="H1339" s="43"/>
      <c r="I1339" s="43"/>
      <c r="J1339" s="43"/>
      <c r="K1339" s="27"/>
      <c r="L1339" s="28"/>
      <c r="M1339" s="27"/>
      <c r="N1339" s="27"/>
      <c r="O1339" s="18">
        <f>SUM(O1340:O1341)</f>
        <v>18849799724.242424</v>
      </c>
      <c r="P1339" s="214">
        <v>15807000000</v>
      </c>
      <c r="Q1339" s="214">
        <v>15807000000</v>
      </c>
      <c r="R1339" s="27" t="s">
        <v>3693</v>
      </c>
      <c r="S1339" s="27" t="s">
        <v>1809</v>
      </c>
      <c r="T1339" s="18">
        <v>10171000000</v>
      </c>
      <c r="U1339" s="27" t="s">
        <v>852</v>
      </c>
      <c r="V1339" s="27" t="s">
        <v>802</v>
      </c>
      <c r="W1339" s="30" t="s">
        <v>803</v>
      </c>
      <c r="X1339" s="27">
        <v>24</v>
      </c>
      <c r="Y1339" s="27" t="s">
        <v>1805</v>
      </c>
      <c r="Z1339" s="27">
        <v>24</v>
      </c>
      <c r="AA1339" s="27" t="s">
        <v>1438</v>
      </c>
      <c r="AB1339" s="27" t="s">
        <v>1807</v>
      </c>
      <c r="AC1339" s="273">
        <v>15807000000</v>
      </c>
      <c r="AD1339" s="27">
        <v>46385996027.42794</v>
      </c>
      <c r="AE1339" s="228">
        <v>0.34077095144520242</v>
      </c>
      <c r="AF1339" s="27" t="s">
        <v>2842</v>
      </c>
      <c r="AG1339" s="226" t="s">
        <v>2842</v>
      </c>
      <c r="AH1339" s="226">
        <v>0.99691743346661288</v>
      </c>
      <c r="AI1339" s="27">
        <v>173700000</v>
      </c>
      <c r="AJ1339" s="226">
        <v>91.001727115716747</v>
      </c>
      <c r="AK1339" s="27">
        <v>714280055.62264705</v>
      </c>
      <c r="AL1339" s="226">
        <v>22.129975316503604</v>
      </c>
      <c r="AM1339" s="27" t="s">
        <v>2842</v>
      </c>
      <c r="AN1339" s="271" t="s">
        <v>2842</v>
      </c>
      <c r="AO1339" s="27">
        <v>122876727</v>
      </c>
      <c r="AP1339" s="27" t="s">
        <v>2842</v>
      </c>
      <c r="AQ1339" s="27">
        <v>46.624000000000009</v>
      </c>
      <c r="AR1339" s="27">
        <v>112.5</v>
      </c>
      <c r="AS1339" s="29">
        <v>64.869349999999997</v>
      </c>
      <c r="AT1339" s="270">
        <v>27</v>
      </c>
      <c r="AU1339" s="464">
        <v>42.488892080090132</v>
      </c>
      <c r="AV1339" s="29">
        <v>-0.58215715901103604</v>
      </c>
      <c r="AW1339" s="29">
        <v>-1.5215853274331701</v>
      </c>
      <c r="AX1339" s="29">
        <v>-0.95694464641467003</v>
      </c>
      <c r="AY1339" s="29">
        <v>-0.74345003200615001</v>
      </c>
      <c r="AZ1339" s="60">
        <v>-1.1262233815331899</v>
      </c>
    </row>
    <row r="1340" spans="1:52" ht="15" customHeight="1">
      <c r="A1340" s="59" t="s">
        <v>408</v>
      </c>
      <c r="B1340" s="27">
        <v>2000</v>
      </c>
      <c r="C1340" s="146" t="s">
        <v>406</v>
      </c>
      <c r="D1340" s="27" t="s">
        <v>81</v>
      </c>
      <c r="E1340" s="27" t="s">
        <v>552</v>
      </c>
      <c r="F1340" s="27" t="s">
        <v>552</v>
      </c>
      <c r="G1340" s="43">
        <v>11800000000</v>
      </c>
      <c r="H1340" s="43"/>
      <c r="I1340" s="43"/>
      <c r="J1340" s="43"/>
      <c r="K1340" s="27" t="s">
        <v>599</v>
      </c>
      <c r="L1340" s="28">
        <v>0.12721100000000002</v>
      </c>
      <c r="M1340" s="27" t="s">
        <v>600</v>
      </c>
      <c r="N1340" s="27" t="s">
        <v>685</v>
      </c>
      <c r="O1340" s="18">
        <f>G1340*L1340</f>
        <v>1501089800.0000002</v>
      </c>
      <c r="P1340" s="214"/>
      <c r="Q1340" s="214"/>
      <c r="R1340" s="27"/>
      <c r="S1340" s="27"/>
      <c r="T1340" s="18"/>
      <c r="U1340" s="27"/>
      <c r="V1340" s="27"/>
      <c r="W1340" s="30"/>
      <c r="X1340" s="27"/>
      <c r="Y1340" s="27"/>
      <c r="Z1340" s="27"/>
      <c r="AA1340" s="27"/>
      <c r="AB1340" s="27"/>
      <c r="AC1340" s="273">
        <v>15807000000</v>
      </c>
      <c r="AD1340" s="27">
        <v>46385996027.42794</v>
      </c>
      <c r="AE1340" s="228">
        <v>0.34077095144520242</v>
      </c>
      <c r="AF1340" s="27" t="s">
        <v>2842</v>
      </c>
      <c r="AG1340" s="226" t="s">
        <v>2842</v>
      </c>
      <c r="AH1340" s="226">
        <v>0.99691743346661288</v>
      </c>
      <c r="AI1340" s="27">
        <v>173700000</v>
      </c>
      <c r="AJ1340" s="226">
        <v>91.001727115716747</v>
      </c>
      <c r="AK1340" s="27">
        <v>714280055.62264705</v>
      </c>
      <c r="AL1340" s="226">
        <v>22.129975316503604</v>
      </c>
      <c r="AM1340" s="27" t="s">
        <v>2842</v>
      </c>
      <c r="AN1340" s="271" t="s">
        <v>2842</v>
      </c>
      <c r="AO1340" s="27">
        <v>122876727</v>
      </c>
      <c r="AP1340" s="27" t="s">
        <v>2842</v>
      </c>
      <c r="AQ1340" s="27">
        <v>46.624000000000009</v>
      </c>
      <c r="AR1340" s="27">
        <v>112.5</v>
      </c>
      <c r="AS1340" s="29">
        <v>64.869349999999997</v>
      </c>
      <c r="AT1340" s="270">
        <v>27</v>
      </c>
      <c r="AU1340" s="464">
        <v>42.488892080090132</v>
      </c>
      <c r="AV1340" s="29">
        <v>-0.58215715901103604</v>
      </c>
      <c r="AW1340" s="29">
        <v>-1.5215853274331701</v>
      </c>
      <c r="AX1340" s="29">
        <v>-0.95694464641467003</v>
      </c>
      <c r="AY1340" s="29">
        <v>-0.74345003200615001</v>
      </c>
      <c r="AZ1340" s="60">
        <v>-1.1262233815331899</v>
      </c>
    </row>
    <row r="1341" spans="1:52" s="287" customFormat="1" ht="15" customHeight="1">
      <c r="A1341" s="344" t="s">
        <v>408</v>
      </c>
      <c r="B1341" s="284">
        <v>2000</v>
      </c>
      <c r="C1341" s="383" t="s">
        <v>406</v>
      </c>
      <c r="D1341" s="284" t="s">
        <v>81</v>
      </c>
      <c r="E1341" s="284" t="s">
        <v>98</v>
      </c>
      <c r="F1341" s="284" t="s">
        <v>98</v>
      </c>
      <c r="G1341" s="303">
        <v>788035000</v>
      </c>
      <c r="H1341" s="303"/>
      <c r="I1341" s="303"/>
      <c r="J1341" s="303"/>
      <c r="K1341" s="284" t="s">
        <v>603</v>
      </c>
      <c r="L1341" s="304">
        <v>22.015151515151516</v>
      </c>
      <c r="M1341" s="284" t="s">
        <v>626</v>
      </c>
      <c r="N1341" s="284" t="s">
        <v>1808</v>
      </c>
      <c r="O1341" s="305">
        <f>G1341*L1341</f>
        <v>17348709924.242424</v>
      </c>
      <c r="P1341" s="346"/>
      <c r="Q1341" s="346"/>
      <c r="R1341" s="284"/>
      <c r="S1341" s="284"/>
      <c r="T1341" s="305"/>
      <c r="U1341" s="284"/>
      <c r="V1341" s="284"/>
      <c r="W1341" s="307"/>
      <c r="X1341" s="284"/>
      <c r="Y1341" s="284"/>
      <c r="Z1341" s="284"/>
      <c r="AA1341" s="284">
        <v>51</v>
      </c>
      <c r="AB1341" s="284"/>
      <c r="AC1341" s="308">
        <v>15807000000</v>
      </c>
      <c r="AD1341" s="284">
        <v>46385996027.42794</v>
      </c>
      <c r="AE1341" s="309">
        <v>0.34077095144520242</v>
      </c>
      <c r="AF1341" s="284" t="s">
        <v>2842</v>
      </c>
      <c r="AG1341" s="310" t="s">
        <v>2842</v>
      </c>
      <c r="AH1341" s="310">
        <v>0.99691743346661288</v>
      </c>
      <c r="AI1341" s="284">
        <v>173700000</v>
      </c>
      <c r="AJ1341" s="310">
        <v>91.001727115716747</v>
      </c>
      <c r="AK1341" s="284">
        <v>714280055.62264705</v>
      </c>
      <c r="AL1341" s="310">
        <v>22.129975316503604</v>
      </c>
      <c r="AM1341" s="284" t="s">
        <v>2842</v>
      </c>
      <c r="AN1341" s="311" t="s">
        <v>2842</v>
      </c>
      <c r="AO1341" s="284">
        <v>122876727</v>
      </c>
      <c r="AP1341" s="284" t="s">
        <v>2842</v>
      </c>
      <c r="AQ1341" s="284">
        <v>46.624000000000009</v>
      </c>
      <c r="AR1341" s="284">
        <v>112.5</v>
      </c>
      <c r="AS1341" s="287">
        <v>64.869349999999997</v>
      </c>
      <c r="AT1341" s="312">
        <v>27</v>
      </c>
      <c r="AU1341" s="465">
        <v>42.488892080090132</v>
      </c>
      <c r="AV1341" s="287">
        <v>-0.58215715901103604</v>
      </c>
      <c r="AW1341" s="287">
        <v>-1.5215853274331701</v>
      </c>
      <c r="AX1341" s="287">
        <v>-0.95694464641467003</v>
      </c>
      <c r="AY1341" s="287">
        <v>-0.74345003200615001</v>
      </c>
      <c r="AZ1341" s="313">
        <v>-1.1262233815331899</v>
      </c>
    </row>
    <row r="1342" spans="1:52" s="29" customFormat="1" ht="15" customHeight="1">
      <c r="A1342" s="332" t="s">
        <v>409</v>
      </c>
      <c r="B1342" s="27">
        <v>2001</v>
      </c>
      <c r="C1342" s="146" t="s">
        <v>406</v>
      </c>
      <c r="D1342" s="27" t="s">
        <v>81</v>
      </c>
      <c r="E1342" s="27" t="s">
        <v>50</v>
      </c>
      <c r="F1342" s="27" t="s">
        <v>659</v>
      </c>
      <c r="G1342" s="43"/>
      <c r="H1342" s="43"/>
      <c r="I1342" s="43"/>
      <c r="J1342" s="43"/>
      <c r="K1342" s="27"/>
      <c r="L1342" s="28"/>
      <c r="M1342" s="27"/>
      <c r="N1342" s="27"/>
      <c r="O1342" s="18">
        <f>SUM(O1343:O1344)</f>
        <v>19202199449.260044</v>
      </c>
      <c r="P1342" s="214">
        <v>15909000000</v>
      </c>
      <c r="Q1342" s="214">
        <v>15909000000</v>
      </c>
      <c r="R1342" s="27" t="s">
        <v>3693</v>
      </c>
      <c r="S1342" s="27" t="s">
        <v>1810</v>
      </c>
      <c r="T1342" s="18">
        <v>9784000000</v>
      </c>
      <c r="U1342" s="27" t="s">
        <v>852</v>
      </c>
      <c r="V1342" s="27" t="s">
        <v>802</v>
      </c>
      <c r="W1342" s="30" t="s">
        <v>803</v>
      </c>
      <c r="X1342" s="27">
        <v>24</v>
      </c>
      <c r="Y1342" s="27" t="s">
        <v>1805</v>
      </c>
      <c r="Z1342" s="27">
        <v>24</v>
      </c>
      <c r="AA1342" s="27" t="s">
        <v>1438</v>
      </c>
      <c r="AB1342" s="27" t="s">
        <v>1807</v>
      </c>
      <c r="AC1342" s="273">
        <v>15909000000</v>
      </c>
      <c r="AD1342" s="27">
        <v>44138014092.262741</v>
      </c>
      <c r="AE1342" s="228">
        <v>0.3604376029865104</v>
      </c>
      <c r="AF1342" s="27" t="s">
        <v>2842</v>
      </c>
      <c r="AG1342" s="226" t="s">
        <v>2842</v>
      </c>
      <c r="AH1342" s="226">
        <v>0.91551214714574314</v>
      </c>
      <c r="AI1342" s="27">
        <v>176170000</v>
      </c>
      <c r="AJ1342" s="226">
        <v>90.304819208718854</v>
      </c>
      <c r="AK1342" s="27">
        <v>664219754.42814338</v>
      </c>
      <c r="AL1342" s="226">
        <v>23.951410499220657</v>
      </c>
      <c r="AM1342" s="27" t="s">
        <v>2842</v>
      </c>
      <c r="AN1342" s="271" t="s">
        <v>2842</v>
      </c>
      <c r="AO1342" s="27">
        <v>126004992</v>
      </c>
      <c r="AP1342" s="27" t="s">
        <v>2842</v>
      </c>
      <c r="AQ1342" s="27">
        <v>46.881170731707321</v>
      </c>
      <c r="AR1342" s="27">
        <v>109.5</v>
      </c>
      <c r="AS1342" s="29" t="s">
        <v>2842</v>
      </c>
      <c r="AT1342" s="270">
        <v>27</v>
      </c>
      <c r="AU1342" s="464">
        <v>42.488892080090132</v>
      </c>
      <c r="AV1342" s="29" t="s">
        <v>2842</v>
      </c>
      <c r="AW1342" s="29" t="s">
        <v>2842</v>
      </c>
      <c r="AX1342" s="29" t="s">
        <v>2842</v>
      </c>
      <c r="AY1342" s="29" t="s">
        <v>2842</v>
      </c>
      <c r="AZ1342" s="60" t="s">
        <v>2842</v>
      </c>
    </row>
    <row r="1343" spans="1:52" s="29" customFormat="1" ht="15" customHeight="1">
      <c r="A1343" s="59" t="s">
        <v>409</v>
      </c>
      <c r="B1343" s="27">
        <v>2001</v>
      </c>
      <c r="C1343" s="146" t="s">
        <v>406</v>
      </c>
      <c r="D1343" s="27" t="s">
        <v>81</v>
      </c>
      <c r="E1343" s="27" t="s">
        <v>552</v>
      </c>
      <c r="F1343" s="27" t="s">
        <v>552</v>
      </c>
      <c r="G1343" s="43">
        <v>16100000000</v>
      </c>
      <c r="H1343" s="43"/>
      <c r="I1343" s="43"/>
      <c r="J1343" s="43"/>
      <c r="K1343" s="27" t="s">
        <v>599</v>
      </c>
      <c r="L1343" s="28">
        <v>0.12911500000000001</v>
      </c>
      <c r="M1343" s="27" t="s">
        <v>600</v>
      </c>
      <c r="N1343" s="27" t="s">
        <v>685</v>
      </c>
      <c r="O1343" s="18">
        <f>G1343*L1343</f>
        <v>2078751500.0000002</v>
      </c>
      <c r="P1343" s="244"/>
      <c r="Q1343" s="244"/>
      <c r="R1343" s="27"/>
      <c r="S1343" s="27"/>
      <c r="T1343" s="18"/>
      <c r="U1343" s="27"/>
      <c r="V1343" s="27"/>
      <c r="W1343" s="30"/>
      <c r="X1343" s="27"/>
      <c r="Y1343" s="27"/>
      <c r="Z1343" s="27"/>
      <c r="AA1343" s="27"/>
      <c r="AB1343" s="27"/>
      <c r="AC1343" s="273">
        <v>15909000000</v>
      </c>
      <c r="AD1343" s="27">
        <v>44138014092.262741</v>
      </c>
      <c r="AE1343" s="228">
        <v>0.3604376029865104</v>
      </c>
      <c r="AF1343" s="27" t="s">
        <v>2842</v>
      </c>
      <c r="AG1343" s="226" t="s">
        <v>2842</v>
      </c>
      <c r="AH1343" s="226">
        <v>0.91551214714574314</v>
      </c>
      <c r="AI1343" s="27">
        <v>176170000</v>
      </c>
      <c r="AJ1343" s="226">
        <v>90.304819208718854</v>
      </c>
      <c r="AK1343" s="27">
        <v>664219754.42814338</v>
      </c>
      <c r="AL1343" s="226">
        <v>23.951410499220657</v>
      </c>
      <c r="AM1343" s="27" t="s">
        <v>2842</v>
      </c>
      <c r="AN1343" s="271" t="s">
        <v>2842</v>
      </c>
      <c r="AO1343" s="27">
        <v>126004992</v>
      </c>
      <c r="AP1343" s="27" t="s">
        <v>2842</v>
      </c>
      <c r="AQ1343" s="27">
        <v>46.881170731707321</v>
      </c>
      <c r="AR1343" s="27">
        <v>109.5</v>
      </c>
      <c r="AS1343" s="29" t="s">
        <v>2842</v>
      </c>
      <c r="AT1343" s="270">
        <v>27</v>
      </c>
      <c r="AU1343" s="464">
        <v>42.488892080090132</v>
      </c>
      <c r="AV1343" s="29" t="s">
        <v>2842</v>
      </c>
      <c r="AW1343" s="29" t="s">
        <v>2842</v>
      </c>
      <c r="AX1343" s="29" t="s">
        <v>2842</v>
      </c>
      <c r="AY1343" s="29" t="s">
        <v>2842</v>
      </c>
      <c r="AZ1343" s="60" t="s">
        <v>2842</v>
      </c>
    </row>
    <row r="1344" spans="1:52" s="287" customFormat="1" ht="15" customHeight="1">
      <c r="A1344" s="344" t="s">
        <v>409</v>
      </c>
      <c r="B1344" s="284">
        <v>2001</v>
      </c>
      <c r="C1344" s="383" t="s">
        <v>406</v>
      </c>
      <c r="D1344" s="284" t="s">
        <v>81</v>
      </c>
      <c r="E1344" s="284" t="s">
        <v>98</v>
      </c>
      <c r="F1344" s="284" t="s">
        <v>98</v>
      </c>
      <c r="G1344" s="303">
        <v>827820000</v>
      </c>
      <c r="H1344" s="303"/>
      <c r="I1344" s="303"/>
      <c r="J1344" s="303"/>
      <c r="K1344" s="284" t="s">
        <v>603</v>
      </c>
      <c r="L1344" s="304">
        <v>20.684989429175477</v>
      </c>
      <c r="M1344" s="284" t="s">
        <v>626</v>
      </c>
      <c r="N1344" s="284" t="s">
        <v>1808</v>
      </c>
      <c r="O1344" s="305">
        <f>G1344*L1344</f>
        <v>17123447949.260044</v>
      </c>
      <c r="P1344" s="374"/>
      <c r="Q1344" s="374"/>
      <c r="R1344" s="284"/>
      <c r="S1344" s="284"/>
      <c r="T1344" s="305"/>
      <c r="U1344" s="284"/>
      <c r="V1344" s="284"/>
      <c r="W1344" s="307"/>
      <c r="X1344" s="284"/>
      <c r="Y1344" s="284"/>
      <c r="Z1344" s="284"/>
      <c r="AA1344" s="284">
        <v>51</v>
      </c>
      <c r="AB1344" s="284"/>
      <c r="AC1344" s="308">
        <v>15909000000</v>
      </c>
      <c r="AD1344" s="284">
        <v>44138014092.262741</v>
      </c>
      <c r="AE1344" s="309">
        <v>0.3604376029865104</v>
      </c>
      <c r="AF1344" s="284" t="s">
        <v>2842</v>
      </c>
      <c r="AG1344" s="310" t="s">
        <v>2842</v>
      </c>
      <c r="AH1344" s="310">
        <v>0.91551214714574314</v>
      </c>
      <c r="AI1344" s="284">
        <v>176170000</v>
      </c>
      <c r="AJ1344" s="310">
        <v>90.304819208718854</v>
      </c>
      <c r="AK1344" s="284">
        <v>664219754.42814338</v>
      </c>
      <c r="AL1344" s="310">
        <v>23.951410499220657</v>
      </c>
      <c r="AM1344" s="284" t="s">
        <v>2842</v>
      </c>
      <c r="AN1344" s="311" t="s">
        <v>2842</v>
      </c>
      <c r="AO1344" s="284">
        <v>126004992</v>
      </c>
      <c r="AP1344" s="284" t="s">
        <v>2842</v>
      </c>
      <c r="AQ1344" s="284">
        <v>46.881170731707321</v>
      </c>
      <c r="AR1344" s="284">
        <v>109.5</v>
      </c>
      <c r="AS1344" s="287" t="s">
        <v>2842</v>
      </c>
      <c r="AT1344" s="312">
        <v>27</v>
      </c>
      <c r="AU1344" s="465">
        <v>42.488892080090132</v>
      </c>
      <c r="AV1344" s="287" t="s">
        <v>2842</v>
      </c>
      <c r="AW1344" s="287" t="s">
        <v>2842</v>
      </c>
      <c r="AX1344" s="287" t="s">
        <v>2842</v>
      </c>
      <c r="AY1344" s="287" t="s">
        <v>2842</v>
      </c>
      <c r="AZ1344" s="313" t="s">
        <v>2842</v>
      </c>
    </row>
    <row r="1345" spans="1:52" ht="15" customHeight="1">
      <c r="A1345" s="332" t="s">
        <v>410</v>
      </c>
      <c r="B1345" s="27">
        <v>2002</v>
      </c>
      <c r="C1345" s="146" t="s">
        <v>406</v>
      </c>
      <c r="D1345" s="27" t="s">
        <v>81</v>
      </c>
      <c r="E1345" s="27" t="s">
        <v>50</v>
      </c>
      <c r="F1345" s="27" t="s">
        <v>659</v>
      </c>
      <c r="G1345" s="43"/>
      <c r="H1345" s="43"/>
      <c r="I1345" s="43"/>
      <c r="J1345" s="43"/>
      <c r="K1345" s="27"/>
      <c r="L1345" s="28"/>
      <c r="M1345" s="27"/>
      <c r="N1345" s="27"/>
      <c r="O1345" s="18">
        <f>SUM(O1346:O1347)</f>
        <v>16798782636.363636</v>
      </c>
      <c r="P1345" s="214">
        <v>11875000000</v>
      </c>
      <c r="Q1345" s="214">
        <v>11875000000</v>
      </c>
      <c r="R1345" s="27" t="s">
        <v>3693</v>
      </c>
      <c r="S1345" s="27" t="s">
        <v>1811</v>
      </c>
      <c r="T1345" s="18">
        <v>8029000000</v>
      </c>
      <c r="U1345" s="27" t="s">
        <v>852</v>
      </c>
      <c r="V1345" s="27" t="s">
        <v>802</v>
      </c>
      <c r="W1345" s="30" t="s">
        <v>803</v>
      </c>
      <c r="X1345" s="27">
        <v>24</v>
      </c>
      <c r="Y1345" s="27" t="s">
        <v>1805</v>
      </c>
      <c r="Z1345" s="27">
        <v>24</v>
      </c>
      <c r="AA1345" s="27" t="s">
        <v>1438</v>
      </c>
      <c r="AB1345" s="27" t="s">
        <v>1807</v>
      </c>
      <c r="AC1345" s="273">
        <v>11875000000</v>
      </c>
      <c r="AD1345" s="27">
        <v>59116868249.84005</v>
      </c>
      <c r="AE1345" s="228">
        <v>0.20087329304749038</v>
      </c>
      <c r="AF1345" s="27">
        <v>0</v>
      </c>
      <c r="AG1345" s="226" t="s">
        <v>2842</v>
      </c>
      <c r="AH1345" s="226">
        <v>0.93225122726607412</v>
      </c>
      <c r="AI1345" s="27">
        <v>297930000</v>
      </c>
      <c r="AJ1345" s="226">
        <v>39.858355989662002</v>
      </c>
      <c r="AK1345" s="27">
        <v>591300041.28857768</v>
      </c>
      <c r="AL1345" s="226">
        <v>20.082866854062221</v>
      </c>
      <c r="AM1345" s="27" t="s">
        <v>2842</v>
      </c>
      <c r="AN1345" s="271" t="s">
        <v>2842</v>
      </c>
      <c r="AO1345" s="27">
        <v>129224641</v>
      </c>
      <c r="AP1345" s="27" t="s">
        <v>2842</v>
      </c>
      <c r="AQ1345" s="27">
        <v>47.219731707317074</v>
      </c>
      <c r="AR1345" s="27">
        <v>106.4</v>
      </c>
      <c r="AS1345" s="29" t="s">
        <v>2842</v>
      </c>
      <c r="AT1345" s="270">
        <v>27</v>
      </c>
      <c r="AU1345" s="464">
        <v>42.488892080090132</v>
      </c>
      <c r="AV1345" s="29">
        <v>-0.71183277849603599</v>
      </c>
      <c r="AW1345" s="29">
        <v>-1.6973673794058299</v>
      </c>
      <c r="AX1345" s="29">
        <v>-1.05643074934563</v>
      </c>
      <c r="AY1345" s="29">
        <v>-1.2265490649911699</v>
      </c>
      <c r="AZ1345" s="60">
        <v>-1.3332746391191099</v>
      </c>
    </row>
    <row r="1346" spans="1:52" ht="15" customHeight="1">
      <c r="A1346" s="59" t="s">
        <v>410</v>
      </c>
      <c r="B1346" s="27">
        <v>2002</v>
      </c>
      <c r="C1346" s="146" t="s">
        <v>406</v>
      </c>
      <c r="D1346" s="27" t="s">
        <v>81</v>
      </c>
      <c r="E1346" s="27" t="s">
        <v>552</v>
      </c>
      <c r="F1346" s="27" t="s">
        <v>552</v>
      </c>
      <c r="G1346" s="43">
        <v>18000000000</v>
      </c>
      <c r="H1346" s="43"/>
      <c r="I1346" s="43"/>
      <c r="J1346" s="43"/>
      <c r="K1346" s="27" t="s">
        <v>599</v>
      </c>
      <c r="L1346" s="28">
        <v>9.8412999999999987E-2</v>
      </c>
      <c r="M1346" s="27" t="s">
        <v>600</v>
      </c>
      <c r="N1346" s="27" t="s">
        <v>685</v>
      </c>
      <c r="O1346" s="18">
        <f>G1346*L1346</f>
        <v>1771433999.9999998</v>
      </c>
      <c r="P1346" s="244"/>
      <c r="Q1346" s="244"/>
      <c r="R1346" s="27"/>
      <c r="S1346" s="27"/>
      <c r="T1346" s="18"/>
      <c r="U1346" s="27"/>
      <c r="V1346" s="27"/>
      <c r="W1346" s="30"/>
      <c r="X1346" s="27"/>
      <c r="Y1346" s="27"/>
      <c r="Z1346" s="27"/>
      <c r="AA1346" s="27"/>
      <c r="AB1346" s="27"/>
      <c r="AC1346" s="273">
        <v>11875000000</v>
      </c>
      <c r="AD1346" s="27">
        <v>59116868249.84005</v>
      </c>
      <c r="AE1346" s="228">
        <v>0.20087329304749038</v>
      </c>
      <c r="AF1346" s="27">
        <v>0</v>
      </c>
      <c r="AG1346" s="226" t="s">
        <v>2842</v>
      </c>
      <c r="AH1346" s="226">
        <v>0.93225122726607412</v>
      </c>
      <c r="AI1346" s="27">
        <v>297930000</v>
      </c>
      <c r="AJ1346" s="226">
        <v>39.858355989662002</v>
      </c>
      <c r="AK1346" s="27">
        <v>591300041.28857768</v>
      </c>
      <c r="AL1346" s="226">
        <v>20.082866854062221</v>
      </c>
      <c r="AM1346" s="27" t="s">
        <v>2842</v>
      </c>
      <c r="AN1346" s="271" t="s">
        <v>2842</v>
      </c>
      <c r="AO1346" s="27">
        <v>129224641</v>
      </c>
      <c r="AP1346" s="27" t="s">
        <v>2842</v>
      </c>
      <c r="AQ1346" s="27">
        <v>47.219731707317074</v>
      </c>
      <c r="AR1346" s="27">
        <v>106.4</v>
      </c>
      <c r="AS1346" s="29" t="s">
        <v>2842</v>
      </c>
      <c r="AT1346" s="270">
        <v>27</v>
      </c>
      <c r="AU1346" s="464">
        <v>42.488892080090132</v>
      </c>
      <c r="AV1346" s="29">
        <v>-0.71183277849603599</v>
      </c>
      <c r="AW1346" s="29">
        <v>-1.6973673794058299</v>
      </c>
      <c r="AX1346" s="29">
        <v>-1.05643074934563</v>
      </c>
      <c r="AY1346" s="29">
        <v>-1.2265490649911699</v>
      </c>
      <c r="AZ1346" s="60">
        <v>-1.3332746391191099</v>
      </c>
    </row>
    <row r="1347" spans="1:52" s="287" customFormat="1" ht="15" customHeight="1">
      <c r="A1347" s="344" t="s">
        <v>410</v>
      </c>
      <c r="B1347" s="284">
        <v>2002</v>
      </c>
      <c r="C1347" s="383" t="s">
        <v>406</v>
      </c>
      <c r="D1347" s="284" t="s">
        <v>81</v>
      </c>
      <c r="E1347" s="284" t="s">
        <v>98</v>
      </c>
      <c r="F1347" s="284" t="s">
        <v>98</v>
      </c>
      <c r="G1347" s="303">
        <v>761755000</v>
      </c>
      <c r="H1347" s="303"/>
      <c r="I1347" s="303"/>
      <c r="J1347" s="303"/>
      <c r="K1347" s="284" t="s">
        <v>603</v>
      </c>
      <c r="L1347" s="304">
        <v>19.727272727272727</v>
      </c>
      <c r="M1347" s="284" t="s">
        <v>626</v>
      </c>
      <c r="N1347" s="284" t="s">
        <v>1808</v>
      </c>
      <c r="O1347" s="305">
        <f>G1347*L1347</f>
        <v>15027348636.363636</v>
      </c>
      <c r="P1347" s="374"/>
      <c r="Q1347" s="374"/>
      <c r="R1347" s="284"/>
      <c r="S1347" s="284"/>
      <c r="T1347" s="305"/>
      <c r="U1347" s="284"/>
      <c r="V1347" s="284"/>
      <c r="W1347" s="307"/>
      <c r="X1347" s="284"/>
      <c r="Y1347" s="284"/>
      <c r="Z1347" s="284"/>
      <c r="AA1347" s="284">
        <v>51</v>
      </c>
      <c r="AB1347" s="284"/>
      <c r="AC1347" s="308">
        <v>11875000000</v>
      </c>
      <c r="AD1347" s="284">
        <v>59116868249.84005</v>
      </c>
      <c r="AE1347" s="309">
        <v>0.20087329304749038</v>
      </c>
      <c r="AF1347" s="284">
        <v>0</v>
      </c>
      <c r="AG1347" s="310" t="s">
        <v>2842</v>
      </c>
      <c r="AH1347" s="310">
        <v>0.93225122726607412</v>
      </c>
      <c r="AI1347" s="284">
        <v>297930000</v>
      </c>
      <c r="AJ1347" s="310">
        <v>39.858355989662002</v>
      </c>
      <c r="AK1347" s="284">
        <v>591300041.28857768</v>
      </c>
      <c r="AL1347" s="310">
        <v>20.082866854062221</v>
      </c>
      <c r="AM1347" s="284" t="s">
        <v>2842</v>
      </c>
      <c r="AN1347" s="311" t="s">
        <v>2842</v>
      </c>
      <c r="AO1347" s="284">
        <v>129224641</v>
      </c>
      <c r="AP1347" s="284" t="s">
        <v>2842</v>
      </c>
      <c r="AQ1347" s="284">
        <v>47.219731707317074</v>
      </c>
      <c r="AR1347" s="284">
        <v>106.4</v>
      </c>
      <c r="AS1347" s="287" t="s">
        <v>2842</v>
      </c>
      <c r="AT1347" s="312">
        <v>27</v>
      </c>
      <c r="AU1347" s="465">
        <v>42.488892080090132</v>
      </c>
      <c r="AV1347" s="287">
        <v>-0.71183277849603599</v>
      </c>
      <c r="AW1347" s="287">
        <v>-1.6973673794058299</v>
      </c>
      <c r="AX1347" s="287">
        <v>-1.05643074934563</v>
      </c>
      <c r="AY1347" s="287">
        <v>-1.2265490649911699</v>
      </c>
      <c r="AZ1347" s="313">
        <v>-1.3332746391191099</v>
      </c>
    </row>
    <row r="1348" spans="1:52" s="29" customFormat="1" ht="15" customHeight="1">
      <c r="A1348" s="332" t="s">
        <v>411</v>
      </c>
      <c r="B1348" s="27">
        <v>2003</v>
      </c>
      <c r="C1348" s="146" t="s">
        <v>406</v>
      </c>
      <c r="D1348" s="27" t="s">
        <v>81</v>
      </c>
      <c r="E1348" s="27" t="s">
        <v>50</v>
      </c>
      <c r="F1348" s="27" t="s">
        <v>50</v>
      </c>
      <c r="G1348" s="27" t="s">
        <v>1812</v>
      </c>
      <c r="H1348" s="43"/>
      <c r="I1348" s="43"/>
      <c r="J1348" s="43"/>
      <c r="K1348" s="27"/>
      <c r="L1348" s="28"/>
      <c r="M1348" s="27"/>
      <c r="N1348" s="27"/>
      <c r="O1348" s="18">
        <f>SUM(O1349:O1350)</f>
        <v>24669179486.792454</v>
      </c>
      <c r="P1348" s="214">
        <v>17091000000</v>
      </c>
      <c r="Q1348" s="214">
        <v>17095000000</v>
      </c>
      <c r="R1348" s="27" t="s">
        <v>3693</v>
      </c>
      <c r="S1348" s="27" t="s">
        <v>1813</v>
      </c>
      <c r="T1348" s="18">
        <v>10904000000</v>
      </c>
      <c r="U1348" s="27" t="s">
        <v>852</v>
      </c>
      <c r="V1348" s="27" t="s">
        <v>802</v>
      </c>
      <c r="W1348" s="30" t="s">
        <v>803</v>
      </c>
      <c r="X1348" s="27">
        <v>24</v>
      </c>
      <c r="Y1348" s="27" t="s">
        <v>1805</v>
      </c>
      <c r="Z1348" s="27">
        <v>24</v>
      </c>
      <c r="AA1348" s="27" t="s">
        <v>1438</v>
      </c>
      <c r="AB1348" s="27" t="s">
        <v>1807</v>
      </c>
      <c r="AC1348" s="273">
        <v>17091000000</v>
      </c>
      <c r="AD1348" s="27">
        <v>67655840108.154663</v>
      </c>
      <c r="AE1348" s="228">
        <v>0.2526167729597078</v>
      </c>
      <c r="AF1348" s="27" t="s">
        <v>2842</v>
      </c>
      <c r="AG1348" s="226" t="s">
        <v>2842</v>
      </c>
      <c r="AH1348" s="226">
        <v>0.85708276615068668</v>
      </c>
      <c r="AI1348" s="27">
        <v>308220000</v>
      </c>
      <c r="AJ1348" s="226">
        <v>55.450652131594317</v>
      </c>
      <c r="AK1348" s="27">
        <v>1143648634.0737989</v>
      </c>
      <c r="AL1348" s="226">
        <v>14.944275270211296</v>
      </c>
      <c r="AM1348" s="27" t="s">
        <v>2842</v>
      </c>
      <c r="AN1348" s="271" t="s">
        <v>2842</v>
      </c>
      <c r="AO1348" s="27">
        <v>132550146</v>
      </c>
      <c r="AP1348" s="27" t="s">
        <v>2842</v>
      </c>
      <c r="AQ1348" s="27">
        <v>47.63773170731708</v>
      </c>
      <c r="AR1348" s="27">
        <v>103.3</v>
      </c>
      <c r="AS1348" s="29" t="s">
        <v>2842</v>
      </c>
      <c r="AT1348" s="270">
        <v>27</v>
      </c>
      <c r="AU1348" s="464">
        <v>42.488892080090132</v>
      </c>
      <c r="AV1348" s="29">
        <v>-0.63770511124296803</v>
      </c>
      <c r="AW1348" s="29">
        <v>-1.6514193822734899</v>
      </c>
      <c r="AX1348" s="29">
        <v>-0.96479418736878098</v>
      </c>
      <c r="AY1348" s="29">
        <v>-1.2402186899098899</v>
      </c>
      <c r="AZ1348" s="60">
        <v>-1.32012918747593</v>
      </c>
    </row>
    <row r="1349" spans="1:52" s="29" customFormat="1" ht="15" customHeight="1">
      <c r="A1349" s="59" t="s">
        <v>411</v>
      </c>
      <c r="B1349" s="27">
        <v>2003</v>
      </c>
      <c r="C1349" s="146" t="s">
        <v>406</v>
      </c>
      <c r="D1349" s="27" t="s">
        <v>81</v>
      </c>
      <c r="E1349" s="27" t="s">
        <v>552</v>
      </c>
      <c r="F1349" s="27" t="s">
        <v>552</v>
      </c>
      <c r="G1349" s="43">
        <v>22600000000</v>
      </c>
      <c r="H1349" s="43"/>
      <c r="I1349" s="43"/>
      <c r="J1349" s="43"/>
      <c r="K1349" s="27" t="s">
        <v>599</v>
      </c>
      <c r="L1349" s="28">
        <v>0.16410100000000002</v>
      </c>
      <c r="M1349" s="27" t="s">
        <v>600</v>
      </c>
      <c r="N1349" s="27" t="s">
        <v>685</v>
      </c>
      <c r="O1349" s="18">
        <f>G1349*L1349</f>
        <v>3708682600.0000005</v>
      </c>
      <c r="P1349" s="244"/>
      <c r="Q1349" s="244"/>
      <c r="R1349" s="27"/>
      <c r="S1349" s="27"/>
      <c r="T1349" s="18"/>
      <c r="U1349" s="27"/>
      <c r="V1349" s="27"/>
      <c r="W1349" s="30"/>
      <c r="X1349" s="27"/>
      <c r="Y1349" s="27"/>
      <c r="Z1349" s="27"/>
      <c r="AA1349" s="27"/>
      <c r="AB1349" s="27"/>
      <c r="AC1349" s="273">
        <v>17091000000</v>
      </c>
      <c r="AD1349" s="27">
        <v>67655840108.154663</v>
      </c>
      <c r="AE1349" s="228">
        <v>0.2526167729597078</v>
      </c>
      <c r="AF1349" s="27" t="s">
        <v>2842</v>
      </c>
      <c r="AG1349" s="226" t="s">
        <v>2842</v>
      </c>
      <c r="AH1349" s="226">
        <v>0.85708276615068668</v>
      </c>
      <c r="AI1349" s="27">
        <v>308220000</v>
      </c>
      <c r="AJ1349" s="226">
        <v>55.450652131594317</v>
      </c>
      <c r="AK1349" s="27">
        <v>1143648634.0737989</v>
      </c>
      <c r="AL1349" s="226">
        <v>14.944275270211296</v>
      </c>
      <c r="AM1349" s="27" t="s">
        <v>2842</v>
      </c>
      <c r="AN1349" s="271" t="s">
        <v>2842</v>
      </c>
      <c r="AO1349" s="27">
        <v>132550146</v>
      </c>
      <c r="AP1349" s="27" t="s">
        <v>2842</v>
      </c>
      <c r="AQ1349" s="27">
        <v>47.63773170731708</v>
      </c>
      <c r="AR1349" s="27">
        <v>103.3</v>
      </c>
      <c r="AS1349" s="29" t="s">
        <v>2842</v>
      </c>
      <c r="AT1349" s="270">
        <v>27</v>
      </c>
      <c r="AU1349" s="464">
        <v>42.488892080090132</v>
      </c>
      <c r="AV1349" s="29">
        <v>-0.63770511124296803</v>
      </c>
      <c r="AW1349" s="29">
        <v>-1.6514193822734899</v>
      </c>
      <c r="AX1349" s="29">
        <v>-0.96479418736878098</v>
      </c>
      <c r="AY1349" s="29">
        <v>-1.2402186899098899</v>
      </c>
      <c r="AZ1349" s="60">
        <v>-1.32012918747593</v>
      </c>
    </row>
    <row r="1350" spans="1:52" s="287" customFormat="1" ht="15" customHeight="1">
      <c r="A1350" s="344" t="s">
        <v>411</v>
      </c>
      <c r="B1350" s="284">
        <v>2003</v>
      </c>
      <c r="C1350" s="383" t="s">
        <v>406</v>
      </c>
      <c r="D1350" s="284" t="s">
        <v>81</v>
      </c>
      <c r="E1350" s="284" t="s">
        <v>98</v>
      </c>
      <c r="F1350" s="284" t="s">
        <v>98</v>
      </c>
      <c r="G1350" s="303">
        <v>815045000</v>
      </c>
      <c r="H1350" s="303"/>
      <c r="I1350" s="303"/>
      <c r="J1350" s="303"/>
      <c r="K1350" s="284" t="s">
        <v>603</v>
      </c>
      <c r="L1350" s="304">
        <v>25.716981132075471</v>
      </c>
      <c r="M1350" s="284" t="s">
        <v>626</v>
      </c>
      <c r="N1350" s="284" t="s">
        <v>1808</v>
      </c>
      <c r="O1350" s="305">
        <f>G1350*L1350</f>
        <v>20960496886.792454</v>
      </c>
      <c r="P1350" s="374"/>
      <c r="Q1350" s="374"/>
      <c r="R1350" s="284"/>
      <c r="S1350" s="284"/>
      <c r="T1350" s="305"/>
      <c r="U1350" s="284"/>
      <c r="V1350" s="284"/>
      <c r="W1350" s="307"/>
      <c r="X1350" s="284"/>
      <c r="Y1350" s="284"/>
      <c r="Z1350" s="284"/>
      <c r="AA1350" s="284">
        <v>51</v>
      </c>
      <c r="AB1350" s="284"/>
      <c r="AC1350" s="308">
        <v>17091000000</v>
      </c>
      <c r="AD1350" s="284">
        <v>67655840108.154663</v>
      </c>
      <c r="AE1350" s="309">
        <v>0.2526167729597078</v>
      </c>
      <c r="AF1350" s="284" t="s">
        <v>2842</v>
      </c>
      <c r="AG1350" s="310" t="s">
        <v>2842</v>
      </c>
      <c r="AH1350" s="310">
        <v>0.85708276615068668</v>
      </c>
      <c r="AI1350" s="284">
        <v>308220000</v>
      </c>
      <c r="AJ1350" s="310">
        <v>55.450652131594317</v>
      </c>
      <c r="AK1350" s="284">
        <v>1143648634.0737989</v>
      </c>
      <c r="AL1350" s="310">
        <v>14.944275270211296</v>
      </c>
      <c r="AM1350" s="284" t="s">
        <v>2842</v>
      </c>
      <c r="AN1350" s="311" t="s">
        <v>2842</v>
      </c>
      <c r="AO1350" s="284">
        <v>132550146</v>
      </c>
      <c r="AP1350" s="284" t="s">
        <v>2842</v>
      </c>
      <c r="AQ1350" s="284">
        <v>47.63773170731708</v>
      </c>
      <c r="AR1350" s="284">
        <v>103.3</v>
      </c>
      <c r="AS1350" s="287" t="s">
        <v>2842</v>
      </c>
      <c r="AT1350" s="312">
        <v>27</v>
      </c>
      <c r="AU1350" s="465">
        <v>42.488892080090132</v>
      </c>
      <c r="AV1350" s="287">
        <v>-0.63770511124296803</v>
      </c>
      <c r="AW1350" s="287">
        <v>-1.6514193822734899</v>
      </c>
      <c r="AX1350" s="287">
        <v>-0.96479418736878098</v>
      </c>
      <c r="AY1350" s="287">
        <v>-1.2402186899098899</v>
      </c>
      <c r="AZ1350" s="313">
        <v>-1.32012918747593</v>
      </c>
    </row>
    <row r="1351" spans="1:52" ht="15" customHeight="1">
      <c r="A1351" s="332" t="s">
        <v>412</v>
      </c>
      <c r="B1351" s="27">
        <v>2004</v>
      </c>
      <c r="C1351" s="146" t="s">
        <v>406</v>
      </c>
      <c r="D1351" s="27" t="s">
        <v>81</v>
      </c>
      <c r="E1351" s="27" t="s">
        <v>50</v>
      </c>
      <c r="F1351" s="27" t="s">
        <v>659</v>
      </c>
      <c r="G1351" s="43"/>
      <c r="H1351" s="43"/>
      <c r="I1351" s="43"/>
      <c r="J1351" s="43"/>
      <c r="K1351" s="27"/>
      <c r="L1351" s="28"/>
      <c r="M1351" s="27"/>
      <c r="N1351" s="27"/>
      <c r="O1351" s="18">
        <f>SUM(O1352:O1353)</f>
        <v>36425258553.846161</v>
      </c>
      <c r="P1351" s="214">
        <v>26596000000</v>
      </c>
      <c r="Q1351" s="214">
        <v>26597000000</v>
      </c>
      <c r="R1351" s="27" t="s">
        <v>3693</v>
      </c>
      <c r="S1351" s="27" t="s">
        <v>1814</v>
      </c>
      <c r="T1351" s="18">
        <v>16401000000</v>
      </c>
      <c r="U1351" s="27" t="s">
        <v>852</v>
      </c>
      <c r="V1351" s="27" t="s">
        <v>802</v>
      </c>
      <c r="W1351" s="30" t="s">
        <v>803</v>
      </c>
      <c r="X1351" s="27">
        <v>24</v>
      </c>
      <c r="Y1351" s="27" t="s">
        <v>1805</v>
      </c>
      <c r="Z1351" s="27">
        <v>24</v>
      </c>
      <c r="AA1351" s="27" t="s">
        <v>1438</v>
      </c>
      <c r="AB1351" s="27" t="s">
        <v>1807</v>
      </c>
      <c r="AC1351" s="273">
        <v>26596000000</v>
      </c>
      <c r="AD1351" s="27">
        <v>87845403978.274185</v>
      </c>
      <c r="AE1351" s="228">
        <v>0.30275915182287383</v>
      </c>
      <c r="AF1351" s="27" t="s">
        <v>2842</v>
      </c>
      <c r="AG1351" s="226" t="s">
        <v>2842</v>
      </c>
      <c r="AH1351" s="226" t="s">
        <v>2842</v>
      </c>
      <c r="AI1351" s="27">
        <v>576940000</v>
      </c>
      <c r="AJ1351" s="226">
        <v>46.098381114153987</v>
      </c>
      <c r="AK1351" s="27">
        <v>1998494597.5794344</v>
      </c>
      <c r="AL1351" s="226">
        <v>13.308016960472612</v>
      </c>
      <c r="AM1351" s="27" t="s">
        <v>2842</v>
      </c>
      <c r="AN1351" s="271" t="s">
        <v>2842</v>
      </c>
      <c r="AO1351" s="27">
        <v>135999250</v>
      </c>
      <c r="AP1351" s="27">
        <v>48.4</v>
      </c>
      <c r="AQ1351" s="27">
        <v>48.12565853658537</v>
      </c>
      <c r="AR1351" s="27">
        <v>100.2</v>
      </c>
      <c r="AS1351" s="29">
        <v>66.122029999999995</v>
      </c>
      <c r="AT1351" s="270">
        <v>27</v>
      </c>
      <c r="AU1351" s="464">
        <v>42.488892080090132</v>
      </c>
      <c r="AV1351" s="29">
        <v>-0.76793085867607602</v>
      </c>
      <c r="AW1351" s="29">
        <v>-1.7208817210479099</v>
      </c>
      <c r="AX1351" s="29">
        <v>-0.91259341443653497</v>
      </c>
      <c r="AY1351" s="29">
        <v>-1.32286796314529</v>
      </c>
      <c r="AZ1351" s="60">
        <v>-1.3045012983906601</v>
      </c>
    </row>
    <row r="1352" spans="1:52" ht="15" customHeight="1">
      <c r="A1352" s="59" t="s">
        <v>412</v>
      </c>
      <c r="B1352" s="27">
        <v>2004</v>
      </c>
      <c r="C1352" s="146" t="s">
        <v>406</v>
      </c>
      <c r="D1352" s="27" t="s">
        <v>81</v>
      </c>
      <c r="E1352" s="27" t="s">
        <v>552</v>
      </c>
      <c r="F1352" s="27" t="s">
        <v>552</v>
      </c>
      <c r="G1352" s="43">
        <v>24400000000</v>
      </c>
      <c r="H1352" s="43"/>
      <c r="I1352" s="43"/>
      <c r="J1352" s="43"/>
      <c r="K1352" s="27" t="s">
        <v>599</v>
      </c>
      <c r="L1352" s="28">
        <v>0.18254599999999999</v>
      </c>
      <c r="M1352" s="27" t="s">
        <v>600</v>
      </c>
      <c r="N1352" s="27" t="s">
        <v>685</v>
      </c>
      <c r="O1352" s="18">
        <f>G1352*L1352</f>
        <v>4454122400</v>
      </c>
      <c r="P1352" s="244"/>
      <c r="Q1352" s="244"/>
      <c r="R1352" s="27"/>
      <c r="S1352" s="27"/>
      <c r="T1352" s="18"/>
      <c r="U1352" s="27"/>
      <c r="V1352" s="27"/>
      <c r="W1352" s="30"/>
      <c r="X1352" s="27"/>
      <c r="Y1352" s="27"/>
      <c r="Z1352" s="27"/>
      <c r="AA1352" s="27"/>
      <c r="AB1352" s="27"/>
      <c r="AC1352" s="273">
        <v>26596000000</v>
      </c>
      <c r="AD1352" s="27">
        <v>87845403978.274185</v>
      </c>
      <c r="AE1352" s="228">
        <v>0.30275915182287383</v>
      </c>
      <c r="AF1352" s="27" t="s">
        <v>2842</v>
      </c>
      <c r="AG1352" s="226" t="s">
        <v>2842</v>
      </c>
      <c r="AH1352" s="226" t="s">
        <v>2842</v>
      </c>
      <c r="AI1352" s="27">
        <v>576940000</v>
      </c>
      <c r="AJ1352" s="226">
        <v>46.098381114153987</v>
      </c>
      <c r="AK1352" s="27">
        <v>1998494597.5794344</v>
      </c>
      <c r="AL1352" s="226">
        <v>13.308016960472612</v>
      </c>
      <c r="AM1352" s="27" t="s">
        <v>2842</v>
      </c>
      <c r="AN1352" s="271" t="s">
        <v>2842</v>
      </c>
      <c r="AO1352" s="27">
        <v>135999250</v>
      </c>
      <c r="AP1352" s="27">
        <v>48.4</v>
      </c>
      <c r="AQ1352" s="27">
        <v>48.12565853658537</v>
      </c>
      <c r="AR1352" s="27">
        <v>100.2</v>
      </c>
      <c r="AS1352" s="29">
        <v>66.122029999999995</v>
      </c>
      <c r="AT1352" s="270">
        <v>27</v>
      </c>
      <c r="AU1352" s="464">
        <v>42.488892080090132</v>
      </c>
      <c r="AV1352" s="29">
        <v>-0.76793085867607602</v>
      </c>
      <c r="AW1352" s="29">
        <v>-1.7208817210479099</v>
      </c>
      <c r="AX1352" s="29">
        <v>-0.91259341443653497</v>
      </c>
      <c r="AY1352" s="29">
        <v>-1.32286796314529</v>
      </c>
      <c r="AZ1352" s="60">
        <v>-1.3045012983906601</v>
      </c>
    </row>
    <row r="1353" spans="1:52" s="287" customFormat="1" ht="15" customHeight="1">
      <c r="A1353" s="344" t="s">
        <v>412</v>
      </c>
      <c r="B1353" s="284">
        <v>2004</v>
      </c>
      <c r="C1353" s="383" t="s">
        <v>406</v>
      </c>
      <c r="D1353" s="284" t="s">
        <v>81</v>
      </c>
      <c r="E1353" s="284" t="s">
        <v>98</v>
      </c>
      <c r="F1353" s="284" t="s">
        <v>98</v>
      </c>
      <c r="G1353" s="303">
        <v>886950000</v>
      </c>
      <c r="H1353" s="303"/>
      <c r="I1353" s="303"/>
      <c r="J1353" s="303"/>
      <c r="K1353" s="284" t="s">
        <v>603</v>
      </c>
      <c r="L1353" s="304">
        <v>36.04615384615385</v>
      </c>
      <c r="M1353" s="284" t="s">
        <v>626</v>
      </c>
      <c r="N1353" s="284" t="s">
        <v>1808</v>
      </c>
      <c r="O1353" s="305">
        <f>G1353*L1353</f>
        <v>31971136153.846157</v>
      </c>
      <c r="P1353" s="374"/>
      <c r="Q1353" s="374"/>
      <c r="R1353" s="284"/>
      <c r="S1353" s="284"/>
      <c r="T1353" s="305"/>
      <c r="U1353" s="284"/>
      <c r="V1353" s="284"/>
      <c r="W1353" s="307"/>
      <c r="X1353" s="284"/>
      <c r="Y1353" s="284"/>
      <c r="Z1353" s="284"/>
      <c r="AA1353" s="284">
        <v>51</v>
      </c>
      <c r="AB1353" s="284"/>
      <c r="AC1353" s="308">
        <v>26596000000</v>
      </c>
      <c r="AD1353" s="284">
        <v>87845403978.274185</v>
      </c>
      <c r="AE1353" s="309">
        <v>0.30275915182287383</v>
      </c>
      <c r="AF1353" s="284" t="s">
        <v>2842</v>
      </c>
      <c r="AG1353" s="310" t="s">
        <v>2842</v>
      </c>
      <c r="AH1353" s="310" t="s">
        <v>2842</v>
      </c>
      <c r="AI1353" s="284">
        <v>576940000</v>
      </c>
      <c r="AJ1353" s="310">
        <v>46.098381114153987</v>
      </c>
      <c r="AK1353" s="284">
        <v>1998494597.5794344</v>
      </c>
      <c r="AL1353" s="310">
        <v>13.308016960472612</v>
      </c>
      <c r="AM1353" s="284" t="s">
        <v>2842</v>
      </c>
      <c r="AN1353" s="311" t="s">
        <v>2842</v>
      </c>
      <c r="AO1353" s="284">
        <v>135999250</v>
      </c>
      <c r="AP1353" s="284">
        <v>48.4</v>
      </c>
      <c r="AQ1353" s="284">
        <v>48.12565853658537</v>
      </c>
      <c r="AR1353" s="284">
        <v>100.2</v>
      </c>
      <c r="AS1353" s="287">
        <v>66.122029999999995</v>
      </c>
      <c r="AT1353" s="312">
        <v>27</v>
      </c>
      <c r="AU1353" s="465">
        <v>42.488892080090132</v>
      </c>
      <c r="AV1353" s="287">
        <v>-0.76793085867607602</v>
      </c>
      <c r="AW1353" s="287">
        <v>-1.7208817210479099</v>
      </c>
      <c r="AX1353" s="287">
        <v>-0.91259341443653497</v>
      </c>
      <c r="AY1353" s="287">
        <v>-1.32286796314529</v>
      </c>
      <c r="AZ1353" s="313">
        <v>-1.3045012983906601</v>
      </c>
    </row>
    <row r="1354" spans="1:52" s="29" customFormat="1" ht="15" customHeight="1">
      <c r="A1354" s="332" t="s">
        <v>413</v>
      </c>
      <c r="B1354" s="27">
        <v>2005</v>
      </c>
      <c r="C1354" s="146" t="s">
        <v>406</v>
      </c>
      <c r="D1354" s="27" t="s">
        <v>81</v>
      </c>
      <c r="E1354" s="27" t="s">
        <v>50</v>
      </c>
      <c r="F1354" s="27" t="s">
        <v>659</v>
      </c>
      <c r="G1354" s="43"/>
      <c r="H1354" s="43"/>
      <c r="I1354" s="43"/>
      <c r="J1354" s="43"/>
      <c r="K1354" s="27"/>
      <c r="L1354" s="28"/>
      <c r="M1354" s="27"/>
      <c r="N1354" s="27"/>
      <c r="O1354" s="18">
        <f>SUM(O1355:O1356)</f>
        <v>57853098500</v>
      </c>
      <c r="P1354" s="214">
        <v>37761759990.706177</v>
      </c>
      <c r="Q1354" s="214">
        <v>37589633076.178871</v>
      </c>
      <c r="R1354" s="27" t="s">
        <v>3693</v>
      </c>
      <c r="S1354" s="27" t="s">
        <v>871</v>
      </c>
      <c r="T1354" s="18" t="s">
        <v>871</v>
      </c>
      <c r="U1354" s="27" t="s">
        <v>852</v>
      </c>
      <c r="V1354" s="27" t="s">
        <v>1815</v>
      </c>
      <c r="W1354" s="30">
        <v>131.27000000000001</v>
      </c>
      <c r="X1354" s="27" t="s">
        <v>871</v>
      </c>
      <c r="Y1354" s="27" t="s">
        <v>871</v>
      </c>
      <c r="Z1354" s="27" t="s">
        <v>871</v>
      </c>
      <c r="AA1354" s="27" t="s">
        <v>1438</v>
      </c>
      <c r="AB1354" s="27" t="s">
        <v>1816</v>
      </c>
      <c r="AC1354" s="273">
        <v>37761759990.706177</v>
      </c>
      <c r="AD1354" s="27">
        <v>112248324602.67712</v>
      </c>
      <c r="AE1354" s="228">
        <v>0.33641268254444451</v>
      </c>
      <c r="AF1354" s="27">
        <v>47278994322.647606</v>
      </c>
      <c r="AG1354" s="226">
        <v>0.79870057584151111</v>
      </c>
      <c r="AH1354" s="226" t="s">
        <v>2842</v>
      </c>
      <c r="AI1354" s="27">
        <v>6408810000</v>
      </c>
      <c r="AJ1354" s="226">
        <v>5.8921640664501176</v>
      </c>
      <c r="AK1354" s="27">
        <v>2161857643.741384</v>
      </c>
      <c r="AL1354" s="226">
        <v>17.467274082559108</v>
      </c>
      <c r="AM1354" s="27" t="s">
        <v>2842</v>
      </c>
      <c r="AN1354" s="271" t="s">
        <v>2842</v>
      </c>
      <c r="AO1354" s="27">
        <v>139585891</v>
      </c>
      <c r="AP1354" s="27" t="s">
        <v>2842</v>
      </c>
      <c r="AQ1354" s="27">
        <v>48.664487804878057</v>
      </c>
      <c r="AR1354" s="27">
        <v>97.1</v>
      </c>
      <c r="AS1354" s="29">
        <v>66.563599999999994</v>
      </c>
      <c r="AT1354" s="270">
        <v>27</v>
      </c>
      <c r="AU1354" s="464">
        <v>42.488892080090132</v>
      </c>
      <c r="AV1354" s="29">
        <v>-0.84345818856703603</v>
      </c>
      <c r="AW1354" s="29">
        <v>-1.6482880439652801</v>
      </c>
      <c r="AX1354" s="29">
        <v>-0.88329232538505997</v>
      </c>
      <c r="AY1354" s="29">
        <v>-0.76768867426750198</v>
      </c>
      <c r="AZ1354" s="60">
        <v>-1.158790333554</v>
      </c>
    </row>
    <row r="1355" spans="1:52" s="29" customFormat="1" ht="15" customHeight="1">
      <c r="A1355" s="59" t="s">
        <v>413</v>
      </c>
      <c r="B1355" s="27">
        <v>2005</v>
      </c>
      <c r="C1355" s="146" t="s">
        <v>406</v>
      </c>
      <c r="D1355" s="27" t="s">
        <v>81</v>
      </c>
      <c r="E1355" s="27" t="s">
        <v>552</v>
      </c>
      <c r="F1355" s="27" t="s">
        <v>552</v>
      </c>
      <c r="G1355" s="43">
        <v>25100000000</v>
      </c>
      <c r="H1355" s="43"/>
      <c r="I1355" s="43"/>
      <c r="J1355" s="43"/>
      <c r="K1355" s="27" t="s">
        <v>599</v>
      </c>
      <c r="L1355" s="28">
        <v>0.27869799999999995</v>
      </c>
      <c r="M1355" s="27" t="s">
        <v>600</v>
      </c>
      <c r="N1355" s="27" t="s">
        <v>685</v>
      </c>
      <c r="O1355" s="18">
        <f>G1355*L1355</f>
        <v>6995319799.999999</v>
      </c>
      <c r="P1355" s="244"/>
      <c r="Q1355" s="244"/>
      <c r="R1355" s="27"/>
      <c r="S1355" s="27"/>
      <c r="T1355" s="18"/>
      <c r="U1355" s="27"/>
      <c r="V1355" s="27"/>
      <c r="W1355" s="30"/>
      <c r="X1355" s="27"/>
      <c r="Y1355" s="27"/>
      <c r="Z1355" s="27"/>
      <c r="AA1355" s="27"/>
      <c r="AB1355" s="27"/>
      <c r="AC1355" s="273">
        <v>37761759990.706177</v>
      </c>
      <c r="AD1355" s="27">
        <v>112248324602.67712</v>
      </c>
      <c r="AE1355" s="228">
        <v>0.33641268254444451</v>
      </c>
      <c r="AF1355" s="27">
        <v>47278994322.647606</v>
      </c>
      <c r="AG1355" s="226">
        <v>0.79870057584151111</v>
      </c>
      <c r="AH1355" s="226" t="s">
        <v>2842</v>
      </c>
      <c r="AI1355" s="27">
        <v>6408810000</v>
      </c>
      <c r="AJ1355" s="226">
        <v>5.8921640664501176</v>
      </c>
      <c r="AK1355" s="27">
        <v>2161857643.741384</v>
      </c>
      <c r="AL1355" s="226">
        <v>17.467274082559108</v>
      </c>
      <c r="AM1355" s="27" t="s">
        <v>2842</v>
      </c>
      <c r="AN1355" s="271" t="s">
        <v>2842</v>
      </c>
      <c r="AO1355" s="27">
        <v>139585891</v>
      </c>
      <c r="AP1355" s="27" t="s">
        <v>2842</v>
      </c>
      <c r="AQ1355" s="27">
        <v>48.664487804878057</v>
      </c>
      <c r="AR1355" s="27">
        <v>97.1</v>
      </c>
      <c r="AS1355" s="29">
        <v>66.563599999999994</v>
      </c>
      <c r="AT1355" s="270">
        <v>27</v>
      </c>
      <c r="AU1355" s="464">
        <v>42.488892080090132</v>
      </c>
      <c r="AV1355" s="29">
        <v>-0.84345818856703603</v>
      </c>
      <c r="AW1355" s="29">
        <v>-1.6482880439652801</v>
      </c>
      <c r="AX1355" s="29">
        <v>-0.88329232538505997</v>
      </c>
      <c r="AY1355" s="29">
        <v>-0.76768867426750198</v>
      </c>
      <c r="AZ1355" s="60">
        <v>-1.158790333554</v>
      </c>
    </row>
    <row r="1356" spans="1:52" s="287" customFormat="1" ht="15" customHeight="1">
      <c r="A1356" s="344" t="s">
        <v>413</v>
      </c>
      <c r="B1356" s="284">
        <v>2005</v>
      </c>
      <c r="C1356" s="383" t="s">
        <v>406</v>
      </c>
      <c r="D1356" s="284" t="s">
        <v>81</v>
      </c>
      <c r="E1356" s="284" t="s">
        <v>98</v>
      </c>
      <c r="F1356" s="284" t="s">
        <v>98</v>
      </c>
      <c r="G1356" s="303">
        <v>913230000</v>
      </c>
      <c r="H1356" s="303"/>
      <c r="I1356" s="303"/>
      <c r="J1356" s="303"/>
      <c r="K1356" s="284" t="s">
        <v>603</v>
      </c>
      <c r="L1356" s="304">
        <v>55.69</v>
      </c>
      <c r="M1356" s="284" t="s">
        <v>626</v>
      </c>
      <c r="N1356" s="284" t="s">
        <v>1817</v>
      </c>
      <c r="O1356" s="305">
        <f>G1356*L1356</f>
        <v>50857778700</v>
      </c>
      <c r="P1356" s="374"/>
      <c r="Q1356" s="374"/>
      <c r="R1356" s="284"/>
      <c r="S1356" s="284"/>
      <c r="T1356" s="305"/>
      <c r="U1356" s="284"/>
      <c r="V1356" s="284"/>
      <c r="W1356" s="307"/>
      <c r="X1356" s="284"/>
      <c r="Y1356" s="284"/>
      <c r="Z1356" s="284"/>
      <c r="AA1356" s="284"/>
      <c r="AB1356" s="284"/>
      <c r="AC1356" s="308">
        <v>37761759990.706177</v>
      </c>
      <c r="AD1356" s="284">
        <v>112248324602.67712</v>
      </c>
      <c r="AE1356" s="309">
        <v>0.33641268254444451</v>
      </c>
      <c r="AF1356" s="284">
        <v>47278994322.647606</v>
      </c>
      <c r="AG1356" s="310">
        <v>0.79870057584151111</v>
      </c>
      <c r="AH1356" s="310" t="s">
        <v>2842</v>
      </c>
      <c r="AI1356" s="284">
        <v>6408810000</v>
      </c>
      <c r="AJ1356" s="310">
        <v>5.8921640664501176</v>
      </c>
      <c r="AK1356" s="284">
        <v>2161857643.741384</v>
      </c>
      <c r="AL1356" s="310">
        <v>17.467274082559108</v>
      </c>
      <c r="AM1356" s="284" t="s">
        <v>2842</v>
      </c>
      <c r="AN1356" s="311" t="s">
        <v>2842</v>
      </c>
      <c r="AO1356" s="284">
        <v>139585891</v>
      </c>
      <c r="AP1356" s="284" t="s">
        <v>2842</v>
      </c>
      <c r="AQ1356" s="284">
        <v>48.664487804878057</v>
      </c>
      <c r="AR1356" s="284">
        <v>97.1</v>
      </c>
      <c r="AS1356" s="287">
        <v>66.563599999999994</v>
      </c>
      <c r="AT1356" s="312">
        <v>27</v>
      </c>
      <c r="AU1356" s="465">
        <v>42.488892080090132</v>
      </c>
      <c r="AV1356" s="287">
        <v>-0.84345818856703603</v>
      </c>
      <c r="AW1356" s="287">
        <v>-1.6482880439652801</v>
      </c>
      <c r="AX1356" s="287">
        <v>-0.88329232538505997</v>
      </c>
      <c r="AY1356" s="287">
        <v>-0.76768867426750198</v>
      </c>
      <c r="AZ1356" s="313">
        <v>-1.158790333554</v>
      </c>
    </row>
    <row r="1357" spans="1:52" ht="15" customHeight="1">
      <c r="A1357" s="332" t="s">
        <v>416</v>
      </c>
      <c r="B1357" s="27">
        <v>2006</v>
      </c>
      <c r="C1357" s="146" t="s">
        <v>406</v>
      </c>
      <c r="D1357" s="27" t="s">
        <v>81</v>
      </c>
      <c r="E1357" s="27" t="s">
        <v>50</v>
      </c>
      <c r="F1357" s="27" t="s">
        <v>659</v>
      </c>
      <c r="G1357" s="43"/>
      <c r="H1357" s="43"/>
      <c r="I1357" s="43"/>
      <c r="J1357" s="43"/>
      <c r="K1357" s="27"/>
      <c r="L1357" s="28"/>
      <c r="M1357" s="27"/>
      <c r="N1357" s="27"/>
      <c r="O1357" s="18">
        <f>SUM(O1358:O1359)</f>
        <v>65760452137.571999</v>
      </c>
      <c r="P1357" s="214">
        <v>45464400000</v>
      </c>
      <c r="Q1357" s="214">
        <v>44748184080</v>
      </c>
      <c r="R1357" s="27" t="s">
        <v>3693</v>
      </c>
      <c r="S1357" s="27" t="s">
        <v>871</v>
      </c>
      <c r="T1357" s="18" t="s">
        <v>871</v>
      </c>
      <c r="U1357" s="27" t="s">
        <v>852</v>
      </c>
      <c r="V1357" s="27" t="s">
        <v>1815</v>
      </c>
      <c r="W1357" s="30">
        <v>132.44</v>
      </c>
      <c r="X1357" s="27" t="s">
        <v>871</v>
      </c>
      <c r="Y1357" s="27" t="s">
        <v>871</v>
      </c>
      <c r="Z1357" s="27" t="s">
        <v>871</v>
      </c>
      <c r="AA1357" s="27" t="s">
        <v>1818</v>
      </c>
      <c r="AB1357" s="27" t="s">
        <v>1819</v>
      </c>
      <c r="AC1357" s="273">
        <v>45464400000</v>
      </c>
      <c r="AD1357" s="27">
        <v>145429802541.7467</v>
      </c>
      <c r="AE1357" s="228">
        <v>0.31262092917267836</v>
      </c>
      <c r="AF1357" s="27">
        <v>66586489391.764145</v>
      </c>
      <c r="AG1357" s="226">
        <v>0.68278716020765817</v>
      </c>
      <c r="AH1357" s="226">
        <v>0.97402765033343852</v>
      </c>
      <c r="AI1357" s="27">
        <v>11428020000</v>
      </c>
      <c r="AJ1357" s="226">
        <v>3.9783269542755439</v>
      </c>
      <c r="AK1357" s="27">
        <v>2816888430.2759933</v>
      </c>
      <c r="AL1357" s="226">
        <v>16.13993636075444</v>
      </c>
      <c r="AM1357" s="27" t="s">
        <v>2842</v>
      </c>
      <c r="AN1357" s="271" t="s">
        <v>2842</v>
      </c>
      <c r="AO1357" s="27">
        <v>143314909</v>
      </c>
      <c r="AP1357" s="27" t="s">
        <v>2842</v>
      </c>
      <c r="AQ1357" s="27">
        <v>49.22863414634147</v>
      </c>
      <c r="AR1357" s="27">
        <v>93.9</v>
      </c>
      <c r="AS1357" s="29">
        <v>67.052459999999996</v>
      </c>
      <c r="AT1357" s="270">
        <v>27</v>
      </c>
      <c r="AU1357" s="464">
        <v>42.488892080090132</v>
      </c>
      <c r="AV1357" s="29">
        <v>-0.64450769293384702</v>
      </c>
      <c r="AW1357" s="29">
        <v>-2.0363159686374699</v>
      </c>
      <c r="AX1357" s="29">
        <v>-0.96124421348657696</v>
      </c>
      <c r="AY1357" s="29">
        <v>-0.88703213347618304</v>
      </c>
      <c r="AZ1357" s="60">
        <v>-1.0740831068663601</v>
      </c>
    </row>
    <row r="1358" spans="1:52" ht="15" customHeight="1">
      <c r="A1358" s="59" t="s">
        <v>416</v>
      </c>
      <c r="B1358" s="27">
        <v>2006</v>
      </c>
      <c r="C1358" s="146" t="s">
        <v>406</v>
      </c>
      <c r="D1358" s="27" t="s">
        <v>81</v>
      </c>
      <c r="E1358" s="27" t="s">
        <v>552</v>
      </c>
      <c r="F1358" s="27" t="s">
        <v>552</v>
      </c>
      <c r="G1358" s="43">
        <v>29600000000</v>
      </c>
      <c r="H1358" s="43"/>
      <c r="I1358" s="43"/>
      <c r="J1358" s="43"/>
      <c r="K1358" s="27" t="s">
        <v>599</v>
      </c>
      <c r="L1358" s="28">
        <v>0.243474</v>
      </c>
      <c r="M1358" s="27" t="s">
        <v>600</v>
      </c>
      <c r="N1358" s="27" t="s">
        <v>685</v>
      </c>
      <c r="O1358" s="18">
        <f>G1358*L1358</f>
        <v>7206830400</v>
      </c>
      <c r="P1358" s="244"/>
      <c r="Q1358" s="244"/>
      <c r="R1358" s="27"/>
      <c r="S1358" s="27"/>
      <c r="T1358" s="18"/>
      <c r="U1358" s="27"/>
      <c r="V1358" s="27"/>
      <c r="W1358" s="30"/>
      <c r="X1358" s="27"/>
      <c r="Y1358" s="27"/>
      <c r="Z1358" s="27"/>
      <c r="AA1358" s="27"/>
      <c r="AB1358" s="27"/>
      <c r="AC1358" s="273">
        <v>45464400000</v>
      </c>
      <c r="AD1358" s="27">
        <v>145429802541.7467</v>
      </c>
      <c r="AE1358" s="228">
        <v>0.31262092917267836</v>
      </c>
      <c r="AF1358" s="27">
        <v>66586489391.764145</v>
      </c>
      <c r="AG1358" s="226">
        <v>0.68278716020765817</v>
      </c>
      <c r="AH1358" s="226">
        <v>0.97402765033343852</v>
      </c>
      <c r="AI1358" s="27">
        <v>11428020000</v>
      </c>
      <c r="AJ1358" s="226">
        <v>3.9783269542755439</v>
      </c>
      <c r="AK1358" s="27">
        <v>2816888430.2759933</v>
      </c>
      <c r="AL1358" s="226">
        <v>16.13993636075444</v>
      </c>
      <c r="AM1358" s="27" t="s">
        <v>2842</v>
      </c>
      <c r="AN1358" s="271" t="s">
        <v>2842</v>
      </c>
      <c r="AO1358" s="27">
        <v>143314909</v>
      </c>
      <c r="AP1358" s="27" t="s">
        <v>2842</v>
      </c>
      <c r="AQ1358" s="27">
        <v>49.22863414634147</v>
      </c>
      <c r="AR1358" s="27">
        <v>93.9</v>
      </c>
      <c r="AS1358" s="29">
        <v>67.052459999999996</v>
      </c>
      <c r="AT1358" s="270">
        <v>27</v>
      </c>
      <c r="AU1358" s="464">
        <v>42.488892080090132</v>
      </c>
      <c r="AV1358" s="29">
        <v>-0.64450769293384702</v>
      </c>
      <c r="AW1358" s="29">
        <v>-2.0363159686374699</v>
      </c>
      <c r="AX1358" s="29">
        <v>-0.96124421348657696</v>
      </c>
      <c r="AY1358" s="29">
        <v>-0.88703213347618304</v>
      </c>
      <c r="AZ1358" s="60">
        <v>-1.0740831068663601</v>
      </c>
    </row>
    <row r="1359" spans="1:52" s="287" customFormat="1" ht="15" customHeight="1">
      <c r="A1359" s="344" t="s">
        <v>416</v>
      </c>
      <c r="B1359" s="284">
        <v>2006</v>
      </c>
      <c r="C1359" s="383" t="s">
        <v>406</v>
      </c>
      <c r="D1359" s="284" t="s">
        <v>81</v>
      </c>
      <c r="E1359" s="284" t="s">
        <v>98</v>
      </c>
      <c r="F1359" s="284" t="s">
        <v>98</v>
      </c>
      <c r="G1359" s="303">
        <v>873080000</v>
      </c>
      <c r="H1359" s="303"/>
      <c r="I1359" s="303"/>
      <c r="J1359" s="303"/>
      <c r="K1359" s="284" t="s">
        <v>603</v>
      </c>
      <c r="L1359" s="304">
        <v>67.065585900000002</v>
      </c>
      <c r="M1359" s="284" t="s">
        <v>626</v>
      </c>
      <c r="N1359" s="284" t="s">
        <v>1817</v>
      </c>
      <c r="O1359" s="305">
        <f>G1359*L1359</f>
        <v>58553621737.571999</v>
      </c>
      <c r="P1359" s="374"/>
      <c r="Q1359" s="374"/>
      <c r="R1359" s="284"/>
      <c r="S1359" s="284"/>
      <c r="T1359" s="305"/>
      <c r="U1359" s="284"/>
      <c r="V1359" s="284"/>
      <c r="W1359" s="307"/>
      <c r="X1359" s="284"/>
      <c r="Y1359" s="284"/>
      <c r="Z1359" s="284"/>
      <c r="AA1359" s="284"/>
      <c r="AB1359" s="284"/>
      <c r="AC1359" s="308">
        <v>45464400000</v>
      </c>
      <c r="AD1359" s="284">
        <v>145429802541.7467</v>
      </c>
      <c r="AE1359" s="309">
        <v>0.31262092917267836</v>
      </c>
      <c r="AF1359" s="284">
        <v>66586489391.764145</v>
      </c>
      <c r="AG1359" s="310">
        <v>0.68278716020765817</v>
      </c>
      <c r="AH1359" s="310">
        <v>0.97402765033343852</v>
      </c>
      <c r="AI1359" s="284">
        <v>11428020000</v>
      </c>
      <c r="AJ1359" s="310">
        <v>3.9783269542755439</v>
      </c>
      <c r="AK1359" s="284">
        <v>2816888430.2759933</v>
      </c>
      <c r="AL1359" s="310">
        <v>16.13993636075444</v>
      </c>
      <c r="AM1359" s="284" t="s">
        <v>2842</v>
      </c>
      <c r="AN1359" s="311" t="s">
        <v>2842</v>
      </c>
      <c r="AO1359" s="284">
        <v>143314909</v>
      </c>
      <c r="AP1359" s="284" t="s">
        <v>2842</v>
      </c>
      <c r="AQ1359" s="284">
        <v>49.22863414634147</v>
      </c>
      <c r="AR1359" s="284">
        <v>93.9</v>
      </c>
      <c r="AS1359" s="287">
        <v>67.052459999999996</v>
      </c>
      <c r="AT1359" s="312">
        <v>27</v>
      </c>
      <c r="AU1359" s="465">
        <v>42.488892080090132</v>
      </c>
      <c r="AV1359" s="287">
        <v>-0.64450769293384702</v>
      </c>
      <c r="AW1359" s="287">
        <v>-2.0363159686374699</v>
      </c>
      <c r="AX1359" s="287">
        <v>-0.96124421348657696</v>
      </c>
      <c r="AY1359" s="287">
        <v>-0.88703213347618304</v>
      </c>
      <c r="AZ1359" s="313">
        <v>-1.0740831068663601</v>
      </c>
    </row>
    <row r="1360" spans="1:52" s="29" customFormat="1" ht="15" customHeight="1">
      <c r="A1360" s="332" t="s">
        <v>418</v>
      </c>
      <c r="B1360" s="27">
        <v>2007</v>
      </c>
      <c r="C1360" s="146" t="s">
        <v>406</v>
      </c>
      <c r="D1360" s="27" t="s">
        <v>81</v>
      </c>
      <c r="E1360" s="27" t="s">
        <v>50</v>
      </c>
      <c r="F1360" s="27" t="s">
        <v>659</v>
      </c>
      <c r="G1360" s="43"/>
      <c r="H1360" s="43"/>
      <c r="I1360" s="43"/>
      <c r="J1360" s="43"/>
      <c r="K1360" s="27"/>
      <c r="L1360" s="28"/>
      <c r="M1360" s="27"/>
      <c r="N1360" s="27"/>
      <c r="O1360" s="18">
        <f>SUM(O1361:O1362)</f>
        <v>69977294595.772507</v>
      </c>
      <c r="P1360" s="214">
        <v>43678500000</v>
      </c>
      <c r="Q1360" s="214">
        <v>43562165330</v>
      </c>
      <c r="R1360" s="27" t="s">
        <v>3693</v>
      </c>
      <c r="S1360" s="27" t="s">
        <v>871</v>
      </c>
      <c r="T1360" s="18" t="s">
        <v>871</v>
      </c>
      <c r="U1360" s="27" t="s">
        <v>852</v>
      </c>
      <c r="V1360" s="27" t="s">
        <v>1815</v>
      </c>
      <c r="W1360" s="30">
        <v>128.61000000000001</v>
      </c>
      <c r="X1360" s="27" t="s">
        <v>871</v>
      </c>
      <c r="Y1360" s="27" t="s">
        <v>871</v>
      </c>
      <c r="Z1360" s="27" t="s">
        <v>871</v>
      </c>
      <c r="AA1360" s="27" t="s">
        <v>1818</v>
      </c>
      <c r="AB1360" s="27" t="s">
        <v>1819</v>
      </c>
      <c r="AC1360" s="273">
        <v>43678500000</v>
      </c>
      <c r="AD1360" s="27">
        <v>166451202370.17093</v>
      </c>
      <c r="AE1360" s="228">
        <v>0.26241024022682252</v>
      </c>
      <c r="AF1360" s="27">
        <v>54839013132.876511</v>
      </c>
      <c r="AG1360" s="226">
        <v>0.79648588668373255</v>
      </c>
      <c r="AH1360" s="226">
        <v>0.9284923448694703</v>
      </c>
      <c r="AI1360" s="27">
        <v>1956260000</v>
      </c>
      <c r="AJ1360" s="226">
        <v>22.327553597170109</v>
      </c>
      <c r="AK1360" s="27">
        <v>3954556097.7271113</v>
      </c>
      <c r="AL1360" s="226">
        <v>11.045108204459231</v>
      </c>
      <c r="AM1360" s="27" t="s">
        <v>2842</v>
      </c>
      <c r="AN1360" s="271" t="s">
        <v>2842</v>
      </c>
      <c r="AO1360" s="27">
        <v>147187353</v>
      </c>
      <c r="AP1360" s="27" t="s">
        <v>2842</v>
      </c>
      <c r="AQ1360" s="27">
        <v>49.791609756097564</v>
      </c>
      <c r="AR1360" s="27">
        <v>90.8</v>
      </c>
      <c r="AS1360" s="29">
        <v>71.34639</v>
      </c>
      <c r="AT1360" s="270">
        <v>27</v>
      </c>
      <c r="AU1360" s="464">
        <v>42.488892080090132</v>
      </c>
      <c r="AV1360" s="29">
        <v>-0.78893613433542298</v>
      </c>
      <c r="AW1360" s="29">
        <v>-2.0130386016693498</v>
      </c>
      <c r="AX1360" s="29">
        <v>-1.04088430587046</v>
      </c>
      <c r="AY1360" s="29">
        <v>-0.86435011120553995</v>
      </c>
      <c r="AZ1360" s="60">
        <v>-0.98350341139405295</v>
      </c>
    </row>
    <row r="1361" spans="1:52" s="29" customFormat="1" ht="15" customHeight="1">
      <c r="A1361" s="59" t="s">
        <v>418</v>
      </c>
      <c r="B1361" s="27">
        <v>2007</v>
      </c>
      <c r="C1361" s="146" t="s">
        <v>406</v>
      </c>
      <c r="D1361" s="27" t="s">
        <v>81</v>
      </c>
      <c r="E1361" s="27" t="s">
        <v>552</v>
      </c>
      <c r="F1361" s="27" t="s">
        <v>552</v>
      </c>
      <c r="G1361" s="43">
        <v>36900000000</v>
      </c>
      <c r="H1361" s="43"/>
      <c r="I1361" s="43"/>
      <c r="J1361" s="43"/>
      <c r="K1361" s="27" t="s">
        <v>599</v>
      </c>
      <c r="L1361" s="28">
        <v>0.22764700000000004</v>
      </c>
      <c r="M1361" s="27" t="s">
        <v>600</v>
      </c>
      <c r="N1361" s="27" t="s">
        <v>685</v>
      </c>
      <c r="O1361" s="18">
        <f>G1361*L1361</f>
        <v>8400174300.0000019</v>
      </c>
      <c r="P1361" s="244"/>
      <c r="Q1361" s="244"/>
      <c r="R1361" s="27"/>
      <c r="S1361" s="27"/>
      <c r="T1361" s="18"/>
      <c r="U1361" s="27"/>
      <c r="V1361" s="27"/>
      <c r="W1361" s="30"/>
      <c r="X1361" s="27"/>
      <c r="Y1361" s="27"/>
      <c r="Z1361" s="27"/>
      <c r="AA1361" s="27"/>
      <c r="AB1361" s="27"/>
      <c r="AC1361" s="273">
        <v>43678500000</v>
      </c>
      <c r="AD1361" s="27">
        <v>166451202370.17093</v>
      </c>
      <c r="AE1361" s="228">
        <v>0.26241024022682252</v>
      </c>
      <c r="AF1361" s="27">
        <v>54839013132.876511</v>
      </c>
      <c r="AG1361" s="226">
        <v>0.79648588668373255</v>
      </c>
      <c r="AH1361" s="226">
        <v>0.9284923448694703</v>
      </c>
      <c r="AI1361" s="27">
        <v>1956260000</v>
      </c>
      <c r="AJ1361" s="226">
        <v>22.327553597170109</v>
      </c>
      <c r="AK1361" s="27">
        <v>3954556097.7271113</v>
      </c>
      <c r="AL1361" s="226">
        <v>11.045108204459231</v>
      </c>
      <c r="AM1361" s="27" t="s">
        <v>2842</v>
      </c>
      <c r="AN1361" s="271" t="s">
        <v>2842</v>
      </c>
      <c r="AO1361" s="27">
        <v>147187353</v>
      </c>
      <c r="AP1361" s="27" t="s">
        <v>2842</v>
      </c>
      <c r="AQ1361" s="27">
        <v>49.791609756097564</v>
      </c>
      <c r="AR1361" s="27">
        <v>90.8</v>
      </c>
      <c r="AS1361" s="29">
        <v>71.34639</v>
      </c>
      <c r="AT1361" s="270">
        <v>27</v>
      </c>
      <c r="AU1361" s="464">
        <v>42.488892080090132</v>
      </c>
      <c r="AV1361" s="29">
        <v>-0.78893613433542298</v>
      </c>
      <c r="AW1361" s="29">
        <v>-2.0130386016693498</v>
      </c>
      <c r="AX1361" s="29">
        <v>-1.04088430587046</v>
      </c>
      <c r="AY1361" s="29">
        <v>-0.86435011120553995</v>
      </c>
      <c r="AZ1361" s="60">
        <v>-0.98350341139405295</v>
      </c>
    </row>
    <row r="1362" spans="1:52" s="287" customFormat="1" ht="15" customHeight="1">
      <c r="A1362" s="344" t="s">
        <v>418</v>
      </c>
      <c r="B1362" s="284">
        <v>2007</v>
      </c>
      <c r="C1362" s="383" t="s">
        <v>406</v>
      </c>
      <c r="D1362" s="284" t="s">
        <v>81</v>
      </c>
      <c r="E1362" s="284" t="s">
        <v>98</v>
      </c>
      <c r="F1362" s="284" t="s">
        <v>98</v>
      </c>
      <c r="G1362" s="303">
        <v>826725000</v>
      </c>
      <c r="H1362" s="303"/>
      <c r="I1362" s="303"/>
      <c r="J1362" s="303"/>
      <c r="K1362" s="284" t="s">
        <v>603</v>
      </c>
      <c r="L1362" s="304">
        <v>74.483196100000001</v>
      </c>
      <c r="M1362" s="284" t="s">
        <v>626</v>
      </c>
      <c r="N1362" s="284" t="s">
        <v>1817</v>
      </c>
      <c r="O1362" s="305">
        <f>G1362*L1362</f>
        <v>61577120295.772499</v>
      </c>
      <c r="P1362" s="374"/>
      <c r="Q1362" s="374"/>
      <c r="R1362" s="284"/>
      <c r="S1362" s="284"/>
      <c r="T1362" s="305"/>
      <c r="U1362" s="284"/>
      <c r="V1362" s="284"/>
      <c r="W1362" s="307"/>
      <c r="X1362" s="284"/>
      <c r="Y1362" s="284"/>
      <c r="Z1362" s="284"/>
      <c r="AA1362" s="284"/>
      <c r="AB1362" s="284"/>
      <c r="AC1362" s="308">
        <v>43678500000</v>
      </c>
      <c r="AD1362" s="284">
        <v>166451202370.17093</v>
      </c>
      <c r="AE1362" s="309">
        <v>0.26241024022682252</v>
      </c>
      <c r="AF1362" s="284">
        <v>54839013132.876511</v>
      </c>
      <c r="AG1362" s="310">
        <v>0.79648588668373255</v>
      </c>
      <c r="AH1362" s="310">
        <v>0.9284923448694703</v>
      </c>
      <c r="AI1362" s="284">
        <v>1956260000</v>
      </c>
      <c r="AJ1362" s="310">
        <v>22.327553597170109</v>
      </c>
      <c r="AK1362" s="284">
        <v>3954556097.7271113</v>
      </c>
      <c r="AL1362" s="310">
        <v>11.045108204459231</v>
      </c>
      <c r="AM1362" s="284" t="s">
        <v>2842</v>
      </c>
      <c r="AN1362" s="311" t="s">
        <v>2842</v>
      </c>
      <c r="AO1362" s="284">
        <v>147187353</v>
      </c>
      <c r="AP1362" s="284" t="s">
        <v>2842</v>
      </c>
      <c r="AQ1362" s="284">
        <v>49.791609756097564</v>
      </c>
      <c r="AR1362" s="284">
        <v>90.8</v>
      </c>
      <c r="AS1362" s="287">
        <v>71.34639</v>
      </c>
      <c r="AT1362" s="312">
        <v>27</v>
      </c>
      <c r="AU1362" s="465">
        <v>42.488892080090132</v>
      </c>
      <c r="AV1362" s="287">
        <v>-0.78893613433542298</v>
      </c>
      <c r="AW1362" s="287">
        <v>-2.0130386016693498</v>
      </c>
      <c r="AX1362" s="287">
        <v>-1.04088430587046</v>
      </c>
      <c r="AY1362" s="287">
        <v>-0.86435011120553995</v>
      </c>
      <c r="AZ1362" s="313">
        <v>-0.98350341139405295</v>
      </c>
    </row>
    <row r="1363" spans="1:52" ht="15" customHeight="1">
      <c r="A1363" s="332" t="s">
        <v>419</v>
      </c>
      <c r="B1363" s="27">
        <v>2008</v>
      </c>
      <c r="C1363" s="146" t="s">
        <v>406</v>
      </c>
      <c r="D1363" s="27" t="s">
        <v>81</v>
      </c>
      <c r="E1363" s="27" t="s">
        <v>50</v>
      </c>
      <c r="F1363" s="27" t="s">
        <v>659</v>
      </c>
      <c r="G1363" s="43"/>
      <c r="H1363" s="43"/>
      <c r="I1363" s="43"/>
      <c r="J1363" s="43"/>
      <c r="K1363" s="27"/>
      <c r="L1363" s="28"/>
      <c r="M1363" s="27"/>
      <c r="N1363" s="27"/>
      <c r="O1363" s="18">
        <f>SUM(O1364:O1365)</f>
        <v>90130506589.375</v>
      </c>
      <c r="P1363" s="214">
        <v>59398200000</v>
      </c>
      <c r="Q1363" s="214">
        <v>59266324980</v>
      </c>
      <c r="R1363" s="27" t="s">
        <v>3693</v>
      </c>
      <c r="S1363" s="27" t="s">
        <v>871</v>
      </c>
      <c r="T1363" s="18" t="s">
        <v>871</v>
      </c>
      <c r="U1363" s="27" t="s">
        <v>852</v>
      </c>
      <c r="V1363" s="27" t="s">
        <v>1815</v>
      </c>
      <c r="W1363" s="30">
        <v>120.19</v>
      </c>
      <c r="X1363" s="27" t="s">
        <v>871</v>
      </c>
      <c r="Y1363" s="27" t="s">
        <v>871</v>
      </c>
      <c r="Z1363" s="27" t="s">
        <v>871</v>
      </c>
      <c r="AA1363" s="27" t="s">
        <v>1818</v>
      </c>
      <c r="AB1363" s="27" t="s">
        <v>1820</v>
      </c>
      <c r="AC1363" s="273">
        <v>59398200000</v>
      </c>
      <c r="AD1363" s="27">
        <v>208064724514.15082</v>
      </c>
      <c r="AE1363" s="228">
        <v>0.285479435010908</v>
      </c>
      <c r="AF1363" s="27">
        <v>66512050485.438591</v>
      </c>
      <c r="AG1363" s="226">
        <v>0.89304418622613324</v>
      </c>
      <c r="AH1363" s="226">
        <v>0.90275270196506741</v>
      </c>
      <c r="AI1363" s="27">
        <v>1290160000</v>
      </c>
      <c r="AJ1363" s="226">
        <v>46.039405965151609</v>
      </c>
      <c r="AK1363" s="27">
        <v>4941064044.1126184</v>
      </c>
      <c r="AL1363" s="226">
        <v>12.021337806939419</v>
      </c>
      <c r="AM1363" s="27" t="s">
        <v>2842</v>
      </c>
      <c r="AN1363" s="271" t="s">
        <v>2842</v>
      </c>
      <c r="AO1363" s="27">
        <v>151208080</v>
      </c>
      <c r="AP1363" s="27" t="s">
        <v>2842</v>
      </c>
      <c r="AQ1363" s="27">
        <v>50.329390243902445</v>
      </c>
      <c r="AR1363" s="27">
        <v>87.7</v>
      </c>
      <c r="AS1363" s="29">
        <v>63.119669999999999</v>
      </c>
      <c r="AT1363" s="270">
        <v>27</v>
      </c>
      <c r="AU1363" s="464">
        <v>42.488892080090132</v>
      </c>
      <c r="AV1363" s="29">
        <v>-0.76019870179617599</v>
      </c>
      <c r="AW1363" s="29">
        <v>-1.8616477147217501</v>
      </c>
      <c r="AX1363" s="29">
        <v>-0.967231283560683</v>
      </c>
      <c r="AY1363" s="29">
        <v>-0.78015035957421297</v>
      </c>
      <c r="AZ1363" s="60">
        <v>-0.81105438590161105</v>
      </c>
    </row>
    <row r="1364" spans="1:52" ht="15" customHeight="1">
      <c r="A1364" s="59" t="s">
        <v>419</v>
      </c>
      <c r="B1364" s="27">
        <v>2008</v>
      </c>
      <c r="C1364" s="146" t="s">
        <v>406</v>
      </c>
      <c r="D1364" s="27" t="s">
        <v>81</v>
      </c>
      <c r="E1364" s="27" t="s">
        <v>552</v>
      </c>
      <c r="F1364" s="27" t="s">
        <v>552</v>
      </c>
      <c r="G1364" s="43">
        <v>36200000000</v>
      </c>
      <c r="H1364" s="43"/>
      <c r="I1364" s="43"/>
      <c r="J1364" s="43"/>
      <c r="K1364" s="27" t="s">
        <v>599</v>
      </c>
      <c r="L1364" s="28">
        <v>0.32879700000000006</v>
      </c>
      <c r="M1364" s="27" t="s">
        <v>600</v>
      </c>
      <c r="N1364" s="27" t="s">
        <v>685</v>
      </c>
      <c r="O1364" s="18">
        <f>G1364*L1364</f>
        <v>11902451400.000002</v>
      </c>
      <c r="P1364" s="244"/>
      <c r="Q1364" s="244"/>
      <c r="R1364" s="27"/>
      <c r="S1364" s="27"/>
      <c r="T1364" s="18"/>
      <c r="U1364" s="27"/>
      <c r="V1364" s="27"/>
      <c r="W1364" s="30"/>
      <c r="X1364" s="27"/>
      <c r="Y1364" s="27"/>
      <c r="Z1364" s="27"/>
      <c r="AA1364" s="27"/>
      <c r="AB1364" s="27"/>
      <c r="AC1364" s="273">
        <v>59398200000</v>
      </c>
      <c r="AD1364" s="27">
        <v>208064724514.15082</v>
      </c>
      <c r="AE1364" s="228">
        <v>0.285479435010908</v>
      </c>
      <c r="AF1364" s="27">
        <v>66512050485.438591</v>
      </c>
      <c r="AG1364" s="226">
        <v>0.89304418622613324</v>
      </c>
      <c r="AH1364" s="226">
        <v>0.90275270196506741</v>
      </c>
      <c r="AI1364" s="27">
        <v>1290160000</v>
      </c>
      <c r="AJ1364" s="226">
        <v>46.039405965151609</v>
      </c>
      <c r="AK1364" s="27">
        <v>4941064044.1126184</v>
      </c>
      <c r="AL1364" s="226">
        <v>12.021337806939419</v>
      </c>
      <c r="AM1364" s="27" t="s">
        <v>2842</v>
      </c>
      <c r="AN1364" s="271" t="s">
        <v>2842</v>
      </c>
      <c r="AO1364" s="27">
        <v>151208080</v>
      </c>
      <c r="AP1364" s="27" t="s">
        <v>2842</v>
      </c>
      <c r="AQ1364" s="27">
        <v>50.329390243902445</v>
      </c>
      <c r="AR1364" s="27">
        <v>87.7</v>
      </c>
      <c r="AS1364" s="29">
        <v>63.119669999999999</v>
      </c>
      <c r="AT1364" s="270">
        <v>27</v>
      </c>
      <c r="AU1364" s="464">
        <v>42.488892080090132</v>
      </c>
      <c r="AV1364" s="29">
        <v>-0.76019870179617599</v>
      </c>
      <c r="AW1364" s="29">
        <v>-1.8616477147217501</v>
      </c>
      <c r="AX1364" s="29">
        <v>-0.967231283560683</v>
      </c>
      <c r="AY1364" s="29">
        <v>-0.78015035957421297</v>
      </c>
      <c r="AZ1364" s="60">
        <v>-0.81105438590161105</v>
      </c>
    </row>
    <row r="1365" spans="1:52" s="287" customFormat="1" ht="15" customHeight="1">
      <c r="A1365" s="344" t="s">
        <v>419</v>
      </c>
      <c r="B1365" s="284">
        <v>2008</v>
      </c>
      <c r="C1365" s="383" t="s">
        <v>406</v>
      </c>
      <c r="D1365" s="284" t="s">
        <v>81</v>
      </c>
      <c r="E1365" s="284" t="s">
        <v>98</v>
      </c>
      <c r="F1365" s="284" t="s">
        <v>98</v>
      </c>
      <c r="G1365" s="303">
        <v>771245000</v>
      </c>
      <c r="H1365" s="303"/>
      <c r="I1365" s="303"/>
      <c r="J1365" s="303"/>
      <c r="K1365" s="284" t="s">
        <v>603</v>
      </c>
      <c r="L1365" s="304">
        <v>101.430875</v>
      </c>
      <c r="M1365" s="284" t="s">
        <v>626</v>
      </c>
      <c r="N1365" s="284" t="s">
        <v>1817</v>
      </c>
      <c r="O1365" s="305">
        <f>G1365*L1365</f>
        <v>78228055189.375</v>
      </c>
      <c r="P1365" s="374"/>
      <c r="Q1365" s="374"/>
      <c r="R1365" s="284"/>
      <c r="S1365" s="284"/>
      <c r="T1365" s="305"/>
      <c r="U1365" s="284"/>
      <c r="V1365" s="284"/>
      <c r="W1365" s="307"/>
      <c r="X1365" s="284"/>
      <c r="Y1365" s="284"/>
      <c r="Z1365" s="284"/>
      <c r="AA1365" s="284"/>
      <c r="AB1365" s="284"/>
      <c r="AC1365" s="308">
        <v>59398200000</v>
      </c>
      <c r="AD1365" s="284">
        <v>208064724514.15082</v>
      </c>
      <c r="AE1365" s="309">
        <v>0.285479435010908</v>
      </c>
      <c r="AF1365" s="284">
        <v>66512050485.438591</v>
      </c>
      <c r="AG1365" s="310">
        <v>0.89304418622613324</v>
      </c>
      <c r="AH1365" s="310">
        <v>0.90275270196506741</v>
      </c>
      <c r="AI1365" s="284">
        <v>1290160000</v>
      </c>
      <c r="AJ1365" s="310">
        <v>46.039405965151609</v>
      </c>
      <c r="AK1365" s="284">
        <v>4941064044.1126184</v>
      </c>
      <c r="AL1365" s="310">
        <v>12.021337806939419</v>
      </c>
      <c r="AM1365" s="284" t="s">
        <v>2842</v>
      </c>
      <c r="AN1365" s="311" t="s">
        <v>2842</v>
      </c>
      <c r="AO1365" s="284">
        <v>151208080</v>
      </c>
      <c r="AP1365" s="284" t="s">
        <v>2842</v>
      </c>
      <c r="AQ1365" s="284">
        <v>50.329390243902445</v>
      </c>
      <c r="AR1365" s="284">
        <v>87.7</v>
      </c>
      <c r="AS1365" s="287">
        <v>63.119669999999999</v>
      </c>
      <c r="AT1365" s="312">
        <v>27</v>
      </c>
      <c r="AU1365" s="465">
        <v>42.488892080090132</v>
      </c>
      <c r="AV1365" s="287">
        <v>-0.76019870179617599</v>
      </c>
      <c r="AW1365" s="287">
        <v>-1.8616477147217501</v>
      </c>
      <c r="AX1365" s="287">
        <v>-0.967231283560683</v>
      </c>
      <c r="AY1365" s="287">
        <v>-0.78015035957421297</v>
      </c>
      <c r="AZ1365" s="313">
        <v>-0.81105438590161105</v>
      </c>
    </row>
    <row r="1366" spans="1:52" s="29" customFormat="1" ht="15" customHeight="1">
      <c r="A1366" s="347" t="s">
        <v>420</v>
      </c>
      <c r="B1366" s="53">
        <v>2009</v>
      </c>
      <c r="C1366" s="146" t="s">
        <v>406</v>
      </c>
      <c r="D1366" s="69" t="s">
        <v>81</v>
      </c>
      <c r="E1366" s="27" t="s">
        <v>50</v>
      </c>
      <c r="F1366" s="27" t="s">
        <v>659</v>
      </c>
      <c r="G1366" s="43"/>
      <c r="H1366" s="43"/>
      <c r="I1366" s="43"/>
      <c r="J1366" s="43"/>
      <c r="K1366" s="27"/>
      <c r="L1366" s="28"/>
      <c r="M1366" s="27"/>
      <c r="N1366" s="27"/>
      <c r="O1366" s="18">
        <f>SUM(O1367:O1368)</f>
        <v>54591873000</v>
      </c>
      <c r="P1366" s="214">
        <v>30129486000</v>
      </c>
      <c r="Q1366" s="214">
        <v>30087646000</v>
      </c>
      <c r="R1366" s="27" t="s">
        <v>3693</v>
      </c>
      <c r="S1366" s="18" t="s">
        <v>1821</v>
      </c>
      <c r="T1366" s="18">
        <v>19436964000</v>
      </c>
      <c r="U1366" s="27" t="s">
        <v>689</v>
      </c>
      <c r="V1366" s="27" t="s">
        <v>1815</v>
      </c>
      <c r="W1366" s="30">
        <v>150.96</v>
      </c>
      <c r="X1366" s="27" t="s">
        <v>871</v>
      </c>
      <c r="Y1366" s="27" t="s">
        <v>871</v>
      </c>
      <c r="Z1366" s="27" t="s">
        <v>871</v>
      </c>
      <c r="AA1366" s="27" t="s">
        <v>1823</v>
      </c>
      <c r="AB1366" s="27" t="s">
        <v>1824</v>
      </c>
      <c r="AC1366" s="273">
        <v>30129486000</v>
      </c>
      <c r="AD1366" s="27">
        <v>169481270114.98428</v>
      </c>
      <c r="AE1366" s="228">
        <v>0.17777472389461502</v>
      </c>
      <c r="AF1366" s="27">
        <v>59921797861.853844</v>
      </c>
      <c r="AG1366" s="226">
        <v>0.50281345144986711</v>
      </c>
      <c r="AH1366" s="226">
        <v>0.88010675268957606</v>
      </c>
      <c r="AI1366" s="27">
        <v>1657070000</v>
      </c>
      <c r="AJ1366" s="226">
        <v>18.182385777305726</v>
      </c>
      <c r="AK1366" s="27">
        <v>3628876757.4484634</v>
      </c>
      <c r="AL1366" s="226">
        <v>8.3027030163417983</v>
      </c>
      <c r="AM1366" s="27" t="s">
        <v>2842</v>
      </c>
      <c r="AN1366" s="271" t="s">
        <v>2842</v>
      </c>
      <c r="AO1366" s="27">
        <v>155381020</v>
      </c>
      <c r="AP1366" s="27" t="s">
        <v>2842</v>
      </c>
      <c r="AQ1366" s="27">
        <v>50.830487804878054</v>
      </c>
      <c r="AR1366" s="27">
        <v>84.7</v>
      </c>
      <c r="AS1366" s="29">
        <v>64.076099999999997</v>
      </c>
      <c r="AT1366" s="270">
        <v>27</v>
      </c>
      <c r="AU1366" s="464">
        <v>42.488892080090132</v>
      </c>
      <c r="AV1366" s="29">
        <v>-0.87191090940425098</v>
      </c>
      <c r="AW1366" s="29">
        <v>-1.9524677495139999</v>
      </c>
      <c r="AX1366" s="29">
        <v>-1.20063179764928</v>
      </c>
      <c r="AY1366" s="29">
        <v>-0.72845954903365895</v>
      </c>
      <c r="AZ1366" s="60">
        <v>-0.97646890734238401</v>
      </c>
    </row>
    <row r="1367" spans="1:52" s="29" customFormat="1" ht="15" customHeight="1">
      <c r="A1367" s="63" t="s">
        <v>420</v>
      </c>
      <c r="B1367" s="53">
        <v>2009</v>
      </c>
      <c r="C1367" s="146" t="s">
        <v>406</v>
      </c>
      <c r="D1367" s="69" t="s">
        <v>81</v>
      </c>
      <c r="E1367" s="27" t="s">
        <v>552</v>
      </c>
      <c r="F1367" s="27" t="s">
        <v>552</v>
      </c>
      <c r="G1367" s="43">
        <v>26000000000</v>
      </c>
      <c r="H1367" s="43"/>
      <c r="I1367" s="43"/>
      <c r="J1367" s="43"/>
      <c r="K1367" s="27" t="s">
        <v>599</v>
      </c>
      <c r="L1367" s="28">
        <v>0.14422800000000002</v>
      </c>
      <c r="M1367" s="27" t="s">
        <v>600</v>
      </c>
      <c r="N1367" s="27" t="s">
        <v>685</v>
      </c>
      <c r="O1367" s="18">
        <f>G1367*L1367</f>
        <v>3749928000.0000005</v>
      </c>
      <c r="P1367" s="244"/>
      <c r="Q1367" s="244"/>
      <c r="R1367" s="27"/>
      <c r="S1367" s="27"/>
      <c r="T1367" s="18"/>
      <c r="U1367" s="27"/>
      <c r="V1367" s="27"/>
      <c r="W1367" s="30"/>
      <c r="X1367" s="27"/>
      <c r="Y1367" s="27"/>
      <c r="Z1367" s="27"/>
      <c r="AA1367" s="27"/>
      <c r="AB1367" s="27"/>
      <c r="AC1367" s="273">
        <v>30129486000</v>
      </c>
      <c r="AD1367" s="27">
        <v>169481270114.98428</v>
      </c>
      <c r="AE1367" s="228">
        <v>0.17777472389461502</v>
      </c>
      <c r="AF1367" s="27">
        <v>59921797861.853844</v>
      </c>
      <c r="AG1367" s="226">
        <v>0.50281345144986711</v>
      </c>
      <c r="AH1367" s="226">
        <v>0.88010675268957606</v>
      </c>
      <c r="AI1367" s="27">
        <v>1657070000</v>
      </c>
      <c r="AJ1367" s="226">
        <v>18.182385777305726</v>
      </c>
      <c r="AK1367" s="27">
        <v>3628876757.4484634</v>
      </c>
      <c r="AL1367" s="226">
        <v>8.3027030163417983</v>
      </c>
      <c r="AM1367" s="27" t="s">
        <v>2842</v>
      </c>
      <c r="AN1367" s="271" t="s">
        <v>2842</v>
      </c>
      <c r="AO1367" s="27">
        <v>155381020</v>
      </c>
      <c r="AP1367" s="27" t="s">
        <v>2842</v>
      </c>
      <c r="AQ1367" s="27">
        <v>50.830487804878054</v>
      </c>
      <c r="AR1367" s="27">
        <v>84.7</v>
      </c>
      <c r="AS1367" s="29">
        <v>64.076099999999997</v>
      </c>
      <c r="AT1367" s="270">
        <v>27</v>
      </c>
      <c r="AU1367" s="464">
        <v>42.488892080090132</v>
      </c>
      <c r="AV1367" s="29">
        <v>-0.87191090940425098</v>
      </c>
      <c r="AW1367" s="29">
        <v>-1.9524677495139999</v>
      </c>
      <c r="AX1367" s="29">
        <v>-1.20063179764928</v>
      </c>
      <c r="AY1367" s="29">
        <v>-0.72845954903365895</v>
      </c>
      <c r="AZ1367" s="60">
        <v>-0.97646890734238401</v>
      </c>
    </row>
    <row r="1368" spans="1:52" s="287" customFormat="1" ht="15" customHeight="1">
      <c r="A1368" s="359" t="s">
        <v>420</v>
      </c>
      <c r="B1368" s="302">
        <v>2009</v>
      </c>
      <c r="C1368" s="383" t="s">
        <v>406</v>
      </c>
      <c r="D1368" s="369" t="s">
        <v>81</v>
      </c>
      <c r="E1368" s="284" t="s">
        <v>98</v>
      </c>
      <c r="F1368" s="284" t="s">
        <v>98</v>
      </c>
      <c r="G1368" s="303">
        <v>807015000</v>
      </c>
      <c r="H1368" s="303"/>
      <c r="I1368" s="303"/>
      <c r="J1368" s="303"/>
      <c r="K1368" s="284" t="s">
        <v>603</v>
      </c>
      <c r="L1368" s="304">
        <v>63</v>
      </c>
      <c r="M1368" s="284" t="s">
        <v>626</v>
      </c>
      <c r="N1368" s="284" t="s">
        <v>1825</v>
      </c>
      <c r="O1368" s="305">
        <f>G1368*L1368</f>
        <v>50841945000</v>
      </c>
      <c r="P1368" s="374"/>
      <c r="Q1368" s="374"/>
      <c r="R1368" s="284"/>
      <c r="S1368" s="284"/>
      <c r="T1368" s="305"/>
      <c r="U1368" s="284"/>
      <c r="V1368" s="284"/>
      <c r="W1368" s="307"/>
      <c r="X1368" s="284"/>
      <c r="Y1368" s="284"/>
      <c r="Z1368" s="284"/>
      <c r="AA1368" s="284">
        <v>5</v>
      </c>
      <c r="AB1368" s="284"/>
      <c r="AC1368" s="308">
        <v>30129486000</v>
      </c>
      <c r="AD1368" s="284">
        <v>169481270114.98428</v>
      </c>
      <c r="AE1368" s="309">
        <v>0.17777472389461502</v>
      </c>
      <c r="AF1368" s="284">
        <v>59921797861.853844</v>
      </c>
      <c r="AG1368" s="310">
        <v>0.50281345144986711</v>
      </c>
      <c r="AH1368" s="310">
        <v>0.88010675268957606</v>
      </c>
      <c r="AI1368" s="284">
        <v>1657070000</v>
      </c>
      <c r="AJ1368" s="310">
        <v>18.182385777305726</v>
      </c>
      <c r="AK1368" s="284">
        <v>3628876757.4484634</v>
      </c>
      <c r="AL1368" s="310">
        <v>8.3027030163417983</v>
      </c>
      <c r="AM1368" s="284" t="s">
        <v>2842</v>
      </c>
      <c r="AN1368" s="311" t="s">
        <v>2842</v>
      </c>
      <c r="AO1368" s="284">
        <v>155381020</v>
      </c>
      <c r="AP1368" s="284" t="s">
        <v>2842</v>
      </c>
      <c r="AQ1368" s="284">
        <v>50.830487804878054</v>
      </c>
      <c r="AR1368" s="284">
        <v>84.7</v>
      </c>
      <c r="AS1368" s="287">
        <v>64.076099999999997</v>
      </c>
      <c r="AT1368" s="312">
        <v>27</v>
      </c>
      <c r="AU1368" s="465">
        <v>42.488892080090132</v>
      </c>
      <c r="AV1368" s="287">
        <v>-0.87191090940425098</v>
      </c>
      <c r="AW1368" s="287">
        <v>-1.9524677495139999</v>
      </c>
      <c r="AX1368" s="287">
        <v>-1.20063179764928</v>
      </c>
      <c r="AY1368" s="287">
        <v>-0.72845954903365895</v>
      </c>
      <c r="AZ1368" s="313">
        <v>-0.97646890734238401</v>
      </c>
    </row>
    <row r="1369" spans="1:52" ht="15" customHeight="1">
      <c r="A1369" s="347" t="s">
        <v>422</v>
      </c>
      <c r="B1369" s="53">
        <v>2010</v>
      </c>
      <c r="C1369" s="146" t="s">
        <v>406</v>
      </c>
      <c r="D1369" s="69" t="s">
        <v>81</v>
      </c>
      <c r="E1369" s="27" t="s">
        <v>50</v>
      </c>
      <c r="F1369" s="27" t="s">
        <v>659</v>
      </c>
      <c r="G1369" s="43"/>
      <c r="H1369" s="43"/>
      <c r="I1369" s="43"/>
      <c r="J1369" s="43"/>
      <c r="K1369" s="27"/>
      <c r="L1369" s="28"/>
      <c r="M1369" s="27"/>
      <c r="N1369" s="27"/>
      <c r="O1369" s="18">
        <f>SUM(O1370:O1371)</f>
        <v>80165818466.740265</v>
      </c>
      <c r="P1369" s="214">
        <v>44944995000</v>
      </c>
      <c r="Q1369" s="214">
        <v>44965362000</v>
      </c>
      <c r="R1369" s="27" t="s">
        <v>3693</v>
      </c>
      <c r="S1369" s="18" t="s">
        <v>1826</v>
      </c>
      <c r="T1369" s="18">
        <v>30922007000</v>
      </c>
      <c r="U1369" s="27" t="s">
        <v>689</v>
      </c>
      <c r="V1369" s="27" t="s">
        <v>1815</v>
      </c>
      <c r="W1369" s="30">
        <v>152.80000000000001</v>
      </c>
      <c r="X1369" s="27" t="s">
        <v>871</v>
      </c>
      <c r="Y1369" s="27" t="s">
        <v>871</v>
      </c>
      <c r="Z1369" s="27" t="s">
        <v>871</v>
      </c>
      <c r="AA1369" s="27" t="s">
        <v>1823</v>
      </c>
      <c r="AB1369" s="27" t="s">
        <v>1824</v>
      </c>
      <c r="AC1369" s="273">
        <v>44944995000</v>
      </c>
      <c r="AD1369" s="27">
        <v>369062403181.9447</v>
      </c>
      <c r="AE1369" s="228">
        <v>0.12178155946663169</v>
      </c>
      <c r="AF1369" s="27">
        <v>133962271106.9823</v>
      </c>
      <c r="AG1369" s="226">
        <v>0.33550487483230945</v>
      </c>
      <c r="AH1369" s="226">
        <v>0.91508551658183135</v>
      </c>
      <c r="AI1369" s="27">
        <v>2061960000</v>
      </c>
      <c r="AJ1369" s="226">
        <v>21.797219635686435</v>
      </c>
      <c r="AK1369" s="27">
        <v>5412712703.8105946</v>
      </c>
      <c r="AL1369" s="226">
        <v>8.3035988531884115</v>
      </c>
      <c r="AM1369" s="27" t="s">
        <v>2842</v>
      </c>
      <c r="AN1369" s="271" t="s">
        <v>2842</v>
      </c>
      <c r="AO1369" s="27">
        <v>159707780</v>
      </c>
      <c r="AP1369" s="27">
        <v>46</v>
      </c>
      <c r="AQ1369" s="27">
        <v>51.289414634146354</v>
      </c>
      <c r="AR1369" s="27">
        <v>81.900000000000006</v>
      </c>
      <c r="AS1369" s="29">
        <v>65.740309999999994</v>
      </c>
      <c r="AT1369" s="270">
        <v>27</v>
      </c>
      <c r="AU1369" s="464">
        <v>42.488892080090132</v>
      </c>
      <c r="AV1369" s="29">
        <v>-0.80221772774641098</v>
      </c>
      <c r="AW1369" s="29">
        <v>-2.1936058653616999</v>
      </c>
      <c r="AX1369" s="29">
        <v>-1.1511203008915001</v>
      </c>
      <c r="AY1369" s="29">
        <v>-0.71374610128231797</v>
      </c>
      <c r="AZ1369" s="60">
        <v>-0.99732661038004999</v>
      </c>
    </row>
    <row r="1370" spans="1:52" ht="15" customHeight="1">
      <c r="A1370" s="63" t="s">
        <v>422</v>
      </c>
      <c r="B1370" s="53">
        <v>2010</v>
      </c>
      <c r="C1370" s="146" t="s">
        <v>406</v>
      </c>
      <c r="D1370" s="69" t="s">
        <v>81</v>
      </c>
      <c r="E1370" s="27" t="s">
        <v>552</v>
      </c>
      <c r="F1370" s="27" t="s">
        <v>552</v>
      </c>
      <c r="G1370" s="43">
        <v>37300000000</v>
      </c>
      <c r="H1370" s="43"/>
      <c r="I1370" s="43"/>
      <c r="J1370" s="43"/>
      <c r="K1370" s="27" t="s">
        <v>599</v>
      </c>
      <c r="L1370" s="28">
        <v>0.1741077336927683</v>
      </c>
      <c r="M1370" s="27" t="s">
        <v>600</v>
      </c>
      <c r="N1370" s="27" t="s">
        <v>685</v>
      </c>
      <c r="O1370" s="18">
        <f>G1370*L1370</f>
        <v>6494218466.7402573</v>
      </c>
      <c r="P1370" s="244"/>
      <c r="Q1370" s="244"/>
      <c r="R1370" s="27"/>
      <c r="S1370" s="27"/>
      <c r="T1370" s="18"/>
      <c r="U1370" s="27"/>
      <c r="V1370" s="27"/>
      <c r="W1370" s="30"/>
      <c r="X1370" s="27"/>
      <c r="Y1370" s="27"/>
      <c r="Z1370" s="27"/>
      <c r="AA1370" s="27"/>
      <c r="AB1370" s="27"/>
      <c r="AC1370" s="273">
        <v>44944995000</v>
      </c>
      <c r="AD1370" s="27">
        <v>369062403181.9447</v>
      </c>
      <c r="AE1370" s="228">
        <v>0.12178155946663169</v>
      </c>
      <c r="AF1370" s="27">
        <v>133962271106.9823</v>
      </c>
      <c r="AG1370" s="226">
        <v>0.33550487483230945</v>
      </c>
      <c r="AH1370" s="226">
        <v>0.91508551658183135</v>
      </c>
      <c r="AI1370" s="27">
        <v>2061960000</v>
      </c>
      <c r="AJ1370" s="226">
        <v>21.797219635686435</v>
      </c>
      <c r="AK1370" s="27">
        <v>5412712703.8105946</v>
      </c>
      <c r="AL1370" s="226">
        <v>8.3035988531884115</v>
      </c>
      <c r="AM1370" s="27" t="s">
        <v>2842</v>
      </c>
      <c r="AN1370" s="271" t="s">
        <v>2842</v>
      </c>
      <c r="AO1370" s="27">
        <v>159707780</v>
      </c>
      <c r="AP1370" s="27">
        <v>46</v>
      </c>
      <c r="AQ1370" s="27">
        <v>51.289414634146354</v>
      </c>
      <c r="AR1370" s="27">
        <v>81.900000000000006</v>
      </c>
      <c r="AS1370" s="29">
        <v>65.740309999999994</v>
      </c>
      <c r="AT1370" s="270">
        <v>27</v>
      </c>
      <c r="AU1370" s="464">
        <v>42.488892080090132</v>
      </c>
      <c r="AV1370" s="29">
        <v>-0.80221772774641098</v>
      </c>
      <c r="AW1370" s="29">
        <v>-2.1936058653616999</v>
      </c>
      <c r="AX1370" s="29">
        <v>-1.1511203008915001</v>
      </c>
      <c r="AY1370" s="29">
        <v>-0.71374610128231797</v>
      </c>
      <c r="AZ1370" s="60">
        <v>-0.99732661038004999</v>
      </c>
    </row>
    <row r="1371" spans="1:52" s="287" customFormat="1" ht="15" customHeight="1">
      <c r="A1371" s="359" t="s">
        <v>422</v>
      </c>
      <c r="B1371" s="302">
        <v>2010</v>
      </c>
      <c r="C1371" s="383" t="s">
        <v>406</v>
      </c>
      <c r="D1371" s="369" t="s">
        <v>81</v>
      </c>
      <c r="E1371" s="284" t="s">
        <v>98</v>
      </c>
      <c r="F1371" s="284" t="s">
        <v>98</v>
      </c>
      <c r="G1371" s="303">
        <v>920895000</v>
      </c>
      <c r="H1371" s="303"/>
      <c r="I1371" s="303"/>
      <c r="J1371" s="303"/>
      <c r="K1371" s="284" t="s">
        <v>603</v>
      </c>
      <c r="L1371" s="304">
        <v>80</v>
      </c>
      <c r="M1371" s="284" t="s">
        <v>626</v>
      </c>
      <c r="N1371" s="284" t="s">
        <v>1825</v>
      </c>
      <c r="O1371" s="305">
        <f>G1371*L1371</f>
        <v>73671600000</v>
      </c>
      <c r="P1371" s="374"/>
      <c r="Q1371" s="374"/>
      <c r="R1371" s="284"/>
      <c r="S1371" s="284"/>
      <c r="T1371" s="305"/>
      <c r="U1371" s="284"/>
      <c r="V1371" s="284"/>
      <c r="W1371" s="307"/>
      <c r="X1371" s="284"/>
      <c r="Y1371" s="284"/>
      <c r="Z1371" s="284"/>
      <c r="AA1371" s="284">
        <v>5</v>
      </c>
      <c r="AB1371" s="284"/>
      <c r="AC1371" s="308">
        <v>44944995000</v>
      </c>
      <c r="AD1371" s="284">
        <v>369062403181.9447</v>
      </c>
      <c r="AE1371" s="309">
        <v>0.12178155946663169</v>
      </c>
      <c r="AF1371" s="284">
        <v>133962271106.9823</v>
      </c>
      <c r="AG1371" s="310">
        <v>0.33550487483230945</v>
      </c>
      <c r="AH1371" s="310">
        <v>0.91508551658183135</v>
      </c>
      <c r="AI1371" s="284">
        <v>2061960000</v>
      </c>
      <c r="AJ1371" s="310">
        <v>21.797219635686435</v>
      </c>
      <c r="AK1371" s="284">
        <v>5412712703.8105946</v>
      </c>
      <c r="AL1371" s="310">
        <v>8.3035988531884115</v>
      </c>
      <c r="AM1371" s="284" t="s">
        <v>2842</v>
      </c>
      <c r="AN1371" s="311" t="s">
        <v>2842</v>
      </c>
      <c r="AO1371" s="284">
        <v>159707780</v>
      </c>
      <c r="AP1371" s="284">
        <v>46</v>
      </c>
      <c r="AQ1371" s="284">
        <v>51.289414634146354</v>
      </c>
      <c r="AR1371" s="284">
        <v>81.900000000000006</v>
      </c>
      <c r="AS1371" s="287">
        <v>65.740309999999994</v>
      </c>
      <c r="AT1371" s="312">
        <v>27</v>
      </c>
      <c r="AU1371" s="465">
        <v>42.488892080090132</v>
      </c>
      <c r="AV1371" s="287">
        <v>-0.80221772774641098</v>
      </c>
      <c r="AW1371" s="287">
        <v>-2.1936058653616999</v>
      </c>
      <c r="AX1371" s="287">
        <v>-1.1511203008915001</v>
      </c>
      <c r="AY1371" s="287">
        <v>-0.71374610128231797</v>
      </c>
      <c r="AZ1371" s="313">
        <v>-0.99732661038004999</v>
      </c>
    </row>
    <row r="1372" spans="1:52" s="29" customFormat="1" ht="15" customHeight="1">
      <c r="A1372" s="347" t="s">
        <v>423</v>
      </c>
      <c r="B1372" s="53">
        <v>2011</v>
      </c>
      <c r="C1372" s="146" t="s">
        <v>406</v>
      </c>
      <c r="D1372" s="69" t="s">
        <v>81</v>
      </c>
      <c r="E1372" s="27" t="s">
        <v>30</v>
      </c>
      <c r="F1372" s="27" t="s">
        <v>659</v>
      </c>
      <c r="G1372" s="43"/>
      <c r="H1372" s="43"/>
      <c r="I1372" s="43"/>
      <c r="J1372" s="43"/>
      <c r="K1372" s="27"/>
      <c r="L1372" s="28"/>
      <c r="M1372" s="27"/>
      <c r="N1372" s="27"/>
      <c r="O1372" s="18">
        <f>O1373+O1376</f>
        <v>111813139613.56702</v>
      </c>
      <c r="P1372" s="214">
        <v>68613385930</v>
      </c>
      <c r="Q1372" s="214">
        <v>68690659359</v>
      </c>
      <c r="R1372" s="27" t="s">
        <v>3693</v>
      </c>
      <c r="S1372" s="18" t="s">
        <v>1827</v>
      </c>
      <c r="T1372" s="18">
        <v>43123931000</v>
      </c>
      <c r="U1372" s="27" t="s">
        <v>689</v>
      </c>
      <c r="V1372" s="27" t="s">
        <v>1815</v>
      </c>
      <c r="W1372" s="30">
        <v>157.4</v>
      </c>
      <c r="X1372" s="27" t="s">
        <v>871</v>
      </c>
      <c r="Y1372" s="27" t="s">
        <v>871</v>
      </c>
      <c r="Z1372" s="27" t="s">
        <v>871</v>
      </c>
      <c r="AA1372" s="27" t="s">
        <v>1829</v>
      </c>
      <c r="AB1372" s="27" t="s">
        <v>1830</v>
      </c>
      <c r="AC1372" s="273">
        <v>68613385930</v>
      </c>
      <c r="AD1372" s="27">
        <v>411743801711.64203</v>
      </c>
      <c r="AE1372" s="228">
        <v>0.16664096859447627</v>
      </c>
      <c r="AF1372" s="27">
        <v>132939721258.63786</v>
      </c>
      <c r="AG1372" s="226">
        <v>0.51612403937955298</v>
      </c>
      <c r="AH1372" s="226">
        <v>1.0221516532776811</v>
      </c>
      <c r="AI1372" s="27">
        <v>1768550000</v>
      </c>
      <c r="AJ1372" s="226">
        <v>38.796407186678351</v>
      </c>
      <c r="AK1372" s="27">
        <v>8001943177.3173304</v>
      </c>
      <c r="AL1372" s="226">
        <v>8.5745904975299752</v>
      </c>
      <c r="AM1372" s="27" t="s">
        <v>2842</v>
      </c>
      <c r="AN1372" s="271" t="s">
        <v>2842</v>
      </c>
      <c r="AO1372" s="27">
        <v>164192925</v>
      </c>
      <c r="AP1372" s="27" t="s">
        <v>2842</v>
      </c>
      <c r="AQ1372" s="27">
        <v>51.710243902439032</v>
      </c>
      <c r="AR1372" s="27">
        <v>79.2</v>
      </c>
      <c r="AS1372" s="29" t="s">
        <v>2842</v>
      </c>
      <c r="AT1372" s="270">
        <v>27</v>
      </c>
      <c r="AU1372" s="464">
        <v>42.488892080090132</v>
      </c>
      <c r="AV1372" s="29">
        <v>-0.73672391613667498</v>
      </c>
      <c r="AW1372" s="29">
        <v>-1.9462524352720001</v>
      </c>
      <c r="AX1372" s="29">
        <v>-1.08047539707395</v>
      </c>
      <c r="AY1372" s="29">
        <v>-0.66940161273980003</v>
      </c>
      <c r="AZ1372" s="60">
        <v>-1.12338313325942</v>
      </c>
    </row>
    <row r="1373" spans="1:52" s="29" customFormat="1" ht="15" customHeight="1">
      <c r="A1373" s="63" t="s">
        <v>423</v>
      </c>
      <c r="B1373" s="53">
        <v>2011</v>
      </c>
      <c r="C1373" s="146" t="s">
        <v>406</v>
      </c>
      <c r="D1373" s="69" t="s">
        <v>81</v>
      </c>
      <c r="E1373" s="27" t="s">
        <v>50</v>
      </c>
      <c r="F1373" s="27" t="s">
        <v>597</v>
      </c>
      <c r="G1373" s="43"/>
      <c r="H1373" s="43"/>
      <c r="I1373" s="43"/>
      <c r="J1373" s="43"/>
      <c r="K1373" s="27"/>
      <c r="L1373" s="28"/>
      <c r="M1373" s="27"/>
      <c r="N1373" s="27"/>
      <c r="O1373" s="18">
        <f>SUM(O1374:O1375)</f>
        <v>111124653780.61411</v>
      </c>
      <c r="P1373" s="214">
        <v>68442328000</v>
      </c>
      <c r="Q1373" s="214">
        <v>68519812000</v>
      </c>
      <c r="R1373" s="27"/>
      <c r="S1373" s="18" t="s">
        <v>1827</v>
      </c>
      <c r="T1373" s="18">
        <v>43123931000</v>
      </c>
      <c r="U1373" s="27"/>
      <c r="V1373" s="27"/>
      <c r="W1373" s="30"/>
      <c r="X1373" s="27" t="s">
        <v>871</v>
      </c>
      <c r="Y1373" s="27" t="s">
        <v>871</v>
      </c>
      <c r="Z1373" s="27" t="s">
        <v>871</v>
      </c>
      <c r="AA1373" s="27" t="s">
        <v>1831</v>
      </c>
      <c r="AB1373" s="27"/>
      <c r="AC1373" s="273">
        <v>68613385930</v>
      </c>
      <c r="AD1373" s="27">
        <v>411743801711.64203</v>
      </c>
      <c r="AE1373" s="228">
        <v>0.16664096859447627</v>
      </c>
      <c r="AF1373" s="27">
        <v>132939721258.63786</v>
      </c>
      <c r="AG1373" s="226">
        <v>0.51612403937955298</v>
      </c>
      <c r="AH1373" s="226">
        <v>1.0221516532776811</v>
      </c>
      <c r="AI1373" s="27">
        <v>1768550000</v>
      </c>
      <c r="AJ1373" s="226">
        <v>38.796407186678351</v>
      </c>
      <c r="AK1373" s="27">
        <v>8001943177.3173304</v>
      </c>
      <c r="AL1373" s="226">
        <v>8.5745904975299752</v>
      </c>
      <c r="AM1373" s="27" t="s">
        <v>2842</v>
      </c>
      <c r="AN1373" s="271" t="s">
        <v>2842</v>
      </c>
      <c r="AO1373" s="27">
        <v>164192925</v>
      </c>
      <c r="AP1373" s="27" t="s">
        <v>2842</v>
      </c>
      <c r="AQ1373" s="27">
        <v>51.710243902439032</v>
      </c>
      <c r="AR1373" s="27">
        <v>79.2</v>
      </c>
      <c r="AS1373" s="29" t="s">
        <v>2842</v>
      </c>
      <c r="AT1373" s="270">
        <v>27</v>
      </c>
      <c r="AU1373" s="464">
        <v>42.488892080090132</v>
      </c>
      <c r="AV1373" s="29">
        <v>-0.73672391613667498</v>
      </c>
      <c r="AW1373" s="29">
        <v>-1.9462524352720001</v>
      </c>
      <c r="AX1373" s="29">
        <v>-1.08047539707395</v>
      </c>
      <c r="AY1373" s="29">
        <v>-0.66940161273980003</v>
      </c>
      <c r="AZ1373" s="60">
        <v>-1.12338313325942</v>
      </c>
    </row>
    <row r="1374" spans="1:52" s="29" customFormat="1" ht="15" customHeight="1">
      <c r="A1374" s="63" t="s">
        <v>423</v>
      </c>
      <c r="B1374" s="53">
        <v>2011</v>
      </c>
      <c r="C1374" s="146" t="s">
        <v>406</v>
      </c>
      <c r="D1374" s="69" t="s">
        <v>81</v>
      </c>
      <c r="E1374" s="27" t="s">
        <v>552</v>
      </c>
      <c r="F1374" s="27" t="s">
        <v>552</v>
      </c>
      <c r="G1374" s="43">
        <v>40600000000</v>
      </c>
      <c r="H1374" s="43"/>
      <c r="I1374" s="43"/>
      <c r="J1374" s="43"/>
      <c r="K1374" s="27" t="s">
        <v>599</v>
      </c>
      <c r="L1374" s="28">
        <v>0.19666043794616025</v>
      </c>
      <c r="M1374" s="27" t="s">
        <v>600</v>
      </c>
      <c r="N1374" s="27" t="s">
        <v>685</v>
      </c>
      <c r="O1374" s="18">
        <f>G1374*L1374</f>
        <v>7984413780.6141062</v>
      </c>
      <c r="P1374" s="244"/>
      <c r="Q1374" s="244"/>
      <c r="R1374" s="27"/>
      <c r="S1374" s="27"/>
      <c r="T1374" s="18"/>
      <c r="U1374" s="27"/>
      <c r="V1374" s="27"/>
      <c r="W1374" s="30"/>
      <c r="X1374" s="27"/>
      <c r="Y1374" s="27"/>
      <c r="Z1374" s="27"/>
      <c r="AA1374" s="27"/>
      <c r="AB1374" s="27"/>
      <c r="AC1374" s="273">
        <v>68613385930</v>
      </c>
      <c r="AD1374" s="27">
        <v>411743801711.64203</v>
      </c>
      <c r="AE1374" s="228">
        <v>0.16664096859447627</v>
      </c>
      <c r="AF1374" s="27">
        <v>132939721258.63786</v>
      </c>
      <c r="AG1374" s="226">
        <v>0.51612403937955298</v>
      </c>
      <c r="AH1374" s="226">
        <v>1.0221516532776811</v>
      </c>
      <c r="AI1374" s="27">
        <v>1768550000</v>
      </c>
      <c r="AJ1374" s="226">
        <v>38.796407186678351</v>
      </c>
      <c r="AK1374" s="27">
        <v>8001943177.3173304</v>
      </c>
      <c r="AL1374" s="226">
        <v>8.5745904975299752</v>
      </c>
      <c r="AM1374" s="27" t="s">
        <v>2842</v>
      </c>
      <c r="AN1374" s="271" t="s">
        <v>2842</v>
      </c>
      <c r="AO1374" s="27">
        <v>164192925</v>
      </c>
      <c r="AP1374" s="27" t="s">
        <v>2842</v>
      </c>
      <c r="AQ1374" s="27">
        <v>51.710243902439032</v>
      </c>
      <c r="AR1374" s="27">
        <v>79.2</v>
      </c>
      <c r="AS1374" s="29" t="s">
        <v>2842</v>
      </c>
      <c r="AT1374" s="270">
        <v>27</v>
      </c>
      <c r="AU1374" s="464">
        <v>42.488892080090132</v>
      </c>
      <c r="AV1374" s="29">
        <v>-0.73672391613667498</v>
      </c>
      <c r="AW1374" s="29">
        <v>-1.9462524352720001</v>
      </c>
      <c r="AX1374" s="29">
        <v>-1.08047539707395</v>
      </c>
      <c r="AY1374" s="29">
        <v>-0.66940161273980003</v>
      </c>
      <c r="AZ1374" s="60">
        <v>-1.12338313325942</v>
      </c>
    </row>
    <row r="1375" spans="1:52" s="29" customFormat="1" ht="15" customHeight="1">
      <c r="A1375" s="63" t="s">
        <v>423</v>
      </c>
      <c r="B1375" s="53">
        <v>2011</v>
      </c>
      <c r="C1375" s="146" t="s">
        <v>406</v>
      </c>
      <c r="D1375" s="69" t="s">
        <v>81</v>
      </c>
      <c r="E1375" s="27" t="s">
        <v>98</v>
      </c>
      <c r="F1375" s="27" t="s">
        <v>98</v>
      </c>
      <c r="G1375" s="43">
        <v>920895000</v>
      </c>
      <c r="H1375" s="43"/>
      <c r="I1375" s="43"/>
      <c r="J1375" s="43"/>
      <c r="K1375" s="27" t="s">
        <v>603</v>
      </c>
      <c r="L1375" s="28">
        <v>112</v>
      </c>
      <c r="M1375" s="27" t="s">
        <v>626</v>
      </c>
      <c r="N1375" s="27" t="s">
        <v>1825</v>
      </c>
      <c r="O1375" s="18">
        <f>G1375*L1375</f>
        <v>103140240000</v>
      </c>
      <c r="P1375" s="244"/>
      <c r="Q1375" s="244"/>
      <c r="R1375" s="27"/>
      <c r="S1375" s="27"/>
      <c r="T1375" s="18"/>
      <c r="U1375" s="27"/>
      <c r="V1375" s="27"/>
      <c r="W1375" s="30"/>
      <c r="X1375" s="27"/>
      <c r="Y1375" s="27"/>
      <c r="Z1375" s="27"/>
      <c r="AA1375" s="27" t="s">
        <v>1832</v>
      </c>
      <c r="AB1375" s="27"/>
      <c r="AC1375" s="273">
        <v>68613385930</v>
      </c>
      <c r="AD1375" s="27">
        <v>411743801711.64203</v>
      </c>
      <c r="AE1375" s="228">
        <v>0.16664096859447627</v>
      </c>
      <c r="AF1375" s="27">
        <v>132939721258.63786</v>
      </c>
      <c r="AG1375" s="226">
        <v>0.51612403937955298</v>
      </c>
      <c r="AH1375" s="226">
        <v>1.0221516532776811</v>
      </c>
      <c r="AI1375" s="27">
        <v>1768550000</v>
      </c>
      <c r="AJ1375" s="226">
        <v>38.796407186678351</v>
      </c>
      <c r="AK1375" s="27">
        <v>8001943177.3173304</v>
      </c>
      <c r="AL1375" s="226">
        <v>8.5745904975299752</v>
      </c>
      <c r="AM1375" s="27" t="s">
        <v>2842</v>
      </c>
      <c r="AN1375" s="271" t="s">
        <v>2842</v>
      </c>
      <c r="AO1375" s="27">
        <v>164192925</v>
      </c>
      <c r="AP1375" s="27" t="s">
        <v>2842</v>
      </c>
      <c r="AQ1375" s="27">
        <v>51.710243902439032</v>
      </c>
      <c r="AR1375" s="27">
        <v>79.2</v>
      </c>
      <c r="AS1375" s="29" t="s">
        <v>2842</v>
      </c>
      <c r="AT1375" s="270">
        <v>27</v>
      </c>
      <c r="AU1375" s="464">
        <v>42.488892080090132</v>
      </c>
      <c r="AV1375" s="29">
        <v>-0.73672391613667498</v>
      </c>
      <c r="AW1375" s="29">
        <v>-1.9462524352720001</v>
      </c>
      <c r="AX1375" s="29">
        <v>-1.08047539707395</v>
      </c>
      <c r="AY1375" s="29">
        <v>-0.66940161273980003</v>
      </c>
      <c r="AZ1375" s="60">
        <v>-1.12338313325942</v>
      </c>
    </row>
    <row r="1376" spans="1:52" s="29" customFormat="1" ht="15" customHeight="1">
      <c r="A1376" s="63" t="s">
        <v>423</v>
      </c>
      <c r="B1376" s="53">
        <v>2011</v>
      </c>
      <c r="C1376" s="146" t="s">
        <v>406</v>
      </c>
      <c r="D1376" s="69" t="s">
        <v>81</v>
      </c>
      <c r="E1376" s="27" t="s">
        <v>19</v>
      </c>
      <c r="F1376" s="27" t="s">
        <v>559</v>
      </c>
      <c r="G1376" s="43"/>
      <c r="H1376" s="43"/>
      <c r="I1376" s="43"/>
      <c r="J1376" s="43"/>
      <c r="K1376" s="27"/>
      <c r="L1376" s="28"/>
      <c r="M1376" s="27"/>
      <c r="N1376" s="27"/>
      <c r="O1376" s="18">
        <f>SUM(O1377:O1406)</f>
        <v>688485832.95290709</v>
      </c>
      <c r="P1376" s="214">
        <v>171057930</v>
      </c>
      <c r="Q1376" s="214">
        <v>170847359</v>
      </c>
      <c r="R1376" s="27"/>
      <c r="S1376" s="27"/>
      <c r="T1376" s="18"/>
      <c r="U1376" s="27"/>
      <c r="V1376" s="27"/>
      <c r="W1376" s="30"/>
      <c r="X1376" s="27">
        <v>87</v>
      </c>
      <c r="Y1376" s="27" t="s">
        <v>1833</v>
      </c>
      <c r="Z1376" s="27">
        <v>80</v>
      </c>
      <c r="AA1376" s="27" t="s">
        <v>1834</v>
      </c>
      <c r="AB1376" s="27"/>
      <c r="AC1376" s="273">
        <v>68613385930</v>
      </c>
      <c r="AD1376" s="27">
        <v>411743801711.64203</v>
      </c>
      <c r="AE1376" s="228">
        <v>0.16664096859447627</v>
      </c>
      <c r="AF1376" s="27">
        <v>132939721258.63786</v>
      </c>
      <c r="AG1376" s="226">
        <v>0.51612403937955298</v>
      </c>
      <c r="AH1376" s="226">
        <v>1.0221516532776811</v>
      </c>
      <c r="AI1376" s="27">
        <v>1768550000</v>
      </c>
      <c r="AJ1376" s="226">
        <v>38.796407186678351</v>
      </c>
      <c r="AK1376" s="27">
        <v>8001943177.3173304</v>
      </c>
      <c r="AL1376" s="226">
        <v>8.5745904975299752</v>
      </c>
      <c r="AM1376" s="27" t="s">
        <v>2842</v>
      </c>
      <c r="AN1376" s="271" t="s">
        <v>2842</v>
      </c>
      <c r="AO1376" s="27">
        <v>164192925</v>
      </c>
      <c r="AP1376" s="27" t="s">
        <v>2842</v>
      </c>
      <c r="AQ1376" s="27">
        <v>51.710243902439032</v>
      </c>
      <c r="AR1376" s="27">
        <v>79.2</v>
      </c>
      <c r="AS1376" s="29" t="s">
        <v>2842</v>
      </c>
      <c r="AT1376" s="270">
        <v>27</v>
      </c>
      <c r="AU1376" s="464">
        <v>42.488892080090132</v>
      </c>
      <c r="AV1376" s="29">
        <v>-0.73672391613667498</v>
      </c>
      <c r="AW1376" s="29">
        <v>-1.9462524352720001</v>
      </c>
      <c r="AX1376" s="29">
        <v>-1.08047539707395</v>
      </c>
      <c r="AY1376" s="29">
        <v>-0.66940161273980003</v>
      </c>
      <c r="AZ1376" s="60">
        <v>-1.12338313325942</v>
      </c>
    </row>
    <row r="1377" spans="1:52" s="29" customFormat="1" ht="15" customHeight="1">
      <c r="A1377" s="63" t="s">
        <v>423</v>
      </c>
      <c r="B1377" s="53">
        <v>2011</v>
      </c>
      <c r="C1377" s="146" t="s">
        <v>406</v>
      </c>
      <c r="D1377" s="69" t="s">
        <v>81</v>
      </c>
      <c r="E1377" s="27" t="s">
        <v>19</v>
      </c>
      <c r="F1377" s="27" t="s">
        <v>1835</v>
      </c>
      <c r="G1377" s="595">
        <v>155000</v>
      </c>
      <c r="H1377" s="595">
        <v>27609</v>
      </c>
      <c r="I1377" s="43"/>
      <c r="J1377" s="43"/>
      <c r="K1377" s="27" t="s">
        <v>567</v>
      </c>
      <c r="L1377" s="28">
        <v>65.17</v>
      </c>
      <c r="M1377" s="27" t="s">
        <v>568</v>
      </c>
      <c r="N1377" s="27" t="s">
        <v>1836</v>
      </c>
      <c r="O1377" s="18">
        <f>G1377*L1377</f>
        <v>10101350</v>
      </c>
      <c r="P1377" s="214"/>
      <c r="Q1377" s="214"/>
      <c r="R1377" s="27"/>
      <c r="S1377" s="27"/>
      <c r="T1377" s="18"/>
      <c r="U1377" s="27"/>
      <c r="V1377" s="27"/>
      <c r="W1377" s="30"/>
      <c r="X1377" s="27"/>
      <c r="Y1377" s="27"/>
      <c r="Z1377" s="27"/>
      <c r="AA1377" s="27" t="s">
        <v>1837</v>
      </c>
      <c r="AB1377" s="27"/>
      <c r="AC1377" s="273">
        <v>68613385930</v>
      </c>
      <c r="AD1377" s="27">
        <v>411743801711.64203</v>
      </c>
      <c r="AE1377" s="228">
        <v>0.16664096859447627</v>
      </c>
      <c r="AF1377" s="27">
        <v>132939721258.63786</v>
      </c>
      <c r="AG1377" s="226">
        <v>0.51612403937955298</v>
      </c>
      <c r="AH1377" s="226">
        <v>1.0221516532776811</v>
      </c>
      <c r="AI1377" s="27">
        <v>1768550000</v>
      </c>
      <c r="AJ1377" s="226">
        <v>38.796407186678351</v>
      </c>
      <c r="AK1377" s="27">
        <v>8001943177.3173304</v>
      </c>
      <c r="AL1377" s="226">
        <v>8.5745904975299752</v>
      </c>
      <c r="AM1377" s="27" t="s">
        <v>2842</v>
      </c>
      <c r="AN1377" s="271" t="s">
        <v>2842</v>
      </c>
      <c r="AO1377" s="27">
        <v>164192925</v>
      </c>
      <c r="AP1377" s="27" t="s">
        <v>2842</v>
      </c>
      <c r="AQ1377" s="27">
        <v>51.710243902439032</v>
      </c>
      <c r="AR1377" s="27">
        <v>79.2</v>
      </c>
      <c r="AS1377" s="29" t="s">
        <v>2842</v>
      </c>
      <c r="AT1377" s="270">
        <v>27</v>
      </c>
      <c r="AU1377" s="464">
        <v>42.488892080090132</v>
      </c>
      <c r="AV1377" s="29">
        <v>-0.73672391613667498</v>
      </c>
      <c r="AW1377" s="29">
        <v>-1.9462524352720001</v>
      </c>
      <c r="AX1377" s="29">
        <v>-1.08047539707395</v>
      </c>
      <c r="AY1377" s="29">
        <v>-0.66940161273980003</v>
      </c>
      <c r="AZ1377" s="60">
        <v>-1.12338313325942</v>
      </c>
    </row>
    <row r="1378" spans="1:52" s="29" customFormat="1" ht="15" customHeight="1">
      <c r="A1378" s="63" t="s">
        <v>423</v>
      </c>
      <c r="B1378" s="53">
        <v>2011</v>
      </c>
      <c r="C1378" s="146" t="s">
        <v>406</v>
      </c>
      <c r="D1378" s="69" t="s">
        <v>81</v>
      </c>
      <c r="E1378" s="27" t="s">
        <v>19</v>
      </c>
      <c r="F1378" s="27" t="s">
        <v>573</v>
      </c>
      <c r="G1378" s="595">
        <f>35000*0.90718474</f>
        <v>31751.465900000003</v>
      </c>
      <c r="H1378" s="595">
        <v>133818.01999999999</v>
      </c>
      <c r="I1378" s="43"/>
      <c r="J1378" s="43"/>
      <c r="K1378" s="27" t="s">
        <v>567</v>
      </c>
      <c r="L1378" s="28">
        <v>111.54662184722224</v>
      </c>
      <c r="M1378" s="27" t="s">
        <v>568</v>
      </c>
      <c r="N1378" s="27" t="s">
        <v>1740</v>
      </c>
      <c r="O1378" s="18">
        <f>G1378*L1378</f>
        <v>3541768.7598422724</v>
      </c>
      <c r="P1378" s="214"/>
      <c r="Q1378" s="214"/>
      <c r="R1378" s="27"/>
      <c r="S1378" s="27"/>
      <c r="T1378" s="18"/>
      <c r="U1378" s="27"/>
      <c r="V1378" s="27"/>
      <c r="W1378" s="30"/>
      <c r="X1378" s="27"/>
      <c r="Y1378" s="27"/>
      <c r="Z1378" s="27"/>
      <c r="AA1378" s="27" t="s">
        <v>1837</v>
      </c>
      <c r="AB1378" s="27"/>
      <c r="AC1378" s="273">
        <v>68613385930</v>
      </c>
      <c r="AD1378" s="27">
        <v>411743801711.64203</v>
      </c>
      <c r="AE1378" s="228">
        <v>0.16664096859447627</v>
      </c>
      <c r="AF1378" s="27">
        <v>132939721258.63786</v>
      </c>
      <c r="AG1378" s="226">
        <v>0.51612403937955298</v>
      </c>
      <c r="AH1378" s="226">
        <v>1.0221516532776811</v>
      </c>
      <c r="AI1378" s="27">
        <v>1768550000</v>
      </c>
      <c r="AJ1378" s="226">
        <v>38.796407186678351</v>
      </c>
      <c r="AK1378" s="27">
        <v>8001943177.3173304</v>
      </c>
      <c r="AL1378" s="226">
        <v>8.5745904975299752</v>
      </c>
      <c r="AM1378" s="27" t="s">
        <v>2842</v>
      </c>
      <c r="AN1378" s="271" t="s">
        <v>2842</v>
      </c>
      <c r="AO1378" s="27">
        <v>164192925</v>
      </c>
      <c r="AP1378" s="27" t="s">
        <v>2842</v>
      </c>
      <c r="AQ1378" s="27">
        <v>51.710243902439032</v>
      </c>
      <c r="AR1378" s="27">
        <v>79.2</v>
      </c>
      <c r="AS1378" s="29" t="s">
        <v>2842</v>
      </c>
      <c r="AT1378" s="270">
        <v>27</v>
      </c>
      <c r="AU1378" s="464">
        <v>42.488892080090132</v>
      </c>
      <c r="AV1378" s="29">
        <v>-0.73672391613667498</v>
      </c>
      <c r="AW1378" s="29">
        <v>-1.9462524352720001</v>
      </c>
      <c r="AX1378" s="29">
        <v>-1.08047539707395</v>
      </c>
      <c r="AY1378" s="29">
        <v>-0.66940161273980003</v>
      </c>
      <c r="AZ1378" s="60">
        <v>-1.12338313325942</v>
      </c>
    </row>
    <row r="1379" spans="1:52" s="29" customFormat="1" ht="15" customHeight="1">
      <c r="A1379" s="63" t="s">
        <v>423</v>
      </c>
      <c r="B1379" s="53">
        <v>2011</v>
      </c>
      <c r="C1379" s="146" t="s">
        <v>406</v>
      </c>
      <c r="D1379" s="69" t="s">
        <v>81</v>
      </c>
      <c r="E1379" s="27" t="s">
        <v>19</v>
      </c>
      <c r="F1379" s="27" t="s">
        <v>1838</v>
      </c>
      <c r="G1379" s="43"/>
      <c r="H1379" s="43"/>
      <c r="I1379" s="43"/>
      <c r="J1379" s="43"/>
      <c r="K1379" s="27"/>
      <c r="L1379" s="28"/>
      <c r="M1379" s="27"/>
      <c r="N1379" s="27"/>
      <c r="O1379" s="18"/>
      <c r="P1379" s="214"/>
      <c r="Q1379" s="214"/>
      <c r="R1379" s="27"/>
      <c r="S1379" s="27"/>
      <c r="T1379" s="18"/>
      <c r="U1379" s="27"/>
      <c r="V1379" s="27"/>
      <c r="W1379" s="30"/>
      <c r="X1379" s="27"/>
      <c r="Y1379" s="27"/>
      <c r="Z1379" s="27"/>
      <c r="AA1379" s="27"/>
      <c r="AB1379" s="27"/>
      <c r="AC1379" s="273">
        <v>68613385930</v>
      </c>
      <c r="AD1379" s="27">
        <v>411743801711.64203</v>
      </c>
      <c r="AE1379" s="228">
        <v>0.16664096859447627</v>
      </c>
      <c r="AF1379" s="27">
        <v>132939721258.63786</v>
      </c>
      <c r="AG1379" s="226">
        <v>0.51612403937955298</v>
      </c>
      <c r="AH1379" s="226">
        <v>1.0221516532776811</v>
      </c>
      <c r="AI1379" s="27">
        <v>1768550000</v>
      </c>
      <c r="AJ1379" s="226">
        <v>38.796407186678351</v>
      </c>
      <c r="AK1379" s="27">
        <v>8001943177.3173304</v>
      </c>
      <c r="AL1379" s="226">
        <v>8.5745904975299752</v>
      </c>
      <c r="AM1379" s="27" t="s">
        <v>2842</v>
      </c>
      <c r="AN1379" s="271" t="s">
        <v>2842</v>
      </c>
      <c r="AO1379" s="27">
        <v>164192925</v>
      </c>
      <c r="AP1379" s="27" t="s">
        <v>2842</v>
      </c>
      <c r="AQ1379" s="27">
        <v>51.710243902439032</v>
      </c>
      <c r="AR1379" s="27">
        <v>79.2</v>
      </c>
      <c r="AS1379" s="29" t="s">
        <v>2842</v>
      </c>
      <c r="AT1379" s="270">
        <v>27</v>
      </c>
      <c r="AU1379" s="464">
        <v>42.488892080090132</v>
      </c>
      <c r="AV1379" s="29">
        <v>-0.73672391613667498</v>
      </c>
      <c r="AW1379" s="29">
        <v>-1.9462524352720001</v>
      </c>
      <c r="AX1379" s="29">
        <v>-1.08047539707395</v>
      </c>
      <c r="AY1379" s="29">
        <v>-0.66940161273980003</v>
      </c>
      <c r="AZ1379" s="60">
        <v>-1.12338313325942</v>
      </c>
    </row>
    <row r="1380" spans="1:52" s="29" customFormat="1" ht="15" customHeight="1">
      <c r="A1380" s="63" t="s">
        <v>423</v>
      </c>
      <c r="B1380" s="53">
        <v>2011</v>
      </c>
      <c r="C1380" s="146" t="s">
        <v>406</v>
      </c>
      <c r="D1380" s="69" t="s">
        <v>81</v>
      </c>
      <c r="E1380" s="27" t="s">
        <v>19</v>
      </c>
      <c r="F1380" s="27" t="s">
        <v>982</v>
      </c>
      <c r="G1380" s="43">
        <v>311</v>
      </c>
      <c r="H1380" s="43">
        <v>200</v>
      </c>
      <c r="I1380" s="43"/>
      <c r="J1380" s="43"/>
      <c r="K1380" s="27" t="s">
        <v>567</v>
      </c>
      <c r="L1380" s="28"/>
      <c r="M1380" s="27"/>
      <c r="N1380" s="27" t="s">
        <v>636</v>
      </c>
      <c r="O1380" s="18"/>
      <c r="P1380" s="214"/>
      <c r="Q1380" s="214"/>
      <c r="R1380" s="27"/>
      <c r="S1380" s="27"/>
      <c r="T1380" s="18"/>
      <c r="U1380" s="27"/>
      <c r="V1380" s="27"/>
      <c r="W1380" s="30"/>
      <c r="X1380" s="27"/>
      <c r="Y1380" s="27"/>
      <c r="Z1380" s="27"/>
      <c r="AA1380" s="27" t="s">
        <v>1837</v>
      </c>
      <c r="AB1380" s="27"/>
      <c r="AC1380" s="273">
        <v>68613385930</v>
      </c>
      <c r="AD1380" s="27">
        <v>411743801711.64203</v>
      </c>
      <c r="AE1380" s="228">
        <v>0.16664096859447627</v>
      </c>
      <c r="AF1380" s="27">
        <v>132939721258.63786</v>
      </c>
      <c r="AG1380" s="226">
        <v>0.51612403937955298</v>
      </c>
      <c r="AH1380" s="226">
        <v>1.0221516532776811</v>
      </c>
      <c r="AI1380" s="27">
        <v>1768550000</v>
      </c>
      <c r="AJ1380" s="226">
        <v>38.796407186678351</v>
      </c>
      <c r="AK1380" s="27">
        <v>8001943177.3173304</v>
      </c>
      <c r="AL1380" s="226">
        <v>8.5745904975299752</v>
      </c>
      <c r="AM1380" s="27" t="s">
        <v>2842</v>
      </c>
      <c r="AN1380" s="271" t="s">
        <v>2842</v>
      </c>
      <c r="AO1380" s="27">
        <v>164192925</v>
      </c>
      <c r="AP1380" s="27" t="s">
        <v>2842</v>
      </c>
      <c r="AQ1380" s="27">
        <v>51.710243902439032</v>
      </c>
      <c r="AR1380" s="27">
        <v>79.2</v>
      </c>
      <c r="AS1380" s="29" t="s">
        <v>2842</v>
      </c>
      <c r="AT1380" s="270">
        <v>27</v>
      </c>
      <c r="AU1380" s="464">
        <v>42.488892080090132</v>
      </c>
      <c r="AV1380" s="29">
        <v>-0.73672391613667498</v>
      </c>
      <c r="AW1380" s="29">
        <v>-1.9462524352720001</v>
      </c>
      <c r="AX1380" s="29">
        <v>-1.08047539707395</v>
      </c>
      <c r="AY1380" s="29">
        <v>-0.66940161273980003</v>
      </c>
      <c r="AZ1380" s="60">
        <v>-1.12338313325942</v>
      </c>
    </row>
    <row r="1381" spans="1:52" s="29" customFormat="1" ht="15" customHeight="1">
      <c r="A1381" s="63" t="s">
        <v>423</v>
      </c>
      <c r="B1381" s="53">
        <v>2011</v>
      </c>
      <c r="C1381" s="146" t="s">
        <v>406</v>
      </c>
      <c r="D1381" s="69" t="s">
        <v>81</v>
      </c>
      <c r="E1381" s="27" t="s">
        <v>19</v>
      </c>
      <c r="F1381" s="27" t="s">
        <v>983</v>
      </c>
      <c r="G1381" s="43">
        <v>22</v>
      </c>
      <c r="H1381" s="43"/>
      <c r="I1381" s="43"/>
      <c r="J1381" s="43"/>
      <c r="K1381" s="27" t="s">
        <v>567</v>
      </c>
      <c r="L1381" s="28">
        <v>41000</v>
      </c>
      <c r="M1381" s="27" t="s">
        <v>568</v>
      </c>
      <c r="N1381" s="27" t="s">
        <v>1007</v>
      </c>
      <c r="O1381" s="18">
        <f>G1381*L1381</f>
        <v>902000</v>
      </c>
      <c r="P1381" s="214"/>
      <c r="Q1381" s="214"/>
      <c r="R1381" s="27"/>
      <c r="S1381" s="27"/>
      <c r="T1381" s="18"/>
      <c r="U1381" s="27"/>
      <c r="V1381" s="27"/>
      <c r="W1381" s="30"/>
      <c r="X1381" s="27"/>
      <c r="Y1381" s="27"/>
      <c r="Z1381" s="27"/>
      <c r="AA1381" s="27"/>
      <c r="AB1381" s="27"/>
      <c r="AC1381" s="273">
        <v>68613385930</v>
      </c>
      <c r="AD1381" s="27">
        <v>411743801711.64203</v>
      </c>
      <c r="AE1381" s="228">
        <v>0.16664096859447627</v>
      </c>
      <c r="AF1381" s="27">
        <v>132939721258.63786</v>
      </c>
      <c r="AG1381" s="226">
        <v>0.51612403937955298</v>
      </c>
      <c r="AH1381" s="226">
        <v>1.0221516532776811</v>
      </c>
      <c r="AI1381" s="27">
        <v>1768550000</v>
      </c>
      <c r="AJ1381" s="226">
        <v>38.796407186678351</v>
      </c>
      <c r="AK1381" s="27">
        <v>8001943177.3173304</v>
      </c>
      <c r="AL1381" s="226">
        <v>8.5745904975299752</v>
      </c>
      <c r="AM1381" s="27" t="s">
        <v>2842</v>
      </c>
      <c r="AN1381" s="271" t="s">
        <v>2842</v>
      </c>
      <c r="AO1381" s="27">
        <v>164192925</v>
      </c>
      <c r="AP1381" s="27" t="s">
        <v>2842</v>
      </c>
      <c r="AQ1381" s="27">
        <v>51.710243902439032</v>
      </c>
      <c r="AR1381" s="27">
        <v>79.2</v>
      </c>
      <c r="AS1381" s="29" t="s">
        <v>2842</v>
      </c>
      <c r="AT1381" s="270">
        <v>27</v>
      </c>
      <c r="AU1381" s="464">
        <v>42.488892080090132</v>
      </c>
      <c r="AV1381" s="29">
        <v>-0.73672391613667498</v>
      </c>
      <c r="AW1381" s="29">
        <v>-1.9462524352720001</v>
      </c>
      <c r="AX1381" s="29">
        <v>-1.08047539707395</v>
      </c>
      <c r="AY1381" s="29">
        <v>-0.66940161273980003</v>
      </c>
      <c r="AZ1381" s="60">
        <v>-1.12338313325942</v>
      </c>
    </row>
    <row r="1382" spans="1:52" s="29" customFormat="1" ht="15" customHeight="1">
      <c r="A1382" s="63" t="s">
        <v>423</v>
      </c>
      <c r="B1382" s="53">
        <v>2011</v>
      </c>
      <c r="C1382" s="146" t="s">
        <v>406</v>
      </c>
      <c r="D1382" s="69" t="s">
        <v>81</v>
      </c>
      <c r="E1382" s="27" t="s">
        <v>19</v>
      </c>
      <c r="F1382" s="27" t="s">
        <v>985</v>
      </c>
      <c r="G1382" s="43">
        <v>64</v>
      </c>
      <c r="H1382" s="43"/>
      <c r="I1382" s="43"/>
      <c r="J1382" s="43"/>
      <c r="K1382" s="27" t="s">
        <v>567</v>
      </c>
      <c r="L1382" s="28">
        <f>125/0.000453592</f>
        <v>275578.05252297217</v>
      </c>
      <c r="M1382" s="27" t="s">
        <v>568</v>
      </c>
      <c r="N1382" s="27" t="s">
        <v>1008</v>
      </c>
      <c r="O1382" s="18">
        <f>G1382*L1382</f>
        <v>17636995.361470219</v>
      </c>
      <c r="P1382" s="214"/>
      <c r="Q1382" s="214"/>
      <c r="R1382" s="27"/>
      <c r="S1382" s="27"/>
      <c r="T1382" s="18"/>
      <c r="U1382" s="27"/>
      <c r="V1382" s="27"/>
      <c r="W1382" s="30"/>
      <c r="X1382" s="27"/>
      <c r="Y1382" s="27"/>
      <c r="Z1382" s="27"/>
      <c r="AA1382" s="27"/>
      <c r="AB1382" s="27"/>
      <c r="AC1382" s="273">
        <v>68613385930</v>
      </c>
      <c r="AD1382" s="27">
        <v>411743801711.64203</v>
      </c>
      <c r="AE1382" s="228">
        <v>0.16664096859447627</v>
      </c>
      <c r="AF1382" s="27">
        <v>132939721258.63786</v>
      </c>
      <c r="AG1382" s="226">
        <v>0.51612403937955298</v>
      </c>
      <c r="AH1382" s="226">
        <v>1.0221516532776811</v>
      </c>
      <c r="AI1382" s="27">
        <v>1768550000</v>
      </c>
      <c r="AJ1382" s="226">
        <v>38.796407186678351</v>
      </c>
      <c r="AK1382" s="27">
        <v>8001943177.3173304</v>
      </c>
      <c r="AL1382" s="226">
        <v>8.5745904975299752</v>
      </c>
      <c r="AM1382" s="27" t="s">
        <v>2842</v>
      </c>
      <c r="AN1382" s="271" t="s">
        <v>2842</v>
      </c>
      <c r="AO1382" s="27">
        <v>164192925</v>
      </c>
      <c r="AP1382" s="27" t="s">
        <v>2842</v>
      </c>
      <c r="AQ1382" s="27">
        <v>51.710243902439032</v>
      </c>
      <c r="AR1382" s="27">
        <v>79.2</v>
      </c>
      <c r="AS1382" s="29" t="s">
        <v>2842</v>
      </c>
      <c r="AT1382" s="270">
        <v>27</v>
      </c>
      <c r="AU1382" s="464">
        <v>42.488892080090132</v>
      </c>
      <c r="AV1382" s="29">
        <v>-0.73672391613667498</v>
      </c>
      <c r="AW1382" s="29">
        <v>-1.9462524352720001</v>
      </c>
      <c r="AX1382" s="29">
        <v>-1.08047539707395</v>
      </c>
      <c r="AY1382" s="29">
        <v>-0.66940161273980003</v>
      </c>
      <c r="AZ1382" s="60">
        <v>-1.12338313325942</v>
      </c>
    </row>
    <row r="1383" spans="1:52" s="29" customFormat="1" ht="15" customHeight="1">
      <c r="A1383" s="63" t="s">
        <v>423</v>
      </c>
      <c r="B1383" s="53">
        <v>2011</v>
      </c>
      <c r="C1383" s="146" t="s">
        <v>406</v>
      </c>
      <c r="D1383" s="69" t="s">
        <v>81</v>
      </c>
      <c r="E1383" s="27" t="s">
        <v>19</v>
      </c>
      <c r="F1383" s="27" t="s">
        <v>576</v>
      </c>
      <c r="G1383" s="43"/>
      <c r="H1383" s="43"/>
      <c r="I1383" s="43"/>
      <c r="J1383" s="43"/>
      <c r="K1383" s="27"/>
      <c r="L1383" s="28">
        <v>2107.2777411388502</v>
      </c>
      <c r="M1383" s="27" t="s">
        <v>568</v>
      </c>
      <c r="N1383" s="27" t="s">
        <v>1839</v>
      </c>
      <c r="O1383" s="18"/>
      <c r="P1383" s="214"/>
      <c r="Q1383" s="214"/>
      <c r="R1383" s="27"/>
      <c r="S1383" s="27"/>
      <c r="T1383" s="18"/>
      <c r="U1383" s="27"/>
      <c r="V1383" s="27"/>
      <c r="W1383" s="30"/>
      <c r="X1383" s="27"/>
      <c r="Y1383" s="27"/>
      <c r="Z1383" s="27"/>
      <c r="AA1383" s="27" t="s">
        <v>1840</v>
      </c>
      <c r="AB1383" s="27" t="s">
        <v>1841</v>
      </c>
      <c r="AC1383" s="273">
        <v>68613385930</v>
      </c>
      <c r="AD1383" s="27">
        <v>411743801711.64203</v>
      </c>
      <c r="AE1383" s="228">
        <v>0.16664096859447627</v>
      </c>
      <c r="AF1383" s="27">
        <v>132939721258.63786</v>
      </c>
      <c r="AG1383" s="226">
        <v>0.51612403937955298</v>
      </c>
      <c r="AH1383" s="226">
        <v>1.0221516532776811</v>
      </c>
      <c r="AI1383" s="27">
        <v>1768550000</v>
      </c>
      <c r="AJ1383" s="226">
        <v>38.796407186678351</v>
      </c>
      <c r="AK1383" s="27">
        <v>8001943177.3173304</v>
      </c>
      <c r="AL1383" s="226">
        <v>8.5745904975299752</v>
      </c>
      <c r="AM1383" s="27" t="s">
        <v>2842</v>
      </c>
      <c r="AN1383" s="271" t="s">
        <v>2842</v>
      </c>
      <c r="AO1383" s="27">
        <v>164192925</v>
      </c>
      <c r="AP1383" s="27" t="s">
        <v>2842</v>
      </c>
      <c r="AQ1383" s="27">
        <v>51.710243902439032</v>
      </c>
      <c r="AR1383" s="27">
        <v>79.2</v>
      </c>
      <c r="AS1383" s="29" t="s">
        <v>2842</v>
      </c>
      <c r="AT1383" s="270">
        <v>27</v>
      </c>
      <c r="AU1383" s="464">
        <v>42.488892080090132</v>
      </c>
      <c r="AV1383" s="29">
        <v>-0.73672391613667498</v>
      </c>
      <c r="AW1383" s="29">
        <v>-1.9462524352720001</v>
      </c>
      <c r="AX1383" s="29">
        <v>-1.08047539707395</v>
      </c>
      <c r="AY1383" s="29">
        <v>-0.66940161273980003</v>
      </c>
      <c r="AZ1383" s="60">
        <v>-1.12338313325942</v>
      </c>
    </row>
    <row r="1384" spans="1:52" s="29" customFormat="1" ht="15" customHeight="1">
      <c r="A1384" s="63" t="s">
        <v>423</v>
      </c>
      <c r="B1384" s="53">
        <v>2011</v>
      </c>
      <c r="C1384" s="146" t="s">
        <v>406</v>
      </c>
      <c r="D1384" s="69" t="s">
        <v>81</v>
      </c>
      <c r="E1384" s="27" t="s">
        <v>19</v>
      </c>
      <c r="F1384" s="27" t="s">
        <v>1842</v>
      </c>
      <c r="G1384" s="43"/>
      <c r="H1384" s="43">
        <v>61212</v>
      </c>
      <c r="I1384" s="43"/>
      <c r="J1384" s="43"/>
      <c r="K1384" s="27" t="s">
        <v>567</v>
      </c>
      <c r="L1384" s="28"/>
      <c r="M1384" s="27"/>
      <c r="N1384" s="27"/>
      <c r="O1384" s="18"/>
      <c r="P1384" s="214"/>
      <c r="Q1384" s="214"/>
      <c r="R1384" s="27"/>
      <c r="S1384" s="27"/>
      <c r="T1384" s="18"/>
      <c r="U1384" s="27"/>
      <c r="V1384" s="27"/>
      <c r="W1384" s="30"/>
      <c r="X1384" s="27"/>
      <c r="Y1384" s="27"/>
      <c r="Z1384" s="27"/>
      <c r="AA1384" s="27" t="s">
        <v>1837</v>
      </c>
      <c r="AB1384" s="27" t="s">
        <v>1678</v>
      </c>
      <c r="AC1384" s="273">
        <v>68613385930</v>
      </c>
      <c r="AD1384" s="27">
        <v>411743801711.64203</v>
      </c>
      <c r="AE1384" s="228">
        <v>0.16664096859447627</v>
      </c>
      <c r="AF1384" s="27">
        <v>132939721258.63786</v>
      </c>
      <c r="AG1384" s="226">
        <v>0.51612403937955298</v>
      </c>
      <c r="AH1384" s="226">
        <v>1.0221516532776811</v>
      </c>
      <c r="AI1384" s="27">
        <v>1768550000</v>
      </c>
      <c r="AJ1384" s="226">
        <v>38.796407186678351</v>
      </c>
      <c r="AK1384" s="27">
        <v>8001943177.3173304</v>
      </c>
      <c r="AL1384" s="226">
        <v>8.5745904975299752</v>
      </c>
      <c r="AM1384" s="27" t="s">
        <v>2842</v>
      </c>
      <c r="AN1384" s="271" t="s">
        <v>2842</v>
      </c>
      <c r="AO1384" s="27">
        <v>164192925</v>
      </c>
      <c r="AP1384" s="27" t="s">
        <v>2842</v>
      </c>
      <c r="AQ1384" s="27">
        <v>51.710243902439032</v>
      </c>
      <c r="AR1384" s="27">
        <v>79.2</v>
      </c>
      <c r="AS1384" s="29" t="s">
        <v>2842</v>
      </c>
      <c r="AT1384" s="270">
        <v>27</v>
      </c>
      <c r="AU1384" s="464">
        <v>42.488892080090132</v>
      </c>
      <c r="AV1384" s="29">
        <v>-0.73672391613667498</v>
      </c>
      <c r="AW1384" s="29">
        <v>-1.9462524352720001</v>
      </c>
      <c r="AX1384" s="29">
        <v>-1.08047539707395</v>
      </c>
      <c r="AY1384" s="29">
        <v>-0.66940161273980003</v>
      </c>
      <c r="AZ1384" s="60">
        <v>-1.12338313325942</v>
      </c>
    </row>
    <row r="1385" spans="1:52" s="29" customFormat="1" ht="15" customHeight="1">
      <c r="A1385" s="63" t="s">
        <v>423</v>
      </c>
      <c r="B1385" s="53">
        <v>2011</v>
      </c>
      <c r="C1385" s="146" t="s">
        <v>406</v>
      </c>
      <c r="D1385" s="69" t="s">
        <v>81</v>
      </c>
      <c r="E1385" s="27" t="s">
        <v>19</v>
      </c>
      <c r="F1385" s="27" t="s">
        <v>1125</v>
      </c>
      <c r="G1385" s="43">
        <v>1700</v>
      </c>
      <c r="H1385" s="43"/>
      <c r="I1385" s="43"/>
      <c r="J1385" s="43"/>
      <c r="K1385" s="27" t="s">
        <v>567</v>
      </c>
      <c r="L1385" s="28">
        <v>62</v>
      </c>
      <c r="M1385" s="27" t="s">
        <v>568</v>
      </c>
      <c r="N1385" s="27" t="s">
        <v>1126</v>
      </c>
      <c r="O1385" s="18">
        <f>G1385*L1385</f>
        <v>105400</v>
      </c>
      <c r="P1385" s="214"/>
      <c r="Q1385" s="214"/>
      <c r="R1385" s="27"/>
      <c r="S1385" s="27"/>
      <c r="T1385" s="18"/>
      <c r="U1385" s="27"/>
      <c r="V1385" s="27"/>
      <c r="W1385" s="30"/>
      <c r="X1385" s="27"/>
      <c r="Y1385" s="27"/>
      <c r="Z1385" s="27"/>
      <c r="AA1385" s="27"/>
      <c r="AB1385" s="27"/>
      <c r="AC1385" s="273">
        <v>68613385930</v>
      </c>
      <c r="AD1385" s="27">
        <v>411743801711.64203</v>
      </c>
      <c r="AE1385" s="228">
        <v>0.16664096859447627</v>
      </c>
      <c r="AF1385" s="27">
        <v>132939721258.63786</v>
      </c>
      <c r="AG1385" s="226">
        <v>0.51612403937955298</v>
      </c>
      <c r="AH1385" s="226">
        <v>1.0221516532776811</v>
      </c>
      <c r="AI1385" s="27">
        <v>1768550000</v>
      </c>
      <c r="AJ1385" s="226">
        <v>38.796407186678351</v>
      </c>
      <c r="AK1385" s="27">
        <v>8001943177.3173304</v>
      </c>
      <c r="AL1385" s="226">
        <v>8.5745904975299752</v>
      </c>
      <c r="AM1385" s="27" t="s">
        <v>2842</v>
      </c>
      <c r="AN1385" s="271" t="s">
        <v>2842</v>
      </c>
      <c r="AO1385" s="27">
        <v>164192925</v>
      </c>
      <c r="AP1385" s="27" t="s">
        <v>2842</v>
      </c>
      <c r="AQ1385" s="27">
        <v>51.710243902439032</v>
      </c>
      <c r="AR1385" s="27">
        <v>79.2</v>
      </c>
      <c r="AS1385" s="29" t="s">
        <v>2842</v>
      </c>
      <c r="AT1385" s="270">
        <v>27</v>
      </c>
      <c r="AU1385" s="464">
        <v>42.488892080090132</v>
      </c>
      <c r="AV1385" s="29">
        <v>-0.73672391613667498</v>
      </c>
      <c r="AW1385" s="29">
        <v>-1.9462524352720001</v>
      </c>
      <c r="AX1385" s="29">
        <v>-1.08047539707395</v>
      </c>
      <c r="AY1385" s="29">
        <v>-0.66940161273980003</v>
      </c>
      <c r="AZ1385" s="60">
        <v>-1.12338313325942</v>
      </c>
    </row>
    <row r="1386" spans="1:52" s="29" customFormat="1" ht="15" customHeight="1">
      <c r="A1386" s="63" t="s">
        <v>423</v>
      </c>
      <c r="B1386" s="53">
        <v>2011</v>
      </c>
      <c r="C1386" s="146" t="s">
        <v>406</v>
      </c>
      <c r="D1386" s="69" t="s">
        <v>81</v>
      </c>
      <c r="E1386" s="27" t="s">
        <v>19</v>
      </c>
      <c r="F1386" s="27" t="s">
        <v>730</v>
      </c>
      <c r="G1386" s="43">
        <f>4000*32.150743126506</f>
        <v>128602.972506024</v>
      </c>
      <c r="H1386" s="43"/>
      <c r="I1386" s="43"/>
      <c r="J1386" s="43"/>
      <c r="K1386" s="27" t="s">
        <v>731</v>
      </c>
      <c r="L1386" s="28">
        <v>1569.2108333333299</v>
      </c>
      <c r="M1386" s="27" t="s">
        <v>732</v>
      </c>
      <c r="N1386" s="27" t="s">
        <v>733</v>
      </c>
      <c r="O1386" s="18">
        <f>G1386*L1386</f>
        <v>201805177.65532124</v>
      </c>
      <c r="P1386" s="214"/>
      <c r="Q1386" s="214"/>
      <c r="R1386" s="27"/>
      <c r="S1386" s="27"/>
      <c r="T1386" s="18"/>
      <c r="U1386" s="27"/>
      <c r="V1386" s="27"/>
      <c r="W1386" s="30"/>
      <c r="X1386" s="27"/>
      <c r="Y1386" s="27"/>
      <c r="Z1386" s="27"/>
      <c r="AA1386" s="27"/>
      <c r="AB1386" s="27"/>
      <c r="AC1386" s="273">
        <v>68613385930</v>
      </c>
      <c r="AD1386" s="27">
        <v>411743801711.64203</v>
      </c>
      <c r="AE1386" s="228">
        <v>0.16664096859447627</v>
      </c>
      <c r="AF1386" s="27">
        <v>132939721258.63786</v>
      </c>
      <c r="AG1386" s="226">
        <v>0.51612403937955298</v>
      </c>
      <c r="AH1386" s="226">
        <v>1.0221516532776811</v>
      </c>
      <c r="AI1386" s="27">
        <v>1768550000</v>
      </c>
      <c r="AJ1386" s="226">
        <v>38.796407186678351</v>
      </c>
      <c r="AK1386" s="27">
        <v>8001943177.3173304</v>
      </c>
      <c r="AL1386" s="226">
        <v>8.5745904975299752</v>
      </c>
      <c r="AM1386" s="27" t="s">
        <v>2842</v>
      </c>
      <c r="AN1386" s="271" t="s">
        <v>2842</v>
      </c>
      <c r="AO1386" s="27">
        <v>164192925</v>
      </c>
      <c r="AP1386" s="27" t="s">
        <v>2842</v>
      </c>
      <c r="AQ1386" s="27">
        <v>51.710243902439032</v>
      </c>
      <c r="AR1386" s="27">
        <v>79.2</v>
      </c>
      <c r="AS1386" s="29" t="s">
        <v>2842</v>
      </c>
      <c r="AT1386" s="270">
        <v>27</v>
      </c>
      <c r="AU1386" s="464">
        <v>42.488892080090132</v>
      </c>
      <c r="AV1386" s="29">
        <v>-0.73672391613667498</v>
      </c>
      <c r="AW1386" s="29">
        <v>-1.9462524352720001</v>
      </c>
      <c r="AX1386" s="29">
        <v>-1.08047539707395</v>
      </c>
      <c r="AY1386" s="29">
        <v>-0.66940161273980003</v>
      </c>
      <c r="AZ1386" s="60">
        <v>-1.12338313325942</v>
      </c>
    </row>
    <row r="1387" spans="1:52" s="29" customFormat="1" ht="15" customHeight="1">
      <c r="A1387" s="63" t="s">
        <v>423</v>
      </c>
      <c r="B1387" s="53">
        <v>2011</v>
      </c>
      <c r="C1387" s="146" t="s">
        <v>406</v>
      </c>
      <c r="D1387" s="69" t="s">
        <v>81</v>
      </c>
      <c r="E1387" s="27" t="s">
        <v>19</v>
      </c>
      <c r="F1387" s="27" t="s">
        <v>882</v>
      </c>
      <c r="G1387" s="43">
        <v>9621000</v>
      </c>
      <c r="H1387" s="43">
        <v>7587626.1900000004</v>
      </c>
      <c r="I1387" s="43"/>
      <c r="J1387" s="43"/>
      <c r="K1387" s="27" t="s">
        <v>567</v>
      </c>
      <c r="L1387" s="28">
        <v>12</v>
      </c>
      <c r="M1387" s="27" t="s">
        <v>568</v>
      </c>
      <c r="N1387" s="27" t="s">
        <v>1843</v>
      </c>
      <c r="O1387" s="18">
        <f>G1387*L1387</f>
        <v>115452000</v>
      </c>
      <c r="P1387" s="214"/>
      <c r="Q1387" s="214"/>
      <c r="R1387" s="27"/>
      <c r="S1387" s="27"/>
      <c r="T1387" s="18"/>
      <c r="U1387" s="27"/>
      <c r="V1387" s="27"/>
      <c r="W1387" s="30"/>
      <c r="X1387" s="27"/>
      <c r="Y1387" s="27"/>
      <c r="Z1387" s="27"/>
      <c r="AA1387" s="27" t="s">
        <v>1837</v>
      </c>
      <c r="AB1387" s="27"/>
      <c r="AC1387" s="273">
        <v>68613385930</v>
      </c>
      <c r="AD1387" s="27">
        <v>411743801711.64203</v>
      </c>
      <c r="AE1387" s="228">
        <v>0.16664096859447627</v>
      </c>
      <c r="AF1387" s="27">
        <v>132939721258.63786</v>
      </c>
      <c r="AG1387" s="226">
        <v>0.51612403937955298</v>
      </c>
      <c r="AH1387" s="226">
        <v>1.0221516532776811</v>
      </c>
      <c r="AI1387" s="27">
        <v>1768550000</v>
      </c>
      <c r="AJ1387" s="226">
        <v>38.796407186678351</v>
      </c>
      <c r="AK1387" s="27">
        <v>8001943177.3173304</v>
      </c>
      <c r="AL1387" s="226">
        <v>8.5745904975299752</v>
      </c>
      <c r="AM1387" s="27" t="s">
        <v>2842</v>
      </c>
      <c r="AN1387" s="271" t="s">
        <v>2842</v>
      </c>
      <c r="AO1387" s="27">
        <v>164192925</v>
      </c>
      <c r="AP1387" s="27" t="s">
        <v>2842</v>
      </c>
      <c r="AQ1387" s="27">
        <v>51.710243902439032</v>
      </c>
      <c r="AR1387" s="27">
        <v>79.2</v>
      </c>
      <c r="AS1387" s="29" t="s">
        <v>2842</v>
      </c>
      <c r="AT1387" s="270">
        <v>27</v>
      </c>
      <c r="AU1387" s="464">
        <v>42.488892080090132</v>
      </c>
      <c r="AV1387" s="29">
        <v>-0.73672391613667498</v>
      </c>
      <c r="AW1387" s="29">
        <v>-1.9462524352720001</v>
      </c>
      <c r="AX1387" s="29">
        <v>-1.08047539707395</v>
      </c>
      <c r="AY1387" s="29">
        <v>-0.66940161273980003</v>
      </c>
      <c r="AZ1387" s="60">
        <v>-1.12338313325942</v>
      </c>
    </row>
    <row r="1388" spans="1:52" s="29" customFormat="1" ht="15" customHeight="1">
      <c r="A1388" s="63" t="s">
        <v>423</v>
      </c>
      <c r="B1388" s="53">
        <v>2011</v>
      </c>
      <c r="C1388" s="146" t="s">
        <v>406</v>
      </c>
      <c r="D1388" s="69" t="s">
        <v>81</v>
      </c>
      <c r="E1388" s="27" t="s">
        <v>19</v>
      </c>
      <c r="F1388" s="27" t="s">
        <v>579</v>
      </c>
      <c r="G1388" s="595">
        <v>320000</v>
      </c>
      <c r="H1388" s="595">
        <v>20072.7</v>
      </c>
      <c r="I1388" s="43"/>
      <c r="J1388" s="43"/>
      <c r="K1388" s="27" t="s">
        <v>567</v>
      </c>
      <c r="L1388" s="28">
        <v>18.5</v>
      </c>
      <c r="M1388" s="27" t="s">
        <v>568</v>
      </c>
      <c r="N1388" s="27" t="s">
        <v>1132</v>
      </c>
      <c r="O1388" s="18">
        <f>G1388*L1388</f>
        <v>5920000</v>
      </c>
      <c r="P1388" s="214"/>
      <c r="Q1388" s="214"/>
      <c r="R1388" s="27"/>
      <c r="S1388" s="27"/>
      <c r="T1388" s="18"/>
      <c r="U1388" s="27"/>
      <c r="V1388" s="27"/>
      <c r="W1388" s="30"/>
      <c r="X1388" s="27"/>
      <c r="Y1388" s="27"/>
      <c r="Z1388" s="27"/>
      <c r="AA1388" s="27" t="s">
        <v>1837</v>
      </c>
      <c r="AB1388" s="27"/>
      <c r="AC1388" s="273">
        <v>68613385930</v>
      </c>
      <c r="AD1388" s="27">
        <v>411743801711.64203</v>
      </c>
      <c r="AE1388" s="228">
        <v>0.16664096859447627</v>
      </c>
      <c r="AF1388" s="27">
        <v>132939721258.63786</v>
      </c>
      <c r="AG1388" s="226">
        <v>0.51612403937955298</v>
      </c>
      <c r="AH1388" s="226">
        <v>1.0221516532776811</v>
      </c>
      <c r="AI1388" s="27">
        <v>1768550000</v>
      </c>
      <c r="AJ1388" s="226">
        <v>38.796407186678351</v>
      </c>
      <c r="AK1388" s="27">
        <v>8001943177.3173304</v>
      </c>
      <c r="AL1388" s="226">
        <v>8.5745904975299752</v>
      </c>
      <c r="AM1388" s="27" t="s">
        <v>2842</v>
      </c>
      <c r="AN1388" s="271" t="s">
        <v>2842</v>
      </c>
      <c r="AO1388" s="27">
        <v>164192925</v>
      </c>
      <c r="AP1388" s="27" t="s">
        <v>2842</v>
      </c>
      <c r="AQ1388" s="27">
        <v>51.710243902439032</v>
      </c>
      <c r="AR1388" s="27">
        <v>79.2</v>
      </c>
      <c r="AS1388" s="29" t="s">
        <v>2842</v>
      </c>
      <c r="AT1388" s="270">
        <v>27</v>
      </c>
      <c r="AU1388" s="464">
        <v>42.488892080090132</v>
      </c>
      <c r="AV1388" s="29">
        <v>-0.73672391613667498</v>
      </c>
      <c r="AW1388" s="29">
        <v>-1.9462524352720001</v>
      </c>
      <c r="AX1388" s="29">
        <v>-1.08047539707395</v>
      </c>
      <c r="AY1388" s="29">
        <v>-0.66940161273980003</v>
      </c>
      <c r="AZ1388" s="60">
        <v>-1.12338313325942</v>
      </c>
    </row>
    <row r="1389" spans="1:52" s="29" customFormat="1" ht="15" customHeight="1">
      <c r="A1389" s="63" t="s">
        <v>423</v>
      </c>
      <c r="B1389" s="53">
        <v>2011</v>
      </c>
      <c r="C1389" s="146" t="s">
        <v>406</v>
      </c>
      <c r="D1389" s="69" t="s">
        <v>81</v>
      </c>
      <c r="E1389" s="27" t="s">
        <v>19</v>
      </c>
      <c r="F1389" s="27" t="s">
        <v>1133</v>
      </c>
      <c r="G1389" s="43">
        <v>70000</v>
      </c>
      <c r="H1389" s="43"/>
      <c r="I1389" s="43"/>
      <c r="J1389" s="43"/>
      <c r="K1389" s="27" t="s">
        <v>567</v>
      </c>
      <c r="L1389" s="28">
        <v>167.75416666666999</v>
      </c>
      <c r="M1389" s="27" t="s">
        <v>568</v>
      </c>
      <c r="N1389" s="27" t="s">
        <v>1844</v>
      </c>
      <c r="O1389" s="18">
        <f>G1389*L1389</f>
        <v>11742791.666666899</v>
      </c>
      <c r="P1389" s="214"/>
      <c r="Q1389" s="214"/>
      <c r="R1389" s="27"/>
      <c r="S1389" s="27"/>
      <c r="T1389" s="18"/>
      <c r="U1389" s="27"/>
      <c r="V1389" s="27"/>
      <c r="W1389" s="30"/>
      <c r="X1389" s="27"/>
      <c r="Y1389" s="27"/>
      <c r="Z1389" s="27"/>
      <c r="AA1389" s="27"/>
      <c r="AB1389" s="27"/>
      <c r="AC1389" s="273">
        <v>68613385930</v>
      </c>
      <c r="AD1389" s="27">
        <v>411743801711.64203</v>
      </c>
      <c r="AE1389" s="228">
        <v>0.16664096859447627</v>
      </c>
      <c r="AF1389" s="27">
        <v>132939721258.63786</v>
      </c>
      <c r="AG1389" s="226">
        <v>0.51612403937955298</v>
      </c>
      <c r="AH1389" s="226">
        <v>1.0221516532776811</v>
      </c>
      <c r="AI1389" s="27">
        <v>1768550000</v>
      </c>
      <c r="AJ1389" s="226">
        <v>38.796407186678351</v>
      </c>
      <c r="AK1389" s="27">
        <v>8001943177.3173304</v>
      </c>
      <c r="AL1389" s="226">
        <v>8.5745904975299752</v>
      </c>
      <c r="AM1389" s="27" t="s">
        <v>2842</v>
      </c>
      <c r="AN1389" s="271" t="s">
        <v>2842</v>
      </c>
      <c r="AO1389" s="27">
        <v>164192925</v>
      </c>
      <c r="AP1389" s="27" t="s">
        <v>2842</v>
      </c>
      <c r="AQ1389" s="27">
        <v>51.710243902439032</v>
      </c>
      <c r="AR1389" s="27">
        <v>79.2</v>
      </c>
      <c r="AS1389" s="29" t="s">
        <v>2842</v>
      </c>
      <c r="AT1389" s="270">
        <v>27</v>
      </c>
      <c r="AU1389" s="464">
        <v>42.488892080090132</v>
      </c>
      <c r="AV1389" s="29">
        <v>-0.73672391613667498</v>
      </c>
      <c r="AW1389" s="29">
        <v>-1.9462524352720001</v>
      </c>
      <c r="AX1389" s="29">
        <v>-1.08047539707395</v>
      </c>
      <c r="AY1389" s="29">
        <v>-0.66940161273980003</v>
      </c>
      <c r="AZ1389" s="60">
        <v>-1.12338313325942</v>
      </c>
    </row>
    <row r="1390" spans="1:52" s="29" customFormat="1" ht="15" customHeight="1">
      <c r="A1390" s="63" t="s">
        <v>423</v>
      </c>
      <c r="B1390" s="53">
        <v>2011</v>
      </c>
      <c r="C1390" s="146" t="s">
        <v>406</v>
      </c>
      <c r="D1390" s="69" t="s">
        <v>81</v>
      </c>
      <c r="E1390" s="27" t="s">
        <v>19</v>
      </c>
      <c r="F1390" s="27" t="s">
        <v>1845</v>
      </c>
      <c r="G1390" s="43">
        <v>2573000</v>
      </c>
      <c r="H1390" s="43">
        <v>2304615.85</v>
      </c>
      <c r="I1390" s="43"/>
      <c r="J1390" s="43"/>
      <c r="K1390" s="27" t="s">
        <v>567</v>
      </c>
      <c r="L1390" s="28"/>
      <c r="M1390" s="27"/>
      <c r="N1390" s="27" t="s">
        <v>636</v>
      </c>
      <c r="O1390" s="18"/>
      <c r="P1390" s="214"/>
      <c r="Q1390" s="214"/>
      <c r="R1390" s="27"/>
      <c r="S1390" s="27"/>
      <c r="T1390" s="18"/>
      <c r="U1390" s="27"/>
      <c r="V1390" s="27"/>
      <c r="W1390" s="30"/>
      <c r="X1390" s="27"/>
      <c r="Y1390" s="27"/>
      <c r="Z1390" s="27"/>
      <c r="AA1390" s="27" t="s">
        <v>1837</v>
      </c>
      <c r="AB1390" s="27"/>
      <c r="AC1390" s="273">
        <v>68613385930</v>
      </c>
      <c r="AD1390" s="27">
        <v>411743801711.64203</v>
      </c>
      <c r="AE1390" s="228">
        <v>0.16664096859447627</v>
      </c>
      <c r="AF1390" s="27">
        <v>132939721258.63786</v>
      </c>
      <c r="AG1390" s="226">
        <v>0.51612403937955298</v>
      </c>
      <c r="AH1390" s="226">
        <v>1.0221516532776811</v>
      </c>
      <c r="AI1390" s="27">
        <v>1768550000</v>
      </c>
      <c r="AJ1390" s="226">
        <v>38.796407186678351</v>
      </c>
      <c r="AK1390" s="27">
        <v>8001943177.3173304</v>
      </c>
      <c r="AL1390" s="226">
        <v>8.5745904975299752</v>
      </c>
      <c r="AM1390" s="27" t="s">
        <v>2842</v>
      </c>
      <c r="AN1390" s="271" t="s">
        <v>2842</v>
      </c>
      <c r="AO1390" s="27">
        <v>164192925</v>
      </c>
      <c r="AP1390" s="27" t="s">
        <v>2842</v>
      </c>
      <c r="AQ1390" s="27">
        <v>51.710243902439032</v>
      </c>
      <c r="AR1390" s="27">
        <v>79.2</v>
      </c>
      <c r="AS1390" s="29" t="s">
        <v>2842</v>
      </c>
      <c r="AT1390" s="270">
        <v>27</v>
      </c>
      <c r="AU1390" s="464">
        <v>42.488892080090132</v>
      </c>
      <c r="AV1390" s="29">
        <v>-0.73672391613667498</v>
      </c>
      <c r="AW1390" s="29">
        <v>-1.9462524352720001</v>
      </c>
      <c r="AX1390" s="29">
        <v>-1.08047539707395</v>
      </c>
      <c r="AY1390" s="29">
        <v>-0.66940161273980003</v>
      </c>
      <c r="AZ1390" s="60">
        <v>-1.12338313325942</v>
      </c>
    </row>
    <row r="1391" spans="1:52" s="29" customFormat="1" ht="15" customHeight="1">
      <c r="A1391" s="63" t="s">
        <v>423</v>
      </c>
      <c r="B1391" s="53">
        <v>2011</v>
      </c>
      <c r="C1391" s="146" t="s">
        <v>406</v>
      </c>
      <c r="D1391" s="69" t="s">
        <v>81</v>
      </c>
      <c r="E1391" s="27" t="s">
        <v>19</v>
      </c>
      <c r="F1391" s="27" t="s">
        <v>1846</v>
      </c>
      <c r="G1391" s="43">
        <v>800000</v>
      </c>
      <c r="H1391" s="43"/>
      <c r="I1391" s="43"/>
      <c r="J1391" s="43"/>
      <c r="K1391" s="27" t="s">
        <v>567</v>
      </c>
      <c r="L1391" s="28"/>
      <c r="M1391" s="27"/>
      <c r="N1391" s="27" t="s">
        <v>636</v>
      </c>
      <c r="O1391" s="18"/>
      <c r="P1391" s="214"/>
      <c r="Q1391" s="214"/>
      <c r="R1391" s="27"/>
      <c r="S1391" s="27"/>
      <c r="T1391" s="18"/>
      <c r="U1391" s="27"/>
      <c r="V1391" s="27"/>
      <c r="W1391" s="30"/>
      <c r="X1391" s="27"/>
      <c r="Y1391" s="27"/>
      <c r="Z1391" s="27"/>
      <c r="AA1391" s="27"/>
      <c r="AB1391" s="27"/>
      <c r="AC1391" s="273">
        <v>68613385930</v>
      </c>
      <c r="AD1391" s="27">
        <v>411743801711.64203</v>
      </c>
      <c r="AE1391" s="228">
        <v>0.16664096859447627</v>
      </c>
      <c r="AF1391" s="27">
        <v>132939721258.63786</v>
      </c>
      <c r="AG1391" s="226">
        <v>0.51612403937955298</v>
      </c>
      <c r="AH1391" s="226">
        <v>1.0221516532776811</v>
      </c>
      <c r="AI1391" s="27">
        <v>1768550000</v>
      </c>
      <c r="AJ1391" s="226">
        <v>38.796407186678351</v>
      </c>
      <c r="AK1391" s="27">
        <v>8001943177.3173304</v>
      </c>
      <c r="AL1391" s="226">
        <v>8.5745904975299752</v>
      </c>
      <c r="AM1391" s="27" t="s">
        <v>2842</v>
      </c>
      <c r="AN1391" s="271" t="s">
        <v>2842</v>
      </c>
      <c r="AO1391" s="27">
        <v>164192925</v>
      </c>
      <c r="AP1391" s="27" t="s">
        <v>2842</v>
      </c>
      <c r="AQ1391" s="27">
        <v>51.710243902439032</v>
      </c>
      <c r="AR1391" s="27">
        <v>79.2</v>
      </c>
      <c r="AS1391" s="29" t="s">
        <v>2842</v>
      </c>
      <c r="AT1391" s="270">
        <v>27</v>
      </c>
      <c r="AU1391" s="464">
        <v>42.488892080090132</v>
      </c>
      <c r="AV1391" s="29">
        <v>-0.73672391613667498</v>
      </c>
      <c r="AW1391" s="29">
        <v>-1.9462524352720001</v>
      </c>
      <c r="AX1391" s="29">
        <v>-1.08047539707395</v>
      </c>
      <c r="AY1391" s="29">
        <v>-0.66940161273980003</v>
      </c>
      <c r="AZ1391" s="60">
        <v>-1.12338313325942</v>
      </c>
    </row>
    <row r="1392" spans="1:52" s="29" customFormat="1" ht="15" customHeight="1">
      <c r="A1392" s="63" t="s">
        <v>423</v>
      </c>
      <c r="B1392" s="53">
        <v>2011</v>
      </c>
      <c r="C1392" s="146" t="s">
        <v>406</v>
      </c>
      <c r="D1392" s="69" t="s">
        <v>81</v>
      </c>
      <c r="E1392" s="27" t="s">
        <v>19</v>
      </c>
      <c r="F1392" s="27" t="s">
        <v>653</v>
      </c>
      <c r="G1392" s="595">
        <v>8280000</v>
      </c>
      <c r="H1392" s="595">
        <v>15224910.32</v>
      </c>
      <c r="I1392" s="43"/>
      <c r="J1392" s="43"/>
      <c r="K1392" s="27" t="s">
        <v>567</v>
      </c>
      <c r="L1392" s="28">
        <v>9.06</v>
      </c>
      <c r="M1392" s="27" t="s">
        <v>568</v>
      </c>
      <c r="N1392" s="27" t="s">
        <v>1785</v>
      </c>
      <c r="O1392" s="18">
        <f>G1392*L1392</f>
        <v>75016800</v>
      </c>
      <c r="P1392" s="214"/>
      <c r="Q1392" s="214"/>
      <c r="R1392" s="27"/>
      <c r="S1392" s="27"/>
      <c r="T1392" s="18"/>
      <c r="U1392" s="27"/>
      <c r="V1392" s="27"/>
      <c r="W1392" s="30"/>
      <c r="X1392" s="27"/>
      <c r="Y1392" s="27"/>
      <c r="Z1392" s="27"/>
      <c r="AA1392" s="27" t="s">
        <v>1837</v>
      </c>
      <c r="AB1392" s="27"/>
      <c r="AC1392" s="273">
        <v>68613385930</v>
      </c>
      <c r="AD1392" s="27">
        <v>411743801711.64203</v>
      </c>
      <c r="AE1392" s="228">
        <v>0.16664096859447627</v>
      </c>
      <c r="AF1392" s="27">
        <v>132939721258.63786</v>
      </c>
      <c r="AG1392" s="226">
        <v>0.51612403937955298</v>
      </c>
      <c r="AH1392" s="226">
        <v>1.0221516532776811</v>
      </c>
      <c r="AI1392" s="27">
        <v>1768550000</v>
      </c>
      <c r="AJ1392" s="226">
        <v>38.796407186678351</v>
      </c>
      <c r="AK1392" s="27">
        <v>8001943177.3173304</v>
      </c>
      <c r="AL1392" s="226">
        <v>8.5745904975299752</v>
      </c>
      <c r="AM1392" s="27" t="s">
        <v>2842</v>
      </c>
      <c r="AN1392" s="271" t="s">
        <v>2842</v>
      </c>
      <c r="AO1392" s="27">
        <v>164192925</v>
      </c>
      <c r="AP1392" s="27" t="s">
        <v>2842</v>
      </c>
      <c r="AQ1392" s="27">
        <v>51.710243902439032</v>
      </c>
      <c r="AR1392" s="27">
        <v>79.2</v>
      </c>
      <c r="AS1392" s="29" t="s">
        <v>2842</v>
      </c>
      <c r="AT1392" s="270">
        <v>27</v>
      </c>
      <c r="AU1392" s="464">
        <v>42.488892080090132</v>
      </c>
      <c r="AV1392" s="29">
        <v>-0.73672391613667498</v>
      </c>
      <c r="AW1392" s="29">
        <v>-1.9462524352720001</v>
      </c>
      <c r="AX1392" s="29">
        <v>-1.08047539707395</v>
      </c>
      <c r="AY1392" s="29">
        <v>-0.66940161273980003</v>
      </c>
      <c r="AZ1392" s="60">
        <v>-1.12338313325942</v>
      </c>
    </row>
    <row r="1393" spans="1:52" s="29" customFormat="1" ht="15" customHeight="1">
      <c r="A1393" s="63" t="s">
        <v>423</v>
      </c>
      <c r="B1393" s="53">
        <v>2011</v>
      </c>
      <c r="C1393" s="146" t="s">
        <v>406</v>
      </c>
      <c r="D1393" s="69" t="s">
        <v>81</v>
      </c>
      <c r="E1393" s="27" t="s">
        <v>19</v>
      </c>
      <c r="F1393" s="27" t="s">
        <v>784</v>
      </c>
      <c r="G1393" s="43"/>
      <c r="H1393" s="43"/>
      <c r="I1393" s="43"/>
      <c r="J1393" s="43"/>
      <c r="K1393" s="27"/>
      <c r="L1393" s="28">
        <v>0.4439706429563603</v>
      </c>
      <c r="M1393" s="27" t="s">
        <v>568</v>
      </c>
      <c r="N1393" s="27" t="s">
        <v>1839</v>
      </c>
      <c r="O1393" s="18"/>
      <c r="P1393" s="214"/>
      <c r="Q1393" s="214"/>
      <c r="R1393" s="27"/>
      <c r="S1393" s="27"/>
      <c r="T1393" s="18"/>
      <c r="U1393" s="27"/>
      <c r="V1393" s="27"/>
      <c r="W1393" s="30"/>
      <c r="X1393" s="27"/>
      <c r="Y1393" s="27"/>
      <c r="Z1393" s="27"/>
      <c r="AA1393" s="27" t="s">
        <v>1840</v>
      </c>
      <c r="AB1393" s="27" t="s">
        <v>1841</v>
      </c>
      <c r="AC1393" s="273">
        <v>68613385930</v>
      </c>
      <c r="AD1393" s="27">
        <v>411743801711.64203</v>
      </c>
      <c r="AE1393" s="228">
        <v>0.16664096859447627</v>
      </c>
      <c r="AF1393" s="27">
        <v>132939721258.63786</v>
      </c>
      <c r="AG1393" s="226">
        <v>0.51612403937955298</v>
      </c>
      <c r="AH1393" s="226">
        <v>1.0221516532776811</v>
      </c>
      <c r="AI1393" s="27">
        <v>1768550000</v>
      </c>
      <c r="AJ1393" s="226">
        <v>38.796407186678351</v>
      </c>
      <c r="AK1393" s="27">
        <v>8001943177.3173304</v>
      </c>
      <c r="AL1393" s="226">
        <v>8.5745904975299752</v>
      </c>
      <c r="AM1393" s="27" t="s">
        <v>2842</v>
      </c>
      <c r="AN1393" s="271" t="s">
        <v>2842</v>
      </c>
      <c r="AO1393" s="27">
        <v>164192925</v>
      </c>
      <c r="AP1393" s="27" t="s">
        <v>2842</v>
      </c>
      <c r="AQ1393" s="27">
        <v>51.710243902439032</v>
      </c>
      <c r="AR1393" s="27">
        <v>79.2</v>
      </c>
      <c r="AS1393" s="29" t="s">
        <v>2842</v>
      </c>
      <c r="AT1393" s="270">
        <v>27</v>
      </c>
      <c r="AU1393" s="464">
        <v>42.488892080090132</v>
      </c>
      <c r="AV1393" s="29">
        <v>-0.73672391613667498</v>
      </c>
      <c r="AW1393" s="29">
        <v>-1.9462524352720001</v>
      </c>
      <c r="AX1393" s="29">
        <v>-1.08047539707395</v>
      </c>
      <c r="AY1393" s="29">
        <v>-0.66940161273980003</v>
      </c>
      <c r="AZ1393" s="60">
        <v>-1.12338313325942</v>
      </c>
    </row>
    <row r="1394" spans="1:52" s="29" customFormat="1" ht="15" customHeight="1">
      <c r="A1394" s="63" t="s">
        <v>423</v>
      </c>
      <c r="B1394" s="53">
        <v>2011</v>
      </c>
      <c r="C1394" s="146" t="s">
        <v>406</v>
      </c>
      <c r="D1394" s="69" t="s">
        <v>81</v>
      </c>
      <c r="E1394" s="27" t="s">
        <v>19</v>
      </c>
      <c r="F1394" s="27" t="s">
        <v>1847</v>
      </c>
      <c r="G1394" s="43">
        <v>10185000</v>
      </c>
      <c r="H1394" s="43"/>
      <c r="I1394" s="43"/>
      <c r="J1394" s="43"/>
      <c r="K1394" s="27" t="s">
        <v>567</v>
      </c>
      <c r="L1394" s="28">
        <v>15.3</v>
      </c>
      <c r="M1394" s="27" t="s">
        <v>568</v>
      </c>
      <c r="N1394" s="27" t="s">
        <v>1157</v>
      </c>
      <c r="O1394" s="18">
        <f>G1394*L1394</f>
        <v>155830500</v>
      </c>
      <c r="P1394" s="214"/>
      <c r="Q1394" s="214"/>
      <c r="R1394" s="27"/>
      <c r="S1394" s="27"/>
      <c r="T1394" s="18"/>
      <c r="U1394" s="27"/>
      <c r="V1394" s="27"/>
      <c r="W1394" s="30"/>
      <c r="X1394" s="27"/>
      <c r="Y1394" s="27"/>
      <c r="Z1394" s="27"/>
      <c r="AA1394" s="27"/>
      <c r="AB1394" s="27"/>
      <c r="AC1394" s="273">
        <v>68613385930</v>
      </c>
      <c r="AD1394" s="27">
        <v>411743801711.64203</v>
      </c>
      <c r="AE1394" s="228">
        <v>0.16664096859447627</v>
      </c>
      <c r="AF1394" s="27">
        <v>132939721258.63786</v>
      </c>
      <c r="AG1394" s="226">
        <v>0.51612403937955298</v>
      </c>
      <c r="AH1394" s="226">
        <v>1.0221516532776811</v>
      </c>
      <c r="AI1394" s="27">
        <v>1768550000</v>
      </c>
      <c r="AJ1394" s="226">
        <v>38.796407186678351</v>
      </c>
      <c r="AK1394" s="27">
        <v>8001943177.3173304</v>
      </c>
      <c r="AL1394" s="226">
        <v>8.5745904975299752</v>
      </c>
      <c r="AM1394" s="27" t="s">
        <v>2842</v>
      </c>
      <c r="AN1394" s="271" t="s">
        <v>2842</v>
      </c>
      <c r="AO1394" s="27">
        <v>164192925</v>
      </c>
      <c r="AP1394" s="27" t="s">
        <v>2842</v>
      </c>
      <c r="AQ1394" s="27">
        <v>51.710243902439032</v>
      </c>
      <c r="AR1394" s="27">
        <v>79.2</v>
      </c>
      <c r="AS1394" s="29" t="s">
        <v>2842</v>
      </c>
      <c r="AT1394" s="270">
        <v>27</v>
      </c>
      <c r="AU1394" s="464">
        <v>42.488892080090132</v>
      </c>
      <c r="AV1394" s="29">
        <v>-0.73672391613667498</v>
      </c>
      <c r="AW1394" s="29">
        <v>-1.9462524352720001</v>
      </c>
      <c r="AX1394" s="29">
        <v>-1.08047539707395</v>
      </c>
      <c r="AY1394" s="29">
        <v>-0.66940161273980003</v>
      </c>
      <c r="AZ1394" s="60">
        <v>-1.12338313325942</v>
      </c>
    </row>
    <row r="1395" spans="1:52" s="29" customFormat="1" ht="15" customHeight="1">
      <c r="A1395" s="63" t="s">
        <v>423</v>
      </c>
      <c r="B1395" s="53">
        <v>2011</v>
      </c>
      <c r="C1395" s="146" t="s">
        <v>406</v>
      </c>
      <c r="D1395" s="69" t="s">
        <v>81</v>
      </c>
      <c r="E1395" s="27" t="s">
        <v>19</v>
      </c>
      <c r="F1395" s="27" t="s">
        <v>1848</v>
      </c>
      <c r="G1395" s="43">
        <v>80000</v>
      </c>
      <c r="H1395" s="43"/>
      <c r="I1395" s="43"/>
      <c r="J1395" s="43"/>
      <c r="K1395" s="27" t="s">
        <v>567</v>
      </c>
      <c r="L1395" s="28">
        <v>531</v>
      </c>
      <c r="M1395" s="27" t="s">
        <v>568</v>
      </c>
      <c r="N1395" s="27" t="s">
        <v>1849</v>
      </c>
      <c r="O1395" s="18">
        <f>G1395*L1395</f>
        <v>42480000</v>
      </c>
      <c r="P1395" s="214"/>
      <c r="Q1395" s="214"/>
      <c r="R1395" s="27"/>
      <c r="S1395" s="27"/>
      <c r="T1395" s="18"/>
      <c r="U1395" s="27"/>
      <c r="V1395" s="27"/>
      <c r="W1395" s="30"/>
      <c r="X1395" s="27"/>
      <c r="Y1395" s="27"/>
      <c r="Z1395" s="27"/>
      <c r="AA1395" s="27"/>
      <c r="AB1395" s="27"/>
      <c r="AC1395" s="273">
        <v>68613385930</v>
      </c>
      <c r="AD1395" s="27">
        <v>411743801711.64203</v>
      </c>
      <c r="AE1395" s="228">
        <v>0.16664096859447627</v>
      </c>
      <c r="AF1395" s="27">
        <v>132939721258.63786</v>
      </c>
      <c r="AG1395" s="226">
        <v>0.51612403937955298</v>
      </c>
      <c r="AH1395" s="226">
        <v>1.0221516532776811</v>
      </c>
      <c r="AI1395" s="27">
        <v>1768550000</v>
      </c>
      <c r="AJ1395" s="226">
        <v>38.796407186678351</v>
      </c>
      <c r="AK1395" s="27">
        <v>8001943177.3173304</v>
      </c>
      <c r="AL1395" s="226">
        <v>8.5745904975299752</v>
      </c>
      <c r="AM1395" s="27" t="s">
        <v>2842</v>
      </c>
      <c r="AN1395" s="271" t="s">
        <v>2842</v>
      </c>
      <c r="AO1395" s="27">
        <v>164192925</v>
      </c>
      <c r="AP1395" s="27" t="s">
        <v>2842</v>
      </c>
      <c r="AQ1395" s="27">
        <v>51.710243902439032</v>
      </c>
      <c r="AR1395" s="27">
        <v>79.2</v>
      </c>
      <c r="AS1395" s="29" t="s">
        <v>2842</v>
      </c>
      <c r="AT1395" s="270">
        <v>27</v>
      </c>
      <c r="AU1395" s="464">
        <v>42.488892080090132</v>
      </c>
      <c r="AV1395" s="29">
        <v>-0.73672391613667498</v>
      </c>
      <c r="AW1395" s="29">
        <v>-1.9462524352720001</v>
      </c>
      <c r="AX1395" s="29">
        <v>-1.08047539707395</v>
      </c>
      <c r="AY1395" s="29">
        <v>-0.66940161273980003</v>
      </c>
      <c r="AZ1395" s="60">
        <v>-1.12338313325942</v>
      </c>
    </row>
    <row r="1396" spans="1:52" s="29" customFormat="1" ht="15" customHeight="1">
      <c r="A1396" s="63" t="s">
        <v>423</v>
      </c>
      <c r="B1396" s="53">
        <v>2011</v>
      </c>
      <c r="C1396" s="146" t="s">
        <v>406</v>
      </c>
      <c r="D1396" s="69" t="s">
        <v>81</v>
      </c>
      <c r="E1396" s="27" t="s">
        <v>19</v>
      </c>
      <c r="F1396" s="27" t="s">
        <v>1850</v>
      </c>
      <c r="G1396" s="43"/>
      <c r="H1396" s="43">
        <v>204779.13</v>
      </c>
      <c r="I1396" s="43"/>
      <c r="J1396" s="43"/>
      <c r="K1396" s="27" t="s">
        <v>567</v>
      </c>
      <c r="L1396" s="28"/>
      <c r="M1396" s="27"/>
      <c r="N1396" s="27" t="s">
        <v>1851</v>
      </c>
      <c r="O1396" s="18"/>
      <c r="P1396" s="214"/>
      <c r="Q1396" s="214"/>
      <c r="R1396" s="27"/>
      <c r="S1396" s="27"/>
      <c r="T1396" s="18"/>
      <c r="U1396" s="27"/>
      <c r="V1396" s="27"/>
      <c r="W1396" s="30"/>
      <c r="X1396" s="27"/>
      <c r="Y1396" s="27"/>
      <c r="Z1396" s="27"/>
      <c r="AA1396" s="27" t="s">
        <v>1837</v>
      </c>
      <c r="AB1396" s="27" t="s">
        <v>1678</v>
      </c>
      <c r="AC1396" s="273">
        <v>68613385930</v>
      </c>
      <c r="AD1396" s="27">
        <v>411743801711.64203</v>
      </c>
      <c r="AE1396" s="228">
        <v>0.16664096859447627</v>
      </c>
      <c r="AF1396" s="27">
        <v>132939721258.63786</v>
      </c>
      <c r="AG1396" s="226">
        <v>0.51612403937955298</v>
      </c>
      <c r="AH1396" s="226">
        <v>1.0221516532776811</v>
      </c>
      <c r="AI1396" s="27">
        <v>1768550000</v>
      </c>
      <c r="AJ1396" s="226">
        <v>38.796407186678351</v>
      </c>
      <c r="AK1396" s="27">
        <v>8001943177.3173304</v>
      </c>
      <c r="AL1396" s="226">
        <v>8.5745904975299752</v>
      </c>
      <c r="AM1396" s="27" t="s">
        <v>2842</v>
      </c>
      <c r="AN1396" s="271" t="s">
        <v>2842</v>
      </c>
      <c r="AO1396" s="27">
        <v>164192925</v>
      </c>
      <c r="AP1396" s="27" t="s">
        <v>2842</v>
      </c>
      <c r="AQ1396" s="27">
        <v>51.710243902439032</v>
      </c>
      <c r="AR1396" s="27">
        <v>79.2</v>
      </c>
      <c r="AS1396" s="29" t="s">
        <v>2842</v>
      </c>
      <c r="AT1396" s="270">
        <v>27</v>
      </c>
      <c r="AU1396" s="464">
        <v>42.488892080090132</v>
      </c>
      <c r="AV1396" s="29">
        <v>-0.73672391613667498</v>
      </c>
      <c r="AW1396" s="29">
        <v>-1.9462524352720001</v>
      </c>
      <c r="AX1396" s="29">
        <v>-1.08047539707395</v>
      </c>
      <c r="AY1396" s="29">
        <v>-0.66940161273980003</v>
      </c>
      <c r="AZ1396" s="60">
        <v>-1.12338313325942</v>
      </c>
    </row>
    <row r="1397" spans="1:52" s="29" customFormat="1" ht="15" customHeight="1">
      <c r="A1397" s="63" t="s">
        <v>423</v>
      </c>
      <c r="B1397" s="53">
        <v>2011</v>
      </c>
      <c r="C1397" s="146" t="s">
        <v>406</v>
      </c>
      <c r="D1397" s="69" t="s">
        <v>81</v>
      </c>
      <c r="E1397" s="27" t="s">
        <v>19</v>
      </c>
      <c r="F1397" s="27" t="s">
        <v>897</v>
      </c>
      <c r="G1397" s="43">
        <v>1394000</v>
      </c>
      <c r="H1397" s="43">
        <v>1624634.9</v>
      </c>
      <c r="I1397" s="43"/>
      <c r="J1397" s="43"/>
      <c r="K1397" s="27" t="s">
        <v>567</v>
      </c>
      <c r="L1397" s="28">
        <v>7.49</v>
      </c>
      <c r="M1397" s="27" t="s">
        <v>568</v>
      </c>
      <c r="N1397" s="27" t="s">
        <v>1158</v>
      </c>
      <c r="O1397" s="18">
        <f>G1397*L1397</f>
        <v>10441060</v>
      </c>
      <c r="P1397" s="214"/>
      <c r="Q1397" s="214"/>
      <c r="R1397" s="27"/>
      <c r="S1397" s="27"/>
      <c r="T1397" s="18"/>
      <c r="U1397" s="27"/>
      <c r="V1397" s="27"/>
      <c r="W1397" s="30"/>
      <c r="X1397" s="27"/>
      <c r="Y1397" s="27"/>
      <c r="Z1397" s="27"/>
      <c r="AA1397" s="27" t="s">
        <v>1837</v>
      </c>
      <c r="AB1397" s="27"/>
      <c r="AC1397" s="273">
        <v>68613385930</v>
      </c>
      <c r="AD1397" s="27">
        <v>411743801711.64203</v>
      </c>
      <c r="AE1397" s="228">
        <v>0.16664096859447627</v>
      </c>
      <c r="AF1397" s="27">
        <v>132939721258.63786</v>
      </c>
      <c r="AG1397" s="226">
        <v>0.51612403937955298</v>
      </c>
      <c r="AH1397" s="226">
        <v>1.0221516532776811</v>
      </c>
      <c r="AI1397" s="27">
        <v>1768550000</v>
      </c>
      <c r="AJ1397" s="226">
        <v>38.796407186678351</v>
      </c>
      <c r="AK1397" s="27">
        <v>8001943177.3173304</v>
      </c>
      <c r="AL1397" s="226">
        <v>8.5745904975299752</v>
      </c>
      <c r="AM1397" s="27" t="s">
        <v>2842</v>
      </c>
      <c r="AN1397" s="271" t="s">
        <v>2842</v>
      </c>
      <c r="AO1397" s="27">
        <v>164192925</v>
      </c>
      <c r="AP1397" s="27" t="s">
        <v>2842</v>
      </c>
      <c r="AQ1397" s="27">
        <v>51.710243902439032</v>
      </c>
      <c r="AR1397" s="27">
        <v>79.2</v>
      </c>
      <c r="AS1397" s="29" t="s">
        <v>2842</v>
      </c>
      <c r="AT1397" s="270">
        <v>27</v>
      </c>
      <c r="AU1397" s="464">
        <v>42.488892080090132</v>
      </c>
      <c r="AV1397" s="29">
        <v>-0.73672391613667498</v>
      </c>
      <c r="AW1397" s="29">
        <v>-1.9462524352720001</v>
      </c>
      <c r="AX1397" s="29">
        <v>-1.08047539707395</v>
      </c>
      <c r="AY1397" s="29">
        <v>-0.66940161273980003</v>
      </c>
      <c r="AZ1397" s="60">
        <v>-1.12338313325942</v>
      </c>
    </row>
    <row r="1398" spans="1:52" s="29" customFormat="1" ht="15" customHeight="1">
      <c r="A1398" s="63" t="s">
        <v>423</v>
      </c>
      <c r="B1398" s="53">
        <v>2011</v>
      </c>
      <c r="C1398" s="146" t="s">
        <v>406</v>
      </c>
      <c r="D1398" s="69" t="s">
        <v>81</v>
      </c>
      <c r="E1398" s="27" t="s">
        <v>19</v>
      </c>
      <c r="F1398" s="27" t="s">
        <v>1852</v>
      </c>
      <c r="G1398" s="43"/>
      <c r="H1398" s="43"/>
      <c r="I1398" s="43"/>
      <c r="J1398" s="43"/>
      <c r="K1398" s="27"/>
      <c r="L1398" s="28">
        <v>7.6114186035074497E-3</v>
      </c>
      <c r="M1398" s="27" t="s">
        <v>568</v>
      </c>
      <c r="N1398" s="27" t="s">
        <v>1839</v>
      </c>
      <c r="O1398" s="18"/>
      <c r="P1398" s="214"/>
      <c r="Q1398" s="214"/>
      <c r="R1398" s="27"/>
      <c r="S1398" s="27"/>
      <c r="T1398" s="18"/>
      <c r="U1398" s="27"/>
      <c r="V1398" s="27"/>
      <c r="W1398" s="30"/>
      <c r="X1398" s="27"/>
      <c r="Y1398" s="27"/>
      <c r="Z1398" s="27"/>
      <c r="AA1398" s="27" t="s">
        <v>1840</v>
      </c>
      <c r="AB1398" s="27"/>
      <c r="AC1398" s="273">
        <v>68613385930</v>
      </c>
      <c r="AD1398" s="27">
        <v>411743801711.64203</v>
      </c>
      <c r="AE1398" s="228">
        <v>0.16664096859447627</v>
      </c>
      <c r="AF1398" s="27">
        <v>132939721258.63786</v>
      </c>
      <c r="AG1398" s="226">
        <v>0.51612403937955298</v>
      </c>
      <c r="AH1398" s="226">
        <v>1.0221516532776811</v>
      </c>
      <c r="AI1398" s="27">
        <v>1768550000</v>
      </c>
      <c r="AJ1398" s="226">
        <v>38.796407186678351</v>
      </c>
      <c r="AK1398" s="27">
        <v>8001943177.3173304</v>
      </c>
      <c r="AL1398" s="226">
        <v>8.5745904975299752</v>
      </c>
      <c r="AM1398" s="27" t="s">
        <v>2842</v>
      </c>
      <c r="AN1398" s="271" t="s">
        <v>2842</v>
      </c>
      <c r="AO1398" s="27">
        <v>164192925</v>
      </c>
      <c r="AP1398" s="27" t="s">
        <v>2842</v>
      </c>
      <c r="AQ1398" s="27">
        <v>51.710243902439032</v>
      </c>
      <c r="AR1398" s="27">
        <v>79.2</v>
      </c>
      <c r="AS1398" s="29" t="s">
        <v>2842</v>
      </c>
      <c r="AT1398" s="270">
        <v>27</v>
      </c>
      <c r="AU1398" s="464">
        <v>42.488892080090132</v>
      </c>
      <c r="AV1398" s="29">
        <v>-0.73672391613667498</v>
      </c>
      <c r="AW1398" s="29">
        <v>-1.9462524352720001</v>
      </c>
      <c r="AX1398" s="29">
        <v>-1.08047539707395</v>
      </c>
      <c r="AY1398" s="29">
        <v>-0.66940161273980003</v>
      </c>
      <c r="AZ1398" s="60">
        <v>-1.12338313325942</v>
      </c>
    </row>
    <row r="1399" spans="1:52" s="29" customFormat="1" ht="15" customHeight="1">
      <c r="A1399" s="63" t="s">
        <v>423</v>
      </c>
      <c r="B1399" s="53">
        <v>2011</v>
      </c>
      <c r="C1399" s="146" t="s">
        <v>406</v>
      </c>
      <c r="D1399" s="69" t="s">
        <v>81</v>
      </c>
      <c r="E1399" s="27" t="s">
        <v>19</v>
      </c>
      <c r="F1399" s="27" t="s">
        <v>1853</v>
      </c>
      <c r="G1399" s="595">
        <v>7452000</v>
      </c>
      <c r="H1399" s="595">
        <v>491469.91</v>
      </c>
      <c r="I1399" s="43"/>
      <c r="J1399" s="43"/>
      <c r="K1399" s="27" t="s">
        <v>567</v>
      </c>
      <c r="L1399" s="28"/>
      <c r="M1399" s="27"/>
      <c r="N1399" s="27" t="s">
        <v>636</v>
      </c>
      <c r="O1399" s="18"/>
      <c r="P1399" s="214"/>
      <c r="Q1399" s="214"/>
      <c r="R1399" s="27"/>
      <c r="S1399" s="27"/>
      <c r="T1399" s="18"/>
      <c r="U1399" s="27"/>
      <c r="V1399" s="27"/>
      <c r="W1399" s="30"/>
      <c r="X1399" s="27"/>
      <c r="Y1399" s="27"/>
      <c r="Z1399" s="27"/>
      <c r="AA1399" s="27" t="s">
        <v>1837</v>
      </c>
      <c r="AB1399" s="27"/>
      <c r="AC1399" s="273">
        <v>68613385930</v>
      </c>
      <c r="AD1399" s="27">
        <v>411743801711.64203</v>
      </c>
      <c r="AE1399" s="228">
        <v>0.16664096859447627</v>
      </c>
      <c r="AF1399" s="27">
        <v>132939721258.63786</v>
      </c>
      <c r="AG1399" s="226">
        <v>0.51612403937955298</v>
      </c>
      <c r="AH1399" s="226">
        <v>1.0221516532776811</v>
      </c>
      <c r="AI1399" s="27">
        <v>1768550000</v>
      </c>
      <c r="AJ1399" s="226">
        <v>38.796407186678351</v>
      </c>
      <c r="AK1399" s="27">
        <v>8001943177.3173304</v>
      </c>
      <c r="AL1399" s="226">
        <v>8.5745904975299752</v>
      </c>
      <c r="AM1399" s="27" t="s">
        <v>2842</v>
      </c>
      <c r="AN1399" s="271" t="s">
        <v>2842</v>
      </c>
      <c r="AO1399" s="27">
        <v>164192925</v>
      </c>
      <c r="AP1399" s="27" t="s">
        <v>2842</v>
      </c>
      <c r="AQ1399" s="27">
        <v>51.710243902439032</v>
      </c>
      <c r="AR1399" s="27">
        <v>79.2</v>
      </c>
      <c r="AS1399" s="29" t="s">
        <v>2842</v>
      </c>
      <c r="AT1399" s="270">
        <v>27</v>
      </c>
      <c r="AU1399" s="464">
        <v>42.488892080090132</v>
      </c>
      <c r="AV1399" s="29">
        <v>-0.73672391613667498</v>
      </c>
      <c r="AW1399" s="29">
        <v>-1.9462524352720001</v>
      </c>
      <c r="AX1399" s="29">
        <v>-1.08047539707395</v>
      </c>
      <c r="AY1399" s="29">
        <v>-0.66940161273980003</v>
      </c>
      <c r="AZ1399" s="60">
        <v>-1.12338313325942</v>
      </c>
    </row>
    <row r="1400" spans="1:52" s="29" customFormat="1" ht="15" customHeight="1">
      <c r="A1400" s="63" t="s">
        <v>423</v>
      </c>
      <c r="B1400" s="53">
        <v>2011</v>
      </c>
      <c r="C1400" s="146" t="s">
        <v>406</v>
      </c>
      <c r="D1400" s="69" t="s">
        <v>81</v>
      </c>
      <c r="E1400" s="27" t="s">
        <v>19</v>
      </c>
      <c r="F1400" s="27" t="s">
        <v>1854</v>
      </c>
      <c r="G1400" s="43"/>
      <c r="H1400" s="43">
        <v>400</v>
      </c>
      <c r="I1400" s="43"/>
      <c r="J1400" s="43"/>
      <c r="K1400" s="27" t="s">
        <v>567</v>
      </c>
      <c r="L1400" s="28">
        <v>17.525455449787156</v>
      </c>
      <c r="M1400" s="27" t="s">
        <v>568</v>
      </c>
      <c r="N1400" s="27" t="s">
        <v>1839</v>
      </c>
      <c r="O1400" s="18">
        <f>G1402*L1400</f>
        <v>9989.5096063786787</v>
      </c>
      <c r="P1400" s="214"/>
      <c r="Q1400" s="214"/>
      <c r="R1400" s="27"/>
      <c r="S1400" s="27"/>
      <c r="T1400" s="18"/>
      <c r="U1400" s="27"/>
      <c r="V1400" s="27"/>
      <c r="W1400" s="30"/>
      <c r="X1400" s="27"/>
      <c r="Y1400" s="27"/>
      <c r="Z1400" s="27"/>
      <c r="AA1400" s="27" t="s">
        <v>1855</v>
      </c>
      <c r="AB1400" s="27"/>
      <c r="AC1400" s="273">
        <v>68613385930</v>
      </c>
      <c r="AD1400" s="27">
        <v>411743801711.64203</v>
      </c>
      <c r="AE1400" s="228">
        <v>0.16664096859447627</v>
      </c>
      <c r="AF1400" s="27">
        <v>132939721258.63786</v>
      </c>
      <c r="AG1400" s="226">
        <v>0.51612403937955298</v>
      </c>
      <c r="AH1400" s="226">
        <v>1.0221516532776811</v>
      </c>
      <c r="AI1400" s="27">
        <v>1768550000</v>
      </c>
      <c r="AJ1400" s="226">
        <v>38.796407186678351</v>
      </c>
      <c r="AK1400" s="27">
        <v>8001943177.3173304</v>
      </c>
      <c r="AL1400" s="226">
        <v>8.5745904975299752</v>
      </c>
      <c r="AM1400" s="27" t="s">
        <v>2842</v>
      </c>
      <c r="AN1400" s="271" t="s">
        <v>2842</v>
      </c>
      <c r="AO1400" s="27">
        <v>164192925</v>
      </c>
      <c r="AP1400" s="27" t="s">
        <v>2842</v>
      </c>
      <c r="AQ1400" s="27">
        <v>51.710243902439032</v>
      </c>
      <c r="AR1400" s="27">
        <v>79.2</v>
      </c>
      <c r="AS1400" s="29" t="s">
        <v>2842</v>
      </c>
      <c r="AT1400" s="270">
        <v>27</v>
      </c>
      <c r="AU1400" s="464">
        <v>42.488892080090132</v>
      </c>
      <c r="AV1400" s="29">
        <v>-0.73672391613667498</v>
      </c>
      <c r="AW1400" s="29">
        <v>-1.9462524352720001</v>
      </c>
      <c r="AX1400" s="29">
        <v>-1.08047539707395</v>
      </c>
      <c r="AY1400" s="29">
        <v>-0.66940161273980003</v>
      </c>
      <c r="AZ1400" s="60">
        <v>-1.12338313325942</v>
      </c>
    </row>
    <row r="1401" spans="1:52" s="29" customFormat="1" ht="15" customHeight="1">
      <c r="A1401" s="63" t="s">
        <v>423</v>
      </c>
      <c r="B1401" s="53">
        <v>2011</v>
      </c>
      <c r="C1401" s="146" t="s">
        <v>406</v>
      </c>
      <c r="D1401" s="69" t="s">
        <v>81</v>
      </c>
      <c r="E1401" s="27" t="s">
        <v>19</v>
      </c>
      <c r="F1401" s="27" t="s">
        <v>982</v>
      </c>
      <c r="G1401" s="43">
        <v>740</v>
      </c>
      <c r="H1401" s="43"/>
      <c r="I1401" s="43"/>
      <c r="J1401" s="43"/>
      <c r="K1401" s="27" t="s">
        <v>567</v>
      </c>
      <c r="L1401" s="28"/>
      <c r="M1401" s="27"/>
      <c r="N1401" s="27" t="s">
        <v>636</v>
      </c>
      <c r="O1401" s="18"/>
      <c r="P1401" s="214"/>
      <c r="Q1401" s="214"/>
      <c r="R1401" s="27"/>
      <c r="S1401" s="27"/>
      <c r="T1401" s="18"/>
      <c r="U1401" s="27"/>
      <c r="V1401" s="27"/>
      <c r="W1401" s="30"/>
      <c r="X1401" s="27"/>
      <c r="Y1401" s="27"/>
      <c r="Z1401" s="27"/>
      <c r="AA1401" s="27"/>
      <c r="AB1401" s="27"/>
      <c r="AC1401" s="273">
        <v>68613385930</v>
      </c>
      <c r="AD1401" s="27">
        <v>411743801711.64203</v>
      </c>
      <c r="AE1401" s="228">
        <v>0.16664096859447627</v>
      </c>
      <c r="AF1401" s="27">
        <v>132939721258.63786</v>
      </c>
      <c r="AG1401" s="226">
        <v>0.51612403937955298</v>
      </c>
      <c r="AH1401" s="226">
        <v>1.0221516532776811</v>
      </c>
      <c r="AI1401" s="27">
        <v>1768550000</v>
      </c>
      <c r="AJ1401" s="226">
        <v>38.796407186678351</v>
      </c>
      <c r="AK1401" s="27">
        <v>8001943177.3173304</v>
      </c>
      <c r="AL1401" s="226">
        <v>8.5745904975299752</v>
      </c>
      <c r="AM1401" s="27" t="s">
        <v>2842</v>
      </c>
      <c r="AN1401" s="271" t="s">
        <v>2842</v>
      </c>
      <c r="AO1401" s="27">
        <v>164192925</v>
      </c>
      <c r="AP1401" s="27" t="s">
        <v>2842</v>
      </c>
      <c r="AQ1401" s="27">
        <v>51.710243902439032</v>
      </c>
      <c r="AR1401" s="27">
        <v>79.2</v>
      </c>
      <c r="AS1401" s="29" t="s">
        <v>2842</v>
      </c>
      <c r="AT1401" s="270">
        <v>27</v>
      </c>
      <c r="AU1401" s="464">
        <v>42.488892080090132</v>
      </c>
      <c r="AV1401" s="29">
        <v>-0.73672391613667498</v>
      </c>
      <c r="AW1401" s="29">
        <v>-1.9462524352720001</v>
      </c>
      <c r="AX1401" s="29">
        <v>-1.08047539707395</v>
      </c>
      <c r="AY1401" s="29">
        <v>-0.66940161273980003</v>
      </c>
      <c r="AZ1401" s="60">
        <v>-1.12338313325942</v>
      </c>
    </row>
    <row r="1402" spans="1:52" s="29" customFormat="1" ht="15" customHeight="1">
      <c r="A1402" s="63" t="s">
        <v>423</v>
      </c>
      <c r="B1402" s="53">
        <v>2011</v>
      </c>
      <c r="C1402" s="146" t="s">
        <v>406</v>
      </c>
      <c r="D1402" s="69" t="s">
        <v>81</v>
      </c>
      <c r="E1402" s="27" t="s">
        <v>19</v>
      </c>
      <c r="F1402" s="27" t="s">
        <v>993</v>
      </c>
      <c r="G1402" s="43">
        <v>570</v>
      </c>
      <c r="H1402" s="43"/>
      <c r="I1402" s="43"/>
      <c r="J1402" s="43"/>
      <c r="K1402" s="27" t="s">
        <v>567</v>
      </c>
      <c r="L1402" s="28"/>
      <c r="M1402" s="27"/>
      <c r="N1402" s="27" t="s">
        <v>636</v>
      </c>
      <c r="O1402" s="18"/>
      <c r="P1402" s="214"/>
      <c r="Q1402" s="214"/>
      <c r="R1402" s="27"/>
      <c r="S1402" s="27"/>
      <c r="T1402" s="18"/>
      <c r="U1402" s="27"/>
      <c r="V1402" s="27"/>
      <c r="W1402" s="30"/>
      <c r="X1402" s="27"/>
      <c r="Y1402" s="27"/>
      <c r="Z1402" s="27"/>
      <c r="AA1402" s="27"/>
      <c r="AB1402" s="27"/>
      <c r="AC1402" s="273">
        <v>68613385930</v>
      </c>
      <c r="AD1402" s="27">
        <v>411743801711.64203</v>
      </c>
      <c r="AE1402" s="228">
        <v>0.16664096859447627</v>
      </c>
      <c r="AF1402" s="27">
        <v>132939721258.63786</v>
      </c>
      <c r="AG1402" s="226">
        <v>0.51612403937955298</v>
      </c>
      <c r="AH1402" s="226">
        <v>1.0221516532776811</v>
      </c>
      <c r="AI1402" s="27">
        <v>1768550000</v>
      </c>
      <c r="AJ1402" s="226">
        <v>38.796407186678351</v>
      </c>
      <c r="AK1402" s="27">
        <v>8001943177.3173304</v>
      </c>
      <c r="AL1402" s="226">
        <v>8.5745904975299752</v>
      </c>
      <c r="AM1402" s="27" t="s">
        <v>2842</v>
      </c>
      <c r="AN1402" s="271" t="s">
        <v>2842</v>
      </c>
      <c r="AO1402" s="27">
        <v>164192925</v>
      </c>
      <c r="AP1402" s="27" t="s">
        <v>2842</v>
      </c>
      <c r="AQ1402" s="27">
        <v>51.710243902439032</v>
      </c>
      <c r="AR1402" s="27">
        <v>79.2</v>
      </c>
      <c r="AS1402" s="29" t="s">
        <v>2842</v>
      </c>
      <c r="AT1402" s="270">
        <v>27</v>
      </c>
      <c r="AU1402" s="464">
        <v>42.488892080090132</v>
      </c>
      <c r="AV1402" s="29">
        <v>-0.73672391613667498</v>
      </c>
      <c r="AW1402" s="29">
        <v>-1.9462524352720001</v>
      </c>
      <c r="AX1402" s="29">
        <v>-1.08047539707395</v>
      </c>
      <c r="AY1402" s="29">
        <v>-0.66940161273980003</v>
      </c>
      <c r="AZ1402" s="60">
        <v>-1.12338313325942</v>
      </c>
    </row>
    <row r="1403" spans="1:52" s="29" customFormat="1" ht="15" customHeight="1">
      <c r="A1403" s="63" t="s">
        <v>423</v>
      </c>
      <c r="B1403" s="53">
        <v>2011</v>
      </c>
      <c r="C1403" s="146" t="s">
        <v>406</v>
      </c>
      <c r="D1403" s="69" t="s">
        <v>81</v>
      </c>
      <c r="E1403" s="27" t="s">
        <v>19</v>
      </c>
      <c r="F1403" s="27" t="s">
        <v>1856</v>
      </c>
      <c r="G1403" s="43">
        <v>1000</v>
      </c>
      <c r="H1403" s="43"/>
      <c r="I1403" s="43"/>
      <c r="J1403" s="43"/>
      <c r="K1403" s="27" t="s">
        <v>894</v>
      </c>
      <c r="L1403" s="28">
        <f>7.5/0.0002</f>
        <v>37500</v>
      </c>
      <c r="M1403" s="27" t="s">
        <v>1743</v>
      </c>
      <c r="N1403" s="68" t="s">
        <v>1857</v>
      </c>
      <c r="O1403" s="18">
        <f>G1403*L1403</f>
        <v>37500000</v>
      </c>
      <c r="P1403" s="214"/>
      <c r="Q1403" s="214"/>
      <c r="R1403" s="27"/>
      <c r="S1403" s="27"/>
      <c r="T1403" s="18"/>
      <c r="U1403" s="27"/>
      <c r="V1403" s="27"/>
      <c r="W1403" s="30"/>
      <c r="X1403" s="27"/>
      <c r="Y1403" s="27"/>
      <c r="Z1403" s="27"/>
      <c r="AA1403" s="27"/>
      <c r="AB1403" s="27"/>
      <c r="AC1403" s="273">
        <v>68613385930</v>
      </c>
      <c r="AD1403" s="27">
        <v>411743801711.64203</v>
      </c>
      <c r="AE1403" s="228">
        <v>0.16664096859447627</v>
      </c>
      <c r="AF1403" s="27">
        <v>132939721258.63786</v>
      </c>
      <c r="AG1403" s="226">
        <v>0.51612403937955298</v>
      </c>
      <c r="AH1403" s="226">
        <v>1.0221516532776811</v>
      </c>
      <c r="AI1403" s="27">
        <v>1768550000</v>
      </c>
      <c r="AJ1403" s="226">
        <v>38.796407186678351</v>
      </c>
      <c r="AK1403" s="27">
        <v>8001943177.3173304</v>
      </c>
      <c r="AL1403" s="226">
        <v>8.5745904975299752</v>
      </c>
      <c r="AM1403" s="27" t="s">
        <v>2842</v>
      </c>
      <c r="AN1403" s="271" t="s">
        <v>2842</v>
      </c>
      <c r="AO1403" s="27">
        <v>164192925</v>
      </c>
      <c r="AP1403" s="27" t="s">
        <v>2842</v>
      </c>
      <c r="AQ1403" s="27">
        <v>51.710243902439032</v>
      </c>
      <c r="AR1403" s="27">
        <v>79.2</v>
      </c>
      <c r="AS1403" s="29" t="s">
        <v>2842</v>
      </c>
      <c r="AT1403" s="270">
        <v>27</v>
      </c>
      <c r="AU1403" s="464">
        <v>42.488892080090132</v>
      </c>
      <c r="AV1403" s="29">
        <v>-0.73672391613667498</v>
      </c>
      <c r="AW1403" s="29">
        <v>-1.9462524352720001</v>
      </c>
      <c r="AX1403" s="29">
        <v>-1.08047539707395</v>
      </c>
      <c r="AY1403" s="29">
        <v>-0.66940161273980003</v>
      </c>
      <c r="AZ1403" s="60">
        <v>-1.12338313325942</v>
      </c>
    </row>
    <row r="1404" spans="1:52" s="29" customFormat="1" ht="15" customHeight="1">
      <c r="A1404" s="63" t="s">
        <v>423</v>
      </c>
      <c r="B1404" s="53">
        <v>2011</v>
      </c>
      <c r="C1404" s="146" t="s">
        <v>406</v>
      </c>
      <c r="D1404" s="69" t="s">
        <v>81</v>
      </c>
      <c r="E1404" s="27" t="s">
        <v>19</v>
      </c>
      <c r="F1404" s="27" t="s">
        <v>1858</v>
      </c>
      <c r="G1404" s="43"/>
      <c r="H1404" s="43">
        <v>100000000</v>
      </c>
      <c r="I1404" s="43"/>
      <c r="J1404" s="43"/>
      <c r="K1404" s="27" t="s">
        <v>894</v>
      </c>
      <c r="L1404" s="28">
        <f>88.75/0.0002</f>
        <v>443750</v>
      </c>
      <c r="M1404" s="27" t="s">
        <v>1743</v>
      </c>
      <c r="N1404" s="68" t="s">
        <v>1859</v>
      </c>
      <c r="O1404" s="18"/>
      <c r="P1404" s="214"/>
      <c r="Q1404" s="214"/>
      <c r="R1404" s="27"/>
      <c r="S1404" s="27"/>
      <c r="T1404" s="18"/>
      <c r="U1404" s="27"/>
      <c r="V1404" s="27"/>
      <c r="W1404" s="30"/>
      <c r="X1404" s="27"/>
      <c r="Y1404" s="27"/>
      <c r="Z1404" s="27"/>
      <c r="AA1404" s="27" t="s">
        <v>1837</v>
      </c>
      <c r="AB1404" s="27" t="s">
        <v>1841</v>
      </c>
      <c r="AC1404" s="273">
        <v>68613385930</v>
      </c>
      <c r="AD1404" s="27">
        <v>411743801711.64203</v>
      </c>
      <c r="AE1404" s="228">
        <v>0.16664096859447627</v>
      </c>
      <c r="AF1404" s="27">
        <v>132939721258.63786</v>
      </c>
      <c r="AG1404" s="226">
        <v>0.51612403937955298</v>
      </c>
      <c r="AH1404" s="226">
        <v>1.0221516532776811</v>
      </c>
      <c r="AI1404" s="27">
        <v>1768550000</v>
      </c>
      <c r="AJ1404" s="226">
        <v>38.796407186678351</v>
      </c>
      <c r="AK1404" s="27">
        <v>8001943177.3173304</v>
      </c>
      <c r="AL1404" s="226">
        <v>8.5745904975299752</v>
      </c>
      <c r="AM1404" s="27" t="s">
        <v>2842</v>
      </c>
      <c r="AN1404" s="271" t="s">
        <v>2842</v>
      </c>
      <c r="AO1404" s="27">
        <v>164192925</v>
      </c>
      <c r="AP1404" s="27" t="s">
        <v>2842</v>
      </c>
      <c r="AQ1404" s="27">
        <v>51.710243902439032</v>
      </c>
      <c r="AR1404" s="27">
        <v>79.2</v>
      </c>
      <c r="AS1404" s="29" t="s">
        <v>2842</v>
      </c>
      <c r="AT1404" s="270">
        <v>27</v>
      </c>
      <c r="AU1404" s="464">
        <v>42.488892080090132</v>
      </c>
      <c r="AV1404" s="29">
        <v>-0.73672391613667498</v>
      </c>
      <c r="AW1404" s="29">
        <v>-1.9462524352720001</v>
      </c>
      <c r="AX1404" s="29">
        <v>-1.08047539707395</v>
      </c>
      <c r="AY1404" s="29">
        <v>-0.66940161273980003</v>
      </c>
      <c r="AZ1404" s="60">
        <v>-1.12338313325942</v>
      </c>
    </row>
    <row r="1405" spans="1:52" s="29" customFormat="1" ht="15" customHeight="1">
      <c r="A1405" s="63" t="s">
        <v>423</v>
      </c>
      <c r="B1405" s="53">
        <v>2011</v>
      </c>
      <c r="C1405" s="146" t="s">
        <v>406</v>
      </c>
      <c r="D1405" s="69" t="s">
        <v>81</v>
      </c>
      <c r="E1405" s="27" t="s">
        <v>19</v>
      </c>
      <c r="F1405" s="27" t="s">
        <v>1030</v>
      </c>
      <c r="G1405" s="43"/>
      <c r="H1405" s="43">
        <v>85</v>
      </c>
      <c r="I1405" s="43"/>
      <c r="J1405" s="43"/>
      <c r="K1405" s="27" t="s">
        <v>567</v>
      </c>
      <c r="L1405" s="28"/>
      <c r="M1405" s="27"/>
      <c r="N1405" s="27" t="s">
        <v>1851</v>
      </c>
      <c r="O1405" s="18"/>
      <c r="P1405" s="214"/>
      <c r="Q1405" s="214"/>
      <c r="R1405" s="27"/>
      <c r="S1405" s="27"/>
      <c r="T1405" s="18"/>
      <c r="U1405" s="27"/>
      <c r="V1405" s="27"/>
      <c r="W1405" s="30"/>
      <c r="X1405" s="27"/>
      <c r="Y1405" s="27"/>
      <c r="Z1405" s="27"/>
      <c r="AA1405" s="27" t="s">
        <v>1837</v>
      </c>
      <c r="AB1405" s="27" t="s">
        <v>1678</v>
      </c>
      <c r="AC1405" s="273">
        <v>68613385930</v>
      </c>
      <c r="AD1405" s="27">
        <v>411743801711.64203</v>
      </c>
      <c r="AE1405" s="228">
        <v>0.16664096859447627</v>
      </c>
      <c r="AF1405" s="27">
        <v>132939721258.63786</v>
      </c>
      <c r="AG1405" s="226">
        <v>0.51612403937955298</v>
      </c>
      <c r="AH1405" s="226">
        <v>1.0221516532776811</v>
      </c>
      <c r="AI1405" s="27">
        <v>1768550000</v>
      </c>
      <c r="AJ1405" s="226">
        <v>38.796407186678351</v>
      </c>
      <c r="AK1405" s="27">
        <v>8001943177.3173304</v>
      </c>
      <c r="AL1405" s="226">
        <v>8.5745904975299752</v>
      </c>
      <c r="AM1405" s="27" t="s">
        <v>2842</v>
      </c>
      <c r="AN1405" s="271" t="s">
        <v>2842</v>
      </c>
      <c r="AO1405" s="27">
        <v>164192925</v>
      </c>
      <c r="AP1405" s="27" t="s">
        <v>2842</v>
      </c>
      <c r="AQ1405" s="27">
        <v>51.710243902439032</v>
      </c>
      <c r="AR1405" s="27">
        <v>79.2</v>
      </c>
      <c r="AS1405" s="29" t="s">
        <v>2842</v>
      </c>
      <c r="AT1405" s="270">
        <v>27</v>
      </c>
      <c r="AU1405" s="464">
        <v>42.488892080090132</v>
      </c>
      <c r="AV1405" s="29">
        <v>-0.73672391613667498</v>
      </c>
      <c r="AW1405" s="29">
        <v>-1.9462524352720001</v>
      </c>
      <c r="AX1405" s="29">
        <v>-1.08047539707395</v>
      </c>
      <c r="AY1405" s="29">
        <v>-0.66940161273980003</v>
      </c>
      <c r="AZ1405" s="60">
        <v>-1.12338313325942</v>
      </c>
    </row>
    <row r="1406" spans="1:52" s="287" customFormat="1" ht="15" customHeight="1">
      <c r="A1406" s="359" t="s">
        <v>423</v>
      </c>
      <c r="B1406" s="302">
        <v>2011</v>
      </c>
      <c r="C1406" s="383" t="s">
        <v>406</v>
      </c>
      <c r="D1406" s="369" t="s">
        <v>81</v>
      </c>
      <c r="E1406" s="284" t="s">
        <v>19</v>
      </c>
      <c r="F1406" s="284" t="s">
        <v>1860</v>
      </c>
      <c r="G1406" s="303"/>
      <c r="H1406" s="303"/>
      <c r="I1406" s="303"/>
      <c r="J1406" s="303"/>
      <c r="K1406" s="284"/>
      <c r="L1406" s="304">
        <v>175.37268430195519</v>
      </c>
      <c r="M1406" s="284" t="s">
        <v>568</v>
      </c>
      <c r="N1406" s="284" t="s">
        <v>1839</v>
      </c>
      <c r="O1406" s="305"/>
      <c r="P1406" s="346"/>
      <c r="Q1406" s="346"/>
      <c r="R1406" s="284"/>
      <c r="S1406" s="284"/>
      <c r="T1406" s="305"/>
      <c r="U1406" s="284"/>
      <c r="V1406" s="284"/>
      <c r="W1406" s="307"/>
      <c r="X1406" s="284"/>
      <c r="Y1406" s="284"/>
      <c r="Z1406" s="284"/>
      <c r="AA1406" s="284" t="s">
        <v>1840</v>
      </c>
      <c r="AB1406" s="284" t="s">
        <v>1841</v>
      </c>
      <c r="AC1406" s="308">
        <v>68613385930</v>
      </c>
      <c r="AD1406" s="284">
        <v>411743801711.64203</v>
      </c>
      <c r="AE1406" s="309">
        <v>0.16664096859447627</v>
      </c>
      <c r="AF1406" s="284">
        <v>132939721258.63786</v>
      </c>
      <c r="AG1406" s="310">
        <v>0.51612403937955298</v>
      </c>
      <c r="AH1406" s="310">
        <v>1.0221516532776811</v>
      </c>
      <c r="AI1406" s="284">
        <v>1768550000</v>
      </c>
      <c r="AJ1406" s="310">
        <v>38.796407186678351</v>
      </c>
      <c r="AK1406" s="284">
        <v>8001943177.3173304</v>
      </c>
      <c r="AL1406" s="310">
        <v>8.5745904975299752</v>
      </c>
      <c r="AM1406" s="284" t="s">
        <v>2842</v>
      </c>
      <c r="AN1406" s="311" t="s">
        <v>2842</v>
      </c>
      <c r="AO1406" s="284">
        <v>164192925</v>
      </c>
      <c r="AP1406" s="284" t="s">
        <v>2842</v>
      </c>
      <c r="AQ1406" s="284">
        <v>51.710243902439032</v>
      </c>
      <c r="AR1406" s="284">
        <v>79.2</v>
      </c>
      <c r="AS1406" s="287" t="s">
        <v>2842</v>
      </c>
      <c r="AT1406" s="312">
        <v>27</v>
      </c>
      <c r="AU1406" s="465">
        <v>42.488892080090132</v>
      </c>
      <c r="AV1406" s="287">
        <v>-0.73672391613667498</v>
      </c>
      <c r="AW1406" s="287">
        <v>-1.9462524352720001</v>
      </c>
      <c r="AX1406" s="287">
        <v>-1.08047539707395</v>
      </c>
      <c r="AY1406" s="287">
        <v>-0.66940161273980003</v>
      </c>
      <c r="AZ1406" s="313">
        <v>-1.12338313325942</v>
      </c>
    </row>
    <row r="1407" spans="1:52" ht="15" customHeight="1">
      <c r="A1407" s="59" t="s">
        <v>426</v>
      </c>
      <c r="B1407" s="27">
        <v>2012</v>
      </c>
      <c r="C1407" s="146" t="s">
        <v>406</v>
      </c>
      <c r="D1407" s="27" t="s">
        <v>81</v>
      </c>
      <c r="E1407" s="27" t="s">
        <v>19</v>
      </c>
      <c r="F1407" s="27" t="s">
        <v>659</v>
      </c>
      <c r="G1407" s="176"/>
      <c r="H1407" s="176"/>
      <c r="I1407" s="27"/>
      <c r="J1407" s="176"/>
      <c r="K1407" s="27"/>
      <c r="L1407" s="28"/>
      <c r="M1407" s="27"/>
      <c r="N1407" s="27"/>
      <c r="O1407" s="27"/>
      <c r="P1407" s="214">
        <v>177501338.81</v>
      </c>
      <c r="Q1407" s="214">
        <v>164593480.06999999</v>
      </c>
      <c r="R1407" s="27" t="s">
        <v>619</v>
      </c>
      <c r="S1407" s="27"/>
      <c r="T1407" s="18"/>
      <c r="U1407" s="27" t="s">
        <v>1861</v>
      </c>
      <c r="V1407" s="27" t="s">
        <v>1862</v>
      </c>
      <c r="W1407" s="198">
        <v>155.27000000000001</v>
      </c>
      <c r="X1407" s="27">
        <v>65</v>
      </c>
      <c r="Y1407" s="27" t="s">
        <v>1863</v>
      </c>
      <c r="Z1407" s="27">
        <v>58</v>
      </c>
      <c r="AA1407" s="27"/>
      <c r="AB1407" s="27"/>
      <c r="AC1407" s="273">
        <v>177501338.81</v>
      </c>
      <c r="AD1407" s="27">
        <v>462979245902.41315</v>
      </c>
      <c r="AE1407" s="228">
        <v>3.8338940758353944E-4</v>
      </c>
      <c r="AF1407" s="27">
        <v>124541417147.74915</v>
      </c>
      <c r="AG1407" s="226">
        <v>1.4252394333960573E-3</v>
      </c>
      <c r="AH1407" s="226">
        <v>0.99037448351279522</v>
      </c>
      <c r="AI1407" s="27">
        <v>1915820000</v>
      </c>
      <c r="AJ1407" s="226">
        <v>9.2650321434163962E-2</v>
      </c>
      <c r="AK1407" s="27">
        <v>8746452937.3206024</v>
      </c>
      <c r="AL1407" s="226">
        <v>2.0294094083855661E-2</v>
      </c>
      <c r="AM1407" s="27" t="s">
        <v>2842</v>
      </c>
      <c r="AN1407" s="271" t="s">
        <v>2842</v>
      </c>
      <c r="AO1407" s="27">
        <v>168833776</v>
      </c>
      <c r="AP1407" s="27" t="s">
        <v>2842</v>
      </c>
      <c r="AQ1407" s="27">
        <v>52.10902439024391</v>
      </c>
      <c r="AR1407" s="27">
        <v>76.599999999999994</v>
      </c>
      <c r="AS1407" s="29" t="s">
        <v>2842</v>
      </c>
      <c r="AT1407" s="270">
        <v>27</v>
      </c>
      <c r="AU1407" s="464">
        <v>42.488892080090132</v>
      </c>
      <c r="AV1407" s="29">
        <v>-0.72749646576441196</v>
      </c>
      <c r="AW1407" s="29">
        <v>-2.05327401816449</v>
      </c>
      <c r="AX1407" s="29">
        <v>-0.99778014629661604</v>
      </c>
      <c r="AY1407" s="29">
        <v>-0.72247740244145298</v>
      </c>
      <c r="AZ1407" s="60">
        <v>-1.1327559316657301</v>
      </c>
    </row>
    <row r="1408" spans="1:52" ht="15" customHeight="1">
      <c r="A1408" s="59" t="s">
        <v>426</v>
      </c>
      <c r="B1408" s="27">
        <v>2012</v>
      </c>
      <c r="C1408" s="146" t="s">
        <v>406</v>
      </c>
      <c r="D1408" s="27" t="s">
        <v>81</v>
      </c>
      <c r="E1408" s="27" t="s">
        <v>19</v>
      </c>
      <c r="F1408" s="27" t="s">
        <v>653</v>
      </c>
      <c r="G1408" s="176"/>
      <c r="H1408" s="176"/>
      <c r="I1408" s="176">
        <v>18109880</v>
      </c>
      <c r="J1408" s="176"/>
      <c r="K1408" s="27" t="s">
        <v>567</v>
      </c>
      <c r="L1408" s="28"/>
      <c r="M1408" s="27"/>
      <c r="N1408" s="27" t="s">
        <v>890</v>
      </c>
      <c r="O1408" s="27"/>
      <c r="P1408" s="244"/>
      <c r="Q1408" s="244"/>
      <c r="R1408" s="27"/>
      <c r="S1408" s="27"/>
      <c r="T1408" s="18"/>
      <c r="U1408" s="27"/>
      <c r="V1408" s="27"/>
      <c r="W1408" s="30"/>
      <c r="X1408" s="27"/>
      <c r="Y1408" s="27"/>
      <c r="Z1408" s="27"/>
      <c r="AA1408" s="27"/>
      <c r="AB1408" s="27"/>
      <c r="AC1408" s="273">
        <v>177501338.81</v>
      </c>
      <c r="AD1408" s="27">
        <v>462979245902.41315</v>
      </c>
      <c r="AE1408" s="228">
        <v>3.8338940758353944E-4</v>
      </c>
      <c r="AF1408" s="27">
        <v>124541417147.74915</v>
      </c>
      <c r="AG1408" s="226">
        <v>1.4252394333960573E-3</v>
      </c>
      <c r="AH1408" s="226">
        <v>0.99037448351279522</v>
      </c>
      <c r="AI1408" s="27">
        <v>1915820000</v>
      </c>
      <c r="AJ1408" s="226">
        <v>9.2650321434163962E-2</v>
      </c>
      <c r="AK1408" s="27">
        <v>8746452937.3206024</v>
      </c>
      <c r="AL1408" s="226">
        <v>2.0294094083855661E-2</v>
      </c>
      <c r="AM1408" s="27" t="s">
        <v>2842</v>
      </c>
      <c r="AN1408" s="271" t="s">
        <v>2842</v>
      </c>
      <c r="AO1408" s="27">
        <v>168833776</v>
      </c>
      <c r="AP1408" s="27" t="s">
        <v>2842</v>
      </c>
      <c r="AQ1408" s="27">
        <v>52.10902439024391</v>
      </c>
      <c r="AR1408" s="27">
        <v>76.599999999999994</v>
      </c>
      <c r="AS1408" s="29" t="s">
        <v>2842</v>
      </c>
      <c r="AT1408" s="270">
        <v>27</v>
      </c>
      <c r="AU1408" s="464">
        <v>42.488892080090132</v>
      </c>
      <c r="AV1408" s="29">
        <v>-0.72749646576441196</v>
      </c>
      <c r="AW1408" s="29">
        <v>-2.05327401816449</v>
      </c>
      <c r="AX1408" s="29">
        <v>-0.99778014629661604</v>
      </c>
      <c r="AY1408" s="29">
        <v>-0.72247740244145298</v>
      </c>
      <c r="AZ1408" s="60">
        <v>-1.1327559316657301</v>
      </c>
    </row>
    <row r="1409" spans="1:52" ht="15" customHeight="1">
      <c r="A1409" s="59" t="s">
        <v>426</v>
      </c>
      <c r="B1409" s="27">
        <v>2012</v>
      </c>
      <c r="C1409" s="146" t="s">
        <v>406</v>
      </c>
      <c r="D1409" s="27" t="s">
        <v>81</v>
      </c>
      <c r="E1409" s="27" t="s">
        <v>19</v>
      </c>
      <c r="F1409" s="27" t="s">
        <v>882</v>
      </c>
      <c r="G1409" s="176"/>
      <c r="H1409" s="176"/>
      <c r="I1409" s="176">
        <v>11959014</v>
      </c>
      <c r="J1409" s="176"/>
      <c r="K1409" s="27" t="s">
        <v>567</v>
      </c>
      <c r="L1409" s="28"/>
      <c r="M1409" s="27"/>
      <c r="N1409" s="27" t="s">
        <v>890</v>
      </c>
      <c r="O1409" s="27"/>
      <c r="P1409" s="244"/>
      <c r="Q1409" s="244"/>
      <c r="R1409" s="27"/>
      <c r="S1409" s="27"/>
      <c r="T1409" s="18"/>
      <c r="U1409" s="27"/>
      <c r="V1409" s="27"/>
      <c r="W1409" s="30"/>
      <c r="X1409" s="27"/>
      <c r="Y1409" s="27"/>
      <c r="Z1409" s="27"/>
      <c r="AA1409" s="27"/>
      <c r="AB1409" s="27"/>
      <c r="AC1409" s="273">
        <v>177501338.81</v>
      </c>
      <c r="AD1409" s="27">
        <v>462979245902.41315</v>
      </c>
      <c r="AE1409" s="228">
        <v>3.8338940758353944E-4</v>
      </c>
      <c r="AF1409" s="27">
        <v>124541417147.74915</v>
      </c>
      <c r="AG1409" s="226">
        <v>1.4252394333960573E-3</v>
      </c>
      <c r="AH1409" s="226">
        <v>0.99037448351279522</v>
      </c>
      <c r="AI1409" s="27">
        <v>1915820000</v>
      </c>
      <c r="AJ1409" s="226">
        <v>9.2650321434163962E-2</v>
      </c>
      <c r="AK1409" s="27">
        <v>8746452937.3206024</v>
      </c>
      <c r="AL1409" s="226">
        <v>2.0294094083855661E-2</v>
      </c>
      <c r="AM1409" s="27" t="s">
        <v>2842</v>
      </c>
      <c r="AN1409" s="271" t="s">
        <v>2842</v>
      </c>
      <c r="AO1409" s="27">
        <v>168833776</v>
      </c>
      <c r="AP1409" s="27" t="s">
        <v>2842</v>
      </c>
      <c r="AQ1409" s="27">
        <v>52.10902439024391</v>
      </c>
      <c r="AR1409" s="27">
        <v>76.599999999999994</v>
      </c>
      <c r="AS1409" s="29" t="s">
        <v>2842</v>
      </c>
      <c r="AT1409" s="270">
        <v>27</v>
      </c>
      <c r="AU1409" s="464">
        <v>42.488892080090132</v>
      </c>
      <c r="AV1409" s="29">
        <v>-0.72749646576441196</v>
      </c>
      <c r="AW1409" s="29">
        <v>-2.05327401816449</v>
      </c>
      <c r="AX1409" s="29">
        <v>-0.99778014629661604</v>
      </c>
      <c r="AY1409" s="29">
        <v>-0.72247740244145298</v>
      </c>
      <c r="AZ1409" s="60">
        <v>-1.1327559316657301</v>
      </c>
    </row>
    <row r="1410" spans="1:52" ht="15" customHeight="1">
      <c r="A1410" s="59" t="s">
        <v>426</v>
      </c>
      <c r="B1410" s="27">
        <v>2012</v>
      </c>
      <c r="C1410" s="146" t="s">
        <v>406</v>
      </c>
      <c r="D1410" s="27" t="s">
        <v>81</v>
      </c>
      <c r="E1410" s="27" t="s">
        <v>19</v>
      </c>
      <c r="F1410" s="27" t="s">
        <v>1845</v>
      </c>
      <c r="G1410" s="176"/>
      <c r="H1410" s="176"/>
      <c r="I1410" s="176">
        <v>3661332</v>
      </c>
      <c r="J1410" s="176"/>
      <c r="K1410" s="27" t="s">
        <v>567</v>
      </c>
      <c r="L1410" s="28"/>
      <c r="M1410" s="27"/>
      <c r="N1410" s="27" t="s">
        <v>890</v>
      </c>
      <c r="O1410" s="27"/>
      <c r="P1410" s="244"/>
      <c r="Q1410" s="244"/>
      <c r="R1410" s="27"/>
      <c r="S1410" s="27"/>
      <c r="T1410" s="18"/>
      <c r="U1410" s="27"/>
      <c r="V1410" s="27"/>
      <c r="W1410" s="30"/>
      <c r="X1410" s="27"/>
      <c r="Y1410" s="27"/>
      <c r="Z1410" s="27"/>
      <c r="AA1410" s="27"/>
      <c r="AB1410" s="27"/>
      <c r="AC1410" s="273">
        <v>177501338.81</v>
      </c>
      <c r="AD1410" s="27">
        <v>462979245902.41315</v>
      </c>
      <c r="AE1410" s="228">
        <v>3.8338940758353944E-4</v>
      </c>
      <c r="AF1410" s="27">
        <v>124541417147.74915</v>
      </c>
      <c r="AG1410" s="226">
        <v>1.4252394333960573E-3</v>
      </c>
      <c r="AH1410" s="226">
        <v>0.99037448351279522</v>
      </c>
      <c r="AI1410" s="27">
        <v>1915820000</v>
      </c>
      <c r="AJ1410" s="226">
        <v>9.2650321434163962E-2</v>
      </c>
      <c r="AK1410" s="27">
        <v>8746452937.3206024</v>
      </c>
      <c r="AL1410" s="226">
        <v>2.0294094083855661E-2</v>
      </c>
      <c r="AM1410" s="27" t="s">
        <v>2842</v>
      </c>
      <c r="AN1410" s="271" t="s">
        <v>2842</v>
      </c>
      <c r="AO1410" s="27">
        <v>168833776</v>
      </c>
      <c r="AP1410" s="27" t="s">
        <v>2842</v>
      </c>
      <c r="AQ1410" s="27">
        <v>52.10902439024391</v>
      </c>
      <c r="AR1410" s="27">
        <v>76.599999999999994</v>
      </c>
      <c r="AS1410" s="29" t="s">
        <v>2842</v>
      </c>
      <c r="AT1410" s="270">
        <v>27</v>
      </c>
      <c r="AU1410" s="464">
        <v>42.488892080090132</v>
      </c>
      <c r="AV1410" s="29">
        <v>-0.72749646576441196</v>
      </c>
      <c r="AW1410" s="29">
        <v>-2.05327401816449</v>
      </c>
      <c r="AX1410" s="29">
        <v>-0.99778014629661604</v>
      </c>
      <c r="AY1410" s="29">
        <v>-0.72247740244145298</v>
      </c>
      <c r="AZ1410" s="60">
        <v>-1.1327559316657301</v>
      </c>
    </row>
    <row r="1411" spans="1:52" ht="15" customHeight="1">
      <c r="A1411" s="59" t="s">
        <v>426</v>
      </c>
      <c r="B1411" s="27">
        <v>2012</v>
      </c>
      <c r="C1411" s="146" t="s">
        <v>406</v>
      </c>
      <c r="D1411" s="27" t="s">
        <v>81</v>
      </c>
      <c r="E1411" s="27" t="s">
        <v>19</v>
      </c>
      <c r="F1411" s="27" t="s">
        <v>897</v>
      </c>
      <c r="G1411" s="176"/>
      <c r="H1411" s="176"/>
      <c r="I1411" s="176">
        <v>2108504</v>
      </c>
      <c r="J1411" s="176"/>
      <c r="K1411" s="27" t="s">
        <v>567</v>
      </c>
      <c r="L1411" s="28"/>
      <c r="M1411" s="27"/>
      <c r="N1411" s="27" t="s">
        <v>890</v>
      </c>
      <c r="O1411" s="27"/>
      <c r="P1411" s="244"/>
      <c r="Q1411" s="244"/>
      <c r="R1411" s="27"/>
      <c r="S1411" s="27"/>
      <c r="T1411" s="18"/>
      <c r="U1411" s="27"/>
      <c r="V1411" s="27"/>
      <c r="W1411" s="30"/>
      <c r="X1411" s="27"/>
      <c r="Y1411" s="27"/>
      <c r="Z1411" s="27"/>
      <c r="AA1411" s="27"/>
      <c r="AB1411" s="27"/>
      <c r="AC1411" s="273">
        <v>177501338.81</v>
      </c>
      <c r="AD1411" s="27">
        <v>462979245902.41315</v>
      </c>
      <c r="AE1411" s="228">
        <v>3.8338940758353944E-4</v>
      </c>
      <c r="AF1411" s="27">
        <v>124541417147.74915</v>
      </c>
      <c r="AG1411" s="226">
        <v>1.4252394333960573E-3</v>
      </c>
      <c r="AH1411" s="226">
        <v>0.99037448351279522</v>
      </c>
      <c r="AI1411" s="27">
        <v>1915820000</v>
      </c>
      <c r="AJ1411" s="226">
        <v>9.2650321434163962E-2</v>
      </c>
      <c r="AK1411" s="27">
        <v>8746452937.3206024</v>
      </c>
      <c r="AL1411" s="226">
        <v>2.0294094083855661E-2</v>
      </c>
      <c r="AM1411" s="27" t="s">
        <v>2842</v>
      </c>
      <c r="AN1411" s="271" t="s">
        <v>2842</v>
      </c>
      <c r="AO1411" s="27">
        <v>168833776</v>
      </c>
      <c r="AP1411" s="27" t="s">
        <v>2842</v>
      </c>
      <c r="AQ1411" s="27">
        <v>52.10902439024391</v>
      </c>
      <c r="AR1411" s="27">
        <v>76.599999999999994</v>
      </c>
      <c r="AS1411" s="29" t="s">
        <v>2842</v>
      </c>
      <c r="AT1411" s="270">
        <v>27</v>
      </c>
      <c r="AU1411" s="464">
        <v>42.488892080090132</v>
      </c>
      <c r="AV1411" s="29">
        <v>-0.72749646576441196</v>
      </c>
      <c r="AW1411" s="29">
        <v>-2.05327401816449</v>
      </c>
      <c r="AX1411" s="29">
        <v>-0.99778014629661604</v>
      </c>
      <c r="AY1411" s="29">
        <v>-0.72247740244145298</v>
      </c>
      <c r="AZ1411" s="60">
        <v>-1.1327559316657301</v>
      </c>
    </row>
    <row r="1412" spans="1:52" ht="15" customHeight="1">
      <c r="A1412" s="59" t="s">
        <v>426</v>
      </c>
      <c r="B1412" s="27">
        <v>2012</v>
      </c>
      <c r="C1412" s="146" t="s">
        <v>406</v>
      </c>
      <c r="D1412" s="27" t="s">
        <v>81</v>
      </c>
      <c r="E1412" s="27" t="s">
        <v>19</v>
      </c>
      <c r="F1412" s="27" t="s">
        <v>1853</v>
      </c>
      <c r="G1412" s="176"/>
      <c r="H1412" s="176"/>
      <c r="I1412" s="176">
        <v>566589</v>
      </c>
      <c r="J1412" s="176"/>
      <c r="K1412" s="27" t="s">
        <v>567</v>
      </c>
      <c r="L1412" s="28"/>
      <c r="M1412" s="27"/>
      <c r="N1412" s="27" t="s">
        <v>890</v>
      </c>
      <c r="O1412" s="27"/>
      <c r="P1412" s="244"/>
      <c r="Q1412" s="244"/>
      <c r="R1412" s="27"/>
      <c r="S1412" s="27"/>
      <c r="T1412" s="18"/>
      <c r="U1412" s="27"/>
      <c r="V1412" s="27"/>
      <c r="W1412" s="30"/>
      <c r="X1412" s="27"/>
      <c r="Y1412" s="27"/>
      <c r="Z1412" s="27"/>
      <c r="AA1412" s="27"/>
      <c r="AB1412" s="27"/>
      <c r="AC1412" s="273">
        <v>177501338.81</v>
      </c>
      <c r="AD1412" s="27">
        <v>462979245902.41315</v>
      </c>
      <c r="AE1412" s="228">
        <v>3.8338940758353944E-4</v>
      </c>
      <c r="AF1412" s="27">
        <v>124541417147.74915</v>
      </c>
      <c r="AG1412" s="226">
        <v>1.4252394333960573E-3</v>
      </c>
      <c r="AH1412" s="226">
        <v>0.99037448351279522</v>
      </c>
      <c r="AI1412" s="27">
        <v>1915820000</v>
      </c>
      <c r="AJ1412" s="226">
        <v>9.2650321434163962E-2</v>
      </c>
      <c r="AK1412" s="27">
        <v>8746452937.3206024</v>
      </c>
      <c r="AL1412" s="226">
        <v>2.0294094083855661E-2</v>
      </c>
      <c r="AM1412" s="27" t="s">
        <v>2842</v>
      </c>
      <c r="AN1412" s="271" t="s">
        <v>2842</v>
      </c>
      <c r="AO1412" s="27">
        <v>168833776</v>
      </c>
      <c r="AP1412" s="27" t="s">
        <v>2842</v>
      </c>
      <c r="AQ1412" s="27">
        <v>52.10902439024391</v>
      </c>
      <c r="AR1412" s="27">
        <v>76.599999999999994</v>
      </c>
      <c r="AS1412" s="29" t="s">
        <v>2842</v>
      </c>
      <c r="AT1412" s="270">
        <v>27</v>
      </c>
      <c r="AU1412" s="464">
        <v>42.488892080090132</v>
      </c>
      <c r="AV1412" s="29">
        <v>-0.72749646576441196</v>
      </c>
      <c r="AW1412" s="29">
        <v>-2.05327401816449</v>
      </c>
      <c r="AX1412" s="29">
        <v>-0.99778014629661604</v>
      </c>
      <c r="AY1412" s="29">
        <v>-0.72247740244145298</v>
      </c>
      <c r="AZ1412" s="60">
        <v>-1.1327559316657301</v>
      </c>
    </row>
    <row r="1413" spans="1:52" ht="15" customHeight="1">
      <c r="A1413" s="59" t="s">
        <v>426</v>
      </c>
      <c r="B1413" s="27">
        <v>2012</v>
      </c>
      <c r="C1413" s="146" t="s">
        <v>406</v>
      </c>
      <c r="D1413" s="27" t="s">
        <v>81</v>
      </c>
      <c r="E1413" s="27" t="s">
        <v>19</v>
      </c>
      <c r="F1413" s="27" t="s">
        <v>1864</v>
      </c>
      <c r="G1413" s="176"/>
      <c r="H1413" s="176"/>
      <c r="I1413" s="176">
        <v>95590</v>
      </c>
      <c r="J1413" s="176"/>
      <c r="K1413" s="27" t="s">
        <v>567</v>
      </c>
      <c r="L1413" s="28"/>
      <c r="M1413" s="27"/>
      <c r="N1413" s="27" t="s">
        <v>890</v>
      </c>
      <c r="O1413" s="27"/>
      <c r="P1413" s="244"/>
      <c r="Q1413" s="244"/>
      <c r="R1413" s="27"/>
      <c r="S1413" s="27"/>
      <c r="T1413" s="18"/>
      <c r="U1413" s="27"/>
      <c r="V1413" s="27"/>
      <c r="W1413" s="30"/>
      <c r="X1413" s="27"/>
      <c r="Y1413" s="27"/>
      <c r="Z1413" s="27"/>
      <c r="AA1413" s="27"/>
      <c r="AB1413" s="27"/>
      <c r="AC1413" s="273">
        <v>177501338.81</v>
      </c>
      <c r="AD1413" s="27">
        <v>462979245902.41315</v>
      </c>
      <c r="AE1413" s="228">
        <v>3.8338940758353944E-4</v>
      </c>
      <c r="AF1413" s="27">
        <v>124541417147.74915</v>
      </c>
      <c r="AG1413" s="226">
        <v>1.4252394333960573E-3</v>
      </c>
      <c r="AH1413" s="226">
        <v>0.99037448351279522</v>
      </c>
      <c r="AI1413" s="27">
        <v>1915820000</v>
      </c>
      <c r="AJ1413" s="226">
        <v>9.2650321434163962E-2</v>
      </c>
      <c r="AK1413" s="27">
        <v>8746452937.3206024</v>
      </c>
      <c r="AL1413" s="226">
        <v>2.0294094083855661E-2</v>
      </c>
      <c r="AM1413" s="27" t="s">
        <v>2842</v>
      </c>
      <c r="AN1413" s="271" t="s">
        <v>2842</v>
      </c>
      <c r="AO1413" s="27">
        <v>168833776</v>
      </c>
      <c r="AP1413" s="27" t="s">
        <v>2842</v>
      </c>
      <c r="AQ1413" s="27">
        <v>52.10902439024391</v>
      </c>
      <c r="AR1413" s="27">
        <v>76.599999999999994</v>
      </c>
      <c r="AS1413" s="29" t="s">
        <v>2842</v>
      </c>
      <c r="AT1413" s="270">
        <v>27</v>
      </c>
      <c r="AU1413" s="464">
        <v>42.488892080090132</v>
      </c>
      <c r="AV1413" s="29">
        <v>-0.72749646576441196</v>
      </c>
      <c r="AW1413" s="29">
        <v>-2.05327401816449</v>
      </c>
      <c r="AX1413" s="29">
        <v>-0.99778014629661604</v>
      </c>
      <c r="AY1413" s="29">
        <v>-0.72247740244145298</v>
      </c>
      <c r="AZ1413" s="60">
        <v>-1.1327559316657301</v>
      </c>
    </row>
    <row r="1414" spans="1:52" ht="15" customHeight="1">
      <c r="A1414" s="59" t="s">
        <v>426</v>
      </c>
      <c r="B1414" s="27">
        <v>2012</v>
      </c>
      <c r="C1414" s="146" t="s">
        <v>406</v>
      </c>
      <c r="D1414" s="27" t="s">
        <v>81</v>
      </c>
      <c r="E1414" s="27" t="s">
        <v>19</v>
      </c>
      <c r="F1414" s="27" t="s">
        <v>1850</v>
      </c>
      <c r="G1414" s="176"/>
      <c r="H1414" s="176"/>
      <c r="I1414" s="176">
        <v>54837</v>
      </c>
      <c r="J1414" s="176"/>
      <c r="K1414" s="27" t="s">
        <v>567</v>
      </c>
      <c r="L1414" s="28"/>
      <c r="M1414" s="27"/>
      <c r="N1414" s="27" t="s">
        <v>890</v>
      </c>
      <c r="O1414" s="27"/>
      <c r="P1414" s="244"/>
      <c r="Q1414" s="244"/>
      <c r="R1414" s="27"/>
      <c r="S1414" s="27"/>
      <c r="T1414" s="18"/>
      <c r="U1414" s="27"/>
      <c r="V1414" s="27"/>
      <c r="W1414" s="30"/>
      <c r="X1414" s="27"/>
      <c r="Y1414" s="27"/>
      <c r="Z1414" s="27"/>
      <c r="AA1414" s="27"/>
      <c r="AB1414" s="27"/>
      <c r="AC1414" s="273">
        <v>177501338.81</v>
      </c>
      <c r="AD1414" s="27">
        <v>462979245902.41315</v>
      </c>
      <c r="AE1414" s="228">
        <v>3.8338940758353944E-4</v>
      </c>
      <c r="AF1414" s="27">
        <v>124541417147.74915</v>
      </c>
      <c r="AG1414" s="226">
        <v>1.4252394333960573E-3</v>
      </c>
      <c r="AH1414" s="226">
        <v>0.99037448351279522</v>
      </c>
      <c r="AI1414" s="27">
        <v>1915820000</v>
      </c>
      <c r="AJ1414" s="226">
        <v>9.2650321434163962E-2</v>
      </c>
      <c r="AK1414" s="27">
        <v>8746452937.3206024</v>
      </c>
      <c r="AL1414" s="226">
        <v>2.0294094083855661E-2</v>
      </c>
      <c r="AM1414" s="27" t="s">
        <v>2842</v>
      </c>
      <c r="AN1414" s="271" t="s">
        <v>2842</v>
      </c>
      <c r="AO1414" s="27">
        <v>168833776</v>
      </c>
      <c r="AP1414" s="27" t="s">
        <v>2842</v>
      </c>
      <c r="AQ1414" s="27">
        <v>52.10902439024391</v>
      </c>
      <c r="AR1414" s="27">
        <v>76.599999999999994</v>
      </c>
      <c r="AS1414" s="29" t="s">
        <v>2842</v>
      </c>
      <c r="AT1414" s="270">
        <v>27</v>
      </c>
      <c r="AU1414" s="464">
        <v>42.488892080090132</v>
      </c>
      <c r="AV1414" s="29">
        <v>-0.72749646576441196</v>
      </c>
      <c r="AW1414" s="29">
        <v>-2.05327401816449</v>
      </c>
      <c r="AX1414" s="29">
        <v>-0.99778014629661604</v>
      </c>
      <c r="AY1414" s="29">
        <v>-0.72247740244145298</v>
      </c>
      <c r="AZ1414" s="60">
        <v>-1.1327559316657301</v>
      </c>
    </row>
    <row r="1415" spans="1:52" ht="15" customHeight="1">
      <c r="A1415" s="59" t="s">
        <v>426</v>
      </c>
      <c r="B1415" s="27">
        <v>2012</v>
      </c>
      <c r="C1415" s="146" t="s">
        <v>406</v>
      </c>
      <c r="D1415" s="27" t="s">
        <v>81</v>
      </c>
      <c r="E1415" s="27" t="s">
        <v>19</v>
      </c>
      <c r="F1415" s="27" t="s">
        <v>573</v>
      </c>
      <c r="G1415" s="176"/>
      <c r="H1415" s="176"/>
      <c r="I1415" s="176">
        <v>53614</v>
      </c>
      <c r="J1415" s="176"/>
      <c r="K1415" s="27" t="s">
        <v>567</v>
      </c>
      <c r="L1415" s="28"/>
      <c r="M1415" s="27"/>
      <c r="N1415" s="27" t="s">
        <v>890</v>
      </c>
      <c r="O1415" s="27"/>
      <c r="P1415" s="244"/>
      <c r="Q1415" s="244"/>
      <c r="R1415" s="27"/>
      <c r="S1415" s="27"/>
      <c r="T1415" s="18"/>
      <c r="U1415" s="27"/>
      <c r="V1415" s="27"/>
      <c r="W1415" s="30"/>
      <c r="X1415" s="27"/>
      <c r="Y1415" s="27"/>
      <c r="Z1415" s="27"/>
      <c r="AA1415" s="27"/>
      <c r="AB1415" s="27"/>
      <c r="AC1415" s="273">
        <v>177501338.81</v>
      </c>
      <c r="AD1415" s="27">
        <v>462979245902.41315</v>
      </c>
      <c r="AE1415" s="228">
        <v>3.8338940758353944E-4</v>
      </c>
      <c r="AF1415" s="27">
        <v>124541417147.74915</v>
      </c>
      <c r="AG1415" s="226">
        <v>1.4252394333960573E-3</v>
      </c>
      <c r="AH1415" s="226">
        <v>0.99037448351279522</v>
      </c>
      <c r="AI1415" s="27">
        <v>1915820000</v>
      </c>
      <c r="AJ1415" s="226">
        <v>9.2650321434163962E-2</v>
      </c>
      <c r="AK1415" s="27">
        <v>8746452937.3206024</v>
      </c>
      <c r="AL1415" s="226">
        <v>2.0294094083855661E-2</v>
      </c>
      <c r="AM1415" s="27" t="s">
        <v>2842</v>
      </c>
      <c r="AN1415" s="271" t="s">
        <v>2842</v>
      </c>
      <c r="AO1415" s="27">
        <v>168833776</v>
      </c>
      <c r="AP1415" s="27" t="s">
        <v>2842</v>
      </c>
      <c r="AQ1415" s="27">
        <v>52.10902439024391</v>
      </c>
      <c r="AR1415" s="27">
        <v>76.599999999999994</v>
      </c>
      <c r="AS1415" s="29" t="s">
        <v>2842</v>
      </c>
      <c r="AT1415" s="270">
        <v>27</v>
      </c>
      <c r="AU1415" s="464">
        <v>42.488892080090132</v>
      </c>
      <c r="AV1415" s="29">
        <v>-0.72749646576441196</v>
      </c>
      <c r="AW1415" s="29">
        <v>-2.05327401816449</v>
      </c>
      <c r="AX1415" s="29">
        <v>-0.99778014629661604</v>
      </c>
      <c r="AY1415" s="29">
        <v>-0.72247740244145298</v>
      </c>
      <c r="AZ1415" s="60">
        <v>-1.1327559316657301</v>
      </c>
    </row>
    <row r="1416" spans="1:52" ht="15" customHeight="1">
      <c r="A1416" s="59" t="s">
        <v>426</v>
      </c>
      <c r="B1416" s="27">
        <v>2012</v>
      </c>
      <c r="C1416" s="146" t="s">
        <v>406</v>
      </c>
      <c r="D1416" s="27" t="s">
        <v>81</v>
      </c>
      <c r="E1416" s="27" t="s">
        <v>19</v>
      </c>
      <c r="F1416" s="27" t="s">
        <v>1865</v>
      </c>
      <c r="G1416" s="176"/>
      <c r="H1416" s="176"/>
      <c r="I1416" s="176">
        <v>16630</v>
      </c>
      <c r="J1416" s="176"/>
      <c r="K1416" s="27" t="s">
        <v>567</v>
      </c>
      <c r="L1416" s="28"/>
      <c r="M1416" s="27"/>
      <c r="N1416" s="27" t="s">
        <v>890</v>
      </c>
      <c r="O1416" s="27"/>
      <c r="P1416" s="244"/>
      <c r="Q1416" s="244"/>
      <c r="R1416" s="27"/>
      <c r="S1416" s="27"/>
      <c r="T1416" s="18"/>
      <c r="U1416" s="27"/>
      <c r="V1416" s="27"/>
      <c r="W1416" s="30"/>
      <c r="X1416" s="27"/>
      <c r="Y1416" s="27"/>
      <c r="Z1416" s="27"/>
      <c r="AA1416" s="27"/>
      <c r="AB1416" s="27"/>
      <c r="AC1416" s="273">
        <v>177501338.81</v>
      </c>
      <c r="AD1416" s="27">
        <v>462979245902.41315</v>
      </c>
      <c r="AE1416" s="228">
        <v>3.8338940758353944E-4</v>
      </c>
      <c r="AF1416" s="27">
        <v>124541417147.74915</v>
      </c>
      <c r="AG1416" s="226">
        <v>1.4252394333960573E-3</v>
      </c>
      <c r="AH1416" s="226">
        <v>0.99037448351279522</v>
      </c>
      <c r="AI1416" s="27">
        <v>1915820000</v>
      </c>
      <c r="AJ1416" s="226">
        <v>9.2650321434163962E-2</v>
      </c>
      <c r="AK1416" s="27">
        <v>8746452937.3206024</v>
      </c>
      <c r="AL1416" s="226">
        <v>2.0294094083855661E-2</v>
      </c>
      <c r="AM1416" s="27" t="s">
        <v>2842</v>
      </c>
      <c r="AN1416" s="271" t="s">
        <v>2842</v>
      </c>
      <c r="AO1416" s="27">
        <v>168833776</v>
      </c>
      <c r="AP1416" s="27" t="s">
        <v>2842</v>
      </c>
      <c r="AQ1416" s="27">
        <v>52.10902439024391</v>
      </c>
      <c r="AR1416" s="27">
        <v>76.599999999999994</v>
      </c>
      <c r="AS1416" s="29" t="s">
        <v>2842</v>
      </c>
      <c r="AT1416" s="270">
        <v>27</v>
      </c>
      <c r="AU1416" s="464">
        <v>42.488892080090132</v>
      </c>
      <c r="AV1416" s="29">
        <v>-0.72749646576441196</v>
      </c>
      <c r="AW1416" s="29">
        <v>-2.05327401816449</v>
      </c>
      <c r="AX1416" s="29">
        <v>-0.99778014629661604</v>
      </c>
      <c r="AY1416" s="29">
        <v>-0.72247740244145298</v>
      </c>
      <c r="AZ1416" s="60">
        <v>-1.1327559316657301</v>
      </c>
    </row>
    <row r="1417" spans="1:52" s="232" customFormat="1" ht="15" customHeight="1" thickBot="1">
      <c r="A1417" s="360" t="s">
        <v>426</v>
      </c>
      <c r="B1417" s="230">
        <v>2012</v>
      </c>
      <c r="C1417" s="384" t="s">
        <v>406</v>
      </c>
      <c r="D1417" s="230" t="s">
        <v>81</v>
      </c>
      <c r="E1417" s="230" t="s">
        <v>19</v>
      </c>
      <c r="F1417" s="230" t="s">
        <v>579</v>
      </c>
      <c r="G1417" s="317"/>
      <c r="H1417" s="317"/>
      <c r="I1417" s="317">
        <v>1750</v>
      </c>
      <c r="J1417" s="317"/>
      <c r="K1417" s="230" t="s">
        <v>567</v>
      </c>
      <c r="L1417" s="298"/>
      <c r="M1417" s="230"/>
      <c r="N1417" s="230" t="s">
        <v>890</v>
      </c>
      <c r="O1417" s="230"/>
      <c r="P1417" s="318"/>
      <c r="Q1417" s="318"/>
      <c r="R1417" s="230"/>
      <c r="S1417" s="230"/>
      <c r="T1417" s="285"/>
      <c r="U1417" s="230"/>
      <c r="V1417" s="230"/>
      <c r="W1417" s="300"/>
      <c r="X1417" s="230"/>
      <c r="Y1417" s="230"/>
      <c r="Z1417" s="230"/>
      <c r="AA1417" s="230"/>
      <c r="AB1417" s="230"/>
      <c r="AC1417" s="274">
        <v>177501338.81</v>
      </c>
      <c r="AD1417" s="230">
        <v>462979245902.41315</v>
      </c>
      <c r="AE1417" s="229">
        <v>3.8338940758353944E-4</v>
      </c>
      <c r="AF1417" s="230">
        <v>124541417147.74915</v>
      </c>
      <c r="AG1417" s="231">
        <v>1.4252394333960573E-3</v>
      </c>
      <c r="AH1417" s="231">
        <v>0.99037448351279522</v>
      </c>
      <c r="AI1417" s="230">
        <v>1915820000</v>
      </c>
      <c r="AJ1417" s="231">
        <v>9.2650321434163962E-2</v>
      </c>
      <c r="AK1417" s="230">
        <v>8746452937.3206024</v>
      </c>
      <c r="AL1417" s="231">
        <v>2.0294094083855661E-2</v>
      </c>
      <c r="AM1417" s="230" t="s">
        <v>2842</v>
      </c>
      <c r="AN1417" s="275" t="s">
        <v>2842</v>
      </c>
      <c r="AO1417" s="230">
        <v>168833776</v>
      </c>
      <c r="AP1417" s="230" t="s">
        <v>2842</v>
      </c>
      <c r="AQ1417" s="230">
        <v>52.10902439024391</v>
      </c>
      <c r="AR1417" s="230">
        <v>76.599999999999994</v>
      </c>
      <c r="AS1417" s="232" t="s">
        <v>2842</v>
      </c>
      <c r="AT1417" s="276">
        <v>27</v>
      </c>
      <c r="AU1417" s="466">
        <v>42.488892080090132</v>
      </c>
      <c r="AV1417" s="232">
        <v>-0.72749646576441196</v>
      </c>
      <c r="AW1417" s="232">
        <v>-2.05327401816449</v>
      </c>
      <c r="AX1417" s="232">
        <v>-0.99778014629661604</v>
      </c>
      <c r="AY1417" s="232">
        <v>-0.72247740244145298</v>
      </c>
      <c r="AZ1417" s="293">
        <v>-1.1327559316657301</v>
      </c>
    </row>
    <row r="1418" spans="1:52" ht="15" customHeight="1">
      <c r="A1418" s="59" t="s">
        <v>428</v>
      </c>
      <c r="B1418" s="27">
        <v>2008</v>
      </c>
      <c r="C1418" s="27" t="s">
        <v>429</v>
      </c>
      <c r="D1418" s="27" t="s">
        <v>34</v>
      </c>
      <c r="E1418" s="27" t="s">
        <v>50</v>
      </c>
      <c r="F1418" s="27" t="s">
        <v>659</v>
      </c>
      <c r="G1418" s="43"/>
      <c r="H1418" s="43"/>
      <c r="I1418" s="43"/>
      <c r="J1418" s="43"/>
      <c r="K1418" s="27"/>
      <c r="L1418" s="28"/>
      <c r="M1418" s="27"/>
      <c r="N1418" s="27"/>
      <c r="O1418" s="18">
        <f>SUM(O1419:O1420)</f>
        <v>121364424000</v>
      </c>
      <c r="P1418" s="214">
        <v>71008812000.233994</v>
      </c>
      <c r="Q1418" s="214">
        <v>71008812000.233994</v>
      </c>
      <c r="R1418" s="27" t="s">
        <v>619</v>
      </c>
      <c r="S1418" s="27"/>
      <c r="T1418" s="18"/>
      <c r="U1418" s="27" t="s">
        <v>1867</v>
      </c>
      <c r="V1418" s="27" t="s">
        <v>1868</v>
      </c>
      <c r="W1418" s="30">
        <v>5.64</v>
      </c>
      <c r="X1418" s="27">
        <v>69</v>
      </c>
      <c r="Y1418" s="27" t="s">
        <v>1869</v>
      </c>
      <c r="Z1418" s="27">
        <v>69</v>
      </c>
      <c r="AA1418" s="27">
        <v>17</v>
      </c>
      <c r="AB1418" s="27" t="s">
        <v>1870</v>
      </c>
      <c r="AC1418" s="273">
        <v>71008812.234042555</v>
      </c>
      <c r="AD1418" s="27">
        <v>453885460992.90784</v>
      </c>
      <c r="AE1418" s="228">
        <v>1.5644654507924874E-4</v>
      </c>
      <c r="AF1418" s="27">
        <v>250326909446.80853</v>
      </c>
      <c r="AG1418" s="226">
        <v>2.8366431875407737E-4</v>
      </c>
      <c r="AH1418" s="226">
        <v>0.59156210106962459</v>
      </c>
      <c r="AI1418" s="27" t="s">
        <v>2842</v>
      </c>
      <c r="AJ1418" s="226" t="s">
        <v>2842</v>
      </c>
      <c r="AK1418" s="27">
        <v>34557446808.510628</v>
      </c>
      <c r="AL1418" s="226">
        <v>2.0548049347371019E-3</v>
      </c>
      <c r="AM1418" s="27">
        <v>29053435300.886528</v>
      </c>
      <c r="AN1418" s="271">
        <v>2.4440762855976557E-3</v>
      </c>
      <c r="AO1418" s="27">
        <v>4768212</v>
      </c>
      <c r="AP1418" s="27" t="s">
        <v>2842</v>
      </c>
      <c r="AQ1418" s="27">
        <v>80.592682926829283</v>
      </c>
      <c r="AR1418" s="27">
        <v>2.9</v>
      </c>
      <c r="AS1418" s="29">
        <v>99.227590000000006</v>
      </c>
      <c r="AT1418" s="270">
        <v>86</v>
      </c>
      <c r="AU1418" s="464">
        <v>98.017464161585934</v>
      </c>
      <c r="AV1418" s="29" t="s">
        <v>2842</v>
      </c>
      <c r="AW1418" s="29" t="s">
        <v>2842</v>
      </c>
      <c r="AX1418" s="29" t="s">
        <v>2842</v>
      </c>
      <c r="AY1418" s="29" t="s">
        <v>2842</v>
      </c>
      <c r="AZ1418" s="60" t="s">
        <v>2842</v>
      </c>
    </row>
    <row r="1419" spans="1:52" ht="15" customHeight="1">
      <c r="A1419" s="59" t="s">
        <v>428</v>
      </c>
      <c r="B1419" s="27">
        <v>2008</v>
      </c>
      <c r="C1419" s="27" t="s">
        <v>429</v>
      </c>
      <c r="D1419" s="27" t="s">
        <v>34</v>
      </c>
      <c r="E1419" s="27" t="s">
        <v>552</v>
      </c>
      <c r="F1419" s="27" t="s">
        <v>552</v>
      </c>
      <c r="G1419" s="43">
        <v>100100000000</v>
      </c>
      <c r="H1419" s="43"/>
      <c r="I1419" s="43"/>
      <c r="J1419" s="43"/>
      <c r="K1419" s="27" t="s">
        <v>599</v>
      </c>
      <c r="L1419" s="28">
        <v>0.32879700000000006</v>
      </c>
      <c r="M1419" s="27" t="s">
        <v>600</v>
      </c>
      <c r="N1419" s="27" t="s">
        <v>685</v>
      </c>
      <c r="O1419" s="18">
        <f>G1419*L1419</f>
        <v>32912579700.000008</v>
      </c>
      <c r="P1419" s="214"/>
      <c r="Q1419" s="214"/>
      <c r="R1419" s="27"/>
      <c r="S1419" s="27"/>
      <c r="T1419" s="18"/>
      <c r="U1419" s="27"/>
      <c r="V1419" s="27"/>
      <c r="W1419" s="30"/>
      <c r="X1419" s="27"/>
      <c r="Y1419" s="27"/>
      <c r="Z1419" s="27"/>
      <c r="AA1419" s="27"/>
      <c r="AB1419" s="27"/>
      <c r="AC1419" s="273">
        <v>71008812.234042555</v>
      </c>
      <c r="AD1419" s="27">
        <v>453885460992.90784</v>
      </c>
      <c r="AE1419" s="228">
        <v>1.5644654507924874E-4</v>
      </c>
      <c r="AF1419" s="27">
        <v>250326909446.80853</v>
      </c>
      <c r="AG1419" s="226">
        <v>2.8366431875407737E-4</v>
      </c>
      <c r="AH1419" s="226">
        <v>0.59156210106962459</v>
      </c>
      <c r="AI1419" s="27" t="s">
        <v>2842</v>
      </c>
      <c r="AJ1419" s="226" t="s">
        <v>2842</v>
      </c>
      <c r="AK1419" s="27">
        <v>34557446808.510628</v>
      </c>
      <c r="AL1419" s="226">
        <v>2.0548049347371019E-3</v>
      </c>
      <c r="AM1419" s="27">
        <v>29053435300.886528</v>
      </c>
      <c r="AN1419" s="271">
        <v>2.4440762855976557E-3</v>
      </c>
      <c r="AO1419" s="27">
        <v>4768212</v>
      </c>
      <c r="AP1419" s="27" t="s">
        <v>2842</v>
      </c>
      <c r="AQ1419" s="27">
        <v>80.592682926829283</v>
      </c>
      <c r="AR1419" s="27">
        <v>2.9</v>
      </c>
      <c r="AS1419" s="29">
        <v>99.227590000000006</v>
      </c>
      <c r="AT1419" s="270">
        <v>86</v>
      </c>
      <c r="AU1419" s="464">
        <v>98.017464161585934</v>
      </c>
      <c r="AV1419" s="29" t="s">
        <v>2842</v>
      </c>
      <c r="AW1419" s="29" t="s">
        <v>2842</v>
      </c>
      <c r="AX1419" s="29" t="s">
        <v>2842</v>
      </c>
      <c r="AY1419" s="29" t="s">
        <v>2842</v>
      </c>
      <c r="AZ1419" s="60" t="s">
        <v>2842</v>
      </c>
    </row>
    <row r="1420" spans="1:52" s="287" customFormat="1" ht="15" customHeight="1">
      <c r="A1420" s="344" t="s">
        <v>428</v>
      </c>
      <c r="B1420" s="284">
        <v>2008</v>
      </c>
      <c r="C1420" s="284" t="s">
        <v>429</v>
      </c>
      <c r="D1420" s="284" t="s">
        <v>34</v>
      </c>
      <c r="E1420" s="284" t="s">
        <v>98</v>
      </c>
      <c r="F1420" s="284" t="s">
        <v>98</v>
      </c>
      <c r="G1420" s="303">
        <v>900090000</v>
      </c>
      <c r="H1420" s="303"/>
      <c r="I1420" s="303"/>
      <c r="J1420" s="303"/>
      <c r="K1420" s="284" t="s">
        <v>603</v>
      </c>
      <c r="L1420" s="304">
        <v>98.27</v>
      </c>
      <c r="M1420" s="284" t="s">
        <v>626</v>
      </c>
      <c r="N1420" s="284" t="s">
        <v>687</v>
      </c>
      <c r="O1420" s="305">
        <f>G1420*L1420</f>
        <v>88451844300</v>
      </c>
      <c r="P1420" s="346"/>
      <c r="Q1420" s="346"/>
      <c r="R1420" s="284"/>
      <c r="S1420" s="284"/>
      <c r="T1420" s="305"/>
      <c r="U1420" s="284"/>
      <c r="V1420" s="284"/>
      <c r="W1420" s="307"/>
      <c r="X1420" s="284"/>
      <c r="Y1420" s="284"/>
      <c r="Z1420" s="284"/>
      <c r="AA1420" s="284"/>
      <c r="AB1420" s="284"/>
      <c r="AC1420" s="308">
        <v>71008812.234042555</v>
      </c>
      <c r="AD1420" s="284">
        <v>453885460992.90784</v>
      </c>
      <c r="AE1420" s="309">
        <v>1.5644654507924874E-4</v>
      </c>
      <c r="AF1420" s="284">
        <v>250326909446.80853</v>
      </c>
      <c r="AG1420" s="310">
        <v>2.8366431875407737E-4</v>
      </c>
      <c r="AH1420" s="310">
        <v>0.59156210106962459</v>
      </c>
      <c r="AI1420" s="284" t="s">
        <v>2842</v>
      </c>
      <c r="AJ1420" s="310" t="s">
        <v>2842</v>
      </c>
      <c r="AK1420" s="284">
        <v>34557446808.510628</v>
      </c>
      <c r="AL1420" s="310">
        <v>2.0548049347371019E-3</v>
      </c>
      <c r="AM1420" s="284">
        <v>29053435300.886528</v>
      </c>
      <c r="AN1420" s="311">
        <v>2.4440762855976557E-3</v>
      </c>
      <c r="AO1420" s="284">
        <v>4768212</v>
      </c>
      <c r="AP1420" s="284" t="s">
        <v>2842</v>
      </c>
      <c r="AQ1420" s="284">
        <v>80.592682926829283</v>
      </c>
      <c r="AR1420" s="284">
        <v>2.9</v>
      </c>
      <c r="AS1420" s="287">
        <v>99.227590000000006</v>
      </c>
      <c r="AT1420" s="312">
        <v>86</v>
      </c>
      <c r="AU1420" s="465">
        <v>98.017464161585934</v>
      </c>
      <c r="AV1420" s="287" t="s">
        <v>2842</v>
      </c>
      <c r="AW1420" s="287" t="s">
        <v>2842</v>
      </c>
      <c r="AX1420" s="287" t="s">
        <v>2842</v>
      </c>
      <c r="AY1420" s="287" t="s">
        <v>2842</v>
      </c>
      <c r="AZ1420" s="313" t="s">
        <v>2842</v>
      </c>
    </row>
    <row r="1421" spans="1:52" s="29" customFormat="1" ht="15" customHeight="1">
      <c r="A1421" s="332" t="s">
        <v>431</v>
      </c>
      <c r="B1421" s="27">
        <v>2009</v>
      </c>
      <c r="C1421" s="27" t="s">
        <v>429</v>
      </c>
      <c r="D1421" s="27" t="s">
        <v>34</v>
      </c>
      <c r="E1421" s="27" t="s">
        <v>50</v>
      </c>
      <c r="F1421" s="27" t="s">
        <v>659</v>
      </c>
      <c r="G1421" s="43"/>
      <c r="H1421" s="43"/>
      <c r="I1421" s="43"/>
      <c r="J1421" s="43"/>
      <c r="K1421" s="27"/>
      <c r="L1421" s="28"/>
      <c r="M1421" s="27"/>
      <c r="N1421" s="27"/>
      <c r="O1421" s="18">
        <f>SUM(O1422:O1423)</f>
        <v>68283864000</v>
      </c>
      <c r="P1421" s="214">
        <v>42349871974.522293</v>
      </c>
      <c r="Q1421" s="214">
        <v>42349871974.522293</v>
      </c>
      <c r="R1421" s="27" t="s">
        <v>619</v>
      </c>
      <c r="S1421" s="27"/>
      <c r="T1421" s="18"/>
      <c r="U1421" s="27" t="s">
        <v>1867</v>
      </c>
      <c r="V1421" s="27" t="s">
        <v>1868</v>
      </c>
      <c r="W1421" s="30">
        <v>6.28</v>
      </c>
      <c r="X1421" s="27">
        <v>64</v>
      </c>
      <c r="Y1421" s="27" t="s">
        <v>1871</v>
      </c>
      <c r="Z1421" s="27">
        <v>64</v>
      </c>
      <c r="AA1421" s="27">
        <v>16</v>
      </c>
      <c r="AB1421" s="27" t="s">
        <v>1872</v>
      </c>
      <c r="AC1421" s="273">
        <v>42349871974.522293</v>
      </c>
      <c r="AD1421" s="27">
        <v>378849191624.70203</v>
      </c>
      <c r="AE1421" s="228">
        <v>0.11178556774241501</v>
      </c>
      <c r="AF1421" s="27">
        <v>211769121134.37595</v>
      </c>
      <c r="AG1421" s="226">
        <v>0.19998133697523168</v>
      </c>
      <c r="AH1421" s="226">
        <v>0.49942077587496941</v>
      </c>
      <c r="AI1421" s="27" t="s">
        <v>2842</v>
      </c>
      <c r="AJ1421" s="226" t="s">
        <v>2842</v>
      </c>
      <c r="AK1421" s="27">
        <v>32288841770.47443</v>
      </c>
      <c r="AL1421" s="226">
        <v>1.3115946454681404</v>
      </c>
      <c r="AM1421" s="27">
        <v>27432394195.706352</v>
      </c>
      <c r="AN1421" s="271">
        <v>1.5437905883238869</v>
      </c>
      <c r="AO1421" s="27">
        <v>4828726</v>
      </c>
      <c r="AP1421" s="27" t="s">
        <v>2842</v>
      </c>
      <c r="AQ1421" s="27">
        <v>80.795121951219514</v>
      </c>
      <c r="AR1421" s="27">
        <v>2.7</v>
      </c>
      <c r="AS1421" s="29">
        <v>99.004090000000005</v>
      </c>
      <c r="AT1421" s="270">
        <v>86</v>
      </c>
      <c r="AU1421" s="464">
        <v>98.017464161585934</v>
      </c>
      <c r="AV1421" s="29" t="s">
        <v>2842</v>
      </c>
      <c r="AW1421" s="29" t="s">
        <v>2842</v>
      </c>
      <c r="AX1421" s="29" t="s">
        <v>2842</v>
      </c>
      <c r="AY1421" s="29" t="s">
        <v>2842</v>
      </c>
      <c r="AZ1421" s="60" t="s">
        <v>2842</v>
      </c>
    </row>
    <row r="1422" spans="1:52" s="29" customFormat="1" ht="15" customHeight="1">
      <c r="A1422" s="59" t="s">
        <v>431</v>
      </c>
      <c r="B1422" s="27">
        <v>2009</v>
      </c>
      <c r="C1422" s="27" t="s">
        <v>429</v>
      </c>
      <c r="D1422" s="27" t="s">
        <v>34</v>
      </c>
      <c r="E1422" s="27" t="s">
        <v>552</v>
      </c>
      <c r="F1422" s="27" t="s">
        <v>552</v>
      </c>
      <c r="G1422" s="43">
        <v>104400000000</v>
      </c>
      <c r="H1422" s="43"/>
      <c r="I1422" s="43"/>
      <c r="J1422" s="43"/>
      <c r="K1422" s="27" t="s">
        <v>599</v>
      </c>
      <c r="L1422" s="28">
        <v>0.14422800000000002</v>
      </c>
      <c r="M1422" s="27" t="s">
        <v>600</v>
      </c>
      <c r="N1422" s="27" t="s">
        <v>685</v>
      </c>
      <c r="O1422" s="18">
        <f>G1422*L1422</f>
        <v>15057403200.000002</v>
      </c>
      <c r="P1422" s="214"/>
      <c r="Q1422" s="214"/>
      <c r="R1422" s="27"/>
      <c r="S1422" s="27"/>
      <c r="T1422" s="18"/>
      <c r="U1422" s="27"/>
      <c r="V1422" s="27"/>
      <c r="W1422" s="30"/>
      <c r="X1422" s="27"/>
      <c r="Y1422" s="27"/>
      <c r="Z1422" s="27"/>
      <c r="AA1422" s="27"/>
      <c r="AB1422" s="27"/>
      <c r="AC1422" s="273">
        <v>42349871974.522293</v>
      </c>
      <c r="AD1422" s="27">
        <v>378849191624.70203</v>
      </c>
      <c r="AE1422" s="228">
        <v>0.11178556774241501</v>
      </c>
      <c r="AF1422" s="27">
        <v>211769121134.37595</v>
      </c>
      <c r="AG1422" s="226">
        <v>0.19998133697523168</v>
      </c>
      <c r="AH1422" s="226">
        <v>0.49942077587496941</v>
      </c>
      <c r="AI1422" s="27" t="s">
        <v>2842</v>
      </c>
      <c r="AJ1422" s="226" t="s">
        <v>2842</v>
      </c>
      <c r="AK1422" s="27">
        <v>32288841770.47443</v>
      </c>
      <c r="AL1422" s="226">
        <v>1.3115946454681404</v>
      </c>
      <c r="AM1422" s="27">
        <v>27432394195.706352</v>
      </c>
      <c r="AN1422" s="271">
        <v>1.5437905883238869</v>
      </c>
      <c r="AO1422" s="27">
        <v>4828726</v>
      </c>
      <c r="AP1422" s="27" t="s">
        <v>2842</v>
      </c>
      <c r="AQ1422" s="27">
        <v>80.795121951219514</v>
      </c>
      <c r="AR1422" s="27">
        <v>2.7</v>
      </c>
      <c r="AS1422" s="29">
        <v>99.004090000000005</v>
      </c>
      <c r="AT1422" s="270">
        <v>86</v>
      </c>
      <c r="AU1422" s="464">
        <v>98.017464161585934</v>
      </c>
      <c r="AV1422" s="29" t="s">
        <v>2842</v>
      </c>
      <c r="AW1422" s="29" t="s">
        <v>2842</v>
      </c>
      <c r="AX1422" s="29" t="s">
        <v>2842</v>
      </c>
      <c r="AY1422" s="29" t="s">
        <v>2842</v>
      </c>
      <c r="AZ1422" s="60" t="s">
        <v>2842</v>
      </c>
    </row>
    <row r="1423" spans="1:52" s="287" customFormat="1" ht="15" customHeight="1">
      <c r="A1423" s="344" t="s">
        <v>431</v>
      </c>
      <c r="B1423" s="284">
        <v>2009</v>
      </c>
      <c r="C1423" s="284" t="s">
        <v>429</v>
      </c>
      <c r="D1423" s="284" t="s">
        <v>34</v>
      </c>
      <c r="E1423" s="284" t="s">
        <v>98</v>
      </c>
      <c r="F1423" s="284" t="s">
        <v>98</v>
      </c>
      <c r="G1423" s="303">
        <v>857385000</v>
      </c>
      <c r="H1423" s="303"/>
      <c r="I1423" s="303"/>
      <c r="J1423" s="303"/>
      <c r="K1423" s="284" t="s">
        <v>603</v>
      </c>
      <c r="L1423" s="304">
        <v>62.08</v>
      </c>
      <c r="M1423" s="284" t="s">
        <v>626</v>
      </c>
      <c r="N1423" s="284" t="s">
        <v>687</v>
      </c>
      <c r="O1423" s="305">
        <f>G1423*L1423</f>
        <v>53226460800</v>
      </c>
      <c r="P1423" s="346"/>
      <c r="Q1423" s="346"/>
      <c r="R1423" s="284"/>
      <c r="S1423" s="284"/>
      <c r="T1423" s="305"/>
      <c r="U1423" s="284"/>
      <c r="V1423" s="284"/>
      <c r="W1423" s="307"/>
      <c r="X1423" s="284"/>
      <c r="Y1423" s="284"/>
      <c r="Z1423" s="284"/>
      <c r="AA1423" s="284"/>
      <c r="AB1423" s="284"/>
      <c r="AC1423" s="308">
        <v>42349871974.522293</v>
      </c>
      <c r="AD1423" s="284">
        <v>378849191624.70203</v>
      </c>
      <c r="AE1423" s="309">
        <v>0.11178556774241501</v>
      </c>
      <c r="AF1423" s="284">
        <v>211769121134.37595</v>
      </c>
      <c r="AG1423" s="310">
        <v>0.19998133697523168</v>
      </c>
      <c r="AH1423" s="310">
        <v>0.49942077587496941</v>
      </c>
      <c r="AI1423" s="284" t="s">
        <v>2842</v>
      </c>
      <c r="AJ1423" s="310" t="s">
        <v>2842</v>
      </c>
      <c r="AK1423" s="284">
        <v>32288841770.47443</v>
      </c>
      <c r="AL1423" s="310">
        <v>1.3115946454681404</v>
      </c>
      <c r="AM1423" s="284">
        <v>27432394195.706352</v>
      </c>
      <c r="AN1423" s="311">
        <v>1.5437905883238869</v>
      </c>
      <c r="AO1423" s="284">
        <v>4828726</v>
      </c>
      <c r="AP1423" s="284" t="s">
        <v>2842</v>
      </c>
      <c r="AQ1423" s="284">
        <v>80.795121951219514</v>
      </c>
      <c r="AR1423" s="284">
        <v>2.7</v>
      </c>
      <c r="AS1423" s="287">
        <v>99.004090000000005</v>
      </c>
      <c r="AT1423" s="312">
        <v>86</v>
      </c>
      <c r="AU1423" s="465">
        <v>98.017464161585934</v>
      </c>
      <c r="AV1423" s="287" t="s">
        <v>2842</v>
      </c>
      <c r="AW1423" s="287" t="s">
        <v>2842</v>
      </c>
      <c r="AX1423" s="287" t="s">
        <v>2842</v>
      </c>
      <c r="AY1423" s="287" t="s">
        <v>2842</v>
      </c>
      <c r="AZ1423" s="313" t="s">
        <v>2842</v>
      </c>
    </row>
    <row r="1424" spans="1:52" ht="15" customHeight="1">
      <c r="A1424" s="347" t="s">
        <v>434</v>
      </c>
      <c r="B1424" s="53">
        <v>2010</v>
      </c>
      <c r="C1424" s="27" t="s">
        <v>429</v>
      </c>
      <c r="D1424" s="69" t="s">
        <v>34</v>
      </c>
      <c r="E1424" s="27" t="s">
        <v>50</v>
      </c>
      <c r="F1424" s="27" t="s">
        <v>659</v>
      </c>
      <c r="G1424" s="43"/>
      <c r="H1424" s="43"/>
      <c r="I1424" s="43"/>
      <c r="J1424" s="43"/>
      <c r="K1424" s="27"/>
      <c r="L1424" s="28"/>
      <c r="M1424" s="27"/>
      <c r="N1424" s="27"/>
      <c r="O1424" s="18">
        <f>SUM(O1425:O1426)</f>
        <v>80673952925.268036</v>
      </c>
      <c r="P1424" s="214">
        <v>44013892000</v>
      </c>
      <c r="Q1424" s="214">
        <v>44013892000</v>
      </c>
      <c r="R1424" s="27" t="s">
        <v>619</v>
      </c>
      <c r="S1424" s="27"/>
      <c r="T1424" s="18"/>
      <c r="U1424" s="27" t="s">
        <v>1873</v>
      </c>
      <c r="V1424" s="27"/>
      <c r="W1424" s="30">
        <v>5.97</v>
      </c>
      <c r="X1424" s="27"/>
      <c r="Y1424" s="27"/>
      <c r="Z1424" s="27">
        <v>66</v>
      </c>
      <c r="AA1424" s="27"/>
      <c r="AB1424" s="27" t="s">
        <v>1874</v>
      </c>
      <c r="AC1424" s="273">
        <v>44013892000</v>
      </c>
      <c r="AD1424" s="27">
        <v>420945705225.42371</v>
      </c>
      <c r="AE1424" s="228">
        <v>0.10455954640618034</v>
      </c>
      <c r="AF1424" s="27">
        <v>238230012415.27631</v>
      </c>
      <c r="AG1424" s="226">
        <v>0.18475376613453781</v>
      </c>
      <c r="AH1424" s="226">
        <v>0.53289087574299132</v>
      </c>
      <c r="AI1424" s="27" t="s">
        <v>2842</v>
      </c>
      <c r="AJ1424" s="226" t="s">
        <v>2842</v>
      </c>
      <c r="AK1424" s="27">
        <v>35860162691.300125</v>
      </c>
      <c r="AL1424" s="226">
        <v>1.2273756920427474</v>
      </c>
      <c r="AM1424" s="27">
        <v>28925410418.276554</v>
      </c>
      <c r="AN1424" s="271">
        <v>1.5216341397939084</v>
      </c>
      <c r="AO1424" s="27">
        <v>4889252</v>
      </c>
      <c r="AP1424" s="27" t="s">
        <v>2842</v>
      </c>
      <c r="AQ1424" s="27">
        <v>80.997560975609773</v>
      </c>
      <c r="AR1424" s="27">
        <v>2.6</v>
      </c>
      <c r="AS1424" s="29">
        <v>98.877499999999998</v>
      </c>
      <c r="AT1424" s="270">
        <v>86</v>
      </c>
      <c r="AU1424" s="464">
        <v>98.017464161585934</v>
      </c>
      <c r="AV1424" s="29" t="s">
        <v>2842</v>
      </c>
      <c r="AW1424" s="29" t="s">
        <v>2842</v>
      </c>
      <c r="AX1424" s="29" t="s">
        <v>2842</v>
      </c>
      <c r="AY1424" s="29" t="s">
        <v>2842</v>
      </c>
      <c r="AZ1424" s="60" t="s">
        <v>2842</v>
      </c>
    </row>
    <row r="1425" spans="1:52" s="29" customFormat="1" ht="15" customHeight="1">
      <c r="A1425" s="63" t="s">
        <v>434</v>
      </c>
      <c r="B1425" s="53">
        <v>2010</v>
      </c>
      <c r="C1425" s="27" t="s">
        <v>429</v>
      </c>
      <c r="D1425" s="69" t="s">
        <v>34</v>
      </c>
      <c r="E1425" s="27" t="s">
        <v>552</v>
      </c>
      <c r="F1425" s="27" t="s">
        <v>552</v>
      </c>
      <c r="G1425" s="43">
        <v>107300000000</v>
      </c>
      <c r="H1425" s="43"/>
      <c r="I1425" s="43"/>
      <c r="J1425" s="43"/>
      <c r="K1425" s="27" t="s">
        <v>599</v>
      </c>
      <c r="L1425" s="28">
        <v>0.1741077336927683</v>
      </c>
      <c r="M1425" s="27" t="s">
        <v>600</v>
      </c>
      <c r="N1425" s="27" t="s">
        <v>685</v>
      </c>
      <c r="O1425" s="18">
        <f>G1425*L1425</f>
        <v>18681759825.234039</v>
      </c>
      <c r="P1425" s="214"/>
      <c r="Q1425" s="214"/>
      <c r="R1425" s="27"/>
      <c r="S1425" s="27"/>
      <c r="T1425" s="18"/>
      <c r="U1425" s="27"/>
      <c r="V1425" s="27"/>
      <c r="W1425" s="30"/>
      <c r="X1425" s="27"/>
      <c r="Y1425" s="27"/>
      <c r="Z1425" s="27"/>
      <c r="AA1425" s="27"/>
      <c r="AB1425" s="27"/>
      <c r="AC1425" s="273">
        <v>44013892000</v>
      </c>
      <c r="AD1425" s="27">
        <v>420945705225.42371</v>
      </c>
      <c r="AE1425" s="228">
        <v>0.10455954640618034</v>
      </c>
      <c r="AF1425" s="27">
        <v>238230012415.27631</v>
      </c>
      <c r="AG1425" s="226">
        <v>0.18475376613453781</v>
      </c>
      <c r="AH1425" s="226">
        <v>0.53289087574299132</v>
      </c>
      <c r="AI1425" s="27" t="s">
        <v>2842</v>
      </c>
      <c r="AJ1425" s="226" t="s">
        <v>2842</v>
      </c>
      <c r="AK1425" s="27">
        <v>35860162691.300125</v>
      </c>
      <c r="AL1425" s="226">
        <v>1.2273756920427474</v>
      </c>
      <c r="AM1425" s="27">
        <v>28925410418.276554</v>
      </c>
      <c r="AN1425" s="271">
        <v>1.5216341397939084</v>
      </c>
      <c r="AO1425" s="27">
        <v>4889252</v>
      </c>
      <c r="AP1425" s="27" t="s">
        <v>2842</v>
      </c>
      <c r="AQ1425" s="27">
        <v>80.997560975609773</v>
      </c>
      <c r="AR1425" s="27">
        <v>2.6</v>
      </c>
      <c r="AS1425" s="29">
        <v>98.877499999999998</v>
      </c>
      <c r="AT1425" s="270">
        <v>86</v>
      </c>
      <c r="AU1425" s="464">
        <v>98.017464161585934</v>
      </c>
      <c r="AV1425" s="29" t="s">
        <v>2842</v>
      </c>
      <c r="AW1425" s="29" t="s">
        <v>2842</v>
      </c>
      <c r="AX1425" s="29" t="s">
        <v>2842</v>
      </c>
      <c r="AY1425" s="29" t="s">
        <v>2842</v>
      </c>
      <c r="AZ1425" s="60" t="s">
        <v>2842</v>
      </c>
    </row>
    <row r="1426" spans="1:52" s="287" customFormat="1" ht="15" customHeight="1">
      <c r="A1426" s="359" t="s">
        <v>434</v>
      </c>
      <c r="B1426" s="302">
        <v>2010</v>
      </c>
      <c r="C1426" s="284" t="s">
        <v>429</v>
      </c>
      <c r="D1426" s="369" t="s">
        <v>34</v>
      </c>
      <c r="E1426" s="284" t="s">
        <v>98</v>
      </c>
      <c r="F1426" s="284" t="s">
        <v>98</v>
      </c>
      <c r="G1426" s="303">
        <v>779640000</v>
      </c>
      <c r="H1426" s="303"/>
      <c r="I1426" s="303"/>
      <c r="J1426" s="303"/>
      <c r="K1426" s="284" t="s">
        <v>603</v>
      </c>
      <c r="L1426" s="304">
        <v>79.513869349999993</v>
      </c>
      <c r="M1426" s="284" t="s">
        <v>626</v>
      </c>
      <c r="N1426" s="284" t="s">
        <v>687</v>
      </c>
      <c r="O1426" s="305">
        <f>G1426*L1426</f>
        <v>61992193100.033997</v>
      </c>
      <c r="P1426" s="346"/>
      <c r="Q1426" s="346"/>
      <c r="R1426" s="284"/>
      <c r="S1426" s="284"/>
      <c r="T1426" s="305"/>
      <c r="U1426" s="284"/>
      <c r="V1426" s="284"/>
      <c r="W1426" s="307"/>
      <c r="X1426" s="284"/>
      <c r="Y1426" s="284"/>
      <c r="Z1426" s="284"/>
      <c r="AA1426" s="284"/>
      <c r="AB1426" s="284"/>
      <c r="AC1426" s="308">
        <v>44013892000</v>
      </c>
      <c r="AD1426" s="284">
        <v>420945705225.42371</v>
      </c>
      <c r="AE1426" s="309">
        <v>0.10455954640618034</v>
      </c>
      <c r="AF1426" s="284">
        <v>238230012415.27631</v>
      </c>
      <c r="AG1426" s="310">
        <v>0.18475376613453781</v>
      </c>
      <c r="AH1426" s="310">
        <v>0.53289087574299132</v>
      </c>
      <c r="AI1426" s="284" t="s">
        <v>2842</v>
      </c>
      <c r="AJ1426" s="310" t="s">
        <v>2842</v>
      </c>
      <c r="AK1426" s="284">
        <v>35860162691.300125</v>
      </c>
      <c r="AL1426" s="310">
        <v>1.2273756920427474</v>
      </c>
      <c r="AM1426" s="284">
        <v>28925410418.276554</v>
      </c>
      <c r="AN1426" s="311">
        <v>1.5216341397939084</v>
      </c>
      <c r="AO1426" s="284">
        <v>4889252</v>
      </c>
      <c r="AP1426" s="284" t="s">
        <v>2842</v>
      </c>
      <c r="AQ1426" s="284">
        <v>80.997560975609773</v>
      </c>
      <c r="AR1426" s="284">
        <v>2.6</v>
      </c>
      <c r="AS1426" s="287">
        <v>98.877499999999998</v>
      </c>
      <c r="AT1426" s="312">
        <v>86</v>
      </c>
      <c r="AU1426" s="465">
        <v>98.017464161585934</v>
      </c>
      <c r="AV1426" s="287" t="s">
        <v>2842</v>
      </c>
      <c r="AW1426" s="287" t="s">
        <v>2842</v>
      </c>
      <c r="AX1426" s="287" t="s">
        <v>2842</v>
      </c>
      <c r="AY1426" s="287" t="s">
        <v>2842</v>
      </c>
      <c r="AZ1426" s="313" t="s">
        <v>2842</v>
      </c>
    </row>
    <row r="1427" spans="1:52" s="29" customFormat="1" ht="15" customHeight="1">
      <c r="A1427" s="332" t="s">
        <v>437</v>
      </c>
      <c r="B1427" s="27">
        <v>2011</v>
      </c>
      <c r="C1427" s="27" t="s">
        <v>429</v>
      </c>
      <c r="D1427" s="27" t="s">
        <v>34</v>
      </c>
      <c r="E1427" s="27" t="s">
        <v>50</v>
      </c>
      <c r="F1427" s="27" t="s">
        <v>659</v>
      </c>
      <c r="G1427" s="43"/>
      <c r="H1427" s="43"/>
      <c r="I1427" s="43"/>
      <c r="J1427" s="43"/>
      <c r="K1427" s="27"/>
      <c r="L1427" s="28"/>
      <c r="M1427" s="27"/>
      <c r="N1427" s="27"/>
      <c r="O1427" s="18">
        <f>SUM(O1428:O1429)</f>
        <v>99243940363.94603</v>
      </c>
      <c r="P1427" s="214">
        <v>60421715740</v>
      </c>
      <c r="Q1427" s="214">
        <v>60421715740</v>
      </c>
      <c r="R1427" s="27" t="s">
        <v>619</v>
      </c>
      <c r="S1427" s="27"/>
      <c r="T1427" s="18"/>
      <c r="U1427" s="27" t="s">
        <v>1867</v>
      </c>
      <c r="V1427" s="27" t="s">
        <v>1868</v>
      </c>
      <c r="W1427" s="30">
        <v>5.59</v>
      </c>
      <c r="X1427" s="27">
        <v>64</v>
      </c>
      <c r="Y1427" s="27" t="s">
        <v>1875</v>
      </c>
      <c r="Z1427" s="27">
        <v>64</v>
      </c>
      <c r="AA1427" s="27">
        <v>17</v>
      </c>
      <c r="AB1427" s="27" t="s">
        <v>1876</v>
      </c>
      <c r="AC1427" s="273">
        <v>60421715740</v>
      </c>
      <c r="AD1427" s="27">
        <v>490806911071.2771</v>
      </c>
      <c r="AE1427" s="228">
        <v>0.12310689677966923</v>
      </c>
      <c r="AF1427" s="27">
        <v>285644714174.37256</v>
      </c>
      <c r="AG1427" s="226">
        <v>0.21152751212163307</v>
      </c>
      <c r="AH1427" s="226">
        <v>0.58412854404554659</v>
      </c>
      <c r="AI1427" s="27" t="s">
        <v>2842</v>
      </c>
      <c r="AJ1427" s="226" t="s">
        <v>2842</v>
      </c>
      <c r="AK1427" s="27">
        <v>41517753886.256393</v>
      </c>
      <c r="AL1427" s="226">
        <v>1.4553223641513366</v>
      </c>
      <c r="AM1427" s="27" t="s">
        <v>2842</v>
      </c>
      <c r="AN1427" s="271" t="s">
        <v>2842</v>
      </c>
      <c r="AO1427" s="27">
        <v>4953088</v>
      </c>
      <c r="AP1427" s="27" t="s">
        <v>2842</v>
      </c>
      <c r="AQ1427" s="27">
        <v>81.2951219512195</v>
      </c>
      <c r="AR1427" s="27">
        <v>2.5</v>
      </c>
      <c r="AS1427" s="29">
        <v>99.273039999999995</v>
      </c>
      <c r="AT1427" s="270">
        <v>86</v>
      </c>
      <c r="AU1427" s="464">
        <v>98.017464161585934</v>
      </c>
      <c r="AV1427" s="29" t="s">
        <v>2842</v>
      </c>
      <c r="AW1427" s="29" t="s">
        <v>2842</v>
      </c>
      <c r="AX1427" s="29" t="s">
        <v>2842</v>
      </c>
      <c r="AY1427" s="29" t="s">
        <v>2842</v>
      </c>
      <c r="AZ1427" s="60" t="s">
        <v>2842</v>
      </c>
    </row>
    <row r="1428" spans="1:52" s="29" customFormat="1" ht="15" customHeight="1">
      <c r="A1428" s="59" t="s">
        <v>437</v>
      </c>
      <c r="B1428" s="27">
        <v>2011</v>
      </c>
      <c r="C1428" s="27" t="s">
        <v>429</v>
      </c>
      <c r="D1428" s="27" t="s">
        <v>34</v>
      </c>
      <c r="E1428" s="27" t="s">
        <v>552</v>
      </c>
      <c r="F1428" s="27" t="s">
        <v>552</v>
      </c>
      <c r="G1428" s="43">
        <v>101300000000</v>
      </c>
      <c r="H1428" s="43"/>
      <c r="I1428" s="43"/>
      <c r="J1428" s="43"/>
      <c r="K1428" s="27" t="s">
        <v>599</v>
      </c>
      <c r="L1428" s="28">
        <v>0.19666043794616025</v>
      </c>
      <c r="M1428" s="27" t="s">
        <v>600</v>
      </c>
      <c r="N1428" s="27" t="s">
        <v>685</v>
      </c>
      <c r="O1428" s="18">
        <f>G1428*L1428</f>
        <v>19921702363.946033</v>
      </c>
      <c r="P1428" s="214"/>
      <c r="Q1428" s="214"/>
      <c r="R1428" s="27"/>
      <c r="S1428" s="27"/>
      <c r="T1428" s="18"/>
      <c r="U1428" s="27"/>
      <c r="V1428" s="27"/>
      <c r="W1428" s="30"/>
      <c r="X1428" s="27"/>
      <c r="Y1428" s="27"/>
      <c r="Z1428" s="27"/>
      <c r="AA1428" s="27"/>
      <c r="AB1428" s="27"/>
      <c r="AC1428" s="273">
        <v>60421715740</v>
      </c>
      <c r="AD1428" s="27">
        <v>490806911071.2771</v>
      </c>
      <c r="AE1428" s="228">
        <v>0.12310689677966923</v>
      </c>
      <c r="AF1428" s="27">
        <v>285644714174.37256</v>
      </c>
      <c r="AG1428" s="226">
        <v>0.21152751212163307</v>
      </c>
      <c r="AH1428" s="226">
        <v>0.58412854404554659</v>
      </c>
      <c r="AI1428" s="27" t="s">
        <v>2842</v>
      </c>
      <c r="AJ1428" s="226" t="s">
        <v>2842</v>
      </c>
      <c r="AK1428" s="27">
        <v>41517753886.256393</v>
      </c>
      <c r="AL1428" s="226">
        <v>1.4553223641513366</v>
      </c>
      <c r="AM1428" s="27" t="s">
        <v>2842</v>
      </c>
      <c r="AN1428" s="271" t="s">
        <v>2842</v>
      </c>
      <c r="AO1428" s="27">
        <v>4953088</v>
      </c>
      <c r="AP1428" s="27" t="s">
        <v>2842</v>
      </c>
      <c r="AQ1428" s="27">
        <v>81.2951219512195</v>
      </c>
      <c r="AR1428" s="27">
        <v>2.5</v>
      </c>
      <c r="AS1428" s="29">
        <v>99.273039999999995</v>
      </c>
      <c r="AT1428" s="270">
        <v>86</v>
      </c>
      <c r="AU1428" s="464">
        <v>98.017464161585934</v>
      </c>
      <c r="AV1428" s="29" t="s">
        <v>2842</v>
      </c>
      <c r="AW1428" s="29" t="s">
        <v>2842</v>
      </c>
      <c r="AX1428" s="29" t="s">
        <v>2842</v>
      </c>
      <c r="AY1428" s="29" t="s">
        <v>2842</v>
      </c>
      <c r="AZ1428" s="60" t="s">
        <v>2842</v>
      </c>
    </row>
    <row r="1429" spans="1:52" s="287" customFormat="1" ht="15" customHeight="1">
      <c r="A1429" s="344" t="s">
        <v>437</v>
      </c>
      <c r="B1429" s="284">
        <v>2011</v>
      </c>
      <c r="C1429" s="284" t="s">
        <v>429</v>
      </c>
      <c r="D1429" s="284" t="s">
        <v>34</v>
      </c>
      <c r="E1429" s="284" t="s">
        <v>98</v>
      </c>
      <c r="F1429" s="284" t="s">
        <v>98</v>
      </c>
      <c r="G1429" s="303">
        <v>744600000</v>
      </c>
      <c r="H1429" s="303"/>
      <c r="I1429" s="303"/>
      <c r="J1429" s="303"/>
      <c r="K1429" s="284" t="s">
        <v>603</v>
      </c>
      <c r="L1429" s="304">
        <v>106.53</v>
      </c>
      <c r="M1429" s="284" t="s">
        <v>626</v>
      </c>
      <c r="N1429" s="284" t="s">
        <v>687</v>
      </c>
      <c r="O1429" s="305">
        <f>G1429*L1429</f>
        <v>79322238000</v>
      </c>
      <c r="P1429" s="346"/>
      <c r="Q1429" s="346"/>
      <c r="R1429" s="284"/>
      <c r="S1429" s="284"/>
      <c r="T1429" s="305"/>
      <c r="U1429" s="284"/>
      <c r="V1429" s="284"/>
      <c r="W1429" s="307"/>
      <c r="X1429" s="284"/>
      <c r="Y1429" s="284"/>
      <c r="Z1429" s="284"/>
      <c r="AA1429" s="284"/>
      <c r="AB1429" s="284"/>
      <c r="AC1429" s="308">
        <v>60421715740</v>
      </c>
      <c r="AD1429" s="284">
        <v>490806911071.2771</v>
      </c>
      <c r="AE1429" s="309">
        <v>0.12310689677966923</v>
      </c>
      <c r="AF1429" s="284">
        <v>285644714174.37256</v>
      </c>
      <c r="AG1429" s="310">
        <v>0.21152751212163307</v>
      </c>
      <c r="AH1429" s="310">
        <v>0.58412854404554659</v>
      </c>
      <c r="AI1429" s="284" t="s">
        <v>2842</v>
      </c>
      <c r="AJ1429" s="310" t="s">
        <v>2842</v>
      </c>
      <c r="AK1429" s="284">
        <v>41517753886.256393</v>
      </c>
      <c r="AL1429" s="310">
        <v>1.4553223641513366</v>
      </c>
      <c r="AM1429" s="284" t="s">
        <v>2842</v>
      </c>
      <c r="AN1429" s="311" t="s">
        <v>2842</v>
      </c>
      <c r="AO1429" s="284">
        <v>4953088</v>
      </c>
      <c r="AP1429" s="284" t="s">
        <v>2842</v>
      </c>
      <c r="AQ1429" s="284">
        <v>81.2951219512195</v>
      </c>
      <c r="AR1429" s="284">
        <v>2.5</v>
      </c>
      <c r="AS1429" s="287">
        <v>99.273039999999995</v>
      </c>
      <c r="AT1429" s="312">
        <v>86</v>
      </c>
      <c r="AU1429" s="465">
        <v>98.017464161585934</v>
      </c>
      <c r="AV1429" s="287" t="s">
        <v>2842</v>
      </c>
      <c r="AW1429" s="287" t="s">
        <v>2842</v>
      </c>
      <c r="AX1429" s="287" t="s">
        <v>2842</v>
      </c>
      <c r="AY1429" s="287" t="s">
        <v>2842</v>
      </c>
      <c r="AZ1429" s="313" t="s">
        <v>2842</v>
      </c>
    </row>
    <row r="1430" spans="1:52" ht="15" customHeight="1">
      <c r="A1430" s="59" t="s">
        <v>439</v>
      </c>
      <c r="B1430" s="27">
        <v>2012</v>
      </c>
      <c r="C1430" s="27" t="s">
        <v>429</v>
      </c>
      <c r="D1430" s="27" t="s">
        <v>34</v>
      </c>
      <c r="E1430" s="27" t="s">
        <v>50</v>
      </c>
      <c r="F1430" s="27" t="s">
        <v>659</v>
      </c>
      <c r="G1430" s="43"/>
      <c r="H1430" s="43"/>
      <c r="I1430" s="43"/>
      <c r="J1430" s="43"/>
      <c r="K1430" s="27"/>
      <c r="L1430" s="28"/>
      <c r="M1430" s="27"/>
      <c r="N1430" s="27"/>
      <c r="O1430" s="18">
        <f>SUM(O1431:O1432)</f>
        <v>94832884557.290375</v>
      </c>
      <c r="P1430" s="214">
        <v>65229640210</v>
      </c>
      <c r="Q1430" s="214">
        <v>65229640210</v>
      </c>
      <c r="R1430" s="27" t="s">
        <v>619</v>
      </c>
      <c r="S1430" s="27"/>
      <c r="T1430" s="18"/>
      <c r="U1430" s="27" t="s">
        <v>1867</v>
      </c>
      <c r="V1430" s="27" t="s">
        <v>1868</v>
      </c>
      <c r="W1430" s="30">
        <v>5.82</v>
      </c>
      <c r="X1430" s="27">
        <v>69</v>
      </c>
      <c r="Y1430" s="27" t="s">
        <v>1877</v>
      </c>
      <c r="Z1430" s="27">
        <v>69</v>
      </c>
      <c r="AA1430" s="27">
        <v>18</v>
      </c>
      <c r="AB1430" s="27" t="s">
        <v>1870</v>
      </c>
      <c r="AC1430" s="273">
        <v>65229640210</v>
      </c>
      <c r="AD1430" s="27">
        <v>500029909755.04944</v>
      </c>
      <c r="AE1430" s="228">
        <v>0.13045147687656156</v>
      </c>
      <c r="AF1430" s="27">
        <v>287607203492.90936</v>
      </c>
      <c r="AG1430" s="226">
        <v>0.22680113508216829</v>
      </c>
      <c r="AH1430" s="226">
        <v>0.59555601993539997</v>
      </c>
      <c r="AI1430" s="27" t="s">
        <v>2842</v>
      </c>
      <c r="AJ1430" s="226" t="s">
        <v>2842</v>
      </c>
      <c r="AK1430" s="27">
        <v>38328478101.442398</v>
      </c>
      <c r="AL1430" s="226">
        <v>1.7018583424408193</v>
      </c>
      <c r="AM1430" s="27" t="s">
        <v>2842</v>
      </c>
      <c r="AN1430" s="271" t="s">
        <v>2842</v>
      </c>
      <c r="AO1430" s="27">
        <v>5018573</v>
      </c>
      <c r="AP1430" s="27" t="s">
        <v>2842</v>
      </c>
      <c r="AQ1430" s="27">
        <v>81.451219512195138</v>
      </c>
      <c r="AR1430" s="27">
        <v>2.2999999999999998</v>
      </c>
      <c r="AS1430" s="29">
        <v>99.436989999999994</v>
      </c>
      <c r="AT1430" s="270">
        <v>86</v>
      </c>
      <c r="AU1430" s="464">
        <v>98.017464161585934</v>
      </c>
      <c r="AV1430" s="29" t="s">
        <v>2842</v>
      </c>
      <c r="AW1430" s="29" t="s">
        <v>2842</v>
      </c>
      <c r="AX1430" s="29" t="s">
        <v>2842</v>
      </c>
      <c r="AY1430" s="29" t="s">
        <v>2842</v>
      </c>
      <c r="AZ1430" s="60" t="s">
        <v>2842</v>
      </c>
    </row>
    <row r="1431" spans="1:52" ht="15" customHeight="1">
      <c r="A1431" s="59" t="s">
        <v>439</v>
      </c>
      <c r="B1431" s="27">
        <v>2012</v>
      </c>
      <c r="C1431" s="27" t="s">
        <v>429</v>
      </c>
      <c r="D1431" s="27" t="s">
        <v>34</v>
      </c>
      <c r="E1431" s="27" t="s">
        <v>552</v>
      </c>
      <c r="F1431" s="27" t="s">
        <v>552</v>
      </c>
      <c r="G1431" s="43">
        <v>114700000000</v>
      </c>
      <c r="H1431" s="43"/>
      <c r="I1431" s="43"/>
      <c r="J1431" s="43"/>
      <c r="K1431" s="27" t="s">
        <v>599</v>
      </c>
      <c r="L1431" s="28">
        <v>0.17241089108361263</v>
      </c>
      <c r="M1431" s="27" t="s">
        <v>600</v>
      </c>
      <c r="N1431" s="27" t="s">
        <v>685</v>
      </c>
      <c r="O1431" s="18">
        <f>G1431*L1431</f>
        <v>19775529207.290367</v>
      </c>
      <c r="P1431" s="214"/>
      <c r="Q1431" s="214"/>
      <c r="R1431" s="27"/>
      <c r="S1431" s="27"/>
      <c r="T1431" s="18"/>
      <c r="U1431" s="27"/>
      <c r="V1431" s="27"/>
      <c r="W1431" s="30"/>
      <c r="X1431" s="27"/>
      <c r="Y1431" s="27"/>
      <c r="Z1431" s="27"/>
      <c r="AA1431" s="27"/>
      <c r="AB1431" s="27"/>
      <c r="AC1431" s="273">
        <v>65229640210</v>
      </c>
      <c r="AD1431" s="27">
        <v>500029909755.04944</v>
      </c>
      <c r="AE1431" s="228">
        <v>0.13045147687656156</v>
      </c>
      <c r="AF1431" s="27">
        <v>287607203492.90936</v>
      </c>
      <c r="AG1431" s="226">
        <v>0.22680113508216829</v>
      </c>
      <c r="AH1431" s="226">
        <v>0.59555601993539997</v>
      </c>
      <c r="AI1431" s="27" t="s">
        <v>2842</v>
      </c>
      <c r="AJ1431" s="226" t="s">
        <v>2842</v>
      </c>
      <c r="AK1431" s="27">
        <v>38328478101.442398</v>
      </c>
      <c r="AL1431" s="226">
        <v>1.7018583424408193</v>
      </c>
      <c r="AM1431" s="27" t="s">
        <v>2842</v>
      </c>
      <c r="AN1431" s="271" t="s">
        <v>2842</v>
      </c>
      <c r="AO1431" s="27">
        <v>5018573</v>
      </c>
      <c r="AP1431" s="27" t="s">
        <v>2842</v>
      </c>
      <c r="AQ1431" s="27">
        <v>81.451219512195138</v>
      </c>
      <c r="AR1431" s="27">
        <v>2.2999999999999998</v>
      </c>
      <c r="AS1431" s="29">
        <v>99.436989999999994</v>
      </c>
      <c r="AT1431" s="270">
        <v>86</v>
      </c>
      <c r="AU1431" s="464">
        <v>98.017464161585934</v>
      </c>
      <c r="AV1431" s="29" t="s">
        <v>2842</v>
      </c>
      <c r="AW1431" s="29" t="s">
        <v>2842</v>
      </c>
      <c r="AX1431" s="29" t="s">
        <v>2842</v>
      </c>
      <c r="AY1431" s="29" t="s">
        <v>2842</v>
      </c>
      <c r="AZ1431" s="60" t="s">
        <v>2842</v>
      </c>
    </row>
    <row r="1432" spans="1:52" s="232" customFormat="1" ht="15" customHeight="1" thickBot="1">
      <c r="A1432" s="360" t="s">
        <v>439</v>
      </c>
      <c r="B1432" s="230">
        <v>2012</v>
      </c>
      <c r="C1432" s="230" t="s">
        <v>429</v>
      </c>
      <c r="D1432" s="230" t="s">
        <v>34</v>
      </c>
      <c r="E1432" s="230" t="s">
        <v>98</v>
      </c>
      <c r="F1432" s="230" t="s">
        <v>98</v>
      </c>
      <c r="G1432" s="297">
        <v>699705000</v>
      </c>
      <c r="H1432" s="297"/>
      <c r="I1432" s="297"/>
      <c r="J1432" s="297"/>
      <c r="K1432" s="230" t="s">
        <v>603</v>
      </c>
      <c r="L1432" s="298">
        <v>107.27</v>
      </c>
      <c r="M1432" s="230" t="s">
        <v>626</v>
      </c>
      <c r="N1432" s="230" t="s">
        <v>687</v>
      </c>
      <c r="O1432" s="285">
        <f>G1432*L1432</f>
        <v>75057355350</v>
      </c>
      <c r="P1432" s="387"/>
      <c r="Q1432" s="387"/>
      <c r="R1432" s="230"/>
      <c r="S1432" s="230"/>
      <c r="T1432" s="285"/>
      <c r="U1432" s="230"/>
      <c r="V1432" s="230"/>
      <c r="W1432" s="300"/>
      <c r="X1432" s="230"/>
      <c r="Y1432" s="230"/>
      <c r="Z1432" s="230"/>
      <c r="AA1432" s="230"/>
      <c r="AB1432" s="230"/>
      <c r="AC1432" s="274">
        <v>65229640210</v>
      </c>
      <c r="AD1432" s="230">
        <v>500029909755.04944</v>
      </c>
      <c r="AE1432" s="229">
        <v>0.13045147687656156</v>
      </c>
      <c r="AF1432" s="230">
        <v>287607203492.90936</v>
      </c>
      <c r="AG1432" s="231">
        <v>0.22680113508216829</v>
      </c>
      <c r="AH1432" s="231">
        <v>0.59555601993539997</v>
      </c>
      <c r="AI1432" s="230" t="s">
        <v>2842</v>
      </c>
      <c r="AJ1432" s="231" t="s">
        <v>2842</v>
      </c>
      <c r="AK1432" s="230">
        <v>38328478101.442398</v>
      </c>
      <c r="AL1432" s="231">
        <v>1.7018583424408193</v>
      </c>
      <c r="AM1432" s="230" t="s">
        <v>2842</v>
      </c>
      <c r="AN1432" s="275" t="s">
        <v>2842</v>
      </c>
      <c r="AO1432" s="230">
        <v>5018573</v>
      </c>
      <c r="AP1432" s="230" t="s">
        <v>2842</v>
      </c>
      <c r="AQ1432" s="230">
        <v>81.451219512195138</v>
      </c>
      <c r="AR1432" s="230">
        <v>2.2999999999999998</v>
      </c>
      <c r="AS1432" s="232">
        <v>99.436989999999994</v>
      </c>
      <c r="AT1432" s="276">
        <v>86</v>
      </c>
      <c r="AU1432" s="466">
        <v>98.017464161585934</v>
      </c>
      <c r="AV1432" s="232" t="s">
        <v>2842</v>
      </c>
      <c r="AW1432" s="232" t="s">
        <v>2842</v>
      </c>
      <c r="AX1432" s="232" t="s">
        <v>2842</v>
      </c>
      <c r="AY1432" s="232" t="s">
        <v>2842</v>
      </c>
      <c r="AZ1432" s="293" t="s">
        <v>2842</v>
      </c>
    </row>
    <row r="1433" spans="1:52" s="29" customFormat="1" ht="15" customHeight="1">
      <c r="A1433" s="347" t="s">
        <v>441</v>
      </c>
      <c r="B1433" s="27">
        <v>2004</v>
      </c>
      <c r="C1433" s="27" t="s">
        <v>442</v>
      </c>
      <c r="D1433" s="69" t="s">
        <v>214</v>
      </c>
      <c r="E1433" s="27" t="s">
        <v>30</v>
      </c>
      <c r="F1433" s="27" t="s">
        <v>659</v>
      </c>
      <c r="G1433" s="43"/>
      <c r="H1433" s="43"/>
      <c r="I1433" s="43"/>
      <c r="J1433" s="43"/>
      <c r="K1433" s="27"/>
      <c r="L1433" s="28"/>
      <c r="M1433" s="27"/>
      <c r="N1433" s="27"/>
      <c r="O1433" s="18">
        <f>O1434+O1437</f>
        <v>12033023931.505838</v>
      </c>
      <c r="P1433" s="214">
        <v>884263514.49853373</v>
      </c>
      <c r="Q1433" s="214">
        <v>883327965.60997057</v>
      </c>
      <c r="R1433" s="27" t="s">
        <v>619</v>
      </c>
      <c r="S1433" s="27"/>
      <c r="T1433" s="18"/>
      <c r="U1433" s="27" t="s">
        <v>1879</v>
      </c>
      <c r="V1433" s="27" t="s">
        <v>1880</v>
      </c>
      <c r="W1433" s="30">
        <v>3.41</v>
      </c>
      <c r="X1433" s="27">
        <v>33</v>
      </c>
      <c r="Y1433" s="27" t="s">
        <v>1881</v>
      </c>
      <c r="Z1433" s="27">
        <v>33</v>
      </c>
      <c r="AA1433" s="27" t="s">
        <v>1882</v>
      </c>
      <c r="AB1433" s="27" t="s">
        <v>1883</v>
      </c>
      <c r="AC1433" s="273">
        <v>884263514.49853373</v>
      </c>
      <c r="AD1433" s="27">
        <v>66730306799.531067</v>
      </c>
      <c r="AE1433" s="228">
        <v>1.3251302997227456E-2</v>
      </c>
      <c r="AF1433" s="27" t="s">
        <v>2842</v>
      </c>
      <c r="AG1433" s="226" t="s">
        <v>2842</v>
      </c>
      <c r="AH1433" s="226">
        <v>0.47448256845889891</v>
      </c>
      <c r="AI1433" s="27">
        <v>463450000</v>
      </c>
      <c r="AJ1433" s="226">
        <v>1.9080019732409834</v>
      </c>
      <c r="AK1433" s="27">
        <v>1713577470.1554301</v>
      </c>
      <c r="AL1433" s="226">
        <v>0.51603357881352552</v>
      </c>
      <c r="AM1433" s="27">
        <v>1891110202.5759907</v>
      </c>
      <c r="AN1433" s="271">
        <v>0.46758962713755509</v>
      </c>
      <c r="AO1433" s="27">
        <v>27403845</v>
      </c>
      <c r="AP1433" s="27">
        <v>58.7</v>
      </c>
      <c r="AQ1433" s="27">
        <v>72.096804878048786</v>
      </c>
      <c r="AR1433" s="27">
        <v>23</v>
      </c>
      <c r="AS1433" s="29">
        <v>99.634069999999994</v>
      </c>
      <c r="AT1433" s="270">
        <v>38</v>
      </c>
      <c r="AU1433" s="464">
        <v>72.816286549781523</v>
      </c>
      <c r="AV1433" s="29">
        <v>-0.14663028957413399</v>
      </c>
      <c r="AW1433" s="29">
        <v>-1.00309654857232</v>
      </c>
      <c r="AX1433" s="29">
        <v>-0.46854602636037601</v>
      </c>
      <c r="AY1433" s="29">
        <v>0.23233413649883</v>
      </c>
      <c r="AZ1433" s="60">
        <v>-0.35116899578167798</v>
      </c>
    </row>
    <row r="1434" spans="1:52" s="29" customFormat="1" ht="15" customHeight="1">
      <c r="A1434" s="63" t="s">
        <v>441</v>
      </c>
      <c r="B1434" s="27">
        <v>2004</v>
      </c>
      <c r="C1434" s="27" t="s">
        <v>442</v>
      </c>
      <c r="D1434" s="69" t="s">
        <v>214</v>
      </c>
      <c r="E1434" s="29" t="s">
        <v>50</v>
      </c>
      <c r="F1434" s="27" t="s">
        <v>597</v>
      </c>
      <c r="G1434" s="43"/>
      <c r="H1434" s="43"/>
      <c r="I1434" s="43"/>
      <c r="J1434" s="43"/>
      <c r="K1434" s="27"/>
      <c r="L1434" s="28"/>
      <c r="M1434" s="27"/>
      <c r="N1434" s="27"/>
      <c r="O1434" s="18">
        <f>SUM(O1435:O1436)</f>
        <v>1353344600</v>
      </c>
      <c r="P1434" s="214">
        <v>255399117.10850438</v>
      </c>
      <c r="Q1434" s="214">
        <v>255399117.10850438</v>
      </c>
      <c r="R1434" s="27"/>
      <c r="S1434" s="27"/>
      <c r="T1434" s="18"/>
      <c r="U1434" s="27"/>
      <c r="V1434" s="27"/>
      <c r="W1434" s="30"/>
      <c r="X1434" s="27">
        <v>9</v>
      </c>
      <c r="Y1434" s="27" t="s">
        <v>1884</v>
      </c>
      <c r="Z1434" s="27">
        <v>9</v>
      </c>
      <c r="AA1434" s="27"/>
      <c r="AB1434" s="27"/>
      <c r="AC1434" s="273">
        <v>884263514.49853373</v>
      </c>
      <c r="AD1434" s="27">
        <v>66730306799.531067</v>
      </c>
      <c r="AE1434" s="228">
        <v>1.3251302997227456E-2</v>
      </c>
      <c r="AF1434" s="27" t="s">
        <v>2842</v>
      </c>
      <c r="AG1434" s="226" t="s">
        <v>2842</v>
      </c>
      <c r="AH1434" s="226">
        <v>0.47448256845889891</v>
      </c>
      <c r="AI1434" s="27">
        <v>463450000</v>
      </c>
      <c r="AJ1434" s="226">
        <v>1.9080019732409834</v>
      </c>
      <c r="AK1434" s="27">
        <v>1713577470.1554301</v>
      </c>
      <c r="AL1434" s="226">
        <v>0.51603357881352552</v>
      </c>
      <c r="AM1434" s="27">
        <v>1891110202.5759907</v>
      </c>
      <c r="AN1434" s="271">
        <v>0.46758962713755509</v>
      </c>
      <c r="AO1434" s="27">
        <v>27403845</v>
      </c>
      <c r="AP1434" s="27">
        <v>58.7</v>
      </c>
      <c r="AQ1434" s="27">
        <v>72.096804878048786</v>
      </c>
      <c r="AR1434" s="27">
        <v>23</v>
      </c>
      <c r="AS1434" s="29">
        <v>99.634069999999994</v>
      </c>
      <c r="AT1434" s="270">
        <v>38</v>
      </c>
      <c r="AU1434" s="464">
        <v>72.816286549781523</v>
      </c>
      <c r="AV1434" s="29">
        <v>-0.14663028957413399</v>
      </c>
      <c r="AW1434" s="29">
        <v>-1.00309654857232</v>
      </c>
      <c r="AX1434" s="29">
        <v>-0.46854602636037601</v>
      </c>
      <c r="AY1434" s="29">
        <v>0.23233413649883</v>
      </c>
      <c r="AZ1434" s="60">
        <v>-0.35116899578167798</v>
      </c>
    </row>
    <row r="1435" spans="1:52" s="29" customFormat="1" ht="15" customHeight="1">
      <c r="A1435" s="63" t="s">
        <v>441</v>
      </c>
      <c r="B1435" s="27">
        <v>2004</v>
      </c>
      <c r="C1435" s="27" t="s">
        <v>442</v>
      </c>
      <c r="D1435" s="69" t="s">
        <v>214</v>
      </c>
      <c r="E1435" s="29" t="s">
        <v>552</v>
      </c>
      <c r="F1435" s="27" t="s">
        <v>552</v>
      </c>
      <c r="G1435" s="43">
        <v>900000000</v>
      </c>
      <c r="H1435" s="43"/>
      <c r="I1435" s="43"/>
      <c r="J1435" s="43"/>
      <c r="K1435" s="27" t="s">
        <v>599</v>
      </c>
      <c r="L1435" s="28">
        <v>0.18254599999999999</v>
      </c>
      <c r="M1435" s="27" t="s">
        <v>600</v>
      </c>
      <c r="N1435" s="27" t="s">
        <v>685</v>
      </c>
      <c r="O1435" s="18">
        <f>G1435*L1435</f>
        <v>164291400</v>
      </c>
      <c r="P1435" s="214"/>
      <c r="Q1435" s="214"/>
      <c r="S1435" s="27"/>
      <c r="T1435" s="18"/>
      <c r="U1435" s="27"/>
      <c r="W1435" s="30"/>
      <c r="X1435" s="27">
        <v>6</v>
      </c>
      <c r="Y1435" s="27" t="s">
        <v>1885</v>
      </c>
      <c r="Z1435" s="27">
        <v>6</v>
      </c>
      <c r="AA1435" s="27"/>
      <c r="AB1435" s="27"/>
      <c r="AC1435" s="273">
        <v>884263514.49853373</v>
      </c>
      <c r="AD1435" s="27">
        <v>66730306799.531067</v>
      </c>
      <c r="AE1435" s="228">
        <v>1.3251302997227456E-2</v>
      </c>
      <c r="AF1435" s="27" t="s">
        <v>2842</v>
      </c>
      <c r="AG1435" s="226" t="s">
        <v>2842</v>
      </c>
      <c r="AH1435" s="226">
        <v>0.47448256845889891</v>
      </c>
      <c r="AI1435" s="27">
        <v>463450000</v>
      </c>
      <c r="AJ1435" s="226">
        <v>1.9080019732409834</v>
      </c>
      <c r="AK1435" s="27">
        <v>1713577470.1554301</v>
      </c>
      <c r="AL1435" s="226">
        <v>0.51603357881352552</v>
      </c>
      <c r="AM1435" s="27">
        <v>1891110202.5759907</v>
      </c>
      <c r="AN1435" s="271">
        <v>0.46758962713755509</v>
      </c>
      <c r="AO1435" s="27">
        <v>27403845</v>
      </c>
      <c r="AP1435" s="27">
        <v>58.7</v>
      </c>
      <c r="AQ1435" s="27">
        <v>72.096804878048786</v>
      </c>
      <c r="AR1435" s="27">
        <v>23</v>
      </c>
      <c r="AS1435" s="29">
        <v>99.634069999999994</v>
      </c>
      <c r="AT1435" s="270">
        <v>38</v>
      </c>
      <c r="AU1435" s="464">
        <v>72.816286549781523</v>
      </c>
      <c r="AV1435" s="29">
        <v>-0.14663028957413399</v>
      </c>
      <c r="AW1435" s="29">
        <v>-1.00309654857232</v>
      </c>
      <c r="AX1435" s="29">
        <v>-0.46854602636037601</v>
      </c>
      <c r="AY1435" s="29">
        <v>0.23233413649883</v>
      </c>
      <c r="AZ1435" s="60">
        <v>-0.35116899578167798</v>
      </c>
    </row>
    <row r="1436" spans="1:52" s="29" customFormat="1" ht="15" customHeight="1">
      <c r="A1436" s="63" t="s">
        <v>441</v>
      </c>
      <c r="B1436" s="27">
        <v>2004</v>
      </c>
      <c r="C1436" s="27" t="s">
        <v>442</v>
      </c>
      <c r="D1436" s="69" t="s">
        <v>214</v>
      </c>
      <c r="E1436" s="29" t="s">
        <v>98</v>
      </c>
      <c r="F1436" s="27" t="s">
        <v>98</v>
      </c>
      <c r="G1436" s="43">
        <v>31390000</v>
      </c>
      <c r="H1436" s="43"/>
      <c r="I1436" s="43"/>
      <c r="J1436" s="43"/>
      <c r="K1436" s="27" t="s">
        <v>603</v>
      </c>
      <c r="L1436" s="28">
        <v>37.880000000000003</v>
      </c>
      <c r="M1436" s="27" t="s">
        <v>626</v>
      </c>
      <c r="N1436" s="27" t="s">
        <v>687</v>
      </c>
      <c r="O1436" s="18">
        <f>G1436*L1436</f>
        <v>1189053200</v>
      </c>
      <c r="P1436" s="214"/>
      <c r="Q1436" s="214"/>
      <c r="S1436" s="27"/>
      <c r="T1436" s="18"/>
      <c r="U1436" s="27"/>
      <c r="W1436" s="30"/>
      <c r="X1436" s="27">
        <v>8</v>
      </c>
      <c r="Y1436" s="27" t="s">
        <v>1886</v>
      </c>
      <c r="Z1436" s="27">
        <v>8</v>
      </c>
      <c r="AA1436" s="27"/>
      <c r="AB1436" s="27"/>
      <c r="AC1436" s="273">
        <v>884263514.49853373</v>
      </c>
      <c r="AD1436" s="27">
        <v>66730306799.531067</v>
      </c>
      <c r="AE1436" s="228">
        <v>1.3251302997227456E-2</v>
      </c>
      <c r="AF1436" s="27" t="s">
        <v>2842</v>
      </c>
      <c r="AG1436" s="226" t="s">
        <v>2842</v>
      </c>
      <c r="AH1436" s="226">
        <v>0.47448256845889891</v>
      </c>
      <c r="AI1436" s="27">
        <v>463450000</v>
      </c>
      <c r="AJ1436" s="226">
        <v>1.9080019732409834</v>
      </c>
      <c r="AK1436" s="27">
        <v>1713577470.1554301</v>
      </c>
      <c r="AL1436" s="226">
        <v>0.51603357881352552</v>
      </c>
      <c r="AM1436" s="27">
        <v>1891110202.5759907</v>
      </c>
      <c r="AN1436" s="271">
        <v>0.46758962713755509</v>
      </c>
      <c r="AO1436" s="27">
        <v>27403845</v>
      </c>
      <c r="AP1436" s="27">
        <v>58.7</v>
      </c>
      <c r="AQ1436" s="27">
        <v>72.096804878048786</v>
      </c>
      <c r="AR1436" s="27">
        <v>23</v>
      </c>
      <c r="AS1436" s="29">
        <v>99.634069999999994</v>
      </c>
      <c r="AT1436" s="270">
        <v>38</v>
      </c>
      <c r="AU1436" s="464">
        <v>72.816286549781523</v>
      </c>
      <c r="AV1436" s="29">
        <v>-0.14663028957413399</v>
      </c>
      <c r="AW1436" s="29">
        <v>-1.00309654857232</v>
      </c>
      <c r="AX1436" s="29">
        <v>-0.46854602636037601</v>
      </c>
      <c r="AY1436" s="29">
        <v>0.23233413649883</v>
      </c>
      <c r="AZ1436" s="60">
        <v>-0.35116899578167798</v>
      </c>
    </row>
    <row r="1437" spans="1:52" s="29" customFormat="1" ht="15" customHeight="1">
      <c r="A1437" s="63" t="s">
        <v>441</v>
      </c>
      <c r="B1437" s="27">
        <v>2004</v>
      </c>
      <c r="C1437" s="27" t="s">
        <v>442</v>
      </c>
      <c r="D1437" s="69" t="s">
        <v>214</v>
      </c>
      <c r="E1437" s="29" t="s">
        <v>19</v>
      </c>
      <c r="F1437" s="27" t="s">
        <v>559</v>
      </c>
      <c r="G1437" s="43"/>
      <c r="H1437" s="43"/>
      <c r="I1437" s="43"/>
      <c r="J1437" s="43"/>
      <c r="K1437" s="27"/>
      <c r="L1437" s="28"/>
      <c r="M1437" s="27"/>
      <c r="N1437" s="27"/>
      <c r="O1437" s="18">
        <f>SUM(O1438:O1460)</f>
        <v>10679679331.505838</v>
      </c>
      <c r="P1437" s="214">
        <v>628864398.27900195</v>
      </c>
      <c r="Q1437" s="214">
        <v>627928848.50146627</v>
      </c>
      <c r="S1437" s="27"/>
      <c r="T1437" s="18"/>
      <c r="U1437" s="27"/>
      <c r="W1437" s="30"/>
      <c r="X1437" s="27">
        <v>24</v>
      </c>
      <c r="Y1437" s="27" t="s">
        <v>1887</v>
      </c>
      <c r="Z1437" s="27">
        <v>24</v>
      </c>
      <c r="AA1437" s="27"/>
      <c r="AB1437" s="27"/>
      <c r="AC1437" s="273">
        <v>884263514.49853373</v>
      </c>
      <c r="AD1437" s="27">
        <v>66730306799.531067</v>
      </c>
      <c r="AE1437" s="228">
        <v>1.3251302997227456E-2</v>
      </c>
      <c r="AF1437" s="27" t="s">
        <v>2842</v>
      </c>
      <c r="AG1437" s="226" t="s">
        <v>2842</v>
      </c>
      <c r="AH1437" s="226">
        <v>0.47448256845889891</v>
      </c>
      <c r="AI1437" s="27">
        <v>463450000</v>
      </c>
      <c r="AJ1437" s="226">
        <v>1.9080019732409834</v>
      </c>
      <c r="AK1437" s="27">
        <v>1713577470.1554301</v>
      </c>
      <c r="AL1437" s="226">
        <v>0.51603357881352552</v>
      </c>
      <c r="AM1437" s="27">
        <v>1891110202.5759907</v>
      </c>
      <c r="AN1437" s="271">
        <v>0.46758962713755509</v>
      </c>
      <c r="AO1437" s="27">
        <v>27403845</v>
      </c>
      <c r="AP1437" s="27">
        <v>58.7</v>
      </c>
      <c r="AQ1437" s="27">
        <v>72.096804878048786</v>
      </c>
      <c r="AR1437" s="27">
        <v>23</v>
      </c>
      <c r="AS1437" s="29">
        <v>99.634069999999994</v>
      </c>
      <c r="AT1437" s="270">
        <v>38</v>
      </c>
      <c r="AU1437" s="464">
        <v>72.816286549781523</v>
      </c>
      <c r="AV1437" s="29">
        <v>-0.14663028957413399</v>
      </c>
      <c r="AW1437" s="29">
        <v>-1.00309654857232</v>
      </c>
      <c r="AX1437" s="29">
        <v>-0.46854602636037601</v>
      </c>
      <c r="AY1437" s="29">
        <v>0.23233413649883</v>
      </c>
      <c r="AZ1437" s="60">
        <v>-0.35116899578167798</v>
      </c>
    </row>
    <row r="1438" spans="1:52" s="29" customFormat="1" ht="15" customHeight="1">
      <c r="A1438" s="63" t="s">
        <v>441</v>
      </c>
      <c r="B1438" s="27">
        <v>2004</v>
      </c>
      <c r="C1438" s="27" t="s">
        <v>442</v>
      </c>
      <c r="D1438" s="69" t="s">
        <v>214</v>
      </c>
      <c r="E1438" s="29" t="s">
        <v>19</v>
      </c>
      <c r="F1438" s="27" t="s">
        <v>1888</v>
      </c>
      <c r="G1438" s="43">
        <v>600</v>
      </c>
      <c r="H1438" s="43"/>
      <c r="I1438" s="43"/>
      <c r="J1438" s="43"/>
      <c r="K1438" s="27" t="s">
        <v>567</v>
      </c>
      <c r="L1438" s="28">
        <f>3.35/0.000453592</f>
        <v>7385.4918076156546</v>
      </c>
      <c r="M1438" s="29" t="s">
        <v>568</v>
      </c>
      <c r="N1438" s="29" t="s">
        <v>1889</v>
      </c>
      <c r="O1438" s="18">
        <f>G1438*L1438</f>
        <v>4431295.0845693927</v>
      </c>
      <c r="P1438" s="214"/>
      <c r="Q1438" s="214"/>
      <c r="S1438" s="27"/>
      <c r="T1438" s="18"/>
      <c r="U1438" s="27"/>
      <c r="W1438" s="30"/>
      <c r="X1438" s="27"/>
      <c r="Y1438" s="27"/>
      <c r="Z1438" s="27"/>
      <c r="AA1438" s="27"/>
      <c r="AB1438" s="27"/>
      <c r="AC1438" s="273">
        <v>884263514.49853373</v>
      </c>
      <c r="AD1438" s="27">
        <v>66730306799.531067</v>
      </c>
      <c r="AE1438" s="228">
        <v>1.3251302997227456E-2</v>
      </c>
      <c r="AF1438" s="27" t="s">
        <v>2842</v>
      </c>
      <c r="AG1438" s="226" t="s">
        <v>2842</v>
      </c>
      <c r="AH1438" s="226">
        <v>0.47448256845889891</v>
      </c>
      <c r="AI1438" s="27">
        <v>463450000</v>
      </c>
      <c r="AJ1438" s="226">
        <v>1.9080019732409834</v>
      </c>
      <c r="AK1438" s="27">
        <v>1713577470.1554301</v>
      </c>
      <c r="AL1438" s="226">
        <v>0.51603357881352552</v>
      </c>
      <c r="AM1438" s="27">
        <v>1891110202.5759907</v>
      </c>
      <c r="AN1438" s="271">
        <v>0.46758962713755509</v>
      </c>
      <c r="AO1438" s="27">
        <v>27403845</v>
      </c>
      <c r="AP1438" s="27">
        <v>58.7</v>
      </c>
      <c r="AQ1438" s="27">
        <v>72.096804878048786</v>
      </c>
      <c r="AR1438" s="27">
        <v>23</v>
      </c>
      <c r="AS1438" s="29">
        <v>99.634069999999994</v>
      </c>
      <c r="AT1438" s="270">
        <v>38</v>
      </c>
      <c r="AU1438" s="464">
        <v>72.816286549781523</v>
      </c>
      <c r="AV1438" s="29">
        <v>-0.14663028957413399</v>
      </c>
      <c r="AW1438" s="29">
        <v>-1.00309654857232</v>
      </c>
      <c r="AX1438" s="29">
        <v>-0.46854602636037601</v>
      </c>
      <c r="AY1438" s="29">
        <v>0.23233413649883</v>
      </c>
      <c r="AZ1438" s="60">
        <v>-0.35116899578167798</v>
      </c>
    </row>
    <row r="1439" spans="1:52" s="29" customFormat="1" ht="15" customHeight="1">
      <c r="A1439" s="63" t="s">
        <v>441</v>
      </c>
      <c r="B1439" s="27">
        <v>2004</v>
      </c>
      <c r="C1439" s="27" t="s">
        <v>442</v>
      </c>
      <c r="D1439" s="69" t="s">
        <v>214</v>
      </c>
      <c r="E1439" s="29" t="s">
        <v>19</v>
      </c>
      <c r="F1439" s="27" t="s">
        <v>576</v>
      </c>
      <c r="G1439" s="43"/>
      <c r="H1439" s="43"/>
      <c r="I1439" s="43"/>
      <c r="J1439" s="43"/>
      <c r="K1439" s="27"/>
      <c r="L1439" s="44">
        <v>2865.8849166666701</v>
      </c>
      <c r="M1439" s="27" t="s">
        <v>568</v>
      </c>
      <c r="N1439" s="27" t="s">
        <v>633</v>
      </c>
      <c r="O1439" s="18">
        <f>SUM(G1441:G1442)*L1439</f>
        <v>2365624643.268086</v>
      </c>
      <c r="P1439" s="214"/>
      <c r="Q1439" s="214"/>
      <c r="S1439" s="27"/>
      <c r="T1439" s="18"/>
      <c r="U1439" s="27"/>
      <c r="W1439" s="30"/>
      <c r="X1439" s="27">
        <v>17</v>
      </c>
      <c r="Y1439" s="27" t="s">
        <v>1890</v>
      </c>
      <c r="Z1439" s="27">
        <v>17</v>
      </c>
      <c r="AA1439" s="27"/>
      <c r="AB1439" s="27"/>
      <c r="AC1439" s="273">
        <v>884263514.49853373</v>
      </c>
      <c r="AD1439" s="27">
        <v>66730306799.531067</v>
      </c>
      <c r="AE1439" s="228">
        <v>1.3251302997227456E-2</v>
      </c>
      <c r="AF1439" s="27" t="s">
        <v>2842</v>
      </c>
      <c r="AG1439" s="226" t="s">
        <v>2842</v>
      </c>
      <c r="AH1439" s="226">
        <v>0.47448256845889891</v>
      </c>
      <c r="AI1439" s="27">
        <v>463450000</v>
      </c>
      <c r="AJ1439" s="226">
        <v>1.9080019732409834</v>
      </c>
      <c r="AK1439" s="27">
        <v>1713577470.1554301</v>
      </c>
      <c r="AL1439" s="226">
        <v>0.51603357881352552</v>
      </c>
      <c r="AM1439" s="27">
        <v>1891110202.5759907</v>
      </c>
      <c r="AN1439" s="271">
        <v>0.46758962713755509</v>
      </c>
      <c r="AO1439" s="27">
        <v>27403845</v>
      </c>
      <c r="AP1439" s="27">
        <v>58.7</v>
      </c>
      <c r="AQ1439" s="27">
        <v>72.096804878048786</v>
      </c>
      <c r="AR1439" s="27">
        <v>23</v>
      </c>
      <c r="AS1439" s="29">
        <v>99.634069999999994</v>
      </c>
      <c r="AT1439" s="270">
        <v>38</v>
      </c>
      <c r="AU1439" s="464">
        <v>72.816286549781523</v>
      </c>
      <c r="AV1439" s="29">
        <v>-0.14663028957413399</v>
      </c>
      <c r="AW1439" s="29">
        <v>-1.00309654857232</v>
      </c>
      <c r="AX1439" s="29">
        <v>-0.46854602636037601</v>
      </c>
      <c r="AY1439" s="29">
        <v>0.23233413649883</v>
      </c>
      <c r="AZ1439" s="60">
        <v>-0.35116899578167798</v>
      </c>
    </row>
    <row r="1440" spans="1:52" s="29" customFormat="1" ht="15" customHeight="1">
      <c r="A1440" s="63" t="s">
        <v>441</v>
      </c>
      <c r="B1440" s="27">
        <v>2004</v>
      </c>
      <c r="C1440" s="27" t="s">
        <v>442</v>
      </c>
      <c r="D1440" s="69" t="s">
        <v>214</v>
      </c>
      <c r="E1440" s="29" t="s">
        <v>19</v>
      </c>
      <c r="F1440" s="27" t="s">
        <v>1226</v>
      </c>
      <c r="G1440" s="43">
        <v>1035574</v>
      </c>
      <c r="H1440" s="43"/>
      <c r="I1440" s="43"/>
      <c r="J1440" s="43"/>
      <c r="K1440" s="27" t="s">
        <v>567</v>
      </c>
      <c r="L1440" s="28"/>
      <c r="M1440" s="27"/>
      <c r="N1440" s="27" t="s">
        <v>1057</v>
      </c>
      <c r="O1440" s="18"/>
      <c r="P1440" s="214"/>
      <c r="Q1440" s="214"/>
      <c r="S1440" s="27"/>
      <c r="T1440" s="18"/>
      <c r="U1440" s="27"/>
      <c r="W1440" s="30"/>
      <c r="X1440" s="27"/>
      <c r="Y1440" s="27"/>
      <c r="Z1440" s="27"/>
      <c r="AA1440" s="27"/>
      <c r="AB1440" s="27"/>
      <c r="AC1440" s="273">
        <v>884263514.49853373</v>
      </c>
      <c r="AD1440" s="27">
        <v>66730306799.531067</v>
      </c>
      <c r="AE1440" s="228">
        <v>1.3251302997227456E-2</v>
      </c>
      <c r="AF1440" s="27" t="s">
        <v>2842</v>
      </c>
      <c r="AG1440" s="226" t="s">
        <v>2842</v>
      </c>
      <c r="AH1440" s="226">
        <v>0.47448256845889891</v>
      </c>
      <c r="AI1440" s="27">
        <v>463450000</v>
      </c>
      <c r="AJ1440" s="226">
        <v>1.9080019732409834</v>
      </c>
      <c r="AK1440" s="27">
        <v>1713577470.1554301</v>
      </c>
      <c r="AL1440" s="226">
        <v>0.51603357881352552</v>
      </c>
      <c r="AM1440" s="27">
        <v>1891110202.5759907</v>
      </c>
      <c r="AN1440" s="271">
        <v>0.46758962713755509</v>
      </c>
      <c r="AO1440" s="27">
        <v>27403845</v>
      </c>
      <c r="AP1440" s="27">
        <v>58.7</v>
      </c>
      <c r="AQ1440" s="27">
        <v>72.096804878048786</v>
      </c>
      <c r="AR1440" s="27">
        <v>23</v>
      </c>
      <c r="AS1440" s="29">
        <v>99.634069999999994</v>
      </c>
      <c r="AT1440" s="270">
        <v>38</v>
      </c>
      <c r="AU1440" s="464">
        <v>72.816286549781523</v>
      </c>
      <c r="AV1440" s="29">
        <v>-0.14663028957413399</v>
      </c>
      <c r="AW1440" s="29">
        <v>-1.00309654857232</v>
      </c>
      <c r="AX1440" s="29">
        <v>-0.46854602636037601</v>
      </c>
      <c r="AY1440" s="29">
        <v>0.23233413649883</v>
      </c>
      <c r="AZ1440" s="60">
        <v>-0.35116899578167798</v>
      </c>
    </row>
    <row r="1441" spans="1:52" s="29" customFormat="1" ht="15" customHeight="1">
      <c r="A1441" s="63" t="s">
        <v>441</v>
      </c>
      <c r="B1441" s="27">
        <v>2004</v>
      </c>
      <c r="C1441" s="27" t="s">
        <v>442</v>
      </c>
      <c r="D1441" s="69" t="s">
        <v>214</v>
      </c>
      <c r="E1441" s="29" t="s">
        <v>19</v>
      </c>
      <c r="F1441" s="27" t="s">
        <v>1310</v>
      </c>
      <c r="G1441" s="43">
        <v>320135</v>
      </c>
      <c r="H1441" s="43"/>
      <c r="I1441" s="43"/>
      <c r="J1441" s="43"/>
      <c r="K1441" s="27" t="s">
        <v>567</v>
      </c>
      <c r="L1441" s="28"/>
      <c r="M1441" s="27"/>
      <c r="N1441" s="27" t="s">
        <v>1057</v>
      </c>
      <c r="O1441" s="18"/>
      <c r="P1441" s="214"/>
      <c r="Q1441" s="214"/>
      <c r="S1441" s="27"/>
      <c r="T1441" s="18"/>
      <c r="U1441" s="27"/>
      <c r="W1441" s="30"/>
      <c r="X1441" s="27"/>
      <c r="Y1441" s="27"/>
      <c r="Z1441" s="27"/>
      <c r="AA1441" s="27"/>
      <c r="AB1441" s="27"/>
      <c r="AC1441" s="273">
        <v>884263514.49853373</v>
      </c>
      <c r="AD1441" s="27">
        <v>66730306799.531067</v>
      </c>
      <c r="AE1441" s="228">
        <v>1.3251302997227456E-2</v>
      </c>
      <c r="AF1441" s="27" t="s">
        <v>2842</v>
      </c>
      <c r="AG1441" s="226" t="s">
        <v>2842</v>
      </c>
      <c r="AH1441" s="226">
        <v>0.47448256845889891</v>
      </c>
      <c r="AI1441" s="27">
        <v>463450000</v>
      </c>
      <c r="AJ1441" s="226">
        <v>1.9080019732409834</v>
      </c>
      <c r="AK1441" s="27">
        <v>1713577470.1554301</v>
      </c>
      <c r="AL1441" s="226">
        <v>0.51603357881352552</v>
      </c>
      <c r="AM1441" s="27">
        <v>1891110202.5759907</v>
      </c>
      <c r="AN1441" s="271">
        <v>0.46758962713755509</v>
      </c>
      <c r="AO1441" s="27">
        <v>27403845</v>
      </c>
      <c r="AP1441" s="27">
        <v>58.7</v>
      </c>
      <c r="AQ1441" s="27">
        <v>72.096804878048786</v>
      </c>
      <c r="AR1441" s="27">
        <v>23</v>
      </c>
      <c r="AS1441" s="29">
        <v>99.634069999999994</v>
      </c>
      <c r="AT1441" s="270">
        <v>38</v>
      </c>
      <c r="AU1441" s="464">
        <v>72.816286549781523</v>
      </c>
      <c r="AV1441" s="29">
        <v>-0.14663028957413399</v>
      </c>
      <c r="AW1441" s="29">
        <v>-1.00309654857232</v>
      </c>
      <c r="AX1441" s="29">
        <v>-0.46854602636037601</v>
      </c>
      <c r="AY1441" s="29">
        <v>0.23233413649883</v>
      </c>
      <c r="AZ1441" s="60">
        <v>-0.35116899578167798</v>
      </c>
    </row>
    <row r="1442" spans="1:52" s="29" customFormat="1" ht="15" customHeight="1">
      <c r="A1442" s="63" t="s">
        <v>441</v>
      </c>
      <c r="B1442" s="27">
        <v>2004</v>
      </c>
      <c r="C1442" s="27" t="s">
        <v>442</v>
      </c>
      <c r="D1442" s="69" t="s">
        <v>214</v>
      </c>
      <c r="E1442" s="29" t="s">
        <v>19</v>
      </c>
      <c r="F1442" s="27" t="s">
        <v>1311</v>
      </c>
      <c r="G1442" s="43">
        <v>505308</v>
      </c>
      <c r="H1442" s="43"/>
      <c r="I1442" s="43"/>
      <c r="J1442" s="43"/>
      <c r="K1442" s="27" t="s">
        <v>567</v>
      </c>
      <c r="L1442" s="28"/>
      <c r="M1442" s="27"/>
      <c r="N1442" s="27" t="s">
        <v>1057</v>
      </c>
      <c r="O1442" s="18"/>
      <c r="P1442" s="214"/>
      <c r="Q1442" s="214"/>
      <c r="S1442" s="27"/>
      <c r="T1442" s="18"/>
      <c r="U1442" s="27"/>
      <c r="W1442" s="30"/>
      <c r="X1442" s="27"/>
      <c r="Y1442" s="27"/>
      <c r="Z1442" s="27"/>
      <c r="AA1442" s="27"/>
      <c r="AB1442" s="27"/>
      <c r="AC1442" s="273">
        <v>884263514.49853373</v>
      </c>
      <c r="AD1442" s="27">
        <v>66730306799.531067</v>
      </c>
      <c r="AE1442" s="228">
        <v>1.3251302997227456E-2</v>
      </c>
      <c r="AF1442" s="27" t="s">
        <v>2842</v>
      </c>
      <c r="AG1442" s="226" t="s">
        <v>2842</v>
      </c>
      <c r="AH1442" s="226">
        <v>0.47448256845889891</v>
      </c>
      <c r="AI1442" s="27">
        <v>463450000</v>
      </c>
      <c r="AJ1442" s="226">
        <v>1.9080019732409834</v>
      </c>
      <c r="AK1442" s="27">
        <v>1713577470.1554301</v>
      </c>
      <c r="AL1442" s="226">
        <v>0.51603357881352552</v>
      </c>
      <c r="AM1442" s="27">
        <v>1891110202.5759907</v>
      </c>
      <c r="AN1442" s="271">
        <v>0.46758962713755509</v>
      </c>
      <c r="AO1442" s="27">
        <v>27403845</v>
      </c>
      <c r="AP1442" s="27">
        <v>58.7</v>
      </c>
      <c r="AQ1442" s="27">
        <v>72.096804878048786</v>
      </c>
      <c r="AR1442" s="27">
        <v>23</v>
      </c>
      <c r="AS1442" s="29">
        <v>99.634069999999994</v>
      </c>
      <c r="AT1442" s="270">
        <v>38</v>
      </c>
      <c r="AU1442" s="464">
        <v>72.816286549781523</v>
      </c>
      <c r="AV1442" s="29">
        <v>-0.14663028957413399</v>
      </c>
      <c r="AW1442" s="29">
        <v>-1.00309654857232</v>
      </c>
      <c r="AX1442" s="29">
        <v>-0.46854602636037601</v>
      </c>
      <c r="AY1442" s="29">
        <v>0.23233413649883</v>
      </c>
      <c r="AZ1442" s="60">
        <v>-0.35116899578167798</v>
      </c>
    </row>
    <row r="1443" spans="1:52" s="29" customFormat="1" ht="15" customHeight="1">
      <c r="A1443" s="63" t="s">
        <v>441</v>
      </c>
      <c r="B1443" s="27">
        <v>2004</v>
      </c>
      <c r="C1443" s="27" t="s">
        <v>442</v>
      </c>
      <c r="D1443" s="69" t="s">
        <v>214</v>
      </c>
      <c r="E1443" s="29" t="s">
        <v>19</v>
      </c>
      <c r="F1443" s="27" t="s">
        <v>730</v>
      </c>
      <c r="G1443" s="43">
        <f>173224*32.150743126506</f>
        <v>5569280.3273458751</v>
      </c>
      <c r="H1443" s="43"/>
      <c r="I1443" s="43"/>
      <c r="J1443" s="43"/>
      <c r="K1443" s="27" t="s">
        <v>731</v>
      </c>
      <c r="L1443" s="28">
        <v>409.21158333333</v>
      </c>
      <c r="M1443" s="27" t="s">
        <v>732</v>
      </c>
      <c r="N1443" s="27" t="s">
        <v>836</v>
      </c>
      <c r="O1443" s="18">
        <f>G1443*L1443</f>
        <v>2279014020.7803721</v>
      </c>
      <c r="P1443" s="214"/>
      <c r="Q1443" s="214"/>
      <c r="R1443" s="71"/>
      <c r="S1443" s="27"/>
      <c r="T1443" s="18"/>
      <c r="U1443" s="27"/>
      <c r="V1443" s="18"/>
      <c r="W1443" s="30"/>
      <c r="X1443" s="27">
        <v>11</v>
      </c>
      <c r="Y1443" s="27" t="s">
        <v>1891</v>
      </c>
      <c r="Z1443" s="27">
        <v>11</v>
      </c>
      <c r="AA1443" s="27"/>
      <c r="AB1443" s="27"/>
      <c r="AC1443" s="273">
        <v>884263514.49853373</v>
      </c>
      <c r="AD1443" s="27">
        <v>66730306799.531067</v>
      </c>
      <c r="AE1443" s="228">
        <v>1.3251302997227456E-2</v>
      </c>
      <c r="AF1443" s="27" t="s">
        <v>2842</v>
      </c>
      <c r="AG1443" s="226" t="s">
        <v>2842</v>
      </c>
      <c r="AH1443" s="226">
        <v>0.47448256845889891</v>
      </c>
      <c r="AI1443" s="27">
        <v>463450000</v>
      </c>
      <c r="AJ1443" s="226">
        <v>1.9080019732409834</v>
      </c>
      <c r="AK1443" s="27">
        <v>1713577470.1554301</v>
      </c>
      <c r="AL1443" s="226">
        <v>0.51603357881352552</v>
      </c>
      <c r="AM1443" s="27">
        <v>1891110202.5759907</v>
      </c>
      <c r="AN1443" s="271">
        <v>0.46758962713755509</v>
      </c>
      <c r="AO1443" s="27">
        <v>27403845</v>
      </c>
      <c r="AP1443" s="27">
        <v>58.7</v>
      </c>
      <c r="AQ1443" s="27">
        <v>72.096804878048786</v>
      </c>
      <c r="AR1443" s="27">
        <v>23</v>
      </c>
      <c r="AS1443" s="29">
        <v>99.634069999999994</v>
      </c>
      <c r="AT1443" s="270">
        <v>38</v>
      </c>
      <c r="AU1443" s="464">
        <v>72.816286549781523</v>
      </c>
      <c r="AV1443" s="29">
        <v>-0.14663028957413399</v>
      </c>
      <c r="AW1443" s="29">
        <v>-1.00309654857232</v>
      </c>
      <c r="AX1443" s="29">
        <v>-0.46854602636037601</v>
      </c>
      <c r="AY1443" s="29">
        <v>0.23233413649883</v>
      </c>
      <c r="AZ1443" s="60">
        <v>-0.35116899578167798</v>
      </c>
    </row>
    <row r="1444" spans="1:52" s="29" customFormat="1" ht="15" customHeight="1">
      <c r="A1444" s="63" t="s">
        <v>441</v>
      </c>
      <c r="B1444" s="27">
        <v>2004</v>
      </c>
      <c r="C1444" s="27" t="s">
        <v>442</v>
      </c>
      <c r="D1444" s="69" t="s">
        <v>214</v>
      </c>
      <c r="E1444" s="29" t="s">
        <v>19</v>
      </c>
      <c r="F1444" s="27" t="s">
        <v>1892</v>
      </c>
      <c r="G1444" s="43">
        <v>5500</v>
      </c>
      <c r="H1444" s="43"/>
      <c r="I1444" s="43"/>
      <c r="J1444" s="43"/>
      <c r="K1444" s="27" t="s">
        <v>894</v>
      </c>
      <c r="L1444" s="28">
        <v>643</v>
      </c>
      <c r="M1444" s="27" t="s">
        <v>1743</v>
      </c>
      <c r="N1444" s="27" t="s">
        <v>1893</v>
      </c>
      <c r="O1444" s="18">
        <f>G1444*L1444</f>
        <v>3536500</v>
      </c>
      <c r="P1444" s="214"/>
      <c r="Q1444" s="214"/>
      <c r="R1444" s="71"/>
      <c r="S1444" s="27"/>
      <c r="T1444" s="18"/>
      <c r="U1444" s="27"/>
      <c r="V1444" s="18"/>
      <c r="W1444" s="30"/>
      <c r="X1444" s="27"/>
      <c r="Y1444" s="27"/>
      <c r="Z1444" s="27"/>
      <c r="AA1444" s="27"/>
      <c r="AB1444" s="27"/>
      <c r="AC1444" s="273">
        <v>884263514.49853373</v>
      </c>
      <c r="AD1444" s="27">
        <v>66730306799.531067</v>
      </c>
      <c r="AE1444" s="228">
        <v>1.3251302997227456E-2</v>
      </c>
      <c r="AF1444" s="27" t="s">
        <v>2842</v>
      </c>
      <c r="AG1444" s="226" t="s">
        <v>2842</v>
      </c>
      <c r="AH1444" s="226">
        <v>0.47448256845889891</v>
      </c>
      <c r="AI1444" s="27">
        <v>463450000</v>
      </c>
      <c r="AJ1444" s="226">
        <v>1.9080019732409834</v>
      </c>
      <c r="AK1444" s="27">
        <v>1713577470.1554301</v>
      </c>
      <c r="AL1444" s="226">
        <v>0.51603357881352552</v>
      </c>
      <c r="AM1444" s="27">
        <v>1891110202.5759907</v>
      </c>
      <c r="AN1444" s="271">
        <v>0.46758962713755509</v>
      </c>
      <c r="AO1444" s="27">
        <v>27403845</v>
      </c>
      <c r="AP1444" s="27">
        <v>58.7</v>
      </c>
      <c r="AQ1444" s="27">
        <v>72.096804878048786</v>
      </c>
      <c r="AR1444" s="27">
        <v>23</v>
      </c>
      <c r="AS1444" s="29">
        <v>99.634069999999994</v>
      </c>
      <c r="AT1444" s="270">
        <v>38</v>
      </c>
      <c r="AU1444" s="464">
        <v>72.816286549781523</v>
      </c>
      <c r="AV1444" s="29">
        <v>-0.14663028957413399</v>
      </c>
      <c r="AW1444" s="29">
        <v>-1.00309654857232</v>
      </c>
      <c r="AX1444" s="29">
        <v>-0.46854602636037601</v>
      </c>
      <c r="AY1444" s="29">
        <v>0.23233413649883</v>
      </c>
      <c r="AZ1444" s="60">
        <v>-0.35116899578167798</v>
      </c>
    </row>
    <row r="1445" spans="1:52" s="29" customFormat="1" ht="15" customHeight="1">
      <c r="A1445" s="63" t="s">
        <v>441</v>
      </c>
      <c r="B1445" s="27">
        <v>2004</v>
      </c>
      <c r="C1445" s="27" t="s">
        <v>442</v>
      </c>
      <c r="D1445" s="69" t="s">
        <v>214</v>
      </c>
      <c r="E1445" s="29" t="s">
        <v>19</v>
      </c>
      <c r="F1445" s="27" t="s">
        <v>1133</v>
      </c>
      <c r="G1445" s="43">
        <v>6439000</v>
      </c>
      <c r="H1445" s="43"/>
      <c r="I1445" s="43"/>
      <c r="J1445" s="43"/>
      <c r="K1445" s="27" t="s">
        <v>567</v>
      </c>
      <c r="L1445" s="28">
        <v>37.9</v>
      </c>
      <c r="M1445" s="27" t="s">
        <v>568</v>
      </c>
      <c r="N1445" s="27" t="s">
        <v>1894</v>
      </c>
      <c r="O1445" s="18">
        <f>G1445*L1445</f>
        <v>244038100</v>
      </c>
      <c r="P1445" s="214"/>
      <c r="Q1445" s="214"/>
      <c r="R1445" s="71"/>
      <c r="S1445" s="27"/>
      <c r="T1445" s="18"/>
      <c r="U1445" s="27"/>
      <c r="V1445" s="18"/>
      <c r="W1445" s="30"/>
      <c r="X1445" s="27"/>
      <c r="Y1445" s="27"/>
      <c r="Z1445" s="27"/>
      <c r="AA1445" s="27"/>
      <c r="AB1445" s="27"/>
      <c r="AC1445" s="273">
        <v>884263514.49853373</v>
      </c>
      <c r="AD1445" s="27">
        <v>66730306799.531067</v>
      </c>
      <c r="AE1445" s="228">
        <v>1.3251302997227456E-2</v>
      </c>
      <c r="AF1445" s="27" t="s">
        <v>2842</v>
      </c>
      <c r="AG1445" s="226" t="s">
        <v>2842</v>
      </c>
      <c r="AH1445" s="226">
        <v>0.47448256845889891</v>
      </c>
      <c r="AI1445" s="27">
        <v>463450000</v>
      </c>
      <c r="AJ1445" s="226">
        <v>1.9080019732409834</v>
      </c>
      <c r="AK1445" s="27">
        <v>1713577470.1554301</v>
      </c>
      <c r="AL1445" s="226">
        <v>0.51603357881352552</v>
      </c>
      <c r="AM1445" s="27">
        <v>1891110202.5759907</v>
      </c>
      <c r="AN1445" s="271">
        <v>0.46758962713755509</v>
      </c>
      <c r="AO1445" s="27">
        <v>27403845</v>
      </c>
      <c r="AP1445" s="27">
        <v>58.7</v>
      </c>
      <c r="AQ1445" s="27">
        <v>72.096804878048786</v>
      </c>
      <c r="AR1445" s="27">
        <v>23</v>
      </c>
      <c r="AS1445" s="29">
        <v>99.634069999999994</v>
      </c>
      <c r="AT1445" s="270">
        <v>38</v>
      </c>
      <c r="AU1445" s="464">
        <v>72.816286549781523</v>
      </c>
      <c r="AV1445" s="29">
        <v>-0.14663028957413399</v>
      </c>
      <c r="AW1445" s="29">
        <v>-1.00309654857232</v>
      </c>
      <c r="AX1445" s="29">
        <v>-0.46854602636037601</v>
      </c>
      <c r="AY1445" s="29">
        <v>0.23233413649883</v>
      </c>
      <c r="AZ1445" s="60">
        <v>-0.35116899578167798</v>
      </c>
    </row>
    <row r="1446" spans="1:52" s="29" customFormat="1" ht="15" customHeight="1">
      <c r="A1446" s="63" t="s">
        <v>441</v>
      </c>
      <c r="B1446" s="27">
        <v>2004</v>
      </c>
      <c r="C1446" s="27" t="s">
        <v>442</v>
      </c>
      <c r="D1446" s="69" t="s">
        <v>214</v>
      </c>
      <c r="E1446" s="29" t="s">
        <v>19</v>
      </c>
      <c r="F1446" s="27" t="s">
        <v>1360</v>
      </c>
      <c r="G1446" s="43"/>
      <c r="H1446" s="43"/>
      <c r="I1446" s="43"/>
      <c r="J1446" s="43"/>
      <c r="K1446" s="27"/>
      <c r="L1446" s="44">
        <v>886.54499999999996</v>
      </c>
      <c r="M1446" s="27" t="s">
        <v>568</v>
      </c>
      <c r="N1446" s="27" t="s">
        <v>1895</v>
      </c>
      <c r="O1446" s="18">
        <f>G1448*L1446</f>
        <v>105472258.64999999</v>
      </c>
      <c r="P1446" s="214"/>
      <c r="Q1446" s="214"/>
      <c r="S1446" s="27"/>
      <c r="T1446" s="18"/>
      <c r="U1446" s="27"/>
      <c r="W1446" s="30"/>
      <c r="X1446" s="27">
        <v>10</v>
      </c>
      <c r="Y1446" s="27" t="s">
        <v>1896</v>
      </c>
      <c r="Z1446" s="27">
        <v>10</v>
      </c>
      <c r="AA1446" s="27"/>
      <c r="AB1446" s="27"/>
      <c r="AC1446" s="273">
        <v>884263514.49853373</v>
      </c>
      <c r="AD1446" s="27">
        <v>66730306799.531067</v>
      </c>
      <c r="AE1446" s="228">
        <v>1.3251302997227456E-2</v>
      </c>
      <c r="AF1446" s="27" t="s">
        <v>2842</v>
      </c>
      <c r="AG1446" s="226" t="s">
        <v>2842</v>
      </c>
      <c r="AH1446" s="226">
        <v>0.47448256845889891</v>
      </c>
      <c r="AI1446" s="27">
        <v>463450000</v>
      </c>
      <c r="AJ1446" s="226">
        <v>1.9080019732409834</v>
      </c>
      <c r="AK1446" s="27">
        <v>1713577470.1554301</v>
      </c>
      <c r="AL1446" s="226">
        <v>0.51603357881352552</v>
      </c>
      <c r="AM1446" s="27">
        <v>1891110202.5759907</v>
      </c>
      <c r="AN1446" s="271">
        <v>0.46758962713755509</v>
      </c>
      <c r="AO1446" s="27">
        <v>27403845</v>
      </c>
      <c r="AP1446" s="27">
        <v>58.7</v>
      </c>
      <c r="AQ1446" s="27">
        <v>72.096804878048786</v>
      </c>
      <c r="AR1446" s="27">
        <v>23</v>
      </c>
      <c r="AS1446" s="29">
        <v>99.634069999999994</v>
      </c>
      <c r="AT1446" s="270">
        <v>38</v>
      </c>
      <c r="AU1446" s="464">
        <v>72.816286549781523</v>
      </c>
      <c r="AV1446" s="29">
        <v>-0.14663028957413399</v>
      </c>
      <c r="AW1446" s="29">
        <v>-1.00309654857232</v>
      </c>
      <c r="AX1446" s="29">
        <v>-0.46854602636037601</v>
      </c>
      <c r="AY1446" s="29">
        <v>0.23233413649883</v>
      </c>
      <c r="AZ1446" s="60">
        <v>-0.35116899578167798</v>
      </c>
    </row>
    <row r="1447" spans="1:52" s="29" customFormat="1" ht="15" customHeight="1">
      <c r="A1447" s="63" t="s">
        <v>441</v>
      </c>
      <c r="B1447" s="27">
        <v>2004</v>
      </c>
      <c r="C1447" s="27" t="s">
        <v>442</v>
      </c>
      <c r="D1447" s="69" t="s">
        <v>214</v>
      </c>
      <c r="E1447" s="29" t="s">
        <v>19</v>
      </c>
      <c r="F1447" s="27" t="s">
        <v>1897</v>
      </c>
      <c r="G1447" s="43">
        <v>306211</v>
      </c>
      <c r="H1447" s="43"/>
      <c r="I1447" s="43"/>
      <c r="J1447" s="43"/>
      <c r="K1447" s="27" t="s">
        <v>567</v>
      </c>
      <c r="L1447" s="28"/>
      <c r="M1447" s="27"/>
      <c r="N1447" s="27" t="s">
        <v>1057</v>
      </c>
      <c r="O1447" s="18"/>
      <c r="P1447" s="214"/>
      <c r="Q1447" s="214"/>
      <c r="S1447" s="27"/>
      <c r="T1447" s="18"/>
      <c r="U1447" s="27"/>
      <c r="W1447" s="30"/>
      <c r="X1447" s="27"/>
      <c r="Y1447" s="27"/>
      <c r="Z1447" s="27"/>
      <c r="AA1447" s="27"/>
      <c r="AB1447" s="27"/>
      <c r="AC1447" s="273">
        <v>884263514.49853373</v>
      </c>
      <c r="AD1447" s="27">
        <v>66730306799.531067</v>
      </c>
      <c r="AE1447" s="228">
        <v>1.3251302997227456E-2</v>
      </c>
      <c r="AF1447" s="27" t="s">
        <v>2842</v>
      </c>
      <c r="AG1447" s="226" t="s">
        <v>2842</v>
      </c>
      <c r="AH1447" s="226">
        <v>0.47448256845889891</v>
      </c>
      <c r="AI1447" s="27">
        <v>463450000</v>
      </c>
      <c r="AJ1447" s="226">
        <v>1.9080019732409834</v>
      </c>
      <c r="AK1447" s="27">
        <v>1713577470.1554301</v>
      </c>
      <c r="AL1447" s="226">
        <v>0.51603357881352552</v>
      </c>
      <c r="AM1447" s="27">
        <v>1891110202.5759907</v>
      </c>
      <c r="AN1447" s="271">
        <v>0.46758962713755509</v>
      </c>
      <c r="AO1447" s="27">
        <v>27403845</v>
      </c>
      <c r="AP1447" s="27">
        <v>58.7</v>
      </c>
      <c r="AQ1447" s="27">
        <v>72.096804878048786</v>
      </c>
      <c r="AR1447" s="27">
        <v>23</v>
      </c>
      <c r="AS1447" s="29">
        <v>99.634069999999994</v>
      </c>
      <c r="AT1447" s="270">
        <v>38</v>
      </c>
      <c r="AU1447" s="464">
        <v>72.816286549781523</v>
      </c>
      <c r="AV1447" s="29">
        <v>-0.14663028957413399</v>
      </c>
      <c r="AW1447" s="29">
        <v>-1.00309654857232</v>
      </c>
      <c r="AX1447" s="29">
        <v>-0.46854602636037601</v>
      </c>
      <c r="AY1447" s="29">
        <v>0.23233413649883</v>
      </c>
      <c r="AZ1447" s="60">
        <v>-0.35116899578167798</v>
      </c>
    </row>
    <row r="1448" spans="1:52" s="29" customFormat="1" ht="15" customHeight="1">
      <c r="A1448" s="63" t="s">
        <v>441</v>
      </c>
      <c r="B1448" s="27">
        <v>2004</v>
      </c>
      <c r="C1448" s="27" t="s">
        <v>442</v>
      </c>
      <c r="D1448" s="69" t="s">
        <v>214</v>
      </c>
      <c r="E1448" s="29" t="s">
        <v>19</v>
      </c>
      <c r="F1448" s="27" t="s">
        <v>1238</v>
      </c>
      <c r="G1448" s="43">
        <v>118970</v>
      </c>
      <c r="H1448" s="43"/>
      <c r="I1448" s="43"/>
      <c r="J1448" s="43"/>
      <c r="K1448" s="27" t="s">
        <v>567</v>
      </c>
      <c r="L1448" s="28"/>
      <c r="M1448" s="27"/>
      <c r="N1448" s="27" t="s">
        <v>1057</v>
      </c>
      <c r="O1448" s="18"/>
      <c r="P1448" s="214"/>
      <c r="Q1448" s="214"/>
      <c r="S1448" s="27"/>
      <c r="T1448" s="18"/>
      <c r="U1448" s="27"/>
      <c r="W1448" s="30"/>
      <c r="X1448" s="27"/>
      <c r="Y1448" s="27"/>
      <c r="Z1448" s="27"/>
      <c r="AA1448" s="27"/>
      <c r="AB1448" s="27"/>
      <c r="AC1448" s="273">
        <v>884263514.49853373</v>
      </c>
      <c r="AD1448" s="27">
        <v>66730306799.531067</v>
      </c>
      <c r="AE1448" s="228">
        <v>1.3251302997227456E-2</v>
      </c>
      <c r="AF1448" s="27" t="s">
        <v>2842</v>
      </c>
      <c r="AG1448" s="226" t="s">
        <v>2842</v>
      </c>
      <c r="AH1448" s="226">
        <v>0.47448256845889891</v>
      </c>
      <c r="AI1448" s="27">
        <v>463450000</v>
      </c>
      <c r="AJ1448" s="226">
        <v>1.9080019732409834</v>
      </c>
      <c r="AK1448" s="27">
        <v>1713577470.1554301</v>
      </c>
      <c r="AL1448" s="226">
        <v>0.51603357881352552</v>
      </c>
      <c r="AM1448" s="27">
        <v>1891110202.5759907</v>
      </c>
      <c r="AN1448" s="271">
        <v>0.46758962713755509</v>
      </c>
      <c r="AO1448" s="27">
        <v>27403845</v>
      </c>
      <c r="AP1448" s="27">
        <v>58.7</v>
      </c>
      <c r="AQ1448" s="27">
        <v>72.096804878048786</v>
      </c>
      <c r="AR1448" s="27">
        <v>23</v>
      </c>
      <c r="AS1448" s="29">
        <v>99.634069999999994</v>
      </c>
      <c r="AT1448" s="270">
        <v>38</v>
      </c>
      <c r="AU1448" s="464">
        <v>72.816286549781523</v>
      </c>
      <c r="AV1448" s="29">
        <v>-0.14663028957413399</v>
      </c>
      <c r="AW1448" s="29">
        <v>-1.00309654857232</v>
      </c>
      <c r="AX1448" s="29">
        <v>-0.46854602636037601</v>
      </c>
      <c r="AY1448" s="29">
        <v>0.23233413649883</v>
      </c>
      <c r="AZ1448" s="60">
        <v>-0.35116899578167798</v>
      </c>
    </row>
    <row r="1449" spans="1:52" s="29" customFormat="1" ht="15" customHeight="1">
      <c r="A1449" s="63" t="s">
        <v>441</v>
      </c>
      <c r="B1449" s="27">
        <v>2004</v>
      </c>
      <c r="C1449" s="27" t="s">
        <v>442</v>
      </c>
      <c r="D1449" s="69" t="s">
        <v>214</v>
      </c>
      <c r="E1449" s="29" t="s">
        <v>19</v>
      </c>
      <c r="F1449" s="27" t="s">
        <v>1326</v>
      </c>
      <c r="G1449" s="43">
        <v>330000</v>
      </c>
      <c r="H1449" s="43"/>
      <c r="I1449" s="43"/>
      <c r="J1449" s="43"/>
      <c r="K1449" s="27" t="s">
        <v>567</v>
      </c>
      <c r="L1449" s="28"/>
      <c r="M1449" s="27"/>
      <c r="N1449" s="27" t="s">
        <v>1057</v>
      </c>
      <c r="O1449" s="18"/>
      <c r="P1449" s="214"/>
      <c r="Q1449" s="214"/>
      <c r="R1449" s="18"/>
      <c r="S1449" s="27"/>
      <c r="T1449" s="18"/>
      <c r="U1449" s="27"/>
      <c r="V1449" s="18"/>
      <c r="W1449" s="30"/>
      <c r="X1449" s="27"/>
      <c r="Y1449" s="27"/>
      <c r="Z1449" s="27"/>
      <c r="AA1449" s="27"/>
      <c r="AB1449" s="27"/>
      <c r="AC1449" s="273">
        <v>884263514.49853373</v>
      </c>
      <c r="AD1449" s="27">
        <v>66730306799.531067</v>
      </c>
      <c r="AE1449" s="228">
        <v>1.3251302997227456E-2</v>
      </c>
      <c r="AF1449" s="27" t="s">
        <v>2842</v>
      </c>
      <c r="AG1449" s="226" t="s">
        <v>2842</v>
      </c>
      <c r="AH1449" s="226">
        <v>0.47448256845889891</v>
      </c>
      <c r="AI1449" s="27">
        <v>463450000</v>
      </c>
      <c r="AJ1449" s="226">
        <v>1.9080019732409834</v>
      </c>
      <c r="AK1449" s="27">
        <v>1713577470.1554301</v>
      </c>
      <c r="AL1449" s="226">
        <v>0.51603357881352552</v>
      </c>
      <c r="AM1449" s="27">
        <v>1891110202.5759907</v>
      </c>
      <c r="AN1449" s="271">
        <v>0.46758962713755509</v>
      </c>
      <c r="AO1449" s="27">
        <v>27403845</v>
      </c>
      <c r="AP1449" s="27">
        <v>58.7</v>
      </c>
      <c r="AQ1449" s="27">
        <v>72.096804878048786</v>
      </c>
      <c r="AR1449" s="27">
        <v>23</v>
      </c>
      <c r="AS1449" s="29">
        <v>99.634069999999994</v>
      </c>
      <c r="AT1449" s="270">
        <v>38</v>
      </c>
      <c r="AU1449" s="464">
        <v>72.816286549781523</v>
      </c>
      <c r="AV1449" s="29">
        <v>-0.14663028957413399</v>
      </c>
      <c r="AW1449" s="29">
        <v>-1.00309654857232</v>
      </c>
      <c r="AX1449" s="29">
        <v>-0.46854602636037601</v>
      </c>
      <c r="AY1449" s="29">
        <v>0.23233413649883</v>
      </c>
      <c r="AZ1449" s="60">
        <v>-0.35116899578167798</v>
      </c>
    </row>
    <row r="1450" spans="1:52" s="29" customFormat="1" ht="15" customHeight="1">
      <c r="A1450" s="63" t="s">
        <v>441</v>
      </c>
      <c r="B1450" s="27">
        <v>2004</v>
      </c>
      <c r="C1450" s="27" t="s">
        <v>442</v>
      </c>
      <c r="D1450" s="69" t="s">
        <v>214</v>
      </c>
      <c r="E1450" s="29" t="s">
        <v>19</v>
      </c>
      <c r="F1450" s="27" t="s">
        <v>1898</v>
      </c>
      <c r="G1450" s="43">
        <v>75660</v>
      </c>
      <c r="H1450" s="43"/>
      <c r="I1450" s="43"/>
      <c r="J1450" s="43"/>
      <c r="K1450" s="27" t="s">
        <v>567</v>
      </c>
      <c r="L1450" s="28">
        <f>24.86/0.000453592</f>
        <v>54806.963085768708</v>
      </c>
      <c r="M1450" s="27" t="s">
        <v>568</v>
      </c>
      <c r="N1450" s="27" t="s">
        <v>1899</v>
      </c>
      <c r="O1450" s="18">
        <f>G1450*L1450</f>
        <v>4146694827.0692606</v>
      </c>
      <c r="P1450" s="214"/>
      <c r="Q1450" s="214"/>
      <c r="R1450" s="18"/>
      <c r="S1450" s="27"/>
      <c r="T1450" s="18"/>
      <c r="U1450" s="27"/>
      <c r="V1450" s="18"/>
      <c r="W1450" s="30"/>
      <c r="X1450" s="27"/>
      <c r="Y1450" s="27"/>
      <c r="Z1450" s="27"/>
      <c r="AA1450" s="27"/>
      <c r="AB1450" s="27"/>
      <c r="AC1450" s="273">
        <v>884263514.49853373</v>
      </c>
      <c r="AD1450" s="27">
        <v>66730306799.531067</v>
      </c>
      <c r="AE1450" s="228">
        <v>1.3251302997227456E-2</v>
      </c>
      <c r="AF1450" s="27" t="s">
        <v>2842</v>
      </c>
      <c r="AG1450" s="226" t="s">
        <v>2842</v>
      </c>
      <c r="AH1450" s="226">
        <v>0.47448256845889891</v>
      </c>
      <c r="AI1450" s="27">
        <v>463450000</v>
      </c>
      <c r="AJ1450" s="226">
        <v>1.9080019732409834</v>
      </c>
      <c r="AK1450" s="27">
        <v>1713577470.1554301</v>
      </c>
      <c r="AL1450" s="226">
        <v>0.51603357881352552</v>
      </c>
      <c r="AM1450" s="27">
        <v>1891110202.5759907</v>
      </c>
      <c r="AN1450" s="271">
        <v>0.46758962713755509</v>
      </c>
      <c r="AO1450" s="27">
        <v>27403845</v>
      </c>
      <c r="AP1450" s="27">
        <v>58.7</v>
      </c>
      <c r="AQ1450" s="27">
        <v>72.096804878048786</v>
      </c>
      <c r="AR1450" s="27">
        <v>23</v>
      </c>
      <c r="AS1450" s="29">
        <v>99.634069999999994</v>
      </c>
      <c r="AT1450" s="270">
        <v>38</v>
      </c>
      <c r="AU1450" s="464">
        <v>72.816286549781523</v>
      </c>
      <c r="AV1450" s="29">
        <v>-0.14663028957413399</v>
      </c>
      <c r="AW1450" s="29">
        <v>-1.00309654857232</v>
      </c>
      <c r="AX1450" s="29">
        <v>-0.46854602636037601</v>
      </c>
      <c r="AY1450" s="29">
        <v>0.23233413649883</v>
      </c>
      <c r="AZ1450" s="60">
        <v>-0.35116899578167798</v>
      </c>
    </row>
    <row r="1451" spans="1:52" s="29" customFormat="1" ht="15" customHeight="1">
      <c r="A1451" s="63" t="s">
        <v>441</v>
      </c>
      <c r="B1451" s="27">
        <v>2004</v>
      </c>
      <c r="C1451" s="27" t="s">
        <v>442</v>
      </c>
      <c r="D1451" s="69" t="s">
        <v>214</v>
      </c>
      <c r="E1451" s="29" t="s">
        <v>19</v>
      </c>
      <c r="F1451" s="27" t="s">
        <v>735</v>
      </c>
      <c r="G1451" s="43">
        <f>3060*32150.7466</f>
        <v>98381284.596000001</v>
      </c>
      <c r="H1451" s="43"/>
      <c r="I1451" s="43"/>
      <c r="J1451" s="43"/>
      <c r="K1451" s="27" t="s">
        <v>731</v>
      </c>
      <c r="L1451" s="28">
        <f>6.65786666667/1</f>
        <v>6.6578666666700004</v>
      </c>
      <c r="M1451" s="27" t="s">
        <v>732</v>
      </c>
      <c r="N1451" s="27" t="s">
        <v>1060</v>
      </c>
      <c r="O1451" s="18">
        <f>G1451*L1451</f>
        <v>655009475.33588314</v>
      </c>
      <c r="P1451" s="214"/>
      <c r="Q1451" s="214"/>
      <c r="R1451" s="18"/>
      <c r="S1451" s="27"/>
      <c r="T1451" s="18"/>
      <c r="V1451" s="18"/>
      <c r="W1451" s="30"/>
      <c r="X1451" s="27">
        <v>16</v>
      </c>
      <c r="Y1451" s="27" t="s">
        <v>1900</v>
      </c>
      <c r="Z1451" s="27">
        <v>16</v>
      </c>
      <c r="AA1451" s="27"/>
      <c r="AB1451" s="27"/>
      <c r="AC1451" s="273">
        <v>884263514.49853373</v>
      </c>
      <c r="AD1451" s="27">
        <v>66730306799.531067</v>
      </c>
      <c r="AE1451" s="228">
        <v>1.3251302997227456E-2</v>
      </c>
      <c r="AF1451" s="27" t="s">
        <v>2842</v>
      </c>
      <c r="AG1451" s="226" t="s">
        <v>2842</v>
      </c>
      <c r="AH1451" s="226">
        <v>0.47448256845889891</v>
      </c>
      <c r="AI1451" s="27">
        <v>463450000</v>
      </c>
      <c r="AJ1451" s="226">
        <v>1.9080019732409834</v>
      </c>
      <c r="AK1451" s="27">
        <v>1713577470.1554301</v>
      </c>
      <c r="AL1451" s="226">
        <v>0.51603357881352552</v>
      </c>
      <c r="AM1451" s="27">
        <v>1891110202.5759907</v>
      </c>
      <c r="AN1451" s="271">
        <v>0.46758962713755509</v>
      </c>
      <c r="AO1451" s="27">
        <v>27403845</v>
      </c>
      <c r="AP1451" s="27">
        <v>58.7</v>
      </c>
      <c r="AQ1451" s="27">
        <v>72.096804878048786</v>
      </c>
      <c r="AR1451" s="27">
        <v>23</v>
      </c>
      <c r="AS1451" s="29">
        <v>99.634069999999994</v>
      </c>
      <c r="AT1451" s="270">
        <v>38</v>
      </c>
      <c r="AU1451" s="464">
        <v>72.816286549781523</v>
      </c>
      <c r="AV1451" s="29">
        <v>-0.14663028957413399</v>
      </c>
      <c r="AW1451" s="29">
        <v>-1.00309654857232</v>
      </c>
      <c r="AX1451" s="29">
        <v>-0.46854602636037601</v>
      </c>
      <c r="AY1451" s="29">
        <v>0.23233413649883</v>
      </c>
      <c r="AZ1451" s="60">
        <v>-0.35116899578167798</v>
      </c>
    </row>
    <row r="1452" spans="1:52" s="29" customFormat="1" ht="15" customHeight="1">
      <c r="A1452" s="63" t="s">
        <v>441</v>
      </c>
      <c r="B1452" s="27">
        <v>2004</v>
      </c>
      <c r="C1452" s="27" t="s">
        <v>442</v>
      </c>
      <c r="D1452" s="69" t="s">
        <v>214</v>
      </c>
      <c r="E1452" s="29" t="s">
        <v>19</v>
      </c>
      <c r="F1452" s="27" t="s">
        <v>1901</v>
      </c>
      <c r="G1452" s="43">
        <v>100</v>
      </c>
      <c r="H1452" s="43"/>
      <c r="I1452" s="43"/>
      <c r="J1452" s="43"/>
      <c r="K1452" s="27" t="s">
        <v>567</v>
      </c>
      <c r="L1452" s="28"/>
      <c r="M1452" s="27"/>
      <c r="N1452" s="27" t="s">
        <v>1057</v>
      </c>
      <c r="O1452" s="18"/>
      <c r="P1452" s="214"/>
      <c r="Q1452" s="214"/>
      <c r="R1452" s="18"/>
      <c r="S1452" s="27"/>
      <c r="T1452" s="18"/>
      <c r="V1452" s="18"/>
      <c r="W1452" s="30"/>
      <c r="X1452" s="27"/>
      <c r="Y1452" s="27"/>
      <c r="Z1452" s="27"/>
      <c r="AA1452" s="27"/>
      <c r="AB1452" s="27"/>
      <c r="AC1452" s="273">
        <v>884263514.49853373</v>
      </c>
      <c r="AD1452" s="27">
        <v>66730306799.531067</v>
      </c>
      <c r="AE1452" s="228">
        <v>1.3251302997227456E-2</v>
      </c>
      <c r="AF1452" s="27" t="s">
        <v>2842</v>
      </c>
      <c r="AG1452" s="226" t="s">
        <v>2842</v>
      </c>
      <c r="AH1452" s="226">
        <v>0.47448256845889891</v>
      </c>
      <c r="AI1452" s="27">
        <v>463450000</v>
      </c>
      <c r="AJ1452" s="226">
        <v>1.9080019732409834</v>
      </c>
      <c r="AK1452" s="27">
        <v>1713577470.1554301</v>
      </c>
      <c r="AL1452" s="226">
        <v>0.51603357881352552</v>
      </c>
      <c r="AM1452" s="27">
        <v>1891110202.5759907</v>
      </c>
      <c r="AN1452" s="271">
        <v>0.46758962713755509</v>
      </c>
      <c r="AO1452" s="27">
        <v>27403845</v>
      </c>
      <c r="AP1452" s="27">
        <v>58.7</v>
      </c>
      <c r="AQ1452" s="27">
        <v>72.096804878048786</v>
      </c>
      <c r="AR1452" s="27">
        <v>23</v>
      </c>
      <c r="AS1452" s="29">
        <v>99.634069999999994</v>
      </c>
      <c r="AT1452" s="270">
        <v>38</v>
      </c>
      <c r="AU1452" s="464">
        <v>72.816286549781523</v>
      </c>
      <c r="AV1452" s="29">
        <v>-0.14663028957413399</v>
      </c>
      <c r="AW1452" s="29">
        <v>-1.00309654857232</v>
      </c>
      <c r="AX1452" s="29">
        <v>-0.46854602636037601</v>
      </c>
      <c r="AY1452" s="29">
        <v>0.23233413649883</v>
      </c>
      <c r="AZ1452" s="60">
        <v>-0.35116899578167798</v>
      </c>
    </row>
    <row r="1453" spans="1:52" s="29" customFormat="1" ht="15" customHeight="1">
      <c r="A1453" s="63" t="s">
        <v>441</v>
      </c>
      <c r="B1453" s="27">
        <v>2004</v>
      </c>
      <c r="C1453" s="27" t="s">
        <v>442</v>
      </c>
      <c r="D1453" s="69" t="s">
        <v>214</v>
      </c>
      <c r="E1453" s="29" t="s">
        <v>19</v>
      </c>
      <c r="F1453" s="27" t="s">
        <v>1902</v>
      </c>
      <c r="G1453" s="43">
        <v>623000</v>
      </c>
      <c r="H1453" s="43"/>
      <c r="I1453" s="43"/>
      <c r="J1453" s="43"/>
      <c r="K1453" s="27" t="s">
        <v>567</v>
      </c>
      <c r="L1453" s="28"/>
      <c r="M1453" s="27"/>
      <c r="N1453" s="27" t="s">
        <v>1057</v>
      </c>
      <c r="O1453" s="18"/>
      <c r="P1453" s="214"/>
      <c r="Q1453" s="214"/>
      <c r="R1453" s="18"/>
      <c r="S1453" s="27"/>
      <c r="T1453" s="18"/>
      <c r="V1453" s="18"/>
      <c r="W1453" s="30"/>
      <c r="X1453" s="27"/>
      <c r="Y1453" s="27"/>
      <c r="Z1453" s="27"/>
      <c r="AA1453" s="27"/>
      <c r="AB1453" s="27"/>
      <c r="AC1453" s="273">
        <v>884263514.49853373</v>
      </c>
      <c r="AD1453" s="27">
        <v>66730306799.531067</v>
      </c>
      <c r="AE1453" s="228">
        <v>1.3251302997227456E-2</v>
      </c>
      <c r="AF1453" s="27" t="s">
        <v>2842</v>
      </c>
      <c r="AG1453" s="226" t="s">
        <v>2842</v>
      </c>
      <c r="AH1453" s="226">
        <v>0.47448256845889891</v>
      </c>
      <c r="AI1453" s="27">
        <v>463450000</v>
      </c>
      <c r="AJ1453" s="226">
        <v>1.9080019732409834</v>
      </c>
      <c r="AK1453" s="27">
        <v>1713577470.1554301</v>
      </c>
      <c r="AL1453" s="226">
        <v>0.51603357881352552</v>
      </c>
      <c r="AM1453" s="27">
        <v>1891110202.5759907</v>
      </c>
      <c r="AN1453" s="271">
        <v>0.46758962713755509</v>
      </c>
      <c r="AO1453" s="27">
        <v>27403845</v>
      </c>
      <c r="AP1453" s="27">
        <v>58.7</v>
      </c>
      <c r="AQ1453" s="27">
        <v>72.096804878048786</v>
      </c>
      <c r="AR1453" s="27">
        <v>23</v>
      </c>
      <c r="AS1453" s="29">
        <v>99.634069999999994</v>
      </c>
      <c r="AT1453" s="270">
        <v>38</v>
      </c>
      <c r="AU1453" s="464">
        <v>72.816286549781523</v>
      </c>
      <c r="AV1453" s="29">
        <v>-0.14663028957413399</v>
      </c>
      <c r="AW1453" s="29">
        <v>-1.00309654857232</v>
      </c>
      <c r="AX1453" s="29">
        <v>-0.46854602636037601</v>
      </c>
      <c r="AY1453" s="29">
        <v>0.23233413649883</v>
      </c>
      <c r="AZ1453" s="60">
        <v>-0.35116899578167798</v>
      </c>
    </row>
    <row r="1454" spans="1:52" s="29" customFormat="1" ht="15" customHeight="1">
      <c r="A1454" s="63" t="s">
        <v>441</v>
      </c>
      <c r="B1454" s="27">
        <v>2004</v>
      </c>
      <c r="C1454" s="27" t="s">
        <v>442</v>
      </c>
      <c r="D1454" s="69" t="s">
        <v>214</v>
      </c>
      <c r="E1454" s="29" t="s">
        <v>19</v>
      </c>
      <c r="F1454" s="27" t="s">
        <v>1903</v>
      </c>
      <c r="G1454" s="43">
        <v>25000</v>
      </c>
      <c r="H1454" s="43"/>
      <c r="I1454" s="43"/>
      <c r="J1454" s="43"/>
      <c r="K1454" s="27" t="s">
        <v>567</v>
      </c>
      <c r="L1454" s="28">
        <v>13000</v>
      </c>
      <c r="M1454" s="27" t="s">
        <v>568</v>
      </c>
      <c r="N1454" s="27" t="s">
        <v>1904</v>
      </c>
      <c r="O1454" s="18">
        <f>G1454*L1454</f>
        <v>325000000</v>
      </c>
      <c r="P1454" s="214"/>
      <c r="Q1454" s="214"/>
      <c r="R1454" s="18"/>
      <c r="S1454" s="27"/>
      <c r="T1454" s="18"/>
      <c r="V1454" s="18"/>
      <c r="W1454" s="30"/>
      <c r="X1454" s="27"/>
      <c r="Y1454" s="27"/>
      <c r="Z1454" s="27"/>
      <c r="AA1454" s="27"/>
      <c r="AB1454" s="27"/>
      <c r="AC1454" s="273">
        <v>884263514.49853373</v>
      </c>
      <c r="AD1454" s="27">
        <v>66730306799.531067</v>
      </c>
      <c r="AE1454" s="228">
        <v>1.3251302997227456E-2</v>
      </c>
      <c r="AF1454" s="27" t="s">
        <v>2842</v>
      </c>
      <c r="AG1454" s="226" t="s">
        <v>2842</v>
      </c>
      <c r="AH1454" s="226">
        <v>0.47448256845889891</v>
      </c>
      <c r="AI1454" s="27">
        <v>463450000</v>
      </c>
      <c r="AJ1454" s="226">
        <v>1.9080019732409834</v>
      </c>
      <c r="AK1454" s="27">
        <v>1713577470.1554301</v>
      </c>
      <c r="AL1454" s="226">
        <v>0.51603357881352552</v>
      </c>
      <c r="AM1454" s="27">
        <v>1891110202.5759907</v>
      </c>
      <c r="AN1454" s="271">
        <v>0.46758962713755509</v>
      </c>
      <c r="AO1454" s="27">
        <v>27403845</v>
      </c>
      <c r="AP1454" s="27">
        <v>58.7</v>
      </c>
      <c r="AQ1454" s="27">
        <v>72.096804878048786</v>
      </c>
      <c r="AR1454" s="27">
        <v>23</v>
      </c>
      <c r="AS1454" s="29">
        <v>99.634069999999994</v>
      </c>
      <c r="AT1454" s="270">
        <v>38</v>
      </c>
      <c r="AU1454" s="464">
        <v>72.816286549781523</v>
      </c>
      <c r="AV1454" s="29">
        <v>-0.14663028957413399</v>
      </c>
      <c r="AW1454" s="29">
        <v>-1.00309654857232</v>
      </c>
      <c r="AX1454" s="29">
        <v>-0.46854602636037601</v>
      </c>
      <c r="AY1454" s="29">
        <v>0.23233413649883</v>
      </c>
      <c r="AZ1454" s="60">
        <v>-0.35116899578167798</v>
      </c>
    </row>
    <row r="1455" spans="1:52" s="29" customFormat="1" ht="15" customHeight="1">
      <c r="A1455" s="63" t="s">
        <v>441</v>
      </c>
      <c r="B1455" s="27">
        <v>2004</v>
      </c>
      <c r="C1455" s="27" t="s">
        <v>442</v>
      </c>
      <c r="D1455" s="69" t="s">
        <v>214</v>
      </c>
      <c r="E1455" s="29" t="s">
        <v>19</v>
      </c>
      <c r="F1455" s="27" t="s">
        <v>1234</v>
      </c>
      <c r="G1455" s="43"/>
      <c r="H1455" s="43"/>
      <c r="I1455" s="43"/>
      <c r="J1455" s="43"/>
      <c r="K1455" s="27"/>
      <c r="L1455" s="44">
        <f>8512.73341666667</f>
        <v>8512.7334166666697</v>
      </c>
      <c r="M1455" s="27" t="s">
        <v>568</v>
      </c>
      <c r="N1455" s="27" t="s">
        <v>1235</v>
      </c>
      <c r="O1455" s="18">
        <f>G1457*L1455</f>
        <v>345821282.31866682</v>
      </c>
      <c r="P1455" s="214"/>
      <c r="Q1455" s="214"/>
      <c r="R1455" s="71"/>
      <c r="S1455" s="27"/>
      <c r="T1455" s="18"/>
      <c r="W1455" s="30"/>
      <c r="X1455" s="27">
        <v>1</v>
      </c>
      <c r="Y1455" s="27" t="s">
        <v>1905</v>
      </c>
      <c r="Z1455" s="27">
        <v>1</v>
      </c>
      <c r="AA1455" s="27"/>
      <c r="AB1455" s="27"/>
      <c r="AC1455" s="273">
        <v>884263514.49853373</v>
      </c>
      <c r="AD1455" s="27">
        <v>66730306799.531067</v>
      </c>
      <c r="AE1455" s="228">
        <v>1.3251302997227456E-2</v>
      </c>
      <c r="AF1455" s="27" t="s">
        <v>2842</v>
      </c>
      <c r="AG1455" s="226" t="s">
        <v>2842</v>
      </c>
      <c r="AH1455" s="226">
        <v>0.47448256845889891</v>
      </c>
      <c r="AI1455" s="27">
        <v>463450000</v>
      </c>
      <c r="AJ1455" s="226">
        <v>1.9080019732409834</v>
      </c>
      <c r="AK1455" s="27">
        <v>1713577470.1554301</v>
      </c>
      <c r="AL1455" s="226">
        <v>0.51603357881352552</v>
      </c>
      <c r="AM1455" s="27">
        <v>1891110202.5759907</v>
      </c>
      <c r="AN1455" s="271">
        <v>0.46758962713755509</v>
      </c>
      <c r="AO1455" s="27">
        <v>27403845</v>
      </c>
      <c r="AP1455" s="27">
        <v>58.7</v>
      </c>
      <c r="AQ1455" s="27">
        <v>72.096804878048786</v>
      </c>
      <c r="AR1455" s="27">
        <v>23</v>
      </c>
      <c r="AS1455" s="29">
        <v>99.634069999999994</v>
      </c>
      <c r="AT1455" s="270">
        <v>38</v>
      </c>
      <c r="AU1455" s="464">
        <v>72.816286549781523</v>
      </c>
      <c r="AV1455" s="29">
        <v>-0.14663028957413399</v>
      </c>
      <c r="AW1455" s="29">
        <v>-1.00309654857232</v>
      </c>
      <c r="AX1455" s="29">
        <v>-0.46854602636037601</v>
      </c>
      <c r="AY1455" s="29">
        <v>0.23233413649883</v>
      </c>
      <c r="AZ1455" s="60">
        <v>-0.35116899578167798</v>
      </c>
    </row>
    <row r="1456" spans="1:52" s="29" customFormat="1" ht="15" customHeight="1">
      <c r="A1456" s="63" t="s">
        <v>441</v>
      </c>
      <c r="B1456" s="27">
        <v>2004</v>
      </c>
      <c r="C1456" s="27" t="s">
        <v>442</v>
      </c>
      <c r="D1456" s="69" t="s">
        <v>214</v>
      </c>
      <c r="E1456" s="29" t="s">
        <v>19</v>
      </c>
      <c r="F1456" s="27" t="s">
        <v>1906</v>
      </c>
      <c r="G1456" s="43">
        <v>41613</v>
      </c>
      <c r="H1456" s="43"/>
      <c r="I1456" s="43"/>
      <c r="J1456" s="43"/>
      <c r="K1456" s="27" t="s">
        <v>567</v>
      </c>
      <c r="L1456" s="28"/>
      <c r="M1456" s="27"/>
      <c r="N1456" s="27" t="s">
        <v>1057</v>
      </c>
      <c r="O1456" s="18"/>
      <c r="P1456" s="214"/>
      <c r="Q1456" s="214"/>
      <c r="S1456" s="27"/>
      <c r="T1456" s="18"/>
      <c r="U1456" s="27"/>
      <c r="W1456" s="30"/>
      <c r="X1456" s="27"/>
      <c r="Y1456" s="27"/>
      <c r="Z1456" s="27"/>
      <c r="AA1456" s="27"/>
      <c r="AB1456" s="27"/>
      <c r="AC1456" s="273">
        <v>884263514.49853373</v>
      </c>
      <c r="AD1456" s="27">
        <v>66730306799.531067</v>
      </c>
      <c r="AE1456" s="228">
        <v>1.3251302997227456E-2</v>
      </c>
      <c r="AF1456" s="27" t="s">
        <v>2842</v>
      </c>
      <c r="AG1456" s="226" t="s">
        <v>2842</v>
      </c>
      <c r="AH1456" s="226">
        <v>0.47448256845889891</v>
      </c>
      <c r="AI1456" s="27">
        <v>463450000</v>
      </c>
      <c r="AJ1456" s="226">
        <v>1.9080019732409834</v>
      </c>
      <c r="AK1456" s="27">
        <v>1713577470.1554301</v>
      </c>
      <c r="AL1456" s="226">
        <v>0.51603357881352552</v>
      </c>
      <c r="AM1456" s="27">
        <v>1891110202.5759907</v>
      </c>
      <c r="AN1456" s="271">
        <v>0.46758962713755509</v>
      </c>
      <c r="AO1456" s="27">
        <v>27403845</v>
      </c>
      <c r="AP1456" s="27">
        <v>58.7</v>
      </c>
      <c r="AQ1456" s="27">
        <v>72.096804878048786</v>
      </c>
      <c r="AR1456" s="27">
        <v>23</v>
      </c>
      <c r="AS1456" s="29">
        <v>99.634069999999994</v>
      </c>
      <c r="AT1456" s="270">
        <v>38</v>
      </c>
      <c r="AU1456" s="464">
        <v>72.816286549781523</v>
      </c>
      <c r="AV1456" s="29">
        <v>-0.14663028957413399</v>
      </c>
      <c r="AW1456" s="29">
        <v>-1.00309654857232</v>
      </c>
      <c r="AX1456" s="29">
        <v>-0.46854602636037601</v>
      </c>
      <c r="AY1456" s="29">
        <v>0.23233413649883</v>
      </c>
      <c r="AZ1456" s="60">
        <v>-0.35116899578167798</v>
      </c>
    </row>
    <row r="1457" spans="1:52" s="29" customFormat="1" ht="15" customHeight="1">
      <c r="A1457" s="63" t="s">
        <v>441</v>
      </c>
      <c r="B1457" s="27">
        <v>2004</v>
      </c>
      <c r="C1457" s="27" t="s">
        <v>442</v>
      </c>
      <c r="D1457" s="69" t="s">
        <v>214</v>
      </c>
      <c r="E1457" s="29" t="s">
        <v>19</v>
      </c>
      <c r="F1457" s="27" t="s">
        <v>1238</v>
      </c>
      <c r="G1457" s="43">
        <v>40624</v>
      </c>
      <c r="H1457" s="43"/>
      <c r="I1457" s="43"/>
      <c r="J1457" s="43"/>
      <c r="K1457" s="27" t="s">
        <v>567</v>
      </c>
      <c r="L1457" s="28"/>
      <c r="M1457" s="27"/>
      <c r="N1457" s="27" t="s">
        <v>1057</v>
      </c>
      <c r="O1457" s="18"/>
      <c r="P1457" s="214"/>
      <c r="Q1457" s="214"/>
      <c r="S1457" s="27"/>
      <c r="T1457" s="18"/>
      <c r="U1457" s="27"/>
      <c r="W1457" s="30"/>
      <c r="X1457" s="27"/>
      <c r="Y1457" s="27"/>
      <c r="Z1457" s="27"/>
      <c r="AA1457" s="27"/>
      <c r="AB1457" s="27"/>
      <c r="AC1457" s="273">
        <v>884263514.49853373</v>
      </c>
      <c r="AD1457" s="27">
        <v>66730306799.531067</v>
      </c>
      <c r="AE1457" s="228">
        <v>1.3251302997227456E-2</v>
      </c>
      <c r="AF1457" s="27" t="s">
        <v>2842</v>
      </c>
      <c r="AG1457" s="226" t="s">
        <v>2842</v>
      </c>
      <c r="AH1457" s="226">
        <v>0.47448256845889891</v>
      </c>
      <c r="AI1457" s="27">
        <v>463450000</v>
      </c>
      <c r="AJ1457" s="226">
        <v>1.9080019732409834</v>
      </c>
      <c r="AK1457" s="27">
        <v>1713577470.1554301</v>
      </c>
      <c r="AL1457" s="226">
        <v>0.51603357881352552</v>
      </c>
      <c r="AM1457" s="27">
        <v>1891110202.5759907</v>
      </c>
      <c r="AN1457" s="271">
        <v>0.46758962713755509</v>
      </c>
      <c r="AO1457" s="27">
        <v>27403845</v>
      </c>
      <c r="AP1457" s="27">
        <v>58.7</v>
      </c>
      <c r="AQ1457" s="27">
        <v>72.096804878048786</v>
      </c>
      <c r="AR1457" s="27">
        <v>23</v>
      </c>
      <c r="AS1457" s="29">
        <v>99.634069999999994</v>
      </c>
      <c r="AT1457" s="270">
        <v>38</v>
      </c>
      <c r="AU1457" s="464">
        <v>72.816286549781523</v>
      </c>
      <c r="AV1457" s="29">
        <v>-0.14663028957413399</v>
      </c>
      <c r="AW1457" s="29">
        <v>-1.00309654857232</v>
      </c>
      <c r="AX1457" s="29">
        <v>-0.46854602636037601</v>
      </c>
      <c r="AY1457" s="29">
        <v>0.23233413649883</v>
      </c>
      <c r="AZ1457" s="60">
        <v>-0.35116899578167798</v>
      </c>
    </row>
    <row r="1458" spans="1:52" s="29" customFormat="1" ht="15" customHeight="1">
      <c r="A1458" s="63" t="s">
        <v>441</v>
      </c>
      <c r="B1458" s="27">
        <v>2004</v>
      </c>
      <c r="C1458" s="27" t="s">
        <v>442</v>
      </c>
      <c r="D1458" s="69" t="s">
        <v>214</v>
      </c>
      <c r="E1458" s="29" t="s">
        <v>19</v>
      </c>
      <c r="F1458" s="27" t="s">
        <v>790</v>
      </c>
      <c r="G1458" s="43"/>
      <c r="H1458" s="43"/>
      <c r="I1458" s="43"/>
      <c r="J1458" s="43"/>
      <c r="K1458" s="27"/>
      <c r="L1458" s="44">
        <f>1047.75325</f>
        <v>1047.75325</v>
      </c>
      <c r="M1458" s="27" t="s">
        <v>568</v>
      </c>
      <c r="N1458" s="27" t="s">
        <v>1907</v>
      </c>
      <c r="O1458" s="18">
        <f>G1460*L1458</f>
        <v>205036928.99899998</v>
      </c>
      <c r="P1458" s="214"/>
      <c r="Q1458" s="214"/>
      <c r="R1458" s="18"/>
      <c r="S1458" s="27"/>
      <c r="T1458" s="18"/>
      <c r="V1458" s="18"/>
      <c r="W1458" s="30"/>
      <c r="X1458" s="27">
        <v>10</v>
      </c>
      <c r="Y1458" s="27" t="s">
        <v>1908</v>
      </c>
      <c r="Z1458" s="27">
        <v>10</v>
      </c>
      <c r="AA1458" s="27"/>
      <c r="AB1458" s="27"/>
      <c r="AC1458" s="273">
        <v>884263514.49853373</v>
      </c>
      <c r="AD1458" s="27">
        <v>66730306799.531067</v>
      </c>
      <c r="AE1458" s="228">
        <v>1.3251302997227456E-2</v>
      </c>
      <c r="AF1458" s="27" t="s">
        <v>2842</v>
      </c>
      <c r="AG1458" s="226" t="s">
        <v>2842</v>
      </c>
      <c r="AH1458" s="226">
        <v>0.47448256845889891</v>
      </c>
      <c r="AI1458" s="27">
        <v>463450000</v>
      </c>
      <c r="AJ1458" s="226">
        <v>1.9080019732409834</v>
      </c>
      <c r="AK1458" s="27">
        <v>1713577470.1554301</v>
      </c>
      <c r="AL1458" s="226">
        <v>0.51603357881352552</v>
      </c>
      <c r="AM1458" s="27">
        <v>1891110202.5759907</v>
      </c>
      <c r="AN1458" s="271">
        <v>0.46758962713755509</v>
      </c>
      <c r="AO1458" s="27">
        <v>27403845</v>
      </c>
      <c r="AP1458" s="27">
        <v>58.7</v>
      </c>
      <c r="AQ1458" s="27">
        <v>72.096804878048786</v>
      </c>
      <c r="AR1458" s="27">
        <v>23</v>
      </c>
      <c r="AS1458" s="29">
        <v>99.634069999999994</v>
      </c>
      <c r="AT1458" s="270">
        <v>38</v>
      </c>
      <c r="AU1458" s="464">
        <v>72.816286549781523</v>
      </c>
      <c r="AV1458" s="29">
        <v>-0.14663028957413399</v>
      </c>
      <c r="AW1458" s="29">
        <v>-1.00309654857232</v>
      </c>
      <c r="AX1458" s="29">
        <v>-0.46854602636037601</v>
      </c>
      <c r="AY1458" s="29">
        <v>0.23233413649883</v>
      </c>
      <c r="AZ1458" s="60">
        <v>-0.35116899578167798</v>
      </c>
    </row>
    <row r="1459" spans="1:52" s="29" customFormat="1" ht="15" customHeight="1">
      <c r="A1459" s="63" t="s">
        <v>441</v>
      </c>
      <c r="B1459" s="27">
        <v>2004</v>
      </c>
      <c r="C1459" s="27" t="s">
        <v>442</v>
      </c>
      <c r="D1459" s="69" t="s">
        <v>214</v>
      </c>
      <c r="E1459" s="29" t="s">
        <v>19</v>
      </c>
      <c r="F1459" s="27" t="s">
        <v>1909</v>
      </c>
      <c r="G1459" s="43">
        <v>1209006</v>
      </c>
      <c r="H1459" s="43"/>
      <c r="I1459" s="43"/>
      <c r="J1459" s="43"/>
      <c r="K1459" s="27" t="s">
        <v>567</v>
      </c>
      <c r="L1459" s="28"/>
      <c r="M1459" s="27"/>
      <c r="N1459" s="27" t="s">
        <v>1057</v>
      </c>
      <c r="O1459" s="18"/>
      <c r="P1459" s="214"/>
      <c r="Q1459" s="214"/>
      <c r="S1459" s="27"/>
      <c r="T1459" s="18"/>
      <c r="U1459" s="27"/>
      <c r="W1459" s="30"/>
      <c r="X1459" s="27"/>
      <c r="Y1459" s="27"/>
      <c r="Z1459" s="27"/>
      <c r="AA1459" s="27"/>
      <c r="AB1459" s="27"/>
      <c r="AC1459" s="273">
        <v>884263514.49853373</v>
      </c>
      <c r="AD1459" s="27">
        <v>66730306799.531067</v>
      </c>
      <c r="AE1459" s="228">
        <v>1.3251302997227456E-2</v>
      </c>
      <c r="AF1459" s="27" t="s">
        <v>2842</v>
      </c>
      <c r="AG1459" s="226" t="s">
        <v>2842</v>
      </c>
      <c r="AH1459" s="226">
        <v>0.47448256845889891</v>
      </c>
      <c r="AI1459" s="27">
        <v>463450000</v>
      </c>
      <c r="AJ1459" s="226">
        <v>1.9080019732409834</v>
      </c>
      <c r="AK1459" s="27">
        <v>1713577470.1554301</v>
      </c>
      <c r="AL1459" s="226">
        <v>0.51603357881352552</v>
      </c>
      <c r="AM1459" s="27">
        <v>1891110202.5759907</v>
      </c>
      <c r="AN1459" s="271">
        <v>0.46758962713755509</v>
      </c>
      <c r="AO1459" s="27">
        <v>27403845</v>
      </c>
      <c r="AP1459" s="27">
        <v>58.7</v>
      </c>
      <c r="AQ1459" s="27">
        <v>72.096804878048786</v>
      </c>
      <c r="AR1459" s="27">
        <v>23</v>
      </c>
      <c r="AS1459" s="29">
        <v>99.634069999999994</v>
      </c>
      <c r="AT1459" s="270">
        <v>38</v>
      </c>
      <c r="AU1459" s="464">
        <v>72.816286549781523</v>
      </c>
      <c r="AV1459" s="29">
        <v>-0.14663028957413399</v>
      </c>
      <c r="AW1459" s="29">
        <v>-1.00309654857232</v>
      </c>
      <c r="AX1459" s="29">
        <v>-0.46854602636037601</v>
      </c>
      <c r="AY1459" s="29">
        <v>0.23233413649883</v>
      </c>
      <c r="AZ1459" s="60">
        <v>-0.35116899578167798</v>
      </c>
    </row>
    <row r="1460" spans="1:52" s="287" customFormat="1" ht="15" customHeight="1">
      <c r="A1460" s="359" t="s">
        <v>441</v>
      </c>
      <c r="B1460" s="284">
        <v>2004</v>
      </c>
      <c r="C1460" s="284" t="s">
        <v>442</v>
      </c>
      <c r="D1460" s="369" t="s">
        <v>214</v>
      </c>
      <c r="E1460" s="287" t="s">
        <v>19</v>
      </c>
      <c r="F1460" s="284" t="s">
        <v>1238</v>
      </c>
      <c r="G1460" s="303">
        <v>195692</v>
      </c>
      <c r="H1460" s="303"/>
      <c r="I1460" s="303"/>
      <c r="J1460" s="303"/>
      <c r="K1460" s="284" t="s">
        <v>567</v>
      </c>
      <c r="L1460" s="304"/>
      <c r="M1460" s="284"/>
      <c r="N1460" s="284" t="s">
        <v>1057</v>
      </c>
      <c r="O1460" s="305"/>
      <c r="P1460" s="346"/>
      <c r="Q1460" s="346"/>
      <c r="S1460" s="284"/>
      <c r="T1460" s="305"/>
      <c r="U1460" s="284"/>
      <c r="W1460" s="307"/>
      <c r="X1460" s="284"/>
      <c r="Y1460" s="284"/>
      <c r="Z1460" s="284"/>
      <c r="AA1460" s="284"/>
      <c r="AB1460" s="284"/>
      <c r="AC1460" s="308">
        <v>884263514.49853373</v>
      </c>
      <c r="AD1460" s="284">
        <v>66730306799.531067</v>
      </c>
      <c r="AE1460" s="309">
        <v>1.3251302997227456E-2</v>
      </c>
      <c r="AF1460" s="284" t="s">
        <v>2842</v>
      </c>
      <c r="AG1460" s="310" t="s">
        <v>2842</v>
      </c>
      <c r="AH1460" s="310">
        <v>0.47448256845889891</v>
      </c>
      <c r="AI1460" s="284">
        <v>463450000</v>
      </c>
      <c r="AJ1460" s="310">
        <v>1.9080019732409834</v>
      </c>
      <c r="AK1460" s="284">
        <v>1713577470.1554301</v>
      </c>
      <c r="AL1460" s="310">
        <v>0.51603357881352552</v>
      </c>
      <c r="AM1460" s="284">
        <v>1891110202.5759907</v>
      </c>
      <c r="AN1460" s="311">
        <v>0.46758962713755509</v>
      </c>
      <c r="AO1460" s="284">
        <v>27403845</v>
      </c>
      <c r="AP1460" s="284">
        <v>58.7</v>
      </c>
      <c r="AQ1460" s="284">
        <v>72.096804878048786</v>
      </c>
      <c r="AR1460" s="284">
        <v>23</v>
      </c>
      <c r="AS1460" s="287">
        <v>99.634069999999994</v>
      </c>
      <c r="AT1460" s="312">
        <v>38</v>
      </c>
      <c r="AU1460" s="465">
        <v>72.816286549781523</v>
      </c>
      <c r="AV1460" s="287">
        <v>-0.14663028957413399</v>
      </c>
      <c r="AW1460" s="287">
        <v>-1.00309654857232</v>
      </c>
      <c r="AX1460" s="287">
        <v>-0.46854602636037601</v>
      </c>
      <c r="AY1460" s="287">
        <v>0.23233413649883</v>
      </c>
      <c r="AZ1460" s="313">
        <v>-0.35116899578167798</v>
      </c>
    </row>
    <row r="1461" spans="1:52" ht="15" customHeight="1">
      <c r="A1461" s="347" t="s">
        <v>444</v>
      </c>
      <c r="B1461" s="27">
        <v>2005</v>
      </c>
      <c r="C1461" s="27" t="s">
        <v>442</v>
      </c>
      <c r="D1461" s="69" t="s">
        <v>214</v>
      </c>
      <c r="E1461" s="27" t="s">
        <v>30</v>
      </c>
      <c r="F1461" s="27" t="s">
        <v>659</v>
      </c>
      <c r="G1461" s="43"/>
      <c r="H1461" s="43"/>
      <c r="I1461" s="43"/>
      <c r="J1461" s="43"/>
      <c r="K1461" s="27"/>
      <c r="L1461" s="28"/>
      <c r="M1461" s="27"/>
      <c r="N1461" s="27"/>
      <c r="O1461" s="18">
        <f>O1462+O1465</f>
        <v>21170972454.372276</v>
      </c>
      <c r="P1461" s="214">
        <v>1756747244.267477</v>
      </c>
      <c r="Q1461" s="214">
        <v>1755425838.3039513</v>
      </c>
      <c r="R1461" s="27" t="s">
        <v>619</v>
      </c>
      <c r="S1461" s="27"/>
      <c r="T1461" s="18"/>
      <c r="U1461" s="27" t="s">
        <v>1879</v>
      </c>
      <c r="V1461" s="27" t="s">
        <v>1880</v>
      </c>
      <c r="W1461" s="30">
        <v>3.29</v>
      </c>
      <c r="X1461" s="27">
        <v>33</v>
      </c>
      <c r="Y1461" s="27" t="s">
        <v>1881</v>
      </c>
      <c r="Z1461" s="27">
        <v>33</v>
      </c>
      <c r="AA1461" s="27" t="s">
        <v>1882</v>
      </c>
      <c r="AB1461" s="27" t="s">
        <v>1910</v>
      </c>
      <c r="AC1461" s="273">
        <v>1756747244.267477</v>
      </c>
      <c r="AD1461" s="27">
        <v>74963815412.621368</v>
      </c>
      <c r="AE1461" s="228">
        <v>2.3434602876039049E-2</v>
      </c>
      <c r="AF1461" s="27">
        <v>13895292824.883497</v>
      </c>
      <c r="AG1461" s="226">
        <v>0.12642750796309368</v>
      </c>
      <c r="AH1461" s="226">
        <v>0.53078781087794979</v>
      </c>
      <c r="AI1461" s="27">
        <v>450480000</v>
      </c>
      <c r="AJ1461" s="226">
        <v>3.8997230604410342</v>
      </c>
      <c r="AK1461" s="27">
        <v>1986629106.2530906</v>
      </c>
      <c r="AL1461" s="226">
        <v>0.88428546563521082</v>
      </c>
      <c r="AM1461" s="27">
        <v>2039555518.694272</v>
      </c>
      <c r="AN1461" s="271">
        <v>0.86133828089766862</v>
      </c>
      <c r="AO1461" s="27">
        <v>27723281</v>
      </c>
      <c r="AP1461" s="27">
        <v>55.6</v>
      </c>
      <c r="AQ1461" s="27">
        <v>72.418609756097567</v>
      </c>
      <c r="AR1461" s="27">
        <v>21.5</v>
      </c>
      <c r="AS1461" s="29">
        <v>99.638220000000004</v>
      </c>
      <c r="AT1461" s="270">
        <v>38</v>
      </c>
      <c r="AU1461" s="464">
        <v>72.816286549781523</v>
      </c>
      <c r="AV1461" s="29">
        <v>-1.8341252380880701E-2</v>
      </c>
      <c r="AW1461" s="29">
        <v>-0.97676687745370405</v>
      </c>
      <c r="AX1461" s="29">
        <v>-0.60044293542902905</v>
      </c>
      <c r="AY1461" s="29">
        <v>8.1359403889796206E-2</v>
      </c>
      <c r="AZ1461" s="60">
        <v>-0.36012924757922499</v>
      </c>
    </row>
    <row r="1462" spans="1:52" ht="15" customHeight="1">
      <c r="A1462" s="63" t="s">
        <v>444</v>
      </c>
      <c r="B1462" s="27">
        <v>2005</v>
      </c>
      <c r="C1462" s="27" t="s">
        <v>442</v>
      </c>
      <c r="D1462" s="69" t="s">
        <v>214</v>
      </c>
      <c r="E1462" s="29" t="s">
        <v>50</v>
      </c>
      <c r="F1462" s="27" t="s">
        <v>597</v>
      </c>
      <c r="G1462" s="43"/>
      <c r="H1462" s="43"/>
      <c r="I1462" s="43"/>
      <c r="J1462" s="43"/>
      <c r="K1462" s="27"/>
      <c r="L1462" s="28"/>
      <c r="M1462" s="27"/>
      <c r="N1462" s="27"/>
      <c r="O1462" s="18">
        <f>SUM(O1463:O1464)</f>
        <v>2232710200</v>
      </c>
      <c r="P1462" s="214">
        <v>497838775.45592701</v>
      </c>
      <c r="Q1462" s="214">
        <v>497895241.45592701</v>
      </c>
      <c r="R1462" s="27"/>
      <c r="S1462" s="27"/>
      <c r="T1462" s="18"/>
      <c r="U1462" s="27"/>
      <c r="V1462" s="27"/>
      <c r="W1462" s="30"/>
      <c r="X1462" s="27">
        <v>9</v>
      </c>
      <c r="Y1462" s="27" t="s">
        <v>1884</v>
      </c>
      <c r="Z1462" s="27">
        <v>9</v>
      </c>
      <c r="AA1462" s="27"/>
      <c r="AB1462" s="27"/>
      <c r="AC1462" s="273">
        <v>1756747244.267477</v>
      </c>
      <c r="AD1462" s="27">
        <v>74963815412.621368</v>
      </c>
      <c r="AE1462" s="228">
        <v>2.3434602876039049E-2</v>
      </c>
      <c r="AF1462" s="27">
        <v>13895292824.883497</v>
      </c>
      <c r="AG1462" s="226">
        <v>0.12642750796309368</v>
      </c>
      <c r="AH1462" s="226">
        <v>0.53078781087794979</v>
      </c>
      <c r="AI1462" s="27">
        <v>450480000</v>
      </c>
      <c r="AJ1462" s="226">
        <v>3.8997230604410342</v>
      </c>
      <c r="AK1462" s="27">
        <v>1986629106.2530906</v>
      </c>
      <c r="AL1462" s="226">
        <v>0.88428546563521082</v>
      </c>
      <c r="AM1462" s="27">
        <v>2039555518.694272</v>
      </c>
      <c r="AN1462" s="271">
        <v>0.86133828089766862</v>
      </c>
      <c r="AO1462" s="27">
        <v>27723281</v>
      </c>
      <c r="AP1462" s="27">
        <v>55.6</v>
      </c>
      <c r="AQ1462" s="27">
        <v>72.418609756097567</v>
      </c>
      <c r="AR1462" s="27">
        <v>21.5</v>
      </c>
      <c r="AS1462" s="29">
        <v>99.638220000000004</v>
      </c>
      <c r="AT1462" s="270">
        <v>38</v>
      </c>
      <c r="AU1462" s="464">
        <v>72.816286549781523</v>
      </c>
      <c r="AV1462" s="29">
        <v>-1.8341252380880701E-2</v>
      </c>
      <c r="AW1462" s="29">
        <v>-0.97676687745370405</v>
      </c>
      <c r="AX1462" s="29">
        <v>-0.60044293542902905</v>
      </c>
      <c r="AY1462" s="29">
        <v>8.1359403889796206E-2</v>
      </c>
      <c r="AZ1462" s="60">
        <v>-0.36012924757922499</v>
      </c>
    </row>
    <row r="1463" spans="1:52" ht="15" customHeight="1">
      <c r="A1463" s="63" t="s">
        <v>444</v>
      </c>
      <c r="B1463" s="27">
        <v>2005</v>
      </c>
      <c r="C1463" s="27" t="s">
        <v>442</v>
      </c>
      <c r="D1463" s="69" t="s">
        <v>214</v>
      </c>
      <c r="E1463" s="29" t="s">
        <v>552</v>
      </c>
      <c r="F1463" s="27" t="s">
        <v>552</v>
      </c>
      <c r="G1463" s="43">
        <v>1500000000</v>
      </c>
      <c r="H1463" s="43"/>
      <c r="I1463" s="43"/>
      <c r="J1463" s="43"/>
      <c r="K1463" s="27" t="s">
        <v>599</v>
      </c>
      <c r="L1463" s="28">
        <v>0.27869799999999995</v>
      </c>
      <c r="M1463" s="27" t="s">
        <v>600</v>
      </c>
      <c r="N1463" s="27" t="s">
        <v>685</v>
      </c>
      <c r="O1463" s="18">
        <f>G1463*L1463</f>
        <v>418046999.99999994</v>
      </c>
      <c r="P1463" s="214"/>
      <c r="Q1463" s="214"/>
      <c r="R1463" s="18"/>
      <c r="S1463" s="27"/>
      <c r="T1463" s="18"/>
      <c r="U1463" s="27"/>
      <c r="V1463" s="18"/>
      <c r="W1463" s="30"/>
      <c r="X1463" s="27">
        <v>6</v>
      </c>
      <c r="Y1463" s="27" t="s">
        <v>1885</v>
      </c>
      <c r="Z1463" s="27">
        <v>6</v>
      </c>
      <c r="AA1463" s="27"/>
      <c r="AB1463" s="27"/>
      <c r="AC1463" s="273">
        <v>1756747244.267477</v>
      </c>
      <c r="AD1463" s="27">
        <v>74963815412.621368</v>
      </c>
      <c r="AE1463" s="228">
        <v>2.3434602876039049E-2</v>
      </c>
      <c r="AF1463" s="27">
        <v>13895292824.883497</v>
      </c>
      <c r="AG1463" s="226">
        <v>0.12642750796309368</v>
      </c>
      <c r="AH1463" s="226">
        <v>0.53078781087794979</v>
      </c>
      <c r="AI1463" s="27">
        <v>450480000</v>
      </c>
      <c r="AJ1463" s="226">
        <v>3.8997230604410342</v>
      </c>
      <c r="AK1463" s="27">
        <v>1986629106.2530906</v>
      </c>
      <c r="AL1463" s="226">
        <v>0.88428546563521082</v>
      </c>
      <c r="AM1463" s="27">
        <v>2039555518.694272</v>
      </c>
      <c r="AN1463" s="271">
        <v>0.86133828089766862</v>
      </c>
      <c r="AO1463" s="27">
        <v>27723281</v>
      </c>
      <c r="AP1463" s="27">
        <v>55.6</v>
      </c>
      <c r="AQ1463" s="27">
        <v>72.418609756097567</v>
      </c>
      <c r="AR1463" s="27">
        <v>21.5</v>
      </c>
      <c r="AS1463" s="29">
        <v>99.638220000000004</v>
      </c>
      <c r="AT1463" s="270">
        <v>38</v>
      </c>
      <c r="AU1463" s="464">
        <v>72.816286549781523</v>
      </c>
      <c r="AV1463" s="29">
        <v>-1.8341252380880701E-2</v>
      </c>
      <c r="AW1463" s="29">
        <v>-0.97676687745370405</v>
      </c>
      <c r="AX1463" s="29">
        <v>-0.60044293542902905</v>
      </c>
      <c r="AY1463" s="29">
        <v>8.1359403889796206E-2</v>
      </c>
      <c r="AZ1463" s="60">
        <v>-0.36012924757922499</v>
      </c>
    </row>
    <row r="1464" spans="1:52" ht="15" customHeight="1">
      <c r="A1464" s="63" t="s">
        <v>444</v>
      </c>
      <c r="B1464" s="27">
        <v>2005</v>
      </c>
      <c r="C1464" s="27" t="s">
        <v>442</v>
      </c>
      <c r="D1464" s="69" t="s">
        <v>214</v>
      </c>
      <c r="E1464" s="29" t="s">
        <v>98</v>
      </c>
      <c r="F1464" s="27" t="s">
        <v>98</v>
      </c>
      <c r="G1464" s="43">
        <v>33580000</v>
      </c>
      <c r="H1464" s="43"/>
      <c r="I1464" s="43"/>
      <c r="J1464" s="43"/>
      <c r="K1464" s="27" t="s">
        <v>603</v>
      </c>
      <c r="L1464" s="28">
        <v>54.04</v>
      </c>
      <c r="M1464" s="27" t="s">
        <v>626</v>
      </c>
      <c r="N1464" s="27" t="s">
        <v>687</v>
      </c>
      <c r="O1464" s="18">
        <f>G1464*L1464</f>
        <v>1814663200</v>
      </c>
      <c r="P1464" s="214"/>
      <c r="Q1464" s="214"/>
      <c r="R1464" s="18"/>
      <c r="S1464" s="27"/>
      <c r="T1464" s="18"/>
      <c r="U1464" s="27"/>
      <c r="V1464" s="18"/>
      <c r="W1464" s="30"/>
      <c r="X1464" s="27">
        <v>8</v>
      </c>
      <c r="Y1464" s="27" t="s">
        <v>1886</v>
      </c>
      <c r="Z1464" s="27">
        <v>8</v>
      </c>
      <c r="AA1464" s="27"/>
      <c r="AB1464" s="27"/>
      <c r="AC1464" s="273">
        <v>1756747244.267477</v>
      </c>
      <c r="AD1464" s="27">
        <v>74963815412.621368</v>
      </c>
      <c r="AE1464" s="228">
        <v>2.3434602876039049E-2</v>
      </c>
      <c r="AF1464" s="27">
        <v>13895292824.883497</v>
      </c>
      <c r="AG1464" s="226">
        <v>0.12642750796309368</v>
      </c>
      <c r="AH1464" s="226">
        <v>0.53078781087794979</v>
      </c>
      <c r="AI1464" s="27">
        <v>450480000</v>
      </c>
      <c r="AJ1464" s="226">
        <v>3.8997230604410342</v>
      </c>
      <c r="AK1464" s="27">
        <v>1986629106.2530906</v>
      </c>
      <c r="AL1464" s="226">
        <v>0.88428546563521082</v>
      </c>
      <c r="AM1464" s="27">
        <v>2039555518.694272</v>
      </c>
      <c r="AN1464" s="271">
        <v>0.86133828089766862</v>
      </c>
      <c r="AO1464" s="27">
        <v>27723281</v>
      </c>
      <c r="AP1464" s="27">
        <v>55.6</v>
      </c>
      <c r="AQ1464" s="27">
        <v>72.418609756097567</v>
      </c>
      <c r="AR1464" s="27">
        <v>21.5</v>
      </c>
      <c r="AS1464" s="29">
        <v>99.638220000000004</v>
      </c>
      <c r="AT1464" s="270">
        <v>38</v>
      </c>
      <c r="AU1464" s="464">
        <v>72.816286549781523</v>
      </c>
      <c r="AV1464" s="29">
        <v>-1.8341252380880701E-2</v>
      </c>
      <c r="AW1464" s="29">
        <v>-0.97676687745370405</v>
      </c>
      <c r="AX1464" s="29">
        <v>-0.60044293542902905</v>
      </c>
      <c r="AY1464" s="29">
        <v>8.1359403889796206E-2</v>
      </c>
      <c r="AZ1464" s="60">
        <v>-0.36012924757922499</v>
      </c>
    </row>
    <row r="1465" spans="1:52" ht="15" customHeight="1">
      <c r="A1465" s="63" t="s">
        <v>444</v>
      </c>
      <c r="B1465" s="27">
        <v>2005</v>
      </c>
      <c r="C1465" s="27" t="s">
        <v>442</v>
      </c>
      <c r="D1465" s="69" t="s">
        <v>214</v>
      </c>
      <c r="E1465" s="29" t="s">
        <v>19</v>
      </c>
      <c r="F1465" s="27" t="s">
        <v>559</v>
      </c>
      <c r="G1465" s="43"/>
      <c r="H1465" s="43"/>
      <c r="I1465" s="43"/>
      <c r="J1465" s="43"/>
      <c r="K1465" s="27"/>
      <c r="L1465" s="28"/>
      <c r="M1465" s="27"/>
      <c r="N1465" s="27"/>
      <c r="O1465" s="18">
        <f>SUM(O1466:O1488)</f>
        <v>18938262254.372276</v>
      </c>
      <c r="P1465" s="214">
        <v>1258908468.8115501</v>
      </c>
      <c r="Q1465" s="214">
        <v>1257530596.8480244</v>
      </c>
      <c r="R1465" s="18"/>
      <c r="S1465" s="27"/>
      <c r="T1465" s="18"/>
      <c r="U1465" s="27"/>
      <c r="V1465" s="18"/>
      <c r="W1465" s="30"/>
      <c r="X1465" s="27">
        <v>24</v>
      </c>
      <c r="Y1465" s="27" t="s">
        <v>1887</v>
      </c>
      <c r="Z1465" s="27">
        <v>24</v>
      </c>
      <c r="AA1465" s="27"/>
      <c r="AB1465" s="27"/>
      <c r="AC1465" s="273">
        <v>1756747244.267477</v>
      </c>
      <c r="AD1465" s="27">
        <v>74963815412.621368</v>
      </c>
      <c r="AE1465" s="228">
        <v>2.3434602876039049E-2</v>
      </c>
      <c r="AF1465" s="27">
        <v>13895292824.883497</v>
      </c>
      <c r="AG1465" s="226">
        <v>0.12642750796309368</v>
      </c>
      <c r="AH1465" s="226">
        <v>0.53078781087794979</v>
      </c>
      <c r="AI1465" s="27">
        <v>450480000</v>
      </c>
      <c r="AJ1465" s="226">
        <v>3.8997230604410342</v>
      </c>
      <c r="AK1465" s="27">
        <v>1986629106.2530906</v>
      </c>
      <c r="AL1465" s="226">
        <v>0.88428546563521082</v>
      </c>
      <c r="AM1465" s="27">
        <v>2039555518.694272</v>
      </c>
      <c r="AN1465" s="271">
        <v>0.86133828089766862</v>
      </c>
      <c r="AO1465" s="27">
        <v>27723281</v>
      </c>
      <c r="AP1465" s="27">
        <v>55.6</v>
      </c>
      <c r="AQ1465" s="27">
        <v>72.418609756097567</v>
      </c>
      <c r="AR1465" s="27">
        <v>21.5</v>
      </c>
      <c r="AS1465" s="29">
        <v>99.638220000000004</v>
      </c>
      <c r="AT1465" s="270">
        <v>38</v>
      </c>
      <c r="AU1465" s="464">
        <v>72.816286549781523</v>
      </c>
      <c r="AV1465" s="29">
        <v>-1.8341252380880701E-2</v>
      </c>
      <c r="AW1465" s="29">
        <v>-0.97676687745370405</v>
      </c>
      <c r="AX1465" s="29">
        <v>-0.60044293542902905</v>
      </c>
      <c r="AY1465" s="29">
        <v>8.1359403889796206E-2</v>
      </c>
      <c r="AZ1465" s="60">
        <v>-0.36012924757922499</v>
      </c>
    </row>
    <row r="1466" spans="1:52" ht="15" customHeight="1">
      <c r="A1466" s="63" t="s">
        <v>444</v>
      </c>
      <c r="B1466" s="27">
        <v>2005</v>
      </c>
      <c r="C1466" s="27" t="s">
        <v>442</v>
      </c>
      <c r="D1466" s="69" t="s">
        <v>214</v>
      </c>
      <c r="E1466" s="29" t="s">
        <v>19</v>
      </c>
      <c r="F1466" s="27" t="s">
        <v>1888</v>
      </c>
      <c r="G1466" s="43">
        <v>600</v>
      </c>
      <c r="H1466" s="43"/>
      <c r="I1466" s="43"/>
      <c r="J1466" s="43"/>
      <c r="K1466" s="27" t="s">
        <v>567</v>
      </c>
      <c r="L1466" s="28">
        <f>3.91/0.000453592</f>
        <v>8620.0814829185711</v>
      </c>
      <c r="M1466" s="29" t="s">
        <v>568</v>
      </c>
      <c r="N1466" s="29" t="s">
        <v>1889</v>
      </c>
      <c r="O1466" s="18">
        <f>G1466*L1466</f>
        <v>5172048.8897511428</v>
      </c>
      <c r="P1466" s="214"/>
      <c r="Q1466" s="214"/>
      <c r="R1466" s="29"/>
      <c r="S1466" s="27"/>
      <c r="T1466" s="18"/>
      <c r="U1466" s="27"/>
      <c r="V1466" s="29"/>
      <c r="W1466" s="30"/>
      <c r="X1466" s="27"/>
      <c r="Y1466" s="27"/>
      <c r="Z1466" s="27"/>
      <c r="AA1466" s="27"/>
      <c r="AB1466" s="27"/>
      <c r="AC1466" s="273">
        <v>1756747244.267477</v>
      </c>
      <c r="AD1466" s="27">
        <v>74963815412.621368</v>
      </c>
      <c r="AE1466" s="228">
        <v>2.3434602876039049E-2</v>
      </c>
      <c r="AF1466" s="27">
        <v>13895292824.883497</v>
      </c>
      <c r="AG1466" s="226">
        <v>0.12642750796309368</v>
      </c>
      <c r="AH1466" s="226">
        <v>0.53078781087794979</v>
      </c>
      <c r="AI1466" s="27">
        <v>450480000</v>
      </c>
      <c r="AJ1466" s="226">
        <v>3.8997230604410342</v>
      </c>
      <c r="AK1466" s="27">
        <v>1986629106.2530906</v>
      </c>
      <c r="AL1466" s="226">
        <v>0.88428546563521082</v>
      </c>
      <c r="AM1466" s="27">
        <v>2039555518.694272</v>
      </c>
      <c r="AN1466" s="271">
        <v>0.86133828089766862</v>
      </c>
      <c r="AO1466" s="27">
        <v>27723281</v>
      </c>
      <c r="AP1466" s="27">
        <v>55.6</v>
      </c>
      <c r="AQ1466" s="27">
        <v>72.418609756097567</v>
      </c>
      <c r="AR1466" s="27">
        <v>21.5</v>
      </c>
      <c r="AS1466" s="29">
        <v>99.638220000000004</v>
      </c>
      <c r="AT1466" s="270">
        <v>38</v>
      </c>
      <c r="AU1466" s="464">
        <v>72.816286549781523</v>
      </c>
      <c r="AV1466" s="29">
        <v>-1.8341252380880701E-2</v>
      </c>
      <c r="AW1466" s="29">
        <v>-0.97676687745370405</v>
      </c>
      <c r="AX1466" s="29">
        <v>-0.60044293542902905</v>
      </c>
      <c r="AY1466" s="29">
        <v>8.1359403889796206E-2</v>
      </c>
      <c r="AZ1466" s="60">
        <v>-0.36012924757922499</v>
      </c>
    </row>
    <row r="1467" spans="1:52" ht="15" customHeight="1">
      <c r="A1467" s="63" t="s">
        <v>444</v>
      </c>
      <c r="B1467" s="27">
        <v>2005</v>
      </c>
      <c r="C1467" s="27" t="s">
        <v>442</v>
      </c>
      <c r="D1467" s="69" t="s">
        <v>214</v>
      </c>
      <c r="E1467" s="29" t="s">
        <v>19</v>
      </c>
      <c r="F1467" s="27" t="s">
        <v>576</v>
      </c>
      <c r="G1467" s="43"/>
      <c r="H1467" s="43"/>
      <c r="I1467" s="43"/>
      <c r="J1467" s="43"/>
      <c r="K1467" s="27"/>
      <c r="L1467" s="44">
        <v>3678.8764166666701</v>
      </c>
      <c r="M1467" s="27" t="s">
        <v>568</v>
      </c>
      <c r="N1467" s="27" t="s">
        <v>633</v>
      </c>
      <c r="O1467" s="18">
        <f>SUM(G1469:G1470)*L1467</f>
        <v>3062153253.0530863</v>
      </c>
      <c r="P1467" s="214"/>
      <c r="Q1467" s="214"/>
      <c r="R1467" s="18"/>
      <c r="S1467" s="27"/>
      <c r="T1467" s="18"/>
      <c r="U1467" s="27"/>
      <c r="V1467" s="18"/>
      <c r="W1467" s="30"/>
      <c r="X1467" s="27">
        <v>17</v>
      </c>
      <c r="Y1467" s="27" t="s">
        <v>1890</v>
      </c>
      <c r="Z1467" s="27">
        <v>17</v>
      </c>
      <c r="AA1467" s="27"/>
      <c r="AB1467" s="27"/>
      <c r="AC1467" s="273">
        <v>1756747244.267477</v>
      </c>
      <c r="AD1467" s="27">
        <v>74963815412.621368</v>
      </c>
      <c r="AE1467" s="228">
        <v>2.3434602876039049E-2</v>
      </c>
      <c r="AF1467" s="27">
        <v>13895292824.883497</v>
      </c>
      <c r="AG1467" s="226">
        <v>0.12642750796309368</v>
      </c>
      <c r="AH1467" s="226">
        <v>0.53078781087794979</v>
      </c>
      <c r="AI1467" s="27">
        <v>450480000</v>
      </c>
      <c r="AJ1467" s="226">
        <v>3.8997230604410342</v>
      </c>
      <c r="AK1467" s="27">
        <v>1986629106.2530906</v>
      </c>
      <c r="AL1467" s="226">
        <v>0.88428546563521082</v>
      </c>
      <c r="AM1467" s="27">
        <v>2039555518.694272</v>
      </c>
      <c r="AN1467" s="271">
        <v>0.86133828089766862</v>
      </c>
      <c r="AO1467" s="27">
        <v>27723281</v>
      </c>
      <c r="AP1467" s="27">
        <v>55.6</v>
      </c>
      <c r="AQ1467" s="27">
        <v>72.418609756097567</v>
      </c>
      <c r="AR1467" s="27">
        <v>21.5</v>
      </c>
      <c r="AS1467" s="29">
        <v>99.638220000000004</v>
      </c>
      <c r="AT1467" s="270">
        <v>38</v>
      </c>
      <c r="AU1467" s="464">
        <v>72.816286549781523</v>
      </c>
      <c r="AV1467" s="29">
        <v>-1.8341252380880701E-2</v>
      </c>
      <c r="AW1467" s="29">
        <v>-0.97676687745370405</v>
      </c>
      <c r="AX1467" s="29">
        <v>-0.60044293542902905</v>
      </c>
      <c r="AY1467" s="29">
        <v>8.1359403889796206E-2</v>
      </c>
      <c r="AZ1467" s="60">
        <v>-0.36012924757922499</v>
      </c>
    </row>
    <row r="1468" spans="1:52" ht="15" customHeight="1">
      <c r="A1468" s="63" t="s">
        <v>444</v>
      </c>
      <c r="B1468" s="27">
        <v>2005</v>
      </c>
      <c r="C1468" s="27" t="s">
        <v>442</v>
      </c>
      <c r="D1468" s="69" t="s">
        <v>214</v>
      </c>
      <c r="E1468" s="29" t="s">
        <v>19</v>
      </c>
      <c r="F1468" s="27" t="s">
        <v>1226</v>
      </c>
      <c r="G1468" s="43">
        <v>1009898</v>
      </c>
      <c r="H1468" s="43"/>
      <c r="I1468" s="43"/>
      <c r="J1468" s="43"/>
      <c r="K1468" s="27" t="s">
        <v>567</v>
      </c>
      <c r="L1468" s="28"/>
      <c r="M1468" s="27"/>
      <c r="N1468" s="27" t="s">
        <v>1057</v>
      </c>
      <c r="O1468" s="18"/>
      <c r="P1468" s="214"/>
      <c r="Q1468" s="214"/>
      <c r="R1468" s="29"/>
      <c r="S1468" s="27"/>
      <c r="T1468" s="18"/>
      <c r="U1468" s="27"/>
      <c r="V1468" s="29"/>
      <c r="W1468" s="30"/>
      <c r="X1468" s="27"/>
      <c r="Y1468" s="27"/>
      <c r="Z1468" s="27"/>
      <c r="AA1468" s="27"/>
      <c r="AB1468" s="27"/>
      <c r="AC1468" s="273">
        <v>1756747244.267477</v>
      </c>
      <c r="AD1468" s="27">
        <v>74963815412.621368</v>
      </c>
      <c r="AE1468" s="228">
        <v>2.3434602876039049E-2</v>
      </c>
      <c r="AF1468" s="27">
        <v>13895292824.883497</v>
      </c>
      <c r="AG1468" s="226">
        <v>0.12642750796309368</v>
      </c>
      <c r="AH1468" s="226">
        <v>0.53078781087794979</v>
      </c>
      <c r="AI1468" s="27">
        <v>450480000</v>
      </c>
      <c r="AJ1468" s="226">
        <v>3.8997230604410342</v>
      </c>
      <c r="AK1468" s="27">
        <v>1986629106.2530906</v>
      </c>
      <c r="AL1468" s="226">
        <v>0.88428546563521082</v>
      </c>
      <c r="AM1468" s="27">
        <v>2039555518.694272</v>
      </c>
      <c r="AN1468" s="271">
        <v>0.86133828089766862</v>
      </c>
      <c r="AO1468" s="27">
        <v>27723281</v>
      </c>
      <c r="AP1468" s="27">
        <v>55.6</v>
      </c>
      <c r="AQ1468" s="27">
        <v>72.418609756097567</v>
      </c>
      <c r="AR1468" s="27">
        <v>21.5</v>
      </c>
      <c r="AS1468" s="29">
        <v>99.638220000000004</v>
      </c>
      <c r="AT1468" s="270">
        <v>38</v>
      </c>
      <c r="AU1468" s="464">
        <v>72.816286549781523</v>
      </c>
      <c r="AV1468" s="29">
        <v>-1.8341252380880701E-2</v>
      </c>
      <c r="AW1468" s="29">
        <v>-0.97676687745370405</v>
      </c>
      <c r="AX1468" s="29">
        <v>-0.60044293542902905</v>
      </c>
      <c r="AY1468" s="29">
        <v>8.1359403889796206E-2</v>
      </c>
      <c r="AZ1468" s="60">
        <v>-0.36012924757922499</v>
      </c>
    </row>
    <row r="1469" spans="1:52" ht="15" customHeight="1">
      <c r="A1469" s="63" t="s">
        <v>444</v>
      </c>
      <c r="B1469" s="27">
        <v>2005</v>
      </c>
      <c r="C1469" s="27" t="s">
        <v>442</v>
      </c>
      <c r="D1469" s="69" t="s">
        <v>214</v>
      </c>
      <c r="E1469" s="29" t="s">
        <v>19</v>
      </c>
      <c r="F1469" s="27" t="s">
        <v>1310</v>
      </c>
      <c r="G1469" s="43">
        <v>320625</v>
      </c>
      <c r="H1469" s="43"/>
      <c r="I1469" s="43"/>
      <c r="J1469" s="43"/>
      <c r="K1469" s="27" t="s">
        <v>567</v>
      </c>
      <c r="L1469" s="28"/>
      <c r="M1469" s="27"/>
      <c r="N1469" s="27" t="s">
        <v>1057</v>
      </c>
      <c r="O1469" s="18"/>
      <c r="P1469" s="214"/>
      <c r="Q1469" s="214"/>
      <c r="R1469" s="29"/>
      <c r="S1469" s="27"/>
      <c r="T1469" s="18"/>
      <c r="U1469" s="27"/>
      <c r="V1469" s="29"/>
      <c r="W1469" s="30"/>
      <c r="X1469" s="27"/>
      <c r="Y1469" s="27"/>
      <c r="Z1469" s="27"/>
      <c r="AA1469" s="27"/>
      <c r="AB1469" s="27"/>
      <c r="AC1469" s="273">
        <v>1756747244.267477</v>
      </c>
      <c r="AD1469" s="27">
        <v>74963815412.621368</v>
      </c>
      <c r="AE1469" s="228">
        <v>2.3434602876039049E-2</v>
      </c>
      <c r="AF1469" s="27">
        <v>13895292824.883497</v>
      </c>
      <c r="AG1469" s="226">
        <v>0.12642750796309368</v>
      </c>
      <c r="AH1469" s="226">
        <v>0.53078781087794979</v>
      </c>
      <c r="AI1469" s="27">
        <v>450480000</v>
      </c>
      <c r="AJ1469" s="226">
        <v>3.8997230604410342</v>
      </c>
      <c r="AK1469" s="27">
        <v>1986629106.2530906</v>
      </c>
      <c r="AL1469" s="226">
        <v>0.88428546563521082</v>
      </c>
      <c r="AM1469" s="27">
        <v>2039555518.694272</v>
      </c>
      <c r="AN1469" s="271">
        <v>0.86133828089766862</v>
      </c>
      <c r="AO1469" s="27">
        <v>27723281</v>
      </c>
      <c r="AP1469" s="27">
        <v>55.6</v>
      </c>
      <c r="AQ1469" s="27">
        <v>72.418609756097567</v>
      </c>
      <c r="AR1469" s="27">
        <v>21.5</v>
      </c>
      <c r="AS1469" s="29">
        <v>99.638220000000004</v>
      </c>
      <c r="AT1469" s="270">
        <v>38</v>
      </c>
      <c r="AU1469" s="464">
        <v>72.816286549781523</v>
      </c>
      <c r="AV1469" s="29">
        <v>-1.8341252380880701E-2</v>
      </c>
      <c r="AW1469" s="29">
        <v>-0.97676687745370405</v>
      </c>
      <c r="AX1469" s="29">
        <v>-0.60044293542902905</v>
      </c>
      <c r="AY1469" s="29">
        <v>8.1359403889796206E-2</v>
      </c>
      <c r="AZ1469" s="60">
        <v>-0.36012924757922499</v>
      </c>
    </row>
    <row r="1470" spans="1:52" ht="15" customHeight="1">
      <c r="A1470" s="63" t="s">
        <v>444</v>
      </c>
      <c r="B1470" s="27">
        <v>2005</v>
      </c>
      <c r="C1470" s="27" t="s">
        <v>442</v>
      </c>
      <c r="D1470" s="69" t="s">
        <v>214</v>
      </c>
      <c r="E1470" s="29" t="s">
        <v>19</v>
      </c>
      <c r="F1470" s="27" t="s">
        <v>1311</v>
      </c>
      <c r="G1470" s="43">
        <v>511736</v>
      </c>
      <c r="H1470" s="43"/>
      <c r="I1470" s="43"/>
      <c r="J1470" s="43"/>
      <c r="K1470" s="27" t="s">
        <v>567</v>
      </c>
      <c r="L1470" s="28"/>
      <c r="M1470" s="27"/>
      <c r="N1470" s="27" t="s">
        <v>1057</v>
      </c>
      <c r="O1470" s="18"/>
      <c r="P1470" s="214"/>
      <c r="Q1470" s="214"/>
      <c r="R1470" s="29"/>
      <c r="S1470" s="27"/>
      <c r="T1470" s="18"/>
      <c r="U1470" s="27"/>
      <c r="V1470" s="29"/>
      <c r="W1470" s="30"/>
      <c r="X1470" s="27"/>
      <c r="Y1470" s="27"/>
      <c r="Z1470" s="27"/>
      <c r="AA1470" s="27"/>
      <c r="AB1470" s="27"/>
      <c r="AC1470" s="273">
        <v>1756747244.267477</v>
      </c>
      <c r="AD1470" s="27">
        <v>74963815412.621368</v>
      </c>
      <c r="AE1470" s="228">
        <v>2.3434602876039049E-2</v>
      </c>
      <c r="AF1470" s="27">
        <v>13895292824.883497</v>
      </c>
      <c r="AG1470" s="226">
        <v>0.12642750796309368</v>
      </c>
      <c r="AH1470" s="226">
        <v>0.53078781087794979</v>
      </c>
      <c r="AI1470" s="27">
        <v>450480000</v>
      </c>
      <c r="AJ1470" s="226">
        <v>3.8997230604410342</v>
      </c>
      <c r="AK1470" s="27">
        <v>1986629106.2530906</v>
      </c>
      <c r="AL1470" s="226">
        <v>0.88428546563521082</v>
      </c>
      <c r="AM1470" s="27">
        <v>2039555518.694272</v>
      </c>
      <c r="AN1470" s="271">
        <v>0.86133828089766862</v>
      </c>
      <c r="AO1470" s="27">
        <v>27723281</v>
      </c>
      <c r="AP1470" s="27">
        <v>55.6</v>
      </c>
      <c r="AQ1470" s="27">
        <v>72.418609756097567</v>
      </c>
      <c r="AR1470" s="27">
        <v>21.5</v>
      </c>
      <c r="AS1470" s="29">
        <v>99.638220000000004</v>
      </c>
      <c r="AT1470" s="270">
        <v>38</v>
      </c>
      <c r="AU1470" s="464">
        <v>72.816286549781523</v>
      </c>
      <c r="AV1470" s="29">
        <v>-1.8341252380880701E-2</v>
      </c>
      <c r="AW1470" s="29">
        <v>-0.97676687745370405</v>
      </c>
      <c r="AX1470" s="29">
        <v>-0.60044293542902905</v>
      </c>
      <c r="AY1470" s="29">
        <v>8.1359403889796206E-2</v>
      </c>
      <c r="AZ1470" s="60">
        <v>-0.36012924757922499</v>
      </c>
    </row>
    <row r="1471" spans="1:52" ht="15" customHeight="1">
      <c r="A1471" s="63" t="s">
        <v>444</v>
      </c>
      <c r="B1471" s="27">
        <v>2005</v>
      </c>
      <c r="C1471" s="27" t="s">
        <v>442</v>
      </c>
      <c r="D1471" s="69" t="s">
        <v>214</v>
      </c>
      <c r="E1471" s="29" t="s">
        <v>19</v>
      </c>
      <c r="F1471" s="27" t="s">
        <v>730</v>
      </c>
      <c r="G1471" s="43">
        <f>208002*32.150743126506</f>
        <v>6687418.8717995016</v>
      </c>
      <c r="H1471" s="43"/>
      <c r="I1471" s="43"/>
      <c r="J1471" s="43"/>
      <c r="K1471" s="27" t="s">
        <v>731</v>
      </c>
      <c r="L1471" s="28">
        <v>444.84258333333003</v>
      </c>
      <c r="M1471" s="27" t="s">
        <v>732</v>
      </c>
      <c r="N1471" s="27" t="s">
        <v>836</v>
      </c>
      <c r="O1471" s="18">
        <f>G1471*L1471</f>
        <v>2974848686.7633538</v>
      </c>
      <c r="P1471" s="214"/>
      <c r="Q1471" s="214"/>
      <c r="R1471" s="29"/>
      <c r="S1471" s="27"/>
      <c r="T1471" s="18"/>
      <c r="U1471" s="27"/>
      <c r="V1471" s="29"/>
      <c r="W1471" s="30"/>
      <c r="X1471" s="27">
        <v>11</v>
      </c>
      <c r="Y1471" s="27" t="s">
        <v>1891</v>
      </c>
      <c r="Z1471" s="27">
        <v>11</v>
      </c>
      <c r="AA1471" s="27"/>
      <c r="AB1471" s="27"/>
      <c r="AC1471" s="273">
        <v>1756747244.267477</v>
      </c>
      <c r="AD1471" s="27">
        <v>74963815412.621368</v>
      </c>
      <c r="AE1471" s="228">
        <v>2.3434602876039049E-2</v>
      </c>
      <c r="AF1471" s="27">
        <v>13895292824.883497</v>
      </c>
      <c r="AG1471" s="226">
        <v>0.12642750796309368</v>
      </c>
      <c r="AH1471" s="226">
        <v>0.53078781087794979</v>
      </c>
      <c r="AI1471" s="27">
        <v>450480000</v>
      </c>
      <c r="AJ1471" s="226">
        <v>3.8997230604410342</v>
      </c>
      <c r="AK1471" s="27">
        <v>1986629106.2530906</v>
      </c>
      <c r="AL1471" s="226">
        <v>0.88428546563521082</v>
      </c>
      <c r="AM1471" s="27">
        <v>2039555518.694272</v>
      </c>
      <c r="AN1471" s="271">
        <v>0.86133828089766862</v>
      </c>
      <c r="AO1471" s="27">
        <v>27723281</v>
      </c>
      <c r="AP1471" s="27">
        <v>55.6</v>
      </c>
      <c r="AQ1471" s="27">
        <v>72.418609756097567</v>
      </c>
      <c r="AR1471" s="27">
        <v>21.5</v>
      </c>
      <c r="AS1471" s="29">
        <v>99.638220000000004</v>
      </c>
      <c r="AT1471" s="270">
        <v>38</v>
      </c>
      <c r="AU1471" s="464">
        <v>72.816286549781523</v>
      </c>
      <c r="AV1471" s="29">
        <v>-1.8341252380880701E-2</v>
      </c>
      <c r="AW1471" s="29">
        <v>-0.97676687745370405</v>
      </c>
      <c r="AX1471" s="29">
        <v>-0.60044293542902905</v>
      </c>
      <c r="AY1471" s="29">
        <v>8.1359403889796206E-2</v>
      </c>
      <c r="AZ1471" s="60">
        <v>-0.36012924757922499</v>
      </c>
    </row>
    <row r="1472" spans="1:52" ht="15" customHeight="1">
      <c r="A1472" s="63" t="s">
        <v>444</v>
      </c>
      <c r="B1472" s="27">
        <v>2005</v>
      </c>
      <c r="C1472" s="27" t="s">
        <v>442</v>
      </c>
      <c r="D1472" s="69" t="s">
        <v>214</v>
      </c>
      <c r="E1472" s="29" t="s">
        <v>19</v>
      </c>
      <c r="F1472" s="27" t="s">
        <v>1892</v>
      </c>
      <c r="G1472" s="43">
        <v>7000</v>
      </c>
      <c r="H1472" s="43"/>
      <c r="I1472" s="43"/>
      <c r="J1472" s="43"/>
      <c r="K1472" s="27" t="s">
        <v>894</v>
      </c>
      <c r="L1472" s="28">
        <v>946</v>
      </c>
      <c r="M1472" s="27" t="s">
        <v>1743</v>
      </c>
      <c r="N1472" s="27" t="s">
        <v>1893</v>
      </c>
      <c r="O1472" s="18">
        <f>G1472*L1472</f>
        <v>6622000</v>
      </c>
      <c r="P1472" s="214"/>
      <c r="Q1472" s="214"/>
      <c r="R1472" s="71"/>
      <c r="S1472" s="27"/>
      <c r="T1472" s="18"/>
      <c r="U1472" s="27"/>
      <c r="V1472" s="18"/>
      <c r="W1472" s="30"/>
      <c r="X1472" s="27"/>
      <c r="Y1472" s="27"/>
      <c r="Z1472" s="27"/>
      <c r="AA1472" s="27"/>
      <c r="AB1472" s="27"/>
      <c r="AC1472" s="273">
        <v>1756747244.267477</v>
      </c>
      <c r="AD1472" s="27">
        <v>74963815412.621368</v>
      </c>
      <c r="AE1472" s="228">
        <v>2.3434602876039049E-2</v>
      </c>
      <c r="AF1472" s="27">
        <v>13895292824.883497</v>
      </c>
      <c r="AG1472" s="226">
        <v>0.12642750796309368</v>
      </c>
      <c r="AH1472" s="226">
        <v>0.53078781087794979</v>
      </c>
      <c r="AI1472" s="27">
        <v>450480000</v>
      </c>
      <c r="AJ1472" s="226">
        <v>3.8997230604410342</v>
      </c>
      <c r="AK1472" s="27">
        <v>1986629106.2530906</v>
      </c>
      <c r="AL1472" s="226">
        <v>0.88428546563521082</v>
      </c>
      <c r="AM1472" s="27">
        <v>2039555518.694272</v>
      </c>
      <c r="AN1472" s="271">
        <v>0.86133828089766862</v>
      </c>
      <c r="AO1472" s="27">
        <v>27723281</v>
      </c>
      <c r="AP1472" s="27">
        <v>55.6</v>
      </c>
      <c r="AQ1472" s="27">
        <v>72.418609756097567</v>
      </c>
      <c r="AR1472" s="27">
        <v>21.5</v>
      </c>
      <c r="AS1472" s="29">
        <v>99.638220000000004</v>
      </c>
      <c r="AT1472" s="270">
        <v>38</v>
      </c>
      <c r="AU1472" s="464">
        <v>72.816286549781523</v>
      </c>
      <c r="AV1472" s="29">
        <v>-1.8341252380880701E-2</v>
      </c>
      <c r="AW1472" s="29">
        <v>-0.97676687745370405</v>
      </c>
      <c r="AX1472" s="29">
        <v>-0.60044293542902905</v>
      </c>
      <c r="AY1472" s="29">
        <v>8.1359403889796206E-2</v>
      </c>
      <c r="AZ1472" s="60">
        <v>-0.36012924757922499</v>
      </c>
    </row>
    <row r="1473" spans="1:52" ht="15" customHeight="1">
      <c r="A1473" s="63" t="s">
        <v>444</v>
      </c>
      <c r="B1473" s="27">
        <v>2005</v>
      </c>
      <c r="C1473" s="27" t="s">
        <v>442</v>
      </c>
      <c r="D1473" s="69" t="s">
        <v>214</v>
      </c>
      <c r="E1473" s="29" t="s">
        <v>19</v>
      </c>
      <c r="F1473" s="27" t="s">
        <v>1133</v>
      </c>
      <c r="G1473" s="43">
        <v>6810000</v>
      </c>
      <c r="H1473" s="43"/>
      <c r="I1473" s="43"/>
      <c r="J1473" s="43"/>
      <c r="K1473" s="27" t="s">
        <v>567</v>
      </c>
      <c r="L1473" s="28">
        <v>65</v>
      </c>
      <c r="M1473" s="27" t="s">
        <v>568</v>
      </c>
      <c r="N1473" s="27" t="s">
        <v>1894</v>
      </c>
      <c r="O1473" s="18">
        <f>G1473*L1473</f>
        <v>442650000</v>
      </c>
      <c r="P1473" s="214"/>
      <c r="Q1473" s="214"/>
      <c r="R1473" s="71"/>
      <c r="S1473" s="27"/>
      <c r="T1473" s="18"/>
      <c r="U1473" s="27"/>
      <c r="V1473" s="18"/>
      <c r="W1473" s="30"/>
      <c r="X1473" s="27"/>
      <c r="Y1473" s="27"/>
      <c r="Z1473" s="27"/>
      <c r="AA1473" s="27"/>
      <c r="AB1473" s="27"/>
      <c r="AC1473" s="273">
        <v>1756747244.267477</v>
      </c>
      <c r="AD1473" s="27">
        <v>74963815412.621368</v>
      </c>
      <c r="AE1473" s="228">
        <v>2.3434602876039049E-2</v>
      </c>
      <c r="AF1473" s="27">
        <v>13895292824.883497</v>
      </c>
      <c r="AG1473" s="226">
        <v>0.12642750796309368</v>
      </c>
      <c r="AH1473" s="226">
        <v>0.53078781087794979</v>
      </c>
      <c r="AI1473" s="27">
        <v>450480000</v>
      </c>
      <c r="AJ1473" s="226">
        <v>3.8997230604410342</v>
      </c>
      <c r="AK1473" s="27">
        <v>1986629106.2530906</v>
      </c>
      <c r="AL1473" s="226">
        <v>0.88428546563521082</v>
      </c>
      <c r="AM1473" s="27">
        <v>2039555518.694272</v>
      </c>
      <c r="AN1473" s="271">
        <v>0.86133828089766862</v>
      </c>
      <c r="AO1473" s="27">
        <v>27723281</v>
      </c>
      <c r="AP1473" s="27">
        <v>55.6</v>
      </c>
      <c r="AQ1473" s="27">
        <v>72.418609756097567</v>
      </c>
      <c r="AR1473" s="27">
        <v>21.5</v>
      </c>
      <c r="AS1473" s="29">
        <v>99.638220000000004</v>
      </c>
      <c r="AT1473" s="270">
        <v>38</v>
      </c>
      <c r="AU1473" s="464">
        <v>72.816286549781523</v>
      </c>
      <c r="AV1473" s="29">
        <v>-1.8341252380880701E-2</v>
      </c>
      <c r="AW1473" s="29">
        <v>-0.97676687745370405</v>
      </c>
      <c r="AX1473" s="29">
        <v>-0.60044293542902905</v>
      </c>
      <c r="AY1473" s="29">
        <v>8.1359403889796206E-2</v>
      </c>
      <c r="AZ1473" s="60">
        <v>-0.36012924757922499</v>
      </c>
    </row>
    <row r="1474" spans="1:52" ht="15" customHeight="1">
      <c r="A1474" s="63" t="s">
        <v>444</v>
      </c>
      <c r="B1474" s="27">
        <v>2005</v>
      </c>
      <c r="C1474" s="27" t="s">
        <v>442</v>
      </c>
      <c r="D1474" s="69" t="s">
        <v>214</v>
      </c>
      <c r="E1474" s="29" t="s">
        <v>19</v>
      </c>
      <c r="F1474" s="27" t="s">
        <v>1360</v>
      </c>
      <c r="G1474" s="43"/>
      <c r="H1474" s="43"/>
      <c r="I1474" s="43"/>
      <c r="J1474" s="43"/>
      <c r="K1474" s="27"/>
      <c r="L1474" s="44">
        <v>976.36816666667005</v>
      </c>
      <c r="M1474" s="27" t="s">
        <v>568</v>
      </c>
      <c r="N1474" s="27" t="s">
        <v>1895</v>
      </c>
      <c r="O1474" s="18">
        <f>G1476*L1474</f>
        <v>119194049.41850041</v>
      </c>
      <c r="P1474" s="244"/>
      <c r="Q1474" s="244"/>
      <c r="R1474" s="18"/>
      <c r="S1474" s="27"/>
      <c r="T1474" s="18"/>
      <c r="U1474" s="27"/>
      <c r="V1474" s="18"/>
      <c r="W1474" s="30"/>
      <c r="X1474" s="27">
        <v>10</v>
      </c>
      <c r="Y1474" s="27" t="s">
        <v>1896</v>
      </c>
      <c r="Z1474" s="27">
        <v>10</v>
      </c>
      <c r="AA1474" s="27"/>
      <c r="AB1474" s="27"/>
      <c r="AC1474" s="273">
        <v>1756747244.267477</v>
      </c>
      <c r="AD1474" s="27">
        <v>74963815412.621368</v>
      </c>
      <c r="AE1474" s="228">
        <v>2.3434602876039049E-2</v>
      </c>
      <c r="AF1474" s="27">
        <v>13895292824.883497</v>
      </c>
      <c r="AG1474" s="226">
        <v>0.12642750796309368</v>
      </c>
      <c r="AH1474" s="226">
        <v>0.53078781087794979</v>
      </c>
      <c r="AI1474" s="27">
        <v>450480000</v>
      </c>
      <c r="AJ1474" s="226">
        <v>3.8997230604410342</v>
      </c>
      <c r="AK1474" s="27">
        <v>1986629106.2530906</v>
      </c>
      <c r="AL1474" s="226">
        <v>0.88428546563521082</v>
      </c>
      <c r="AM1474" s="27">
        <v>2039555518.694272</v>
      </c>
      <c r="AN1474" s="271">
        <v>0.86133828089766862</v>
      </c>
      <c r="AO1474" s="27">
        <v>27723281</v>
      </c>
      <c r="AP1474" s="27">
        <v>55.6</v>
      </c>
      <c r="AQ1474" s="27">
        <v>72.418609756097567</v>
      </c>
      <c r="AR1474" s="27">
        <v>21.5</v>
      </c>
      <c r="AS1474" s="29">
        <v>99.638220000000004</v>
      </c>
      <c r="AT1474" s="270">
        <v>38</v>
      </c>
      <c r="AU1474" s="464">
        <v>72.816286549781523</v>
      </c>
      <c r="AV1474" s="29">
        <v>-1.8341252380880701E-2</v>
      </c>
      <c r="AW1474" s="29">
        <v>-0.97676687745370405</v>
      </c>
      <c r="AX1474" s="29">
        <v>-0.60044293542902905</v>
      </c>
      <c r="AY1474" s="29">
        <v>8.1359403889796206E-2</v>
      </c>
      <c r="AZ1474" s="60">
        <v>-0.36012924757922499</v>
      </c>
    </row>
    <row r="1475" spans="1:52" ht="15" customHeight="1">
      <c r="A1475" s="63" t="s">
        <v>444</v>
      </c>
      <c r="B1475" s="27">
        <v>2005</v>
      </c>
      <c r="C1475" s="27" t="s">
        <v>442</v>
      </c>
      <c r="D1475" s="69" t="s">
        <v>214</v>
      </c>
      <c r="E1475" s="29" t="s">
        <v>19</v>
      </c>
      <c r="F1475" s="27" t="s">
        <v>1897</v>
      </c>
      <c r="G1475" s="43">
        <v>319368</v>
      </c>
      <c r="H1475" s="43"/>
      <c r="I1475" s="43"/>
      <c r="J1475" s="43"/>
      <c r="K1475" s="27" t="s">
        <v>567</v>
      </c>
      <c r="L1475" s="28"/>
      <c r="M1475" s="27"/>
      <c r="N1475" s="27" t="s">
        <v>1057</v>
      </c>
      <c r="O1475" s="18"/>
      <c r="P1475" s="214"/>
      <c r="Q1475" s="214"/>
      <c r="R1475" s="29"/>
      <c r="S1475" s="27"/>
      <c r="T1475" s="18"/>
      <c r="U1475" s="27"/>
      <c r="V1475" s="29"/>
      <c r="W1475" s="30"/>
      <c r="X1475" s="27"/>
      <c r="Y1475" s="27"/>
      <c r="Z1475" s="27"/>
      <c r="AA1475" s="27"/>
      <c r="AB1475" s="27"/>
      <c r="AC1475" s="273">
        <v>1756747244.267477</v>
      </c>
      <c r="AD1475" s="27">
        <v>74963815412.621368</v>
      </c>
      <c r="AE1475" s="228">
        <v>2.3434602876039049E-2</v>
      </c>
      <c r="AF1475" s="27">
        <v>13895292824.883497</v>
      </c>
      <c r="AG1475" s="226">
        <v>0.12642750796309368</v>
      </c>
      <c r="AH1475" s="226">
        <v>0.53078781087794979</v>
      </c>
      <c r="AI1475" s="27">
        <v>450480000</v>
      </c>
      <c r="AJ1475" s="226">
        <v>3.8997230604410342</v>
      </c>
      <c r="AK1475" s="27">
        <v>1986629106.2530906</v>
      </c>
      <c r="AL1475" s="226">
        <v>0.88428546563521082</v>
      </c>
      <c r="AM1475" s="27">
        <v>2039555518.694272</v>
      </c>
      <c r="AN1475" s="271">
        <v>0.86133828089766862</v>
      </c>
      <c r="AO1475" s="27">
        <v>27723281</v>
      </c>
      <c r="AP1475" s="27">
        <v>55.6</v>
      </c>
      <c r="AQ1475" s="27">
        <v>72.418609756097567</v>
      </c>
      <c r="AR1475" s="27">
        <v>21.5</v>
      </c>
      <c r="AS1475" s="29">
        <v>99.638220000000004</v>
      </c>
      <c r="AT1475" s="270">
        <v>38</v>
      </c>
      <c r="AU1475" s="464">
        <v>72.816286549781523</v>
      </c>
      <c r="AV1475" s="29">
        <v>-1.8341252380880701E-2</v>
      </c>
      <c r="AW1475" s="29">
        <v>-0.97676687745370405</v>
      </c>
      <c r="AX1475" s="29">
        <v>-0.60044293542902905</v>
      </c>
      <c r="AY1475" s="29">
        <v>8.1359403889796206E-2</v>
      </c>
      <c r="AZ1475" s="60">
        <v>-0.36012924757922499</v>
      </c>
    </row>
    <row r="1476" spans="1:52" ht="15" customHeight="1">
      <c r="A1476" s="63" t="s">
        <v>444</v>
      </c>
      <c r="B1476" s="27">
        <v>2005</v>
      </c>
      <c r="C1476" s="27" t="s">
        <v>442</v>
      </c>
      <c r="D1476" s="69" t="s">
        <v>214</v>
      </c>
      <c r="E1476" s="29" t="s">
        <v>19</v>
      </c>
      <c r="F1476" s="27" t="s">
        <v>1238</v>
      </c>
      <c r="G1476" s="43">
        <v>122079</v>
      </c>
      <c r="H1476" s="43"/>
      <c r="I1476" s="43"/>
      <c r="J1476" s="43"/>
      <c r="K1476" s="27" t="s">
        <v>567</v>
      </c>
      <c r="L1476" s="28"/>
      <c r="M1476" s="27"/>
      <c r="N1476" s="27" t="s">
        <v>1057</v>
      </c>
      <c r="O1476" s="18"/>
      <c r="P1476" s="214"/>
      <c r="Q1476" s="214"/>
      <c r="R1476" s="29"/>
      <c r="S1476" s="27"/>
      <c r="T1476" s="18"/>
      <c r="U1476" s="27"/>
      <c r="V1476" s="29"/>
      <c r="W1476" s="30"/>
      <c r="X1476" s="27"/>
      <c r="Y1476" s="27"/>
      <c r="Z1476" s="27"/>
      <c r="AA1476" s="27"/>
      <c r="AB1476" s="27"/>
      <c r="AC1476" s="273">
        <v>1756747244.267477</v>
      </c>
      <c r="AD1476" s="27">
        <v>74963815412.621368</v>
      </c>
      <c r="AE1476" s="228">
        <v>2.3434602876039049E-2</v>
      </c>
      <c r="AF1476" s="27">
        <v>13895292824.883497</v>
      </c>
      <c r="AG1476" s="226">
        <v>0.12642750796309368</v>
      </c>
      <c r="AH1476" s="226">
        <v>0.53078781087794979</v>
      </c>
      <c r="AI1476" s="27">
        <v>450480000</v>
      </c>
      <c r="AJ1476" s="226">
        <v>3.8997230604410342</v>
      </c>
      <c r="AK1476" s="27">
        <v>1986629106.2530906</v>
      </c>
      <c r="AL1476" s="226">
        <v>0.88428546563521082</v>
      </c>
      <c r="AM1476" s="27">
        <v>2039555518.694272</v>
      </c>
      <c r="AN1476" s="271">
        <v>0.86133828089766862</v>
      </c>
      <c r="AO1476" s="27">
        <v>27723281</v>
      </c>
      <c r="AP1476" s="27">
        <v>55.6</v>
      </c>
      <c r="AQ1476" s="27">
        <v>72.418609756097567</v>
      </c>
      <c r="AR1476" s="27">
        <v>21.5</v>
      </c>
      <c r="AS1476" s="29">
        <v>99.638220000000004</v>
      </c>
      <c r="AT1476" s="270">
        <v>38</v>
      </c>
      <c r="AU1476" s="464">
        <v>72.816286549781523</v>
      </c>
      <c r="AV1476" s="29">
        <v>-1.8341252380880701E-2</v>
      </c>
      <c r="AW1476" s="29">
        <v>-0.97676687745370405</v>
      </c>
      <c r="AX1476" s="29">
        <v>-0.60044293542902905</v>
      </c>
      <c r="AY1476" s="29">
        <v>8.1359403889796206E-2</v>
      </c>
      <c r="AZ1476" s="60">
        <v>-0.36012924757922499</v>
      </c>
    </row>
    <row r="1477" spans="1:52" ht="15" customHeight="1">
      <c r="A1477" s="63" t="s">
        <v>444</v>
      </c>
      <c r="B1477" s="27">
        <v>2005</v>
      </c>
      <c r="C1477" s="27" t="s">
        <v>442</v>
      </c>
      <c r="D1477" s="69" t="s">
        <v>214</v>
      </c>
      <c r="E1477" s="29" t="s">
        <v>19</v>
      </c>
      <c r="F1477" s="27" t="s">
        <v>1326</v>
      </c>
      <c r="G1477" s="43">
        <v>330000</v>
      </c>
      <c r="H1477" s="43"/>
      <c r="I1477" s="43"/>
      <c r="J1477" s="43"/>
      <c r="K1477" s="27" t="s">
        <v>567</v>
      </c>
      <c r="L1477" s="28"/>
      <c r="M1477" s="27"/>
      <c r="N1477" s="27" t="s">
        <v>1057</v>
      </c>
      <c r="O1477" s="18"/>
      <c r="P1477" s="214"/>
      <c r="Q1477" s="214"/>
      <c r="R1477" s="18"/>
      <c r="S1477" s="27"/>
      <c r="T1477" s="18"/>
      <c r="U1477" s="27"/>
      <c r="V1477" s="18"/>
      <c r="W1477" s="30"/>
      <c r="X1477" s="27"/>
      <c r="Y1477" s="27"/>
      <c r="Z1477" s="27"/>
      <c r="AA1477" s="27"/>
      <c r="AB1477" s="27"/>
      <c r="AC1477" s="273">
        <v>1756747244.267477</v>
      </c>
      <c r="AD1477" s="27">
        <v>74963815412.621368</v>
      </c>
      <c r="AE1477" s="228">
        <v>2.3434602876039049E-2</v>
      </c>
      <c r="AF1477" s="27">
        <v>13895292824.883497</v>
      </c>
      <c r="AG1477" s="226">
        <v>0.12642750796309368</v>
      </c>
      <c r="AH1477" s="226">
        <v>0.53078781087794979</v>
      </c>
      <c r="AI1477" s="27">
        <v>450480000</v>
      </c>
      <c r="AJ1477" s="226">
        <v>3.8997230604410342</v>
      </c>
      <c r="AK1477" s="27">
        <v>1986629106.2530906</v>
      </c>
      <c r="AL1477" s="226">
        <v>0.88428546563521082</v>
      </c>
      <c r="AM1477" s="27">
        <v>2039555518.694272</v>
      </c>
      <c r="AN1477" s="271">
        <v>0.86133828089766862</v>
      </c>
      <c r="AO1477" s="27">
        <v>27723281</v>
      </c>
      <c r="AP1477" s="27">
        <v>55.6</v>
      </c>
      <c r="AQ1477" s="27">
        <v>72.418609756097567</v>
      </c>
      <c r="AR1477" s="27">
        <v>21.5</v>
      </c>
      <c r="AS1477" s="29">
        <v>99.638220000000004</v>
      </c>
      <c r="AT1477" s="270">
        <v>38</v>
      </c>
      <c r="AU1477" s="464">
        <v>72.816286549781523</v>
      </c>
      <c r="AV1477" s="29">
        <v>-1.8341252380880701E-2</v>
      </c>
      <c r="AW1477" s="29">
        <v>-0.97676687745370405</v>
      </c>
      <c r="AX1477" s="29">
        <v>-0.60044293542902905</v>
      </c>
      <c r="AY1477" s="29">
        <v>8.1359403889796206E-2</v>
      </c>
      <c r="AZ1477" s="60">
        <v>-0.36012924757922499</v>
      </c>
    </row>
    <row r="1478" spans="1:52" ht="15" customHeight="1">
      <c r="A1478" s="63" t="s">
        <v>444</v>
      </c>
      <c r="B1478" s="27">
        <v>2005</v>
      </c>
      <c r="C1478" s="27" t="s">
        <v>442</v>
      </c>
      <c r="D1478" s="69" t="s">
        <v>214</v>
      </c>
      <c r="E1478" s="29" t="s">
        <v>19</v>
      </c>
      <c r="F1478" s="27" t="s">
        <v>1898</v>
      </c>
      <c r="G1478" s="43">
        <v>69820</v>
      </c>
      <c r="H1478" s="43"/>
      <c r="I1478" s="43"/>
      <c r="J1478" s="43"/>
      <c r="K1478" s="27" t="s">
        <v>567</v>
      </c>
      <c r="L1478" s="28">
        <f>51.44/0.000453592</f>
        <v>113405.88017425351</v>
      </c>
      <c r="M1478" s="27" t="s">
        <v>568</v>
      </c>
      <c r="N1478" s="27" t="s">
        <v>1899</v>
      </c>
      <c r="O1478" s="18">
        <f>G1478*L1478</f>
        <v>7917998553.7663803</v>
      </c>
      <c r="P1478" s="214"/>
      <c r="Q1478" s="214"/>
      <c r="R1478" s="18"/>
      <c r="S1478" s="27"/>
      <c r="T1478" s="18"/>
      <c r="U1478" s="27"/>
      <c r="V1478" s="18"/>
      <c r="W1478" s="30"/>
      <c r="X1478" s="27"/>
      <c r="Y1478" s="27"/>
      <c r="Z1478" s="27"/>
      <c r="AA1478" s="27"/>
      <c r="AB1478" s="27"/>
      <c r="AC1478" s="273">
        <v>1756747244.267477</v>
      </c>
      <c r="AD1478" s="27">
        <v>74963815412.621368</v>
      </c>
      <c r="AE1478" s="228">
        <v>2.3434602876039049E-2</v>
      </c>
      <c r="AF1478" s="27">
        <v>13895292824.883497</v>
      </c>
      <c r="AG1478" s="226">
        <v>0.12642750796309368</v>
      </c>
      <c r="AH1478" s="226">
        <v>0.53078781087794979</v>
      </c>
      <c r="AI1478" s="27">
        <v>450480000</v>
      </c>
      <c r="AJ1478" s="226">
        <v>3.8997230604410342</v>
      </c>
      <c r="AK1478" s="27">
        <v>1986629106.2530906</v>
      </c>
      <c r="AL1478" s="226">
        <v>0.88428546563521082</v>
      </c>
      <c r="AM1478" s="27">
        <v>2039555518.694272</v>
      </c>
      <c r="AN1478" s="271">
        <v>0.86133828089766862</v>
      </c>
      <c r="AO1478" s="27">
        <v>27723281</v>
      </c>
      <c r="AP1478" s="27">
        <v>55.6</v>
      </c>
      <c r="AQ1478" s="27">
        <v>72.418609756097567</v>
      </c>
      <c r="AR1478" s="27">
        <v>21.5</v>
      </c>
      <c r="AS1478" s="29">
        <v>99.638220000000004</v>
      </c>
      <c r="AT1478" s="270">
        <v>38</v>
      </c>
      <c r="AU1478" s="464">
        <v>72.816286549781523</v>
      </c>
      <c r="AV1478" s="29">
        <v>-1.8341252380880701E-2</v>
      </c>
      <c r="AW1478" s="29">
        <v>-0.97676687745370405</v>
      </c>
      <c r="AX1478" s="29">
        <v>-0.60044293542902905</v>
      </c>
      <c r="AY1478" s="29">
        <v>8.1359403889796206E-2</v>
      </c>
      <c r="AZ1478" s="60">
        <v>-0.36012924757922499</v>
      </c>
    </row>
    <row r="1479" spans="1:52" ht="15" customHeight="1">
      <c r="A1479" s="63" t="s">
        <v>444</v>
      </c>
      <c r="B1479" s="27">
        <v>2005</v>
      </c>
      <c r="C1479" s="27" t="s">
        <v>442</v>
      </c>
      <c r="D1479" s="69" t="s">
        <v>214</v>
      </c>
      <c r="E1479" s="29" t="s">
        <v>19</v>
      </c>
      <c r="F1479" s="27" t="s">
        <v>735</v>
      </c>
      <c r="G1479" s="43">
        <f>3206*32150.7466</f>
        <v>103075293.5996</v>
      </c>
      <c r="H1479" s="43"/>
      <c r="I1479" s="43"/>
      <c r="J1479" s="43"/>
      <c r="K1479" s="27" t="s">
        <v>731</v>
      </c>
      <c r="L1479" s="28">
        <f>7.30836666667/1</f>
        <v>7.3083666666699996</v>
      </c>
      <c r="M1479" s="27" t="s">
        <v>732</v>
      </c>
      <c r="N1479" s="27" t="s">
        <v>1060</v>
      </c>
      <c r="O1479" s="18">
        <f>G1479*L1479</f>
        <v>753312039.90054023</v>
      </c>
      <c r="P1479" s="214"/>
      <c r="Q1479" s="214"/>
      <c r="R1479" s="18"/>
      <c r="S1479" s="27"/>
      <c r="T1479" s="18"/>
      <c r="U1479" s="27"/>
      <c r="V1479" s="71"/>
      <c r="W1479" s="30"/>
      <c r="X1479" s="27">
        <v>16</v>
      </c>
      <c r="Y1479" s="27" t="s">
        <v>1900</v>
      </c>
      <c r="Z1479" s="27">
        <v>16</v>
      </c>
      <c r="AA1479" s="27"/>
      <c r="AB1479" s="27"/>
      <c r="AC1479" s="273">
        <v>1756747244.267477</v>
      </c>
      <c r="AD1479" s="27">
        <v>74963815412.621368</v>
      </c>
      <c r="AE1479" s="228">
        <v>2.3434602876039049E-2</v>
      </c>
      <c r="AF1479" s="27">
        <v>13895292824.883497</v>
      </c>
      <c r="AG1479" s="226">
        <v>0.12642750796309368</v>
      </c>
      <c r="AH1479" s="226">
        <v>0.53078781087794979</v>
      </c>
      <c r="AI1479" s="27">
        <v>450480000</v>
      </c>
      <c r="AJ1479" s="226">
        <v>3.8997230604410342</v>
      </c>
      <c r="AK1479" s="27">
        <v>1986629106.2530906</v>
      </c>
      <c r="AL1479" s="226">
        <v>0.88428546563521082</v>
      </c>
      <c r="AM1479" s="27">
        <v>2039555518.694272</v>
      </c>
      <c r="AN1479" s="271">
        <v>0.86133828089766862</v>
      </c>
      <c r="AO1479" s="27">
        <v>27723281</v>
      </c>
      <c r="AP1479" s="27">
        <v>55.6</v>
      </c>
      <c r="AQ1479" s="27">
        <v>72.418609756097567</v>
      </c>
      <c r="AR1479" s="27">
        <v>21.5</v>
      </c>
      <c r="AS1479" s="29">
        <v>99.638220000000004</v>
      </c>
      <c r="AT1479" s="270">
        <v>38</v>
      </c>
      <c r="AU1479" s="464">
        <v>72.816286549781523</v>
      </c>
      <c r="AV1479" s="29">
        <v>-1.8341252380880701E-2</v>
      </c>
      <c r="AW1479" s="29">
        <v>-0.97676687745370405</v>
      </c>
      <c r="AX1479" s="29">
        <v>-0.60044293542902905</v>
      </c>
      <c r="AY1479" s="29">
        <v>8.1359403889796206E-2</v>
      </c>
      <c r="AZ1479" s="60">
        <v>-0.36012924757922499</v>
      </c>
    </row>
    <row r="1480" spans="1:52" ht="15" customHeight="1">
      <c r="A1480" s="63" t="s">
        <v>444</v>
      </c>
      <c r="B1480" s="27">
        <v>2005</v>
      </c>
      <c r="C1480" s="27" t="s">
        <v>442</v>
      </c>
      <c r="D1480" s="69" t="s">
        <v>214</v>
      </c>
      <c r="E1480" s="29" t="s">
        <v>19</v>
      </c>
      <c r="F1480" s="27" t="s">
        <v>1901</v>
      </c>
      <c r="G1480" s="43">
        <v>100</v>
      </c>
      <c r="H1480" s="43"/>
      <c r="I1480" s="43"/>
      <c r="J1480" s="43"/>
      <c r="K1480" s="27" t="s">
        <v>567</v>
      </c>
      <c r="L1480" s="28"/>
      <c r="M1480" s="27"/>
      <c r="N1480" s="27" t="s">
        <v>1057</v>
      </c>
      <c r="O1480" s="18"/>
      <c r="P1480" s="214"/>
      <c r="Q1480" s="214"/>
      <c r="R1480" s="18"/>
      <c r="S1480" s="27"/>
      <c r="T1480" s="18"/>
      <c r="U1480" s="29"/>
      <c r="V1480" s="18"/>
      <c r="W1480" s="30"/>
      <c r="X1480" s="27"/>
      <c r="Y1480" s="27"/>
      <c r="Z1480" s="27"/>
      <c r="AA1480" s="27"/>
      <c r="AB1480" s="27"/>
      <c r="AC1480" s="273">
        <v>1756747244.267477</v>
      </c>
      <c r="AD1480" s="27">
        <v>74963815412.621368</v>
      </c>
      <c r="AE1480" s="228">
        <v>2.3434602876039049E-2</v>
      </c>
      <c r="AF1480" s="27">
        <v>13895292824.883497</v>
      </c>
      <c r="AG1480" s="226">
        <v>0.12642750796309368</v>
      </c>
      <c r="AH1480" s="226">
        <v>0.53078781087794979</v>
      </c>
      <c r="AI1480" s="27">
        <v>450480000</v>
      </c>
      <c r="AJ1480" s="226">
        <v>3.8997230604410342</v>
      </c>
      <c r="AK1480" s="27">
        <v>1986629106.2530906</v>
      </c>
      <c r="AL1480" s="226">
        <v>0.88428546563521082</v>
      </c>
      <c r="AM1480" s="27">
        <v>2039555518.694272</v>
      </c>
      <c r="AN1480" s="271">
        <v>0.86133828089766862</v>
      </c>
      <c r="AO1480" s="27">
        <v>27723281</v>
      </c>
      <c r="AP1480" s="27">
        <v>55.6</v>
      </c>
      <c r="AQ1480" s="27">
        <v>72.418609756097567</v>
      </c>
      <c r="AR1480" s="27">
        <v>21.5</v>
      </c>
      <c r="AS1480" s="29">
        <v>99.638220000000004</v>
      </c>
      <c r="AT1480" s="270">
        <v>38</v>
      </c>
      <c r="AU1480" s="464">
        <v>72.816286549781523</v>
      </c>
      <c r="AV1480" s="29">
        <v>-1.8341252380880701E-2</v>
      </c>
      <c r="AW1480" s="29">
        <v>-0.97676687745370405</v>
      </c>
      <c r="AX1480" s="29">
        <v>-0.60044293542902905</v>
      </c>
      <c r="AY1480" s="29">
        <v>8.1359403889796206E-2</v>
      </c>
      <c r="AZ1480" s="60">
        <v>-0.36012924757922499</v>
      </c>
    </row>
    <row r="1481" spans="1:52" ht="15" customHeight="1">
      <c r="A1481" s="63" t="s">
        <v>444</v>
      </c>
      <c r="B1481" s="27">
        <v>2005</v>
      </c>
      <c r="C1481" s="27" t="s">
        <v>442</v>
      </c>
      <c r="D1481" s="69" t="s">
        <v>214</v>
      </c>
      <c r="E1481" s="29" t="s">
        <v>19</v>
      </c>
      <c r="F1481" s="27" t="s">
        <v>1902</v>
      </c>
      <c r="G1481" s="43">
        <v>623000</v>
      </c>
      <c r="H1481" s="43"/>
      <c r="I1481" s="43"/>
      <c r="J1481" s="43"/>
      <c r="K1481" s="27" t="s">
        <v>567</v>
      </c>
      <c r="L1481" s="28"/>
      <c r="M1481" s="27"/>
      <c r="N1481" s="27" t="s">
        <v>1057</v>
      </c>
      <c r="O1481" s="18"/>
      <c r="P1481" s="214"/>
      <c r="Q1481" s="214"/>
      <c r="R1481" s="18"/>
      <c r="S1481" s="27"/>
      <c r="T1481" s="18"/>
      <c r="U1481" s="29"/>
      <c r="V1481" s="18"/>
      <c r="W1481" s="30"/>
      <c r="X1481" s="27"/>
      <c r="Y1481" s="27"/>
      <c r="Z1481" s="27"/>
      <c r="AA1481" s="27"/>
      <c r="AB1481" s="27"/>
      <c r="AC1481" s="273">
        <v>1756747244.267477</v>
      </c>
      <c r="AD1481" s="27">
        <v>74963815412.621368</v>
      </c>
      <c r="AE1481" s="228">
        <v>2.3434602876039049E-2</v>
      </c>
      <c r="AF1481" s="27">
        <v>13895292824.883497</v>
      </c>
      <c r="AG1481" s="226">
        <v>0.12642750796309368</v>
      </c>
      <c r="AH1481" s="226">
        <v>0.53078781087794979</v>
      </c>
      <c r="AI1481" s="27">
        <v>450480000</v>
      </c>
      <c r="AJ1481" s="226">
        <v>3.8997230604410342</v>
      </c>
      <c r="AK1481" s="27">
        <v>1986629106.2530906</v>
      </c>
      <c r="AL1481" s="226">
        <v>0.88428546563521082</v>
      </c>
      <c r="AM1481" s="27">
        <v>2039555518.694272</v>
      </c>
      <c r="AN1481" s="271">
        <v>0.86133828089766862</v>
      </c>
      <c r="AO1481" s="27">
        <v>27723281</v>
      </c>
      <c r="AP1481" s="27">
        <v>55.6</v>
      </c>
      <c r="AQ1481" s="27">
        <v>72.418609756097567</v>
      </c>
      <c r="AR1481" s="27">
        <v>21.5</v>
      </c>
      <c r="AS1481" s="29">
        <v>99.638220000000004</v>
      </c>
      <c r="AT1481" s="270">
        <v>38</v>
      </c>
      <c r="AU1481" s="464">
        <v>72.816286549781523</v>
      </c>
      <c r="AV1481" s="29">
        <v>-1.8341252380880701E-2</v>
      </c>
      <c r="AW1481" s="29">
        <v>-0.97676687745370405</v>
      </c>
      <c r="AX1481" s="29">
        <v>-0.60044293542902905</v>
      </c>
      <c r="AY1481" s="29">
        <v>8.1359403889796206E-2</v>
      </c>
      <c r="AZ1481" s="60">
        <v>-0.36012924757922499</v>
      </c>
    </row>
    <row r="1482" spans="1:52" ht="15" customHeight="1">
      <c r="A1482" s="63" t="s">
        <v>444</v>
      </c>
      <c r="B1482" s="27">
        <v>2005</v>
      </c>
      <c r="C1482" s="27" t="s">
        <v>442</v>
      </c>
      <c r="D1482" s="69" t="s">
        <v>214</v>
      </c>
      <c r="E1482" s="29" t="s">
        <v>19</v>
      </c>
      <c r="F1482" s="27" t="s">
        <v>1903</v>
      </c>
      <c r="G1482" s="43">
        <v>32880</v>
      </c>
      <c r="H1482" s="43"/>
      <c r="I1482" s="43"/>
      <c r="J1482" s="43"/>
      <c r="K1482" s="27" t="s">
        <v>567</v>
      </c>
      <c r="L1482" s="28">
        <v>96000</v>
      </c>
      <c r="M1482" s="27" t="s">
        <v>568</v>
      </c>
      <c r="N1482" s="27" t="s">
        <v>1904</v>
      </c>
      <c r="O1482" s="18">
        <f>G1482*L1482</f>
        <v>3156480000</v>
      </c>
      <c r="P1482" s="214"/>
      <c r="Q1482" s="214"/>
      <c r="R1482" s="18"/>
      <c r="S1482" s="27"/>
      <c r="T1482" s="18"/>
      <c r="U1482" s="29"/>
      <c r="V1482" s="18"/>
      <c r="W1482" s="30"/>
      <c r="X1482" s="27"/>
      <c r="Y1482" s="27"/>
      <c r="Z1482" s="27"/>
      <c r="AA1482" s="27"/>
      <c r="AB1482" s="27"/>
      <c r="AC1482" s="273">
        <v>1756747244.267477</v>
      </c>
      <c r="AD1482" s="27">
        <v>74963815412.621368</v>
      </c>
      <c r="AE1482" s="228">
        <v>2.3434602876039049E-2</v>
      </c>
      <c r="AF1482" s="27">
        <v>13895292824.883497</v>
      </c>
      <c r="AG1482" s="226">
        <v>0.12642750796309368</v>
      </c>
      <c r="AH1482" s="226">
        <v>0.53078781087794979</v>
      </c>
      <c r="AI1482" s="27">
        <v>450480000</v>
      </c>
      <c r="AJ1482" s="226">
        <v>3.8997230604410342</v>
      </c>
      <c r="AK1482" s="27">
        <v>1986629106.2530906</v>
      </c>
      <c r="AL1482" s="226">
        <v>0.88428546563521082</v>
      </c>
      <c r="AM1482" s="27">
        <v>2039555518.694272</v>
      </c>
      <c r="AN1482" s="271">
        <v>0.86133828089766862</v>
      </c>
      <c r="AO1482" s="27">
        <v>27723281</v>
      </c>
      <c r="AP1482" s="27">
        <v>55.6</v>
      </c>
      <c r="AQ1482" s="27">
        <v>72.418609756097567</v>
      </c>
      <c r="AR1482" s="27">
        <v>21.5</v>
      </c>
      <c r="AS1482" s="29">
        <v>99.638220000000004</v>
      </c>
      <c r="AT1482" s="270">
        <v>38</v>
      </c>
      <c r="AU1482" s="464">
        <v>72.816286549781523</v>
      </c>
      <c r="AV1482" s="29">
        <v>-1.8341252380880701E-2</v>
      </c>
      <c r="AW1482" s="29">
        <v>-0.97676687745370405</v>
      </c>
      <c r="AX1482" s="29">
        <v>-0.60044293542902905</v>
      </c>
      <c r="AY1482" s="29">
        <v>8.1359403889796206E-2</v>
      </c>
      <c r="AZ1482" s="60">
        <v>-0.36012924757922499</v>
      </c>
    </row>
    <row r="1483" spans="1:52" ht="15" customHeight="1">
      <c r="A1483" s="63" t="s">
        <v>444</v>
      </c>
      <c r="B1483" s="27">
        <v>2005</v>
      </c>
      <c r="C1483" s="27" t="s">
        <v>442</v>
      </c>
      <c r="D1483" s="69" t="s">
        <v>214</v>
      </c>
      <c r="E1483" s="29" t="s">
        <v>19</v>
      </c>
      <c r="F1483" s="27" t="s">
        <v>1234</v>
      </c>
      <c r="G1483" s="43"/>
      <c r="H1483" s="43"/>
      <c r="I1483" s="43"/>
      <c r="J1483" s="43"/>
      <c r="K1483" s="27"/>
      <c r="L1483" s="44">
        <f>7379.82791666667</f>
        <v>7379.8279166666698</v>
      </c>
      <c r="M1483" s="27" t="s">
        <v>568</v>
      </c>
      <c r="N1483" s="27" t="s">
        <v>1235</v>
      </c>
      <c r="O1483" s="18">
        <f>G1485*L1483</f>
        <v>271083218.86291677</v>
      </c>
      <c r="P1483" s="244"/>
      <c r="Q1483" s="244"/>
      <c r="R1483" s="27"/>
      <c r="S1483" s="27"/>
      <c r="T1483" s="18"/>
      <c r="U1483" s="27"/>
      <c r="V1483" s="27"/>
      <c r="W1483" s="30"/>
      <c r="X1483" s="27">
        <v>1</v>
      </c>
      <c r="Y1483" s="27" t="s">
        <v>1905</v>
      </c>
      <c r="Z1483" s="27">
        <v>1</v>
      </c>
      <c r="AA1483" s="27"/>
      <c r="AB1483" s="27"/>
      <c r="AC1483" s="273">
        <v>1756747244.267477</v>
      </c>
      <c r="AD1483" s="27">
        <v>74963815412.621368</v>
      </c>
      <c r="AE1483" s="228">
        <v>2.3434602876039049E-2</v>
      </c>
      <c r="AF1483" s="27">
        <v>13895292824.883497</v>
      </c>
      <c r="AG1483" s="226">
        <v>0.12642750796309368</v>
      </c>
      <c r="AH1483" s="226">
        <v>0.53078781087794979</v>
      </c>
      <c r="AI1483" s="27">
        <v>450480000</v>
      </c>
      <c r="AJ1483" s="226">
        <v>3.8997230604410342</v>
      </c>
      <c r="AK1483" s="27">
        <v>1986629106.2530906</v>
      </c>
      <c r="AL1483" s="226">
        <v>0.88428546563521082</v>
      </c>
      <c r="AM1483" s="27">
        <v>2039555518.694272</v>
      </c>
      <c r="AN1483" s="271">
        <v>0.86133828089766862</v>
      </c>
      <c r="AO1483" s="27">
        <v>27723281</v>
      </c>
      <c r="AP1483" s="27">
        <v>55.6</v>
      </c>
      <c r="AQ1483" s="27">
        <v>72.418609756097567</v>
      </c>
      <c r="AR1483" s="27">
        <v>21.5</v>
      </c>
      <c r="AS1483" s="29">
        <v>99.638220000000004</v>
      </c>
      <c r="AT1483" s="270">
        <v>38</v>
      </c>
      <c r="AU1483" s="464">
        <v>72.816286549781523</v>
      </c>
      <c r="AV1483" s="29">
        <v>-1.8341252380880701E-2</v>
      </c>
      <c r="AW1483" s="29">
        <v>-0.97676687745370405</v>
      </c>
      <c r="AX1483" s="29">
        <v>-0.60044293542902905</v>
      </c>
      <c r="AY1483" s="29">
        <v>8.1359403889796206E-2</v>
      </c>
      <c r="AZ1483" s="60">
        <v>-0.36012924757922499</v>
      </c>
    </row>
    <row r="1484" spans="1:52" ht="15" customHeight="1">
      <c r="A1484" s="63" t="s">
        <v>444</v>
      </c>
      <c r="B1484" s="27">
        <v>2005</v>
      </c>
      <c r="C1484" s="27" t="s">
        <v>442</v>
      </c>
      <c r="D1484" s="69" t="s">
        <v>214</v>
      </c>
      <c r="E1484" s="29" t="s">
        <v>19</v>
      </c>
      <c r="F1484" s="27" t="s">
        <v>1906</v>
      </c>
      <c r="G1484" s="43">
        <v>42145</v>
      </c>
      <c r="H1484" s="43"/>
      <c r="I1484" s="43"/>
      <c r="J1484" s="43"/>
      <c r="K1484" s="27" t="s">
        <v>567</v>
      </c>
      <c r="L1484" s="28"/>
      <c r="M1484" s="27"/>
      <c r="N1484" s="27" t="s">
        <v>1057</v>
      </c>
      <c r="O1484" s="18"/>
      <c r="P1484" s="214"/>
      <c r="Q1484" s="214"/>
      <c r="R1484" s="29"/>
      <c r="S1484" s="27"/>
      <c r="T1484" s="18"/>
      <c r="U1484" s="27"/>
      <c r="V1484" s="29"/>
      <c r="W1484" s="30"/>
      <c r="X1484" s="27"/>
      <c r="Y1484" s="27"/>
      <c r="Z1484" s="27"/>
      <c r="AA1484" s="27"/>
      <c r="AB1484" s="27"/>
      <c r="AC1484" s="273">
        <v>1756747244.267477</v>
      </c>
      <c r="AD1484" s="27">
        <v>74963815412.621368</v>
      </c>
      <c r="AE1484" s="228">
        <v>2.3434602876039049E-2</v>
      </c>
      <c r="AF1484" s="27">
        <v>13895292824.883497</v>
      </c>
      <c r="AG1484" s="226">
        <v>0.12642750796309368</v>
      </c>
      <c r="AH1484" s="226">
        <v>0.53078781087794979</v>
      </c>
      <c r="AI1484" s="27">
        <v>450480000</v>
      </c>
      <c r="AJ1484" s="226">
        <v>3.8997230604410342</v>
      </c>
      <c r="AK1484" s="27">
        <v>1986629106.2530906</v>
      </c>
      <c r="AL1484" s="226">
        <v>0.88428546563521082</v>
      </c>
      <c r="AM1484" s="27">
        <v>2039555518.694272</v>
      </c>
      <c r="AN1484" s="271">
        <v>0.86133828089766862</v>
      </c>
      <c r="AO1484" s="27">
        <v>27723281</v>
      </c>
      <c r="AP1484" s="27">
        <v>55.6</v>
      </c>
      <c r="AQ1484" s="27">
        <v>72.418609756097567</v>
      </c>
      <c r="AR1484" s="27">
        <v>21.5</v>
      </c>
      <c r="AS1484" s="29">
        <v>99.638220000000004</v>
      </c>
      <c r="AT1484" s="270">
        <v>38</v>
      </c>
      <c r="AU1484" s="464">
        <v>72.816286549781523</v>
      </c>
      <c r="AV1484" s="29">
        <v>-1.8341252380880701E-2</v>
      </c>
      <c r="AW1484" s="29">
        <v>-0.97676687745370405</v>
      </c>
      <c r="AX1484" s="29">
        <v>-0.60044293542902905</v>
      </c>
      <c r="AY1484" s="29">
        <v>8.1359403889796206E-2</v>
      </c>
      <c r="AZ1484" s="60">
        <v>-0.36012924757922499</v>
      </c>
    </row>
    <row r="1485" spans="1:52" ht="15" customHeight="1">
      <c r="A1485" s="63" t="s">
        <v>444</v>
      </c>
      <c r="B1485" s="27">
        <v>2005</v>
      </c>
      <c r="C1485" s="27" t="s">
        <v>442</v>
      </c>
      <c r="D1485" s="69" t="s">
        <v>214</v>
      </c>
      <c r="E1485" s="29" t="s">
        <v>19</v>
      </c>
      <c r="F1485" s="27" t="s">
        <v>1238</v>
      </c>
      <c r="G1485" s="43">
        <v>36733</v>
      </c>
      <c r="H1485" s="43"/>
      <c r="I1485" s="43"/>
      <c r="J1485" s="43"/>
      <c r="K1485" s="27" t="s">
        <v>567</v>
      </c>
      <c r="L1485" s="28"/>
      <c r="M1485" s="27"/>
      <c r="N1485" s="27" t="s">
        <v>1057</v>
      </c>
      <c r="O1485" s="18"/>
      <c r="P1485" s="214"/>
      <c r="Q1485" s="214"/>
      <c r="R1485" s="29"/>
      <c r="S1485" s="27"/>
      <c r="T1485" s="18"/>
      <c r="U1485" s="27"/>
      <c r="V1485" s="29"/>
      <c r="W1485" s="30"/>
      <c r="X1485" s="27"/>
      <c r="Y1485" s="27"/>
      <c r="Z1485" s="27"/>
      <c r="AA1485" s="27"/>
      <c r="AB1485" s="27"/>
      <c r="AC1485" s="273">
        <v>1756747244.267477</v>
      </c>
      <c r="AD1485" s="27">
        <v>74963815412.621368</v>
      </c>
      <c r="AE1485" s="228">
        <v>2.3434602876039049E-2</v>
      </c>
      <c r="AF1485" s="27">
        <v>13895292824.883497</v>
      </c>
      <c r="AG1485" s="226">
        <v>0.12642750796309368</v>
      </c>
      <c r="AH1485" s="226">
        <v>0.53078781087794979</v>
      </c>
      <c r="AI1485" s="27">
        <v>450480000</v>
      </c>
      <c r="AJ1485" s="226">
        <v>3.8997230604410342</v>
      </c>
      <c r="AK1485" s="27">
        <v>1986629106.2530906</v>
      </c>
      <c r="AL1485" s="226">
        <v>0.88428546563521082</v>
      </c>
      <c r="AM1485" s="27">
        <v>2039555518.694272</v>
      </c>
      <c r="AN1485" s="271">
        <v>0.86133828089766862</v>
      </c>
      <c r="AO1485" s="27">
        <v>27723281</v>
      </c>
      <c r="AP1485" s="27">
        <v>55.6</v>
      </c>
      <c r="AQ1485" s="27">
        <v>72.418609756097567</v>
      </c>
      <c r="AR1485" s="27">
        <v>21.5</v>
      </c>
      <c r="AS1485" s="29">
        <v>99.638220000000004</v>
      </c>
      <c r="AT1485" s="270">
        <v>38</v>
      </c>
      <c r="AU1485" s="464">
        <v>72.816286549781523</v>
      </c>
      <c r="AV1485" s="29">
        <v>-1.8341252380880701E-2</v>
      </c>
      <c r="AW1485" s="29">
        <v>-0.97676687745370405</v>
      </c>
      <c r="AX1485" s="29">
        <v>-0.60044293542902905</v>
      </c>
      <c r="AY1485" s="29">
        <v>8.1359403889796206E-2</v>
      </c>
      <c r="AZ1485" s="60">
        <v>-0.36012924757922499</v>
      </c>
    </row>
    <row r="1486" spans="1:52" ht="15" customHeight="1">
      <c r="A1486" s="63" t="s">
        <v>444</v>
      </c>
      <c r="B1486" s="27">
        <v>2005</v>
      </c>
      <c r="C1486" s="27" t="s">
        <v>442</v>
      </c>
      <c r="D1486" s="69" t="s">
        <v>214</v>
      </c>
      <c r="E1486" s="29" t="s">
        <v>19</v>
      </c>
      <c r="F1486" s="27" t="s">
        <v>790</v>
      </c>
      <c r="G1486" s="43"/>
      <c r="H1486" s="43"/>
      <c r="I1486" s="43"/>
      <c r="J1486" s="43"/>
      <c r="K1486" s="27"/>
      <c r="L1486" s="44">
        <f>1381.30591666667</f>
        <v>1381.3059166666701</v>
      </c>
      <c r="M1486" s="27" t="s">
        <v>568</v>
      </c>
      <c r="N1486" s="27" t="s">
        <v>1907</v>
      </c>
      <c r="O1486" s="18">
        <f>G1488*L1486</f>
        <v>228748403.71775058</v>
      </c>
      <c r="P1486" s="244"/>
      <c r="Q1486" s="244"/>
      <c r="R1486" s="27"/>
      <c r="S1486" s="27"/>
      <c r="T1486" s="18"/>
      <c r="U1486" s="27"/>
      <c r="V1486" s="27"/>
      <c r="W1486" s="30"/>
      <c r="X1486" s="27">
        <v>10</v>
      </c>
      <c r="Y1486" s="27" t="s">
        <v>1908</v>
      </c>
      <c r="Z1486" s="27">
        <v>10</v>
      </c>
      <c r="AA1486" s="27"/>
      <c r="AB1486" s="27"/>
      <c r="AC1486" s="273">
        <v>1756747244.267477</v>
      </c>
      <c r="AD1486" s="27">
        <v>74963815412.621368</v>
      </c>
      <c r="AE1486" s="228">
        <v>2.3434602876039049E-2</v>
      </c>
      <c r="AF1486" s="27">
        <v>13895292824.883497</v>
      </c>
      <c r="AG1486" s="226">
        <v>0.12642750796309368</v>
      </c>
      <c r="AH1486" s="226">
        <v>0.53078781087794979</v>
      </c>
      <c r="AI1486" s="27">
        <v>450480000</v>
      </c>
      <c r="AJ1486" s="226">
        <v>3.8997230604410342</v>
      </c>
      <c r="AK1486" s="27">
        <v>1986629106.2530906</v>
      </c>
      <c r="AL1486" s="226">
        <v>0.88428546563521082</v>
      </c>
      <c r="AM1486" s="27">
        <v>2039555518.694272</v>
      </c>
      <c r="AN1486" s="271">
        <v>0.86133828089766862</v>
      </c>
      <c r="AO1486" s="27">
        <v>27723281</v>
      </c>
      <c r="AP1486" s="27">
        <v>55.6</v>
      </c>
      <c r="AQ1486" s="27">
        <v>72.418609756097567</v>
      </c>
      <c r="AR1486" s="27">
        <v>21.5</v>
      </c>
      <c r="AS1486" s="29">
        <v>99.638220000000004</v>
      </c>
      <c r="AT1486" s="270">
        <v>38</v>
      </c>
      <c r="AU1486" s="464">
        <v>72.816286549781523</v>
      </c>
      <c r="AV1486" s="29">
        <v>-1.8341252380880701E-2</v>
      </c>
      <c r="AW1486" s="29">
        <v>-0.97676687745370405</v>
      </c>
      <c r="AX1486" s="29">
        <v>-0.60044293542902905</v>
      </c>
      <c r="AY1486" s="29">
        <v>8.1359403889796206E-2</v>
      </c>
      <c r="AZ1486" s="60">
        <v>-0.36012924757922499</v>
      </c>
    </row>
    <row r="1487" spans="1:52" ht="15" customHeight="1">
      <c r="A1487" s="63" t="s">
        <v>444</v>
      </c>
      <c r="B1487" s="27">
        <v>2005</v>
      </c>
      <c r="C1487" s="27" t="s">
        <v>442</v>
      </c>
      <c r="D1487" s="69" t="s">
        <v>214</v>
      </c>
      <c r="E1487" s="29" t="s">
        <v>19</v>
      </c>
      <c r="F1487" s="27" t="s">
        <v>1909</v>
      </c>
      <c r="G1487" s="43">
        <v>1201671</v>
      </c>
      <c r="H1487" s="43"/>
      <c r="I1487" s="43"/>
      <c r="J1487" s="43"/>
      <c r="K1487" s="27" t="s">
        <v>567</v>
      </c>
      <c r="L1487" s="28"/>
      <c r="M1487" s="27"/>
      <c r="N1487" s="27" t="s">
        <v>1057</v>
      </c>
      <c r="O1487" s="18"/>
      <c r="P1487" s="214"/>
      <c r="Q1487" s="214"/>
      <c r="R1487" s="29"/>
      <c r="S1487" s="27"/>
      <c r="T1487" s="18"/>
      <c r="U1487" s="27"/>
      <c r="V1487" s="29"/>
      <c r="W1487" s="30"/>
      <c r="X1487" s="27"/>
      <c r="Y1487" s="27"/>
      <c r="Z1487" s="27"/>
      <c r="AA1487" s="27"/>
      <c r="AB1487" s="27"/>
      <c r="AC1487" s="273">
        <v>1756747244.267477</v>
      </c>
      <c r="AD1487" s="27">
        <v>74963815412.621368</v>
      </c>
      <c r="AE1487" s="228">
        <v>2.3434602876039049E-2</v>
      </c>
      <c r="AF1487" s="27">
        <v>13895292824.883497</v>
      </c>
      <c r="AG1487" s="226">
        <v>0.12642750796309368</v>
      </c>
      <c r="AH1487" s="226">
        <v>0.53078781087794979</v>
      </c>
      <c r="AI1487" s="27">
        <v>450480000</v>
      </c>
      <c r="AJ1487" s="226">
        <v>3.8997230604410342</v>
      </c>
      <c r="AK1487" s="27">
        <v>1986629106.2530906</v>
      </c>
      <c r="AL1487" s="226">
        <v>0.88428546563521082</v>
      </c>
      <c r="AM1487" s="27">
        <v>2039555518.694272</v>
      </c>
      <c r="AN1487" s="271">
        <v>0.86133828089766862</v>
      </c>
      <c r="AO1487" s="27">
        <v>27723281</v>
      </c>
      <c r="AP1487" s="27">
        <v>55.6</v>
      </c>
      <c r="AQ1487" s="27">
        <v>72.418609756097567</v>
      </c>
      <c r="AR1487" s="27">
        <v>21.5</v>
      </c>
      <c r="AS1487" s="29">
        <v>99.638220000000004</v>
      </c>
      <c r="AT1487" s="270">
        <v>38</v>
      </c>
      <c r="AU1487" s="464">
        <v>72.816286549781523</v>
      </c>
      <c r="AV1487" s="29">
        <v>-1.8341252380880701E-2</v>
      </c>
      <c r="AW1487" s="29">
        <v>-0.97676687745370405</v>
      </c>
      <c r="AX1487" s="29">
        <v>-0.60044293542902905</v>
      </c>
      <c r="AY1487" s="29">
        <v>8.1359403889796206E-2</v>
      </c>
      <c r="AZ1487" s="60">
        <v>-0.36012924757922499</v>
      </c>
    </row>
    <row r="1488" spans="1:52" s="287" customFormat="1" ht="15" customHeight="1">
      <c r="A1488" s="359" t="s">
        <v>444</v>
      </c>
      <c r="B1488" s="284">
        <v>2005</v>
      </c>
      <c r="C1488" s="284" t="s">
        <v>442</v>
      </c>
      <c r="D1488" s="369" t="s">
        <v>214</v>
      </c>
      <c r="E1488" s="287" t="s">
        <v>19</v>
      </c>
      <c r="F1488" s="284" t="s">
        <v>1238</v>
      </c>
      <c r="G1488" s="303">
        <v>165603</v>
      </c>
      <c r="H1488" s="303"/>
      <c r="I1488" s="303"/>
      <c r="J1488" s="303"/>
      <c r="K1488" s="284" t="s">
        <v>567</v>
      </c>
      <c r="L1488" s="304"/>
      <c r="M1488" s="284"/>
      <c r="N1488" s="284" t="s">
        <v>1057</v>
      </c>
      <c r="O1488" s="305"/>
      <c r="P1488" s="346"/>
      <c r="Q1488" s="346"/>
      <c r="S1488" s="284"/>
      <c r="T1488" s="305"/>
      <c r="U1488" s="284"/>
      <c r="W1488" s="307"/>
      <c r="X1488" s="284"/>
      <c r="Y1488" s="284"/>
      <c r="Z1488" s="284"/>
      <c r="AA1488" s="284"/>
      <c r="AB1488" s="284"/>
      <c r="AC1488" s="308">
        <v>1756747244.267477</v>
      </c>
      <c r="AD1488" s="284">
        <v>74963815412.621368</v>
      </c>
      <c r="AE1488" s="309">
        <v>2.3434602876039049E-2</v>
      </c>
      <c r="AF1488" s="284">
        <v>13895292824.883497</v>
      </c>
      <c r="AG1488" s="310">
        <v>0.12642750796309368</v>
      </c>
      <c r="AH1488" s="310">
        <v>0.53078781087794979</v>
      </c>
      <c r="AI1488" s="284">
        <v>450480000</v>
      </c>
      <c r="AJ1488" s="310">
        <v>3.8997230604410342</v>
      </c>
      <c r="AK1488" s="284">
        <v>1986629106.2530906</v>
      </c>
      <c r="AL1488" s="310">
        <v>0.88428546563521082</v>
      </c>
      <c r="AM1488" s="284">
        <v>2039555518.694272</v>
      </c>
      <c r="AN1488" s="311">
        <v>0.86133828089766862</v>
      </c>
      <c r="AO1488" s="284">
        <v>27723281</v>
      </c>
      <c r="AP1488" s="284">
        <v>55.6</v>
      </c>
      <c r="AQ1488" s="284">
        <v>72.418609756097567</v>
      </c>
      <c r="AR1488" s="284">
        <v>21.5</v>
      </c>
      <c r="AS1488" s="287">
        <v>99.638220000000004</v>
      </c>
      <c r="AT1488" s="312">
        <v>38</v>
      </c>
      <c r="AU1488" s="465">
        <v>72.816286549781523</v>
      </c>
      <c r="AV1488" s="287">
        <v>-1.8341252380880701E-2</v>
      </c>
      <c r="AW1488" s="287">
        <v>-0.97676687745370405</v>
      </c>
      <c r="AX1488" s="287">
        <v>-0.60044293542902905</v>
      </c>
      <c r="AY1488" s="287">
        <v>8.1359403889796206E-2</v>
      </c>
      <c r="AZ1488" s="313">
        <v>-0.36012924757922499</v>
      </c>
    </row>
    <row r="1489" spans="1:52" s="29" customFormat="1" ht="15" customHeight="1">
      <c r="A1489" s="347" t="s">
        <v>445</v>
      </c>
      <c r="B1489" s="27">
        <v>2006</v>
      </c>
      <c r="C1489" s="27" t="s">
        <v>442</v>
      </c>
      <c r="D1489" s="69" t="s">
        <v>214</v>
      </c>
      <c r="E1489" s="27" t="s">
        <v>30</v>
      </c>
      <c r="F1489" s="27" t="s">
        <v>659</v>
      </c>
      <c r="G1489" s="43"/>
      <c r="H1489" s="43"/>
      <c r="I1489" s="43"/>
      <c r="J1489" s="43"/>
      <c r="K1489" s="27"/>
      <c r="L1489" s="28"/>
      <c r="M1489" s="27"/>
      <c r="N1489" s="27"/>
      <c r="O1489" s="18">
        <f>O1490+O1493</f>
        <v>22517414758.921078</v>
      </c>
      <c r="P1489" s="214">
        <v>2926435259.9327216</v>
      </c>
      <c r="Q1489" s="214">
        <v>2926253811.7614679</v>
      </c>
      <c r="R1489" s="27" t="s">
        <v>619</v>
      </c>
      <c r="S1489" s="27"/>
      <c r="T1489" s="18"/>
      <c r="U1489" s="27" t="s">
        <v>1879</v>
      </c>
      <c r="V1489" s="27" t="s">
        <v>1880</v>
      </c>
      <c r="W1489" s="30">
        <v>3.27</v>
      </c>
      <c r="X1489" s="27">
        <v>33</v>
      </c>
      <c r="Y1489" s="27" t="s">
        <v>1881</v>
      </c>
      <c r="Z1489" s="27">
        <v>33</v>
      </c>
      <c r="AA1489" s="27" t="s">
        <v>1882</v>
      </c>
      <c r="AB1489" s="27" t="s">
        <v>1911</v>
      </c>
      <c r="AC1489" s="273">
        <v>2926435259.9327216</v>
      </c>
      <c r="AD1489" s="27">
        <v>87985689388.379211</v>
      </c>
      <c r="AE1489" s="228">
        <v>3.3260354954032255E-2</v>
      </c>
      <c r="AF1489" s="27">
        <v>15629777862.951683</v>
      </c>
      <c r="AG1489" s="226">
        <v>0.18723460343409284</v>
      </c>
      <c r="AH1489" s="226">
        <v>0.59996022072169664</v>
      </c>
      <c r="AI1489" s="27">
        <v>463440000</v>
      </c>
      <c r="AJ1489" s="226">
        <v>6.314593604204906</v>
      </c>
      <c r="AK1489" s="27">
        <v>2237979848.0380244</v>
      </c>
      <c r="AL1489" s="226">
        <v>1.3076235974592207</v>
      </c>
      <c r="AM1489" s="27">
        <v>2241549818.565165</v>
      </c>
      <c r="AN1489" s="271">
        <v>1.3055410304491726</v>
      </c>
      <c r="AO1489" s="27">
        <v>28030688</v>
      </c>
      <c r="AP1489" s="27">
        <v>49.2</v>
      </c>
      <c r="AQ1489" s="27">
        <v>72.72097560975611</v>
      </c>
      <c r="AR1489" s="27">
        <v>20</v>
      </c>
      <c r="AS1489" s="29">
        <v>99.710220000000007</v>
      </c>
      <c r="AT1489" s="270">
        <v>38</v>
      </c>
      <c r="AU1489" s="464">
        <v>72.816286549781523</v>
      </c>
      <c r="AV1489" s="29">
        <v>4.6586424280511997E-2</v>
      </c>
      <c r="AW1489" s="29">
        <v>-0.85037808720575603</v>
      </c>
      <c r="AX1489" s="29">
        <v>-0.58013716140483895</v>
      </c>
      <c r="AY1489" s="29">
        <v>0.15895971262752601</v>
      </c>
      <c r="AZ1489" s="60">
        <v>-0.216828366148589</v>
      </c>
    </row>
    <row r="1490" spans="1:52" s="29" customFormat="1" ht="15" customHeight="1">
      <c r="A1490" s="63" t="s">
        <v>445</v>
      </c>
      <c r="B1490" s="27">
        <v>2006</v>
      </c>
      <c r="C1490" s="27" t="s">
        <v>442</v>
      </c>
      <c r="D1490" s="69" t="s">
        <v>214</v>
      </c>
      <c r="E1490" s="29" t="s">
        <v>50</v>
      </c>
      <c r="F1490" s="27" t="s">
        <v>597</v>
      </c>
      <c r="G1490" s="43"/>
      <c r="H1490" s="43"/>
      <c r="I1490" s="43"/>
      <c r="J1490" s="43"/>
      <c r="K1490" s="27"/>
      <c r="L1490" s="28"/>
      <c r="M1490" s="27"/>
      <c r="N1490" s="27"/>
      <c r="O1490" s="18">
        <f>SUM(O1491:O1492)</f>
        <v>2737099850.0000005</v>
      </c>
      <c r="P1490" s="214">
        <v>599046968.63608563</v>
      </c>
      <c r="Q1490" s="214">
        <v>599007421.15902138</v>
      </c>
      <c r="R1490" s="27"/>
      <c r="S1490" s="27"/>
      <c r="T1490" s="18"/>
      <c r="U1490" s="27"/>
      <c r="V1490" s="27"/>
      <c r="W1490" s="30"/>
      <c r="X1490" s="27">
        <v>9</v>
      </c>
      <c r="Y1490" s="27" t="s">
        <v>1884</v>
      </c>
      <c r="Z1490" s="27">
        <v>9</v>
      </c>
      <c r="AA1490" s="27"/>
      <c r="AB1490" s="27"/>
      <c r="AC1490" s="273">
        <v>2926435259.9327216</v>
      </c>
      <c r="AD1490" s="27">
        <v>87985689388.379211</v>
      </c>
      <c r="AE1490" s="228">
        <v>3.3260354954032255E-2</v>
      </c>
      <c r="AF1490" s="27">
        <v>15629777862.951683</v>
      </c>
      <c r="AG1490" s="226">
        <v>0.18723460343409284</v>
      </c>
      <c r="AH1490" s="226">
        <v>0.59996022072169664</v>
      </c>
      <c r="AI1490" s="27">
        <v>463440000</v>
      </c>
      <c r="AJ1490" s="226">
        <v>6.314593604204906</v>
      </c>
      <c r="AK1490" s="27">
        <v>2237979848.0380244</v>
      </c>
      <c r="AL1490" s="226">
        <v>1.3076235974592207</v>
      </c>
      <c r="AM1490" s="27">
        <v>2241549818.565165</v>
      </c>
      <c r="AN1490" s="271">
        <v>1.3055410304491726</v>
      </c>
      <c r="AO1490" s="27">
        <v>28030688</v>
      </c>
      <c r="AP1490" s="27">
        <v>49.2</v>
      </c>
      <c r="AQ1490" s="27">
        <v>72.72097560975611</v>
      </c>
      <c r="AR1490" s="27">
        <v>20</v>
      </c>
      <c r="AS1490" s="29">
        <v>99.710220000000007</v>
      </c>
      <c r="AT1490" s="270">
        <v>38</v>
      </c>
      <c r="AU1490" s="464">
        <v>72.816286549781523</v>
      </c>
      <c r="AV1490" s="29">
        <v>4.6586424280511997E-2</v>
      </c>
      <c r="AW1490" s="29">
        <v>-0.85037808720575603</v>
      </c>
      <c r="AX1490" s="29">
        <v>-0.58013716140483895</v>
      </c>
      <c r="AY1490" s="29">
        <v>0.15895971262752601</v>
      </c>
      <c r="AZ1490" s="60">
        <v>-0.216828366148589</v>
      </c>
    </row>
    <row r="1491" spans="1:52" s="29" customFormat="1" ht="15" customHeight="1">
      <c r="A1491" s="63" t="s">
        <v>445</v>
      </c>
      <c r="B1491" s="27">
        <v>2006</v>
      </c>
      <c r="C1491" s="27" t="s">
        <v>442</v>
      </c>
      <c r="D1491" s="69" t="s">
        <v>214</v>
      </c>
      <c r="E1491" s="29" t="s">
        <v>552</v>
      </c>
      <c r="F1491" s="27" t="s">
        <v>552</v>
      </c>
      <c r="G1491" s="43">
        <v>1800000000</v>
      </c>
      <c r="H1491" s="43"/>
      <c r="I1491" s="43"/>
      <c r="J1491" s="43"/>
      <c r="K1491" s="27" t="s">
        <v>599</v>
      </c>
      <c r="L1491" s="28">
        <v>0.243474</v>
      </c>
      <c r="M1491" s="27" t="s">
        <v>600</v>
      </c>
      <c r="N1491" s="27" t="s">
        <v>685</v>
      </c>
      <c r="O1491" s="18">
        <f>G1491*L1491</f>
        <v>438253200</v>
      </c>
      <c r="P1491" s="244"/>
      <c r="Q1491" s="244"/>
      <c r="R1491" s="18"/>
      <c r="S1491" s="27"/>
      <c r="T1491" s="18"/>
      <c r="U1491" s="27"/>
      <c r="V1491" s="18"/>
      <c r="W1491" s="30"/>
      <c r="X1491" s="27">
        <v>6</v>
      </c>
      <c r="Y1491" s="27" t="s">
        <v>1885</v>
      </c>
      <c r="Z1491" s="27">
        <v>6</v>
      </c>
      <c r="AA1491" s="27"/>
      <c r="AB1491" s="27"/>
      <c r="AC1491" s="273">
        <v>2926435259.9327216</v>
      </c>
      <c r="AD1491" s="27">
        <v>87985689388.379211</v>
      </c>
      <c r="AE1491" s="228">
        <v>3.3260354954032255E-2</v>
      </c>
      <c r="AF1491" s="27">
        <v>15629777862.951683</v>
      </c>
      <c r="AG1491" s="226">
        <v>0.18723460343409284</v>
      </c>
      <c r="AH1491" s="226">
        <v>0.59996022072169664</v>
      </c>
      <c r="AI1491" s="27">
        <v>463440000</v>
      </c>
      <c r="AJ1491" s="226">
        <v>6.314593604204906</v>
      </c>
      <c r="AK1491" s="27">
        <v>2237979848.0380244</v>
      </c>
      <c r="AL1491" s="226">
        <v>1.3076235974592207</v>
      </c>
      <c r="AM1491" s="27">
        <v>2241549818.565165</v>
      </c>
      <c r="AN1491" s="271">
        <v>1.3055410304491726</v>
      </c>
      <c r="AO1491" s="27">
        <v>28030688</v>
      </c>
      <c r="AP1491" s="27">
        <v>49.2</v>
      </c>
      <c r="AQ1491" s="27">
        <v>72.72097560975611</v>
      </c>
      <c r="AR1491" s="27">
        <v>20</v>
      </c>
      <c r="AS1491" s="29">
        <v>99.710220000000007</v>
      </c>
      <c r="AT1491" s="270">
        <v>38</v>
      </c>
      <c r="AU1491" s="464">
        <v>72.816286549781523</v>
      </c>
      <c r="AV1491" s="29">
        <v>4.6586424280511997E-2</v>
      </c>
      <c r="AW1491" s="29">
        <v>-0.85037808720575603</v>
      </c>
      <c r="AX1491" s="29">
        <v>-0.58013716140483895</v>
      </c>
      <c r="AY1491" s="29">
        <v>0.15895971262752601</v>
      </c>
      <c r="AZ1491" s="60">
        <v>-0.216828366148589</v>
      </c>
    </row>
    <row r="1492" spans="1:52" s="29" customFormat="1" ht="15" customHeight="1">
      <c r="A1492" s="63" t="s">
        <v>445</v>
      </c>
      <c r="B1492" s="27">
        <v>2006</v>
      </c>
      <c r="C1492" s="27" t="s">
        <v>442</v>
      </c>
      <c r="D1492" s="69" t="s">
        <v>214</v>
      </c>
      <c r="E1492" s="29" t="s">
        <v>98</v>
      </c>
      <c r="F1492" s="27" t="s">
        <v>98</v>
      </c>
      <c r="G1492" s="43">
        <v>35405000</v>
      </c>
      <c r="H1492" s="43"/>
      <c r="I1492" s="43"/>
      <c r="J1492" s="43"/>
      <c r="K1492" s="27" t="s">
        <v>603</v>
      </c>
      <c r="L1492" s="28">
        <v>64.930000000000007</v>
      </c>
      <c r="M1492" s="27" t="s">
        <v>626</v>
      </c>
      <c r="N1492" s="27" t="s">
        <v>687</v>
      </c>
      <c r="O1492" s="18">
        <f>G1492*L1492</f>
        <v>2298846650.0000005</v>
      </c>
      <c r="P1492" s="214"/>
      <c r="Q1492" s="214"/>
      <c r="R1492" s="18"/>
      <c r="S1492" s="27"/>
      <c r="T1492" s="18"/>
      <c r="U1492" s="27"/>
      <c r="V1492" s="18"/>
      <c r="W1492" s="30"/>
      <c r="X1492" s="27">
        <v>8</v>
      </c>
      <c r="Y1492" s="27" t="s">
        <v>1886</v>
      </c>
      <c r="Z1492" s="27">
        <v>8</v>
      </c>
      <c r="AA1492" s="27"/>
      <c r="AB1492" s="27"/>
      <c r="AC1492" s="273">
        <v>2926435259.9327216</v>
      </c>
      <c r="AD1492" s="27">
        <v>87985689388.379211</v>
      </c>
      <c r="AE1492" s="228">
        <v>3.3260354954032255E-2</v>
      </c>
      <c r="AF1492" s="27">
        <v>15629777862.951683</v>
      </c>
      <c r="AG1492" s="226">
        <v>0.18723460343409284</v>
      </c>
      <c r="AH1492" s="226">
        <v>0.59996022072169664</v>
      </c>
      <c r="AI1492" s="27">
        <v>463440000</v>
      </c>
      <c r="AJ1492" s="226">
        <v>6.314593604204906</v>
      </c>
      <c r="AK1492" s="27">
        <v>2237979848.0380244</v>
      </c>
      <c r="AL1492" s="226">
        <v>1.3076235974592207</v>
      </c>
      <c r="AM1492" s="27">
        <v>2241549818.565165</v>
      </c>
      <c r="AN1492" s="271">
        <v>1.3055410304491726</v>
      </c>
      <c r="AO1492" s="27">
        <v>28030688</v>
      </c>
      <c r="AP1492" s="27">
        <v>49.2</v>
      </c>
      <c r="AQ1492" s="27">
        <v>72.72097560975611</v>
      </c>
      <c r="AR1492" s="27">
        <v>20</v>
      </c>
      <c r="AS1492" s="29">
        <v>99.710220000000007</v>
      </c>
      <c r="AT1492" s="270">
        <v>38</v>
      </c>
      <c r="AU1492" s="464">
        <v>72.816286549781523</v>
      </c>
      <c r="AV1492" s="29">
        <v>4.6586424280511997E-2</v>
      </c>
      <c r="AW1492" s="29">
        <v>-0.85037808720575603</v>
      </c>
      <c r="AX1492" s="29">
        <v>-0.58013716140483895</v>
      </c>
      <c r="AY1492" s="29">
        <v>0.15895971262752601</v>
      </c>
      <c r="AZ1492" s="60">
        <v>-0.216828366148589</v>
      </c>
    </row>
    <row r="1493" spans="1:52" s="29" customFormat="1" ht="15" customHeight="1">
      <c r="A1493" s="63" t="s">
        <v>445</v>
      </c>
      <c r="B1493" s="27">
        <v>2006</v>
      </c>
      <c r="C1493" s="27" t="s">
        <v>442</v>
      </c>
      <c r="D1493" s="69" t="s">
        <v>214</v>
      </c>
      <c r="E1493" s="29" t="s">
        <v>19</v>
      </c>
      <c r="F1493" s="27" t="s">
        <v>559</v>
      </c>
      <c r="G1493" s="43"/>
      <c r="H1493" s="43"/>
      <c r="I1493" s="43"/>
      <c r="J1493" s="43"/>
      <c r="K1493" s="27"/>
      <c r="L1493" s="28"/>
      <c r="M1493" s="27"/>
      <c r="N1493" s="27"/>
      <c r="O1493" s="18">
        <f>SUM(O1494:O1516)</f>
        <v>19780314908.921078</v>
      </c>
      <c r="P1493" s="214">
        <v>2327388291.2966361</v>
      </c>
      <c r="Q1493" s="214">
        <v>2327246390.6024466</v>
      </c>
      <c r="R1493" s="18"/>
      <c r="S1493" s="27"/>
      <c r="T1493" s="18"/>
      <c r="U1493" s="27"/>
      <c r="V1493" s="18"/>
      <c r="W1493" s="30"/>
      <c r="X1493" s="27">
        <v>24</v>
      </c>
      <c r="Y1493" s="27" t="s">
        <v>1887</v>
      </c>
      <c r="Z1493" s="27">
        <v>24</v>
      </c>
      <c r="AA1493" s="27"/>
      <c r="AB1493" s="27"/>
      <c r="AC1493" s="273">
        <v>2926435259.9327216</v>
      </c>
      <c r="AD1493" s="27">
        <v>87985689388.379211</v>
      </c>
      <c r="AE1493" s="228">
        <v>3.3260354954032255E-2</v>
      </c>
      <c r="AF1493" s="27">
        <v>15629777862.951683</v>
      </c>
      <c r="AG1493" s="226">
        <v>0.18723460343409284</v>
      </c>
      <c r="AH1493" s="226">
        <v>0.59996022072169664</v>
      </c>
      <c r="AI1493" s="27">
        <v>463440000</v>
      </c>
      <c r="AJ1493" s="226">
        <v>6.314593604204906</v>
      </c>
      <c r="AK1493" s="27">
        <v>2237979848.0380244</v>
      </c>
      <c r="AL1493" s="226">
        <v>1.3076235974592207</v>
      </c>
      <c r="AM1493" s="27">
        <v>2241549818.565165</v>
      </c>
      <c r="AN1493" s="271">
        <v>1.3055410304491726</v>
      </c>
      <c r="AO1493" s="27">
        <v>28030688</v>
      </c>
      <c r="AP1493" s="27">
        <v>49.2</v>
      </c>
      <c r="AQ1493" s="27">
        <v>72.72097560975611</v>
      </c>
      <c r="AR1493" s="27">
        <v>20</v>
      </c>
      <c r="AS1493" s="29">
        <v>99.710220000000007</v>
      </c>
      <c r="AT1493" s="270">
        <v>38</v>
      </c>
      <c r="AU1493" s="464">
        <v>72.816286549781523</v>
      </c>
      <c r="AV1493" s="29">
        <v>4.6586424280511997E-2</v>
      </c>
      <c r="AW1493" s="29">
        <v>-0.85037808720575603</v>
      </c>
      <c r="AX1493" s="29">
        <v>-0.58013716140483895</v>
      </c>
      <c r="AY1493" s="29">
        <v>0.15895971262752601</v>
      </c>
      <c r="AZ1493" s="60">
        <v>-0.216828366148589</v>
      </c>
    </row>
    <row r="1494" spans="1:52" s="29" customFormat="1" ht="15" customHeight="1">
      <c r="A1494" s="63" t="s">
        <v>445</v>
      </c>
      <c r="B1494" s="27">
        <v>2006</v>
      </c>
      <c r="C1494" s="27" t="s">
        <v>442</v>
      </c>
      <c r="D1494" s="69" t="s">
        <v>214</v>
      </c>
      <c r="E1494" s="29" t="s">
        <v>19</v>
      </c>
      <c r="F1494" s="27" t="s">
        <v>1888</v>
      </c>
      <c r="G1494" s="43">
        <v>600</v>
      </c>
      <c r="H1494" s="43"/>
      <c r="I1494" s="43"/>
      <c r="J1494" s="43"/>
      <c r="K1494" s="27" t="s">
        <v>567</v>
      </c>
      <c r="L1494" s="28">
        <f>5.04/0.000453592</f>
        <v>11111.307077726238</v>
      </c>
      <c r="M1494" s="29" t="s">
        <v>568</v>
      </c>
      <c r="N1494" s="29" t="s">
        <v>1889</v>
      </c>
      <c r="O1494" s="18">
        <f>G1494*L1494</f>
        <v>6666784.2466357434</v>
      </c>
      <c r="P1494" s="214"/>
      <c r="Q1494" s="214"/>
      <c r="S1494" s="27"/>
      <c r="T1494" s="18"/>
      <c r="U1494" s="27"/>
      <c r="W1494" s="30"/>
      <c r="X1494" s="27"/>
      <c r="Y1494" s="27"/>
      <c r="Z1494" s="27"/>
      <c r="AA1494" s="27"/>
      <c r="AB1494" s="27"/>
      <c r="AC1494" s="273">
        <v>2926435259.9327216</v>
      </c>
      <c r="AD1494" s="27">
        <v>87985689388.379211</v>
      </c>
      <c r="AE1494" s="228">
        <v>3.3260354954032255E-2</v>
      </c>
      <c r="AF1494" s="27">
        <v>15629777862.951683</v>
      </c>
      <c r="AG1494" s="226">
        <v>0.18723460343409284</v>
      </c>
      <c r="AH1494" s="226">
        <v>0.59996022072169664</v>
      </c>
      <c r="AI1494" s="27">
        <v>463440000</v>
      </c>
      <c r="AJ1494" s="226">
        <v>6.314593604204906</v>
      </c>
      <c r="AK1494" s="27">
        <v>2237979848.0380244</v>
      </c>
      <c r="AL1494" s="226">
        <v>1.3076235974592207</v>
      </c>
      <c r="AM1494" s="27">
        <v>2241549818.565165</v>
      </c>
      <c r="AN1494" s="271">
        <v>1.3055410304491726</v>
      </c>
      <c r="AO1494" s="27">
        <v>28030688</v>
      </c>
      <c r="AP1494" s="27">
        <v>49.2</v>
      </c>
      <c r="AQ1494" s="27">
        <v>72.72097560975611</v>
      </c>
      <c r="AR1494" s="27">
        <v>20</v>
      </c>
      <c r="AS1494" s="29">
        <v>99.710220000000007</v>
      </c>
      <c r="AT1494" s="270">
        <v>38</v>
      </c>
      <c r="AU1494" s="464">
        <v>72.816286549781523</v>
      </c>
      <c r="AV1494" s="29">
        <v>4.6586424280511997E-2</v>
      </c>
      <c r="AW1494" s="29">
        <v>-0.85037808720575603</v>
      </c>
      <c r="AX1494" s="29">
        <v>-0.58013716140483895</v>
      </c>
      <c r="AY1494" s="29">
        <v>0.15895971262752601</v>
      </c>
      <c r="AZ1494" s="60">
        <v>-0.216828366148589</v>
      </c>
    </row>
    <row r="1495" spans="1:52" s="29" customFormat="1" ht="15" customHeight="1">
      <c r="A1495" s="63" t="s">
        <v>445</v>
      </c>
      <c r="B1495" s="27">
        <v>2006</v>
      </c>
      <c r="C1495" s="27" t="s">
        <v>442</v>
      </c>
      <c r="D1495" s="69" t="s">
        <v>214</v>
      </c>
      <c r="E1495" s="29" t="s">
        <v>19</v>
      </c>
      <c r="F1495" s="27" t="s">
        <v>576</v>
      </c>
      <c r="G1495" s="43"/>
      <c r="H1495" s="43"/>
      <c r="I1495" s="43"/>
      <c r="J1495" s="43"/>
      <c r="K1495" s="27"/>
      <c r="L1495" s="44">
        <v>6722.1345000000001</v>
      </c>
      <c r="M1495" s="27" t="s">
        <v>568</v>
      </c>
      <c r="N1495" s="27" t="s">
        <v>633</v>
      </c>
      <c r="O1495" s="18">
        <f>SUM(G1497:G1498)*L1495</f>
        <v>5578685977.2810001</v>
      </c>
      <c r="P1495" s="214"/>
      <c r="Q1495" s="214"/>
      <c r="R1495" s="18"/>
      <c r="S1495" s="27"/>
      <c r="T1495" s="18"/>
      <c r="U1495" s="27"/>
      <c r="V1495" s="18"/>
      <c r="W1495" s="30"/>
      <c r="X1495" s="27">
        <v>17</v>
      </c>
      <c r="Y1495" s="27" t="s">
        <v>1890</v>
      </c>
      <c r="Z1495" s="27">
        <v>17</v>
      </c>
      <c r="AA1495" s="27"/>
      <c r="AB1495" s="27"/>
      <c r="AC1495" s="273">
        <v>2926435259.9327216</v>
      </c>
      <c r="AD1495" s="27">
        <v>87985689388.379211</v>
      </c>
      <c r="AE1495" s="228">
        <v>3.3260354954032255E-2</v>
      </c>
      <c r="AF1495" s="27">
        <v>15629777862.951683</v>
      </c>
      <c r="AG1495" s="226">
        <v>0.18723460343409284</v>
      </c>
      <c r="AH1495" s="226">
        <v>0.59996022072169664</v>
      </c>
      <c r="AI1495" s="27">
        <v>463440000</v>
      </c>
      <c r="AJ1495" s="226">
        <v>6.314593604204906</v>
      </c>
      <c r="AK1495" s="27">
        <v>2237979848.0380244</v>
      </c>
      <c r="AL1495" s="226">
        <v>1.3076235974592207</v>
      </c>
      <c r="AM1495" s="27">
        <v>2241549818.565165</v>
      </c>
      <c r="AN1495" s="271">
        <v>1.3055410304491726</v>
      </c>
      <c r="AO1495" s="27">
        <v>28030688</v>
      </c>
      <c r="AP1495" s="27">
        <v>49.2</v>
      </c>
      <c r="AQ1495" s="27">
        <v>72.72097560975611</v>
      </c>
      <c r="AR1495" s="27">
        <v>20</v>
      </c>
      <c r="AS1495" s="29">
        <v>99.710220000000007</v>
      </c>
      <c r="AT1495" s="270">
        <v>38</v>
      </c>
      <c r="AU1495" s="464">
        <v>72.816286549781523</v>
      </c>
      <c r="AV1495" s="29">
        <v>4.6586424280511997E-2</v>
      </c>
      <c r="AW1495" s="29">
        <v>-0.85037808720575603</v>
      </c>
      <c r="AX1495" s="29">
        <v>-0.58013716140483895</v>
      </c>
      <c r="AY1495" s="29">
        <v>0.15895971262752601</v>
      </c>
      <c r="AZ1495" s="60">
        <v>-0.216828366148589</v>
      </c>
    </row>
    <row r="1496" spans="1:52" s="29" customFormat="1" ht="15" customHeight="1">
      <c r="A1496" s="63" t="s">
        <v>445</v>
      </c>
      <c r="B1496" s="27">
        <v>2006</v>
      </c>
      <c r="C1496" s="27" t="s">
        <v>442</v>
      </c>
      <c r="D1496" s="69" t="s">
        <v>214</v>
      </c>
      <c r="E1496" s="29" t="s">
        <v>19</v>
      </c>
      <c r="F1496" s="27" t="s">
        <v>1226</v>
      </c>
      <c r="G1496" s="43">
        <v>1048472</v>
      </c>
      <c r="H1496" s="43"/>
      <c r="I1496" s="43"/>
      <c r="J1496" s="43"/>
      <c r="K1496" s="27" t="s">
        <v>567</v>
      </c>
      <c r="L1496" s="28"/>
      <c r="M1496" s="27"/>
      <c r="N1496" s="27" t="s">
        <v>1057</v>
      </c>
      <c r="O1496" s="18"/>
      <c r="P1496" s="214"/>
      <c r="Q1496" s="214"/>
      <c r="S1496" s="27"/>
      <c r="T1496" s="18"/>
      <c r="U1496" s="27"/>
      <c r="W1496" s="30"/>
      <c r="X1496" s="27"/>
      <c r="Y1496" s="27"/>
      <c r="Z1496" s="27"/>
      <c r="AA1496" s="27"/>
      <c r="AB1496" s="27"/>
      <c r="AC1496" s="273">
        <v>2926435259.9327216</v>
      </c>
      <c r="AD1496" s="27">
        <v>87985689388.379211</v>
      </c>
      <c r="AE1496" s="228">
        <v>3.3260354954032255E-2</v>
      </c>
      <c r="AF1496" s="27">
        <v>15629777862.951683</v>
      </c>
      <c r="AG1496" s="226">
        <v>0.18723460343409284</v>
      </c>
      <c r="AH1496" s="226">
        <v>0.59996022072169664</v>
      </c>
      <c r="AI1496" s="27">
        <v>463440000</v>
      </c>
      <c r="AJ1496" s="226">
        <v>6.314593604204906</v>
      </c>
      <c r="AK1496" s="27">
        <v>2237979848.0380244</v>
      </c>
      <c r="AL1496" s="226">
        <v>1.3076235974592207</v>
      </c>
      <c r="AM1496" s="27">
        <v>2241549818.565165</v>
      </c>
      <c r="AN1496" s="271">
        <v>1.3055410304491726</v>
      </c>
      <c r="AO1496" s="27">
        <v>28030688</v>
      </c>
      <c r="AP1496" s="27">
        <v>49.2</v>
      </c>
      <c r="AQ1496" s="27">
        <v>72.72097560975611</v>
      </c>
      <c r="AR1496" s="27">
        <v>20</v>
      </c>
      <c r="AS1496" s="29">
        <v>99.710220000000007</v>
      </c>
      <c r="AT1496" s="270">
        <v>38</v>
      </c>
      <c r="AU1496" s="464">
        <v>72.816286549781523</v>
      </c>
      <c r="AV1496" s="29">
        <v>4.6586424280511997E-2</v>
      </c>
      <c r="AW1496" s="29">
        <v>-0.85037808720575603</v>
      </c>
      <c r="AX1496" s="29">
        <v>-0.58013716140483895</v>
      </c>
      <c r="AY1496" s="29">
        <v>0.15895971262752601</v>
      </c>
      <c r="AZ1496" s="60">
        <v>-0.216828366148589</v>
      </c>
    </row>
    <row r="1497" spans="1:52" s="29" customFormat="1" ht="15" customHeight="1">
      <c r="A1497" s="63" t="s">
        <v>445</v>
      </c>
      <c r="B1497" s="27">
        <v>2006</v>
      </c>
      <c r="C1497" s="27" t="s">
        <v>442</v>
      </c>
      <c r="D1497" s="69" t="s">
        <v>214</v>
      </c>
      <c r="E1497" s="29" t="s">
        <v>19</v>
      </c>
      <c r="F1497" s="27" t="s">
        <v>1310</v>
      </c>
      <c r="G1497" s="43">
        <v>322188</v>
      </c>
      <c r="H1497" s="43"/>
      <c r="I1497" s="43"/>
      <c r="J1497" s="43"/>
      <c r="K1497" s="27" t="s">
        <v>567</v>
      </c>
      <c r="L1497" s="28"/>
      <c r="M1497" s="27"/>
      <c r="N1497" s="27" t="s">
        <v>1057</v>
      </c>
      <c r="O1497" s="18"/>
      <c r="P1497" s="214"/>
      <c r="Q1497" s="214"/>
      <c r="S1497" s="27"/>
      <c r="T1497" s="18"/>
      <c r="U1497" s="27"/>
      <c r="W1497" s="30"/>
      <c r="X1497" s="27"/>
      <c r="Y1497" s="27"/>
      <c r="Z1497" s="27"/>
      <c r="AA1497" s="27"/>
      <c r="AB1497" s="27"/>
      <c r="AC1497" s="273">
        <v>2926435259.9327216</v>
      </c>
      <c r="AD1497" s="27">
        <v>87985689388.379211</v>
      </c>
      <c r="AE1497" s="228">
        <v>3.3260354954032255E-2</v>
      </c>
      <c r="AF1497" s="27">
        <v>15629777862.951683</v>
      </c>
      <c r="AG1497" s="226">
        <v>0.18723460343409284</v>
      </c>
      <c r="AH1497" s="226">
        <v>0.59996022072169664</v>
      </c>
      <c r="AI1497" s="27">
        <v>463440000</v>
      </c>
      <c r="AJ1497" s="226">
        <v>6.314593604204906</v>
      </c>
      <c r="AK1497" s="27">
        <v>2237979848.0380244</v>
      </c>
      <c r="AL1497" s="226">
        <v>1.3076235974592207</v>
      </c>
      <c r="AM1497" s="27">
        <v>2241549818.565165</v>
      </c>
      <c r="AN1497" s="271">
        <v>1.3055410304491726</v>
      </c>
      <c r="AO1497" s="27">
        <v>28030688</v>
      </c>
      <c r="AP1497" s="27">
        <v>49.2</v>
      </c>
      <c r="AQ1497" s="27">
        <v>72.72097560975611</v>
      </c>
      <c r="AR1497" s="27">
        <v>20</v>
      </c>
      <c r="AS1497" s="29">
        <v>99.710220000000007</v>
      </c>
      <c r="AT1497" s="270">
        <v>38</v>
      </c>
      <c r="AU1497" s="464">
        <v>72.816286549781523</v>
      </c>
      <c r="AV1497" s="29">
        <v>4.6586424280511997E-2</v>
      </c>
      <c r="AW1497" s="29">
        <v>-0.85037808720575603</v>
      </c>
      <c r="AX1497" s="29">
        <v>-0.58013716140483895</v>
      </c>
      <c r="AY1497" s="29">
        <v>0.15895971262752601</v>
      </c>
      <c r="AZ1497" s="60">
        <v>-0.216828366148589</v>
      </c>
    </row>
    <row r="1498" spans="1:52" s="29" customFormat="1" ht="15" customHeight="1">
      <c r="A1498" s="63" t="s">
        <v>445</v>
      </c>
      <c r="B1498" s="27">
        <v>2006</v>
      </c>
      <c r="C1498" s="27" t="s">
        <v>442</v>
      </c>
      <c r="D1498" s="69" t="s">
        <v>214</v>
      </c>
      <c r="E1498" s="29" t="s">
        <v>19</v>
      </c>
      <c r="F1498" s="27" t="s">
        <v>1311</v>
      </c>
      <c r="G1498" s="43">
        <v>507710</v>
      </c>
      <c r="H1498" s="43"/>
      <c r="I1498" s="43"/>
      <c r="J1498" s="43"/>
      <c r="K1498" s="27" t="s">
        <v>567</v>
      </c>
      <c r="L1498" s="28"/>
      <c r="M1498" s="27"/>
      <c r="N1498" s="27" t="s">
        <v>1057</v>
      </c>
      <c r="O1498" s="18"/>
      <c r="P1498" s="214"/>
      <c r="Q1498" s="214"/>
      <c r="S1498" s="27"/>
      <c r="T1498" s="18"/>
      <c r="U1498" s="27"/>
      <c r="W1498" s="30"/>
      <c r="X1498" s="27"/>
      <c r="Y1498" s="27"/>
      <c r="Z1498" s="27"/>
      <c r="AA1498" s="27"/>
      <c r="AB1498" s="27"/>
      <c r="AC1498" s="273">
        <v>2926435259.9327216</v>
      </c>
      <c r="AD1498" s="27">
        <v>87985689388.379211</v>
      </c>
      <c r="AE1498" s="228">
        <v>3.3260354954032255E-2</v>
      </c>
      <c r="AF1498" s="27">
        <v>15629777862.951683</v>
      </c>
      <c r="AG1498" s="226">
        <v>0.18723460343409284</v>
      </c>
      <c r="AH1498" s="226">
        <v>0.59996022072169664</v>
      </c>
      <c r="AI1498" s="27">
        <v>463440000</v>
      </c>
      <c r="AJ1498" s="226">
        <v>6.314593604204906</v>
      </c>
      <c r="AK1498" s="27">
        <v>2237979848.0380244</v>
      </c>
      <c r="AL1498" s="226">
        <v>1.3076235974592207</v>
      </c>
      <c r="AM1498" s="27">
        <v>2241549818.565165</v>
      </c>
      <c r="AN1498" s="271">
        <v>1.3055410304491726</v>
      </c>
      <c r="AO1498" s="27">
        <v>28030688</v>
      </c>
      <c r="AP1498" s="27">
        <v>49.2</v>
      </c>
      <c r="AQ1498" s="27">
        <v>72.72097560975611</v>
      </c>
      <c r="AR1498" s="27">
        <v>20</v>
      </c>
      <c r="AS1498" s="29">
        <v>99.710220000000007</v>
      </c>
      <c r="AT1498" s="270">
        <v>38</v>
      </c>
      <c r="AU1498" s="464">
        <v>72.816286549781523</v>
      </c>
      <c r="AV1498" s="29">
        <v>4.6586424280511997E-2</v>
      </c>
      <c r="AW1498" s="29">
        <v>-0.85037808720575603</v>
      </c>
      <c r="AX1498" s="29">
        <v>-0.58013716140483895</v>
      </c>
      <c r="AY1498" s="29">
        <v>0.15895971262752601</v>
      </c>
      <c r="AZ1498" s="60">
        <v>-0.216828366148589</v>
      </c>
    </row>
    <row r="1499" spans="1:52" s="29" customFormat="1" ht="15" customHeight="1">
      <c r="A1499" s="63" t="s">
        <v>445</v>
      </c>
      <c r="B1499" s="27">
        <v>2006</v>
      </c>
      <c r="C1499" s="27" t="s">
        <v>442</v>
      </c>
      <c r="D1499" s="69" t="s">
        <v>214</v>
      </c>
      <c r="E1499" s="29" t="s">
        <v>19</v>
      </c>
      <c r="F1499" s="27" t="s">
        <v>730</v>
      </c>
      <c r="G1499" s="43">
        <f>202826*32.150743126506</f>
        <v>6521006.625376706</v>
      </c>
      <c r="H1499" s="43"/>
      <c r="I1499" s="43"/>
      <c r="J1499" s="43"/>
      <c r="K1499" s="27" t="s">
        <v>731</v>
      </c>
      <c r="L1499" s="28">
        <v>604.33583333333002</v>
      </c>
      <c r="M1499" s="27" t="s">
        <v>732</v>
      </c>
      <c r="N1499" s="27" t="s">
        <v>836</v>
      </c>
      <c r="O1499" s="18">
        <f>G1499*L1499</f>
        <v>3940877973.1191978</v>
      </c>
      <c r="P1499" s="214"/>
      <c r="Q1499" s="214"/>
      <c r="R1499" s="18"/>
      <c r="S1499" s="27"/>
      <c r="T1499" s="18"/>
      <c r="U1499" s="27"/>
      <c r="V1499" s="18"/>
      <c r="W1499" s="30"/>
      <c r="X1499" s="27">
        <v>11</v>
      </c>
      <c r="Y1499" s="27" t="s">
        <v>1891</v>
      </c>
      <c r="Z1499" s="27">
        <v>11</v>
      </c>
      <c r="AA1499" s="27"/>
      <c r="AB1499" s="27"/>
      <c r="AC1499" s="273">
        <v>2926435259.9327216</v>
      </c>
      <c r="AD1499" s="27">
        <v>87985689388.379211</v>
      </c>
      <c r="AE1499" s="228">
        <v>3.3260354954032255E-2</v>
      </c>
      <c r="AF1499" s="27">
        <v>15629777862.951683</v>
      </c>
      <c r="AG1499" s="226">
        <v>0.18723460343409284</v>
      </c>
      <c r="AH1499" s="226">
        <v>0.59996022072169664</v>
      </c>
      <c r="AI1499" s="27">
        <v>463440000</v>
      </c>
      <c r="AJ1499" s="226">
        <v>6.314593604204906</v>
      </c>
      <c r="AK1499" s="27">
        <v>2237979848.0380244</v>
      </c>
      <c r="AL1499" s="226">
        <v>1.3076235974592207</v>
      </c>
      <c r="AM1499" s="27">
        <v>2241549818.565165</v>
      </c>
      <c r="AN1499" s="271">
        <v>1.3055410304491726</v>
      </c>
      <c r="AO1499" s="27">
        <v>28030688</v>
      </c>
      <c r="AP1499" s="27">
        <v>49.2</v>
      </c>
      <c r="AQ1499" s="27">
        <v>72.72097560975611</v>
      </c>
      <c r="AR1499" s="27">
        <v>20</v>
      </c>
      <c r="AS1499" s="29">
        <v>99.710220000000007</v>
      </c>
      <c r="AT1499" s="270">
        <v>38</v>
      </c>
      <c r="AU1499" s="464">
        <v>72.816286549781523</v>
      </c>
      <c r="AV1499" s="29">
        <v>4.6586424280511997E-2</v>
      </c>
      <c r="AW1499" s="29">
        <v>-0.85037808720575603</v>
      </c>
      <c r="AX1499" s="29">
        <v>-0.58013716140483895</v>
      </c>
      <c r="AY1499" s="29">
        <v>0.15895971262752601</v>
      </c>
      <c r="AZ1499" s="60">
        <v>-0.216828366148589</v>
      </c>
    </row>
    <row r="1500" spans="1:52" s="29" customFormat="1" ht="15" customHeight="1">
      <c r="A1500" s="63" t="s">
        <v>445</v>
      </c>
      <c r="B1500" s="27">
        <v>2006</v>
      </c>
      <c r="C1500" s="27" t="s">
        <v>442</v>
      </c>
      <c r="D1500" s="69" t="s">
        <v>214</v>
      </c>
      <c r="E1500" s="29" t="s">
        <v>19</v>
      </c>
      <c r="F1500" s="27" t="s">
        <v>1892</v>
      </c>
      <c r="G1500" s="43">
        <v>6000</v>
      </c>
      <c r="H1500" s="43"/>
      <c r="I1500" s="43"/>
      <c r="J1500" s="43"/>
      <c r="K1500" s="27" t="s">
        <v>894</v>
      </c>
      <c r="L1500" s="28">
        <v>918</v>
      </c>
      <c r="M1500" s="27" t="s">
        <v>1743</v>
      </c>
      <c r="N1500" s="27" t="s">
        <v>1893</v>
      </c>
      <c r="O1500" s="18">
        <f>G1500*L1500</f>
        <v>5508000</v>
      </c>
      <c r="P1500" s="214"/>
      <c r="Q1500" s="214"/>
      <c r="R1500" s="71"/>
      <c r="S1500" s="27"/>
      <c r="T1500" s="18"/>
      <c r="U1500" s="27"/>
      <c r="V1500" s="18"/>
      <c r="W1500" s="30"/>
      <c r="X1500" s="27"/>
      <c r="Y1500" s="27"/>
      <c r="Z1500" s="27"/>
      <c r="AA1500" s="27"/>
      <c r="AB1500" s="27"/>
      <c r="AC1500" s="273">
        <v>2926435259.9327216</v>
      </c>
      <c r="AD1500" s="27">
        <v>87985689388.379211</v>
      </c>
      <c r="AE1500" s="228">
        <v>3.3260354954032255E-2</v>
      </c>
      <c r="AF1500" s="27">
        <v>15629777862.951683</v>
      </c>
      <c r="AG1500" s="226">
        <v>0.18723460343409284</v>
      </c>
      <c r="AH1500" s="226">
        <v>0.59996022072169664</v>
      </c>
      <c r="AI1500" s="27">
        <v>463440000</v>
      </c>
      <c r="AJ1500" s="226">
        <v>6.314593604204906</v>
      </c>
      <c r="AK1500" s="27">
        <v>2237979848.0380244</v>
      </c>
      <c r="AL1500" s="226">
        <v>1.3076235974592207</v>
      </c>
      <c r="AM1500" s="27">
        <v>2241549818.565165</v>
      </c>
      <c r="AN1500" s="271">
        <v>1.3055410304491726</v>
      </c>
      <c r="AO1500" s="27">
        <v>28030688</v>
      </c>
      <c r="AP1500" s="27">
        <v>49.2</v>
      </c>
      <c r="AQ1500" s="27">
        <v>72.72097560975611</v>
      </c>
      <c r="AR1500" s="27">
        <v>20</v>
      </c>
      <c r="AS1500" s="29">
        <v>99.710220000000007</v>
      </c>
      <c r="AT1500" s="270">
        <v>38</v>
      </c>
      <c r="AU1500" s="464">
        <v>72.816286549781523</v>
      </c>
      <c r="AV1500" s="29">
        <v>4.6586424280511997E-2</v>
      </c>
      <c r="AW1500" s="29">
        <v>-0.85037808720575603</v>
      </c>
      <c r="AX1500" s="29">
        <v>-0.58013716140483895</v>
      </c>
      <c r="AY1500" s="29">
        <v>0.15895971262752601</v>
      </c>
      <c r="AZ1500" s="60">
        <v>-0.216828366148589</v>
      </c>
    </row>
    <row r="1501" spans="1:52" s="29" customFormat="1" ht="15" customHeight="1">
      <c r="A1501" s="63" t="s">
        <v>445</v>
      </c>
      <c r="B1501" s="27">
        <v>2006</v>
      </c>
      <c r="C1501" s="27" t="s">
        <v>442</v>
      </c>
      <c r="D1501" s="69" t="s">
        <v>214</v>
      </c>
      <c r="E1501" s="29" t="s">
        <v>19</v>
      </c>
      <c r="F1501" s="27" t="s">
        <v>1133</v>
      </c>
      <c r="G1501" s="43">
        <v>7138000</v>
      </c>
      <c r="H1501" s="43"/>
      <c r="I1501" s="43"/>
      <c r="J1501" s="43"/>
      <c r="K1501" s="27" t="s">
        <v>567</v>
      </c>
      <c r="L1501" s="28">
        <v>69.333333333330003</v>
      </c>
      <c r="M1501" s="27" t="s">
        <v>568</v>
      </c>
      <c r="N1501" s="27" t="s">
        <v>1894</v>
      </c>
      <c r="O1501" s="18">
        <f>G1501*L1501</f>
        <v>494901333.33330959</v>
      </c>
      <c r="P1501" s="214"/>
      <c r="Q1501" s="214"/>
      <c r="R1501" s="71"/>
      <c r="S1501" s="27"/>
      <c r="T1501" s="18"/>
      <c r="U1501" s="27"/>
      <c r="V1501" s="18"/>
      <c r="W1501" s="30"/>
      <c r="X1501" s="27"/>
      <c r="Y1501" s="27"/>
      <c r="Z1501" s="27"/>
      <c r="AA1501" s="27"/>
      <c r="AB1501" s="27"/>
      <c r="AC1501" s="273">
        <v>2926435259.9327216</v>
      </c>
      <c r="AD1501" s="27">
        <v>87985689388.379211</v>
      </c>
      <c r="AE1501" s="228">
        <v>3.3260354954032255E-2</v>
      </c>
      <c r="AF1501" s="27">
        <v>15629777862.951683</v>
      </c>
      <c r="AG1501" s="226">
        <v>0.18723460343409284</v>
      </c>
      <c r="AH1501" s="226">
        <v>0.59996022072169664</v>
      </c>
      <c r="AI1501" s="27">
        <v>463440000</v>
      </c>
      <c r="AJ1501" s="226">
        <v>6.314593604204906</v>
      </c>
      <c r="AK1501" s="27">
        <v>2237979848.0380244</v>
      </c>
      <c r="AL1501" s="226">
        <v>1.3076235974592207</v>
      </c>
      <c r="AM1501" s="27">
        <v>2241549818.565165</v>
      </c>
      <c r="AN1501" s="271">
        <v>1.3055410304491726</v>
      </c>
      <c r="AO1501" s="27">
        <v>28030688</v>
      </c>
      <c r="AP1501" s="27">
        <v>49.2</v>
      </c>
      <c r="AQ1501" s="27">
        <v>72.72097560975611</v>
      </c>
      <c r="AR1501" s="27">
        <v>20</v>
      </c>
      <c r="AS1501" s="29">
        <v>99.710220000000007</v>
      </c>
      <c r="AT1501" s="270">
        <v>38</v>
      </c>
      <c r="AU1501" s="464">
        <v>72.816286549781523</v>
      </c>
      <c r="AV1501" s="29">
        <v>4.6586424280511997E-2</v>
      </c>
      <c r="AW1501" s="29">
        <v>-0.85037808720575603</v>
      </c>
      <c r="AX1501" s="29">
        <v>-0.58013716140483895</v>
      </c>
      <c r="AY1501" s="29">
        <v>0.15895971262752601</v>
      </c>
      <c r="AZ1501" s="60">
        <v>-0.216828366148589</v>
      </c>
    </row>
    <row r="1502" spans="1:52" s="29" customFormat="1" ht="15" customHeight="1">
      <c r="A1502" s="63" t="s">
        <v>445</v>
      </c>
      <c r="B1502" s="27">
        <v>2006</v>
      </c>
      <c r="C1502" s="27" t="s">
        <v>442</v>
      </c>
      <c r="D1502" s="69" t="s">
        <v>214</v>
      </c>
      <c r="E1502" s="29" t="s">
        <v>19</v>
      </c>
      <c r="F1502" s="27" t="s">
        <v>1360</v>
      </c>
      <c r="G1502" s="43"/>
      <c r="H1502" s="43"/>
      <c r="I1502" s="43"/>
      <c r="J1502" s="43"/>
      <c r="K1502" s="27"/>
      <c r="L1502" s="44">
        <v>1289.7220833333299</v>
      </c>
      <c r="M1502" s="27" t="s">
        <v>568</v>
      </c>
      <c r="N1502" s="27" t="s">
        <v>1895</v>
      </c>
      <c r="O1502" s="18">
        <f>G1504*L1502</f>
        <v>157447982.21124959</v>
      </c>
      <c r="P1502" s="244"/>
      <c r="Q1502" s="244"/>
      <c r="R1502" s="27"/>
      <c r="S1502" s="27"/>
      <c r="T1502" s="18"/>
      <c r="U1502" s="27"/>
      <c r="V1502" s="27"/>
      <c r="W1502" s="30"/>
      <c r="X1502" s="27">
        <v>10</v>
      </c>
      <c r="Y1502" s="27" t="s">
        <v>1896</v>
      </c>
      <c r="Z1502" s="27">
        <v>10</v>
      </c>
      <c r="AA1502" s="27"/>
      <c r="AB1502" s="27"/>
      <c r="AC1502" s="273">
        <v>2926435259.9327216</v>
      </c>
      <c r="AD1502" s="27">
        <v>87985689388.379211</v>
      </c>
      <c r="AE1502" s="228">
        <v>3.3260354954032255E-2</v>
      </c>
      <c r="AF1502" s="27">
        <v>15629777862.951683</v>
      </c>
      <c r="AG1502" s="226">
        <v>0.18723460343409284</v>
      </c>
      <c r="AH1502" s="226">
        <v>0.59996022072169664</v>
      </c>
      <c r="AI1502" s="27">
        <v>463440000</v>
      </c>
      <c r="AJ1502" s="226">
        <v>6.314593604204906</v>
      </c>
      <c r="AK1502" s="27">
        <v>2237979848.0380244</v>
      </c>
      <c r="AL1502" s="226">
        <v>1.3076235974592207</v>
      </c>
      <c r="AM1502" s="27">
        <v>2241549818.565165</v>
      </c>
      <c r="AN1502" s="271">
        <v>1.3055410304491726</v>
      </c>
      <c r="AO1502" s="27">
        <v>28030688</v>
      </c>
      <c r="AP1502" s="27">
        <v>49.2</v>
      </c>
      <c r="AQ1502" s="27">
        <v>72.72097560975611</v>
      </c>
      <c r="AR1502" s="27">
        <v>20</v>
      </c>
      <c r="AS1502" s="29">
        <v>99.710220000000007</v>
      </c>
      <c r="AT1502" s="270">
        <v>38</v>
      </c>
      <c r="AU1502" s="464">
        <v>72.816286549781523</v>
      </c>
      <c r="AV1502" s="29">
        <v>4.6586424280511997E-2</v>
      </c>
      <c r="AW1502" s="29">
        <v>-0.85037808720575603</v>
      </c>
      <c r="AX1502" s="29">
        <v>-0.58013716140483895</v>
      </c>
      <c r="AY1502" s="29">
        <v>0.15895971262752601</v>
      </c>
      <c r="AZ1502" s="60">
        <v>-0.216828366148589</v>
      </c>
    </row>
    <row r="1503" spans="1:52" s="29" customFormat="1" ht="15" customHeight="1">
      <c r="A1503" s="63" t="s">
        <v>445</v>
      </c>
      <c r="B1503" s="27">
        <v>2006</v>
      </c>
      <c r="C1503" s="27" t="s">
        <v>442</v>
      </c>
      <c r="D1503" s="69" t="s">
        <v>214</v>
      </c>
      <c r="E1503" s="29" t="s">
        <v>19</v>
      </c>
      <c r="F1503" s="27" t="s">
        <v>1897</v>
      </c>
      <c r="G1503" s="43">
        <v>313332</v>
      </c>
      <c r="H1503" s="43"/>
      <c r="I1503" s="43"/>
      <c r="J1503" s="43"/>
      <c r="K1503" s="27" t="s">
        <v>567</v>
      </c>
      <c r="L1503" s="28"/>
      <c r="M1503" s="27"/>
      <c r="N1503" s="27" t="s">
        <v>1057</v>
      </c>
      <c r="O1503" s="18"/>
      <c r="P1503" s="214"/>
      <c r="Q1503" s="214"/>
      <c r="S1503" s="27"/>
      <c r="T1503" s="18"/>
      <c r="U1503" s="27"/>
      <c r="W1503" s="30"/>
      <c r="X1503" s="27"/>
      <c r="Y1503" s="27"/>
      <c r="Z1503" s="27"/>
      <c r="AA1503" s="27"/>
      <c r="AB1503" s="27"/>
      <c r="AC1503" s="273">
        <v>2926435259.9327216</v>
      </c>
      <c r="AD1503" s="27">
        <v>87985689388.379211</v>
      </c>
      <c r="AE1503" s="228">
        <v>3.3260354954032255E-2</v>
      </c>
      <c r="AF1503" s="27">
        <v>15629777862.951683</v>
      </c>
      <c r="AG1503" s="226">
        <v>0.18723460343409284</v>
      </c>
      <c r="AH1503" s="226">
        <v>0.59996022072169664</v>
      </c>
      <c r="AI1503" s="27">
        <v>463440000</v>
      </c>
      <c r="AJ1503" s="226">
        <v>6.314593604204906</v>
      </c>
      <c r="AK1503" s="27">
        <v>2237979848.0380244</v>
      </c>
      <c r="AL1503" s="226">
        <v>1.3076235974592207</v>
      </c>
      <c r="AM1503" s="27">
        <v>2241549818.565165</v>
      </c>
      <c r="AN1503" s="271">
        <v>1.3055410304491726</v>
      </c>
      <c r="AO1503" s="27">
        <v>28030688</v>
      </c>
      <c r="AP1503" s="27">
        <v>49.2</v>
      </c>
      <c r="AQ1503" s="27">
        <v>72.72097560975611</v>
      </c>
      <c r="AR1503" s="27">
        <v>20</v>
      </c>
      <c r="AS1503" s="29">
        <v>99.710220000000007</v>
      </c>
      <c r="AT1503" s="270">
        <v>38</v>
      </c>
      <c r="AU1503" s="464">
        <v>72.816286549781523</v>
      </c>
      <c r="AV1503" s="29">
        <v>4.6586424280511997E-2</v>
      </c>
      <c r="AW1503" s="29">
        <v>-0.85037808720575603</v>
      </c>
      <c r="AX1503" s="29">
        <v>-0.58013716140483895</v>
      </c>
      <c r="AY1503" s="29">
        <v>0.15895971262752601</v>
      </c>
      <c r="AZ1503" s="60">
        <v>-0.216828366148589</v>
      </c>
    </row>
    <row r="1504" spans="1:52" s="29" customFormat="1" ht="15" customHeight="1">
      <c r="A1504" s="63" t="s">
        <v>445</v>
      </c>
      <c r="B1504" s="27">
        <v>2006</v>
      </c>
      <c r="C1504" s="27" t="s">
        <v>442</v>
      </c>
      <c r="D1504" s="69" t="s">
        <v>214</v>
      </c>
      <c r="E1504" s="29" t="s">
        <v>19</v>
      </c>
      <c r="F1504" s="27" t="s">
        <v>1238</v>
      </c>
      <c r="G1504" s="43">
        <v>122079</v>
      </c>
      <c r="H1504" s="43"/>
      <c r="I1504" s="43"/>
      <c r="J1504" s="43"/>
      <c r="K1504" s="27" t="s">
        <v>567</v>
      </c>
      <c r="L1504" s="28"/>
      <c r="M1504" s="27"/>
      <c r="N1504" s="27" t="s">
        <v>1057</v>
      </c>
      <c r="O1504" s="18"/>
      <c r="P1504" s="214"/>
      <c r="Q1504" s="214"/>
      <c r="S1504" s="27"/>
      <c r="T1504" s="18"/>
      <c r="U1504" s="27"/>
      <c r="W1504" s="30"/>
      <c r="X1504" s="27"/>
      <c r="Y1504" s="27"/>
      <c r="Z1504" s="27"/>
      <c r="AA1504" s="27"/>
      <c r="AB1504" s="27"/>
      <c r="AC1504" s="273">
        <v>2926435259.9327216</v>
      </c>
      <c r="AD1504" s="27">
        <v>87985689388.379211</v>
      </c>
      <c r="AE1504" s="228">
        <v>3.3260354954032255E-2</v>
      </c>
      <c r="AF1504" s="27">
        <v>15629777862.951683</v>
      </c>
      <c r="AG1504" s="226">
        <v>0.18723460343409284</v>
      </c>
      <c r="AH1504" s="226">
        <v>0.59996022072169664</v>
      </c>
      <c r="AI1504" s="27">
        <v>463440000</v>
      </c>
      <c r="AJ1504" s="226">
        <v>6.314593604204906</v>
      </c>
      <c r="AK1504" s="27">
        <v>2237979848.0380244</v>
      </c>
      <c r="AL1504" s="226">
        <v>1.3076235974592207</v>
      </c>
      <c r="AM1504" s="27">
        <v>2241549818.565165</v>
      </c>
      <c r="AN1504" s="271">
        <v>1.3055410304491726</v>
      </c>
      <c r="AO1504" s="27">
        <v>28030688</v>
      </c>
      <c r="AP1504" s="27">
        <v>49.2</v>
      </c>
      <c r="AQ1504" s="27">
        <v>72.72097560975611</v>
      </c>
      <c r="AR1504" s="27">
        <v>20</v>
      </c>
      <c r="AS1504" s="29">
        <v>99.710220000000007</v>
      </c>
      <c r="AT1504" s="270">
        <v>38</v>
      </c>
      <c r="AU1504" s="464">
        <v>72.816286549781523</v>
      </c>
      <c r="AV1504" s="29">
        <v>4.6586424280511997E-2</v>
      </c>
      <c r="AW1504" s="29">
        <v>-0.85037808720575603</v>
      </c>
      <c r="AX1504" s="29">
        <v>-0.58013716140483895</v>
      </c>
      <c r="AY1504" s="29">
        <v>0.15895971262752601</v>
      </c>
      <c r="AZ1504" s="60">
        <v>-0.216828366148589</v>
      </c>
    </row>
    <row r="1505" spans="1:52" s="29" customFormat="1" ht="15" customHeight="1">
      <c r="A1505" s="63" t="s">
        <v>445</v>
      </c>
      <c r="B1505" s="27">
        <v>2006</v>
      </c>
      <c r="C1505" s="27" t="s">
        <v>442</v>
      </c>
      <c r="D1505" s="69" t="s">
        <v>214</v>
      </c>
      <c r="E1505" s="29" t="s">
        <v>19</v>
      </c>
      <c r="F1505" s="27" t="s">
        <v>1326</v>
      </c>
      <c r="G1505" s="43">
        <v>330000</v>
      </c>
      <c r="H1505" s="43"/>
      <c r="I1505" s="43"/>
      <c r="J1505" s="43"/>
      <c r="K1505" s="27" t="s">
        <v>567</v>
      </c>
      <c r="L1505" s="28"/>
      <c r="M1505" s="27"/>
      <c r="N1505" s="27" t="s">
        <v>1057</v>
      </c>
      <c r="O1505" s="18"/>
      <c r="P1505" s="214"/>
      <c r="Q1505" s="214"/>
      <c r="R1505" s="18"/>
      <c r="S1505" s="27"/>
      <c r="T1505" s="18"/>
      <c r="U1505" s="27"/>
      <c r="V1505" s="18"/>
      <c r="W1505" s="30"/>
      <c r="X1505" s="27"/>
      <c r="Y1505" s="27"/>
      <c r="Z1505" s="27"/>
      <c r="AA1505" s="27"/>
      <c r="AB1505" s="27"/>
      <c r="AC1505" s="273">
        <v>2926435259.9327216</v>
      </c>
      <c r="AD1505" s="27">
        <v>87985689388.379211</v>
      </c>
      <c r="AE1505" s="228">
        <v>3.3260354954032255E-2</v>
      </c>
      <c r="AF1505" s="27">
        <v>15629777862.951683</v>
      </c>
      <c r="AG1505" s="226">
        <v>0.18723460343409284</v>
      </c>
      <c r="AH1505" s="226">
        <v>0.59996022072169664</v>
      </c>
      <c r="AI1505" s="27">
        <v>463440000</v>
      </c>
      <c r="AJ1505" s="226">
        <v>6.314593604204906</v>
      </c>
      <c r="AK1505" s="27">
        <v>2237979848.0380244</v>
      </c>
      <c r="AL1505" s="226">
        <v>1.3076235974592207</v>
      </c>
      <c r="AM1505" s="27">
        <v>2241549818.565165</v>
      </c>
      <c r="AN1505" s="271">
        <v>1.3055410304491726</v>
      </c>
      <c r="AO1505" s="27">
        <v>28030688</v>
      </c>
      <c r="AP1505" s="27">
        <v>49.2</v>
      </c>
      <c r="AQ1505" s="27">
        <v>72.72097560975611</v>
      </c>
      <c r="AR1505" s="27">
        <v>20</v>
      </c>
      <c r="AS1505" s="29">
        <v>99.710220000000007</v>
      </c>
      <c r="AT1505" s="270">
        <v>38</v>
      </c>
      <c r="AU1505" s="464">
        <v>72.816286549781523</v>
      </c>
      <c r="AV1505" s="29">
        <v>4.6586424280511997E-2</v>
      </c>
      <c r="AW1505" s="29">
        <v>-0.85037808720575603</v>
      </c>
      <c r="AX1505" s="29">
        <v>-0.58013716140483895</v>
      </c>
      <c r="AY1505" s="29">
        <v>0.15895971262752601</v>
      </c>
      <c r="AZ1505" s="60">
        <v>-0.216828366148589</v>
      </c>
    </row>
    <row r="1506" spans="1:52" s="29" customFormat="1" ht="15" customHeight="1">
      <c r="A1506" s="63" t="s">
        <v>445</v>
      </c>
      <c r="B1506" s="27">
        <v>2006</v>
      </c>
      <c r="C1506" s="27" t="s">
        <v>442</v>
      </c>
      <c r="D1506" s="69" t="s">
        <v>214</v>
      </c>
      <c r="E1506" s="29" t="s">
        <v>19</v>
      </c>
      <c r="F1506" s="27" t="s">
        <v>1898</v>
      </c>
      <c r="G1506" s="43">
        <v>75390</v>
      </c>
      <c r="H1506" s="43"/>
      <c r="I1506" s="43"/>
      <c r="J1506" s="43"/>
      <c r="K1506" s="27" t="s">
        <v>567</v>
      </c>
      <c r="L1506" s="28">
        <f>24.57/0.000453592</f>
        <v>54167.622003915414</v>
      </c>
      <c r="M1506" s="27" t="s">
        <v>568</v>
      </c>
      <c r="N1506" s="27" t="s">
        <v>1899</v>
      </c>
      <c r="O1506" s="18">
        <f>G1506*L1506</f>
        <v>4083697022.8751831</v>
      </c>
      <c r="P1506" s="214"/>
      <c r="Q1506" s="214"/>
      <c r="R1506" s="18"/>
      <c r="S1506" s="27"/>
      <c r="T1506" s="18"/>
      <c r="U1506" s="27"/>
      <c r="V1506" s="18"/>
      <c r="W1506" s="30"/>
      <c r="X1506" s="27"/>
      <c r="Y1506" s="27"/>
      <c r="Z1506" s="27"/>
      <c r="AA1506" s="27"/>
      <c r="AB1506" s="27"/>
      <c r="AC1506" s="273">
        <v>2926435259.9327216</v>
      </c>
      <c r="AD1506" s="27">
        <v>87985689388.379211</v>
      </c>
      <c r="AE1506" s="228">
        <v>3.3260354954032255E-2</v>
      </c>
      <c r="AF1506" s="27">
        <v>15629777862.951683</v>
      </c>
      <c r="AG1506" s="226">
        <v>0.18723460343409284</v>
      </c>
      <c r="AH1506" s="226">
        <v>0.59996022072169664</v>
      </c>
      <c r="AI1506" s="27">
        <v>463440000</v>
      </c>
      <c r="AJ1506" s="226">
        <v>6.314593604204906</v>
      </c>
      <c r="AK1506" s="27">
        <v>2237979848.0380244</v>
      </c>
      <c r="AL1506" s="226">
        <v>1.3076235974592207</v>
      </c>
      <c r="AM1506" s="27">
        <v>2241549818.565165</v>
      </c>
      <c r="AN1506" s="271">
        <v>1.3055410304491726</v>
      </c>
      <c r="AO1506" s="27">
        <v>28030688</v>
      </c>
      <c r="AP1506" s="27">
        <v>49.2</v>
      </c>
      <c r="AQ1506" s="27">
        <v>72.72097560975611</v>
      </c>
      <c r="AR1506" s="27">
        <v>20</v>
      </c>
      <c r="AS1506" s="29">
        <v>99.710220000000007</v>
      </c>
      <c r="AT1506" s="270">
        <v>38</v>
      </c>
      <c r="AU1506" s="464">
        <v>72.816286549781523</v>
      </c>
      <c r="AV1506" s="29">
        <v>4.6586424280511997E-2</v>
      </c>
      <c r="AW1506" s="29">
        <v>-0.85037808720575603</v>
      </c>
      <c r="AX1506" s="29">
        <v>-0.58013716140483895</v>
      </c>
      <c r="AY1506" s="29">
        <v>0.15895971262752601</v>
      </c>
      <c r="AZ1506" s="60">
        <v>-0.216828366148589</v>
      </c>
    </row>
    <row r="1507" spans="1:52" s="29" customFormat="1" ht="15" customHeight="1">
      <c r="A1507" s="63" t="s">
        <v>445</v>
      </c>
      <c r="B1507" s="27">
        <v>2006</v>
      </c>
      <c r="C1507" s="27" t="s">
        <v>442</v>
      </c>
      <c r="D1507" s="69" t="s">
        <v>214</v>
      </c>
      <c r="E1507" s="29" t="s">
        <v>19</v>
      </c>
      <c r="F1507" s="27" t="s">
        <v>735</v>
      </c>
      <c r="G1507" s="43">
        <f>3471*32150.7466</f>
        <v>111595241.44859999</v>
      </c>
      <c r="H1507" s="43"/>
      <c r="I1507" s="43"/>
      <c r="J1507" s="43"/>
      <c r="K1507" s="27" t="s">
        <v>731</v>
      </c>
      <c r="L1507" s="28">
        <f>11.55923333333/1</f>
        <v>11.559233333330001</v>
      </c>
      <c r="M1507" s="27" t="s">
        <v>732</v>
      </c>
      <c r="N1507" s="27" t="s">
        <v>1060</v>
      </c>
      <c r="O1507" s="18">
        <f>G1507*L1507</f>
        <v>1289955434.7936668</v>
      </c>
      <c r="P1507" s="214"/>
      <c r="Q1507" s="214"/>
      <c r="R1507" s="18"/>
      <c r="S1507" s="27"/>
      <c r="T1507" s="18"/>
      <c r="U1507" s="27"/>
      <c r="V1507" s="18"/>
      <c r="W1507" s="30"/>
      <c r="X1507" s="27">
        <v>16</v>
      </c>
      <c r="Y1507" s="27" t="s">
        <v>1900</v>
      </c>
      <c r="Z1507" s="27">
        <v>16</v>
      </c>
      <c r="AA1507" s="27"/>
      <c r="AB1507" s="27"/>
      <c r="AC1507" s="273">
        <v>2926435259.9327216</v>
      </c>
      <c r="AD1507" s="27">
        <v>87985689388.379211</v>
      </c>
      <c r="AE1507" s="228">
        <v>3.3260354954032255E-2</v>
      </c>
      <c r="AF1507" s="27">
        <v>15629777862.951683</v>
      </c>
      <c r="AG1507" s="226">
        <v>0.18723460343409284</v>
      </c>
      <c r="AH1507" s="226">
        <v>0.59996022072169664</v>
      </c>
      <c r="AI1507" s="27">
        <v>463440000</v>
      </c>
      <c r="AJ1507" s="226">
        <v>6.314593604204906</v>
      </c>
      <c r="AK1507" s="27">
        <v>2237979848.0380244</v>
      </c>
      <c r="AL1507" s="226">
        <v>1.3076235974592207</v>
      </c>
      <c r="AM1507" s="27">
        <v>2241549818.565165</v>
      </c>
      <c r="AN1507" s="271">
        <v>1.3055410304491726</v>
      </c>
      <c r="AO1507" s="27">
        <v>28030688</v>
      </c>
      <c r="AP1507" s="27">
        <v>49.2</v>
      </c>
      <c r="AQ1507" s="27">
        <v>72.72097560975611</v>
      </c>
      <c r="AR1507" s="27">
        <v>20</v>
      </c>
      <c r="AS1507" s="29">
        <v>99.710220000000007</v>
      </c>
      <c r="AT1507" s="270">
        <v>38</v>
      </c>
      <c r="AU1507" s="464">
        <v>72.816286549781523</v>
      </c>
      <c r="AV1507" s="29">
        <v>4.6586424280511997E-2</v>
      </c>
      <c r="AW1507" s="29">
        <v>-0.85037808720575603</v>
      </c>
      <c r="AX1507" s="29">
        <v>-0.58013716140483895</v>
      </c>
      <c r="AY1507" s="29">
        <v>0.15895971262752601</v>
      </c>
      <c r="AZ1507" s="60">
        <v>-0.216828366148589</v>
      </c>
    </row>
    <row r="1508" spans="1:52" s="29" customFormat="1" ht="15" customHeight="1">
      <c r="A1508" s="63" t="s">
        <v>445</v>
      </c>
      <c r="B1508" s="27">
        <v>2006</v>
      </c>
      <c r="C1508" s="27" t="s">
        <v>442</v>
      </c>
      <c r="D1508" s="69" t="s">
        <v>214</v>
      </c>
      <c r="E1508" s="29" t="s">
        <v>19</v>
      </c>
      <c r="F1508" s="27" t="s">
        <v>1901</v>
      </c>
      <c r="G1508" s="43">
        <v>100</v>
      </c>
      <c r="H1508" s="43"/>
      <c r="I1508" s="43"/>
      <c r="J1508" s="43"/>
      <c r="K1508" s="27" t="s">
        <v>567</v>
      </c>
      <c r="L1508" s="28"/>
      <c r="M1508" s="27"/>
      <c r="N1508" s="27" t="s">
        <v>1057</v>
      </c>
      <c r="O1508" s="18"/>
      <c r="P1508" s="214"/>
      <c r="Q1508" s="214"/>
      <c r="R1508" s="18"/>
      <c r="S1508" s="27"/>
      <c r="T1508" s="18"/>
      <c r="V1508" s="18"/>
      <c r="W1508" s="30"/>
      <c r="X1508" s="27"/>
      <c r="Y1508" s="27"/>
      <c r="Z1508" s="27"/>
      <c r="AA1508" s="27"/>
      <c r="AB1508" s="27"/>
      <c r="AC1508" s="273">
        <v>2926435259.9327216</v>
      </c>
      <c r="AD1508" s="27">
        <v>87985689388.379211</v>
      </c>
      <c r="AE1508" s="228">
        <v>3.3260354954032255E-2</v>
      </c>
      <c r="AF1508" s="27">
        <v>15629777862.951683</v>
      </c>
      <c r="AG1508" s="226">
        <v>0.18723460343409284</v>
      </c>
      <c r="AH1508" s="226">
        <v>0.59996022072169664</v>
      </c>
      <c r="AI1508" s="27">
        <v>463440000</v>
      </c>
      <c r="AJ1508" s="226">
        <v>6.314593604204906</v>
      </c>
      <c r="AK1508" s="27">
        <v>2237979848.0380244</v>
      </c>
      <c r="AL1508" s="226">
        <v>1.3076235974592207</v>
      </c>
      <c r="AM1508" s="27">
        <v>2241549818.565165</v>
      </c>
      <c r="AN1508" s="271">
        <v>1.3055410304491726</v>
      </c>
      <c r="AO1508" s="27">
        <v>28030688</v>
      </c>
      <c r="AP1508" s="27">
        <v>49.2</v>
      </c>
      <c r="AQ1508" s="27">
        <v>72.72097560975611</v>
      </c>
      <c r="AR1508" s="27">
        <v>20</v>
      </c>
      <c r="AS1508" s="29">
        <v>99.710220000000007</v>
      </c>
      <c r="AT1508" s="270">
        <v>38</v>
      </c>
      <c r="AU1508" s="464">
        <v>72.816286549781523</v>
      </c>
      <c r="AV1508" s="29">
        <v>4.6586424280511997E-2</v>
      </c>
      <c r="AW1508" s="29">
        <v>-0.85037808720575603</v>
      </c>
      <c r="AX1508" s="29">
        <v>-0.58013716140483895</v>
      </c>
      <c r="AY1508" s="29">
        <v>0.15895971262752601</v>
      </c>
      <c r="AZ1508" s="60">
        <v>-0.216828366148589</v>
      </c>
    </row>
    <row r="1509" spans="1:52" s="29" customFormat="1" ht="15" customHeight="1">
      <c r="A1509" s="63" t="s">
        <v>445</v>
      </c>
      <c r="B1509" s="27">
        <v>2006</v>
      </c>
      <c r="C1509" s="27" t="s">
        <v>442</v>
      </c>
      <c r="D1509" s="69" t="s">
        <v>214</v>
      </c>
      <c r="E1509" s="29" t="s">
        <v>19</v>
      </c>
      <c r="F1509" s="27" t="s">
        <v>1902</v>
      </c>
      <c r="G1509" s="43">
        <v>623000</v>
      </c>
      <c r="H1509" s="43"/>
      <c r="I1509" s="43"/>
      <c r="J1509" s="43"/>
      <c r="K1509" s="27" t="s">
        <v>567</v>
      </c>
      <c r="L1509" s="28"/>
      <c r="M1509" s="27"/>
      <c r="N1509" s="27" t="s">
        <v>1057</v>
      </c>
      <c r="O1509" s="18"/>
      <c r="P1509" s="214"/>
      <c r="Q1509" s="214"/>
      <c r="R1509" s="18"/>
      <c r="S1509" s="27"/>
      <c r="T1509" s="18"/>
      <c r="V1509" s="18"/>
      <c r="W1509" s="30"/>
      <c r="X1509" s="27"/>
      <c r="Y1509" s="27"/>
      <c r="Z1509" s="27"/>
      <c r="AA1509" s="27"/>
      <c r="AB1509" s="27"/>
      <c r="AC1509" s="273">
        <v>2926435259.9327216</v>
      </c>
      <c r="AD1509" s="27">
        <v>87985689388.379211</v>
      </c>
      <c r="AE1509" s="228">
        <v>3.3260354954032255E-2</v>
      </c>
      <c r="AF1509" s="27">
        <v>15629777862.951683</v>
      </c>
      <c r="AG1509" s="226">
        <v>0.18723460343409284</v>
      </c>
      <c r="AH1509" s="226">
        <v>0.59996022072169664</v>
      </c>
      <c r="AI1509" s="27">
        <v>463440000</v>
      </c>
      <c r="AJ1509" s="226">
        <v>6.314593604204906</v>
      </c>
      <c r="AK1509" s="27">
        <v>2237979848.0380244</v>
      </c>
      <c r="AL1509" s="226">
        <v>1.3076235974592207</v>
      </c>
      <c r="AM1509" s="27">
        <v>2241549818.565165</v>
      </c>
      <c r="AN1509" s="271">
        <v>1.3055410304491726</v>
      </c>
      <c r="AO1509" s="27">
        <v>28030688</v>
      </c>
      <c r="AP1509" s="27">
        <v>49.2</v>
      </c>
      <c r="AQ1509" s="27">
        <v>72.72097560975611</v>
      </c>
      <c r="AR1509" s="27">
        <v>20</v>
      </c>
      <c r="AS1509" s="29">
        <v>99.710220000000007</v>
      </c>
      <c r="AT1509" s="270">
        <v>38</v>
      </c>
      <c r="AU1509" s="464">
        <v>72.816286549781523</v>
      </c>
      <c r="AV1509" s="29">
        <v>4.6586424280511997E-2</v>
      </c>
      <c r="AW1509" s="29">
        <v>-0.85037808720575603</v>
      </c>
      <c r="AX1509" s="29">
        <v>-0.58013716140483895</v>
      </c>
      <c r="AY1509" s="29">
        <v>0.15895971262752601</v>
      </c>
      <c r="AZ1509" s="60">
        <v>-0.216828366148589</v>
      </c>
    </row>
    <row r="1510" spans="1:52" s="29" customFormat="1" ht="15" customHeight="1">
      <c r="A1510" s="63" t="s">
        <v>445</v>
      </c>
      <c r="B1510" s="27">
        <v>2006</v>
      </c>
      <c r="C1510" s="27" t="s">
        <v>442</v>
      </c>
      <c r="D1510" s="69" t="s">
        <v>214</v>
      </c>
      <c r="E1510" s="29" t="s">
        <v>19</v>
      </c>
      <c r="F1510" s="27" t="s">
        <v>1903</v>
      </c>
      <c r="G1510" s="43">
        <v>37000</v>
      </c>
      <c r="H1510" s="43"/>
      <c r="I1510" s="43"/>
      <c r="J1510" s="43"/>
      <c r="K1510" s="27" t="s">
        <v>567</v>
      </c>
      <c r="L1510" s="28">
        <v>89000</v>
      </c>
      <c r="M1510" s="27" t="s">
        <v>568</v>
      </c>
      <c r="N1510" s="27" t="s">
        <v>1904</v>
      </c>
      <c r="O1510" s="18">
        <f>G1510*L1510</f>
        <v>3293000000</v>
      </c>
      <c r="P1510" s="214"/>
      <c r="Q1510" s="214"/>
      <c r="R1510" s="18"/>
      <c r="S1510" s="27"/>
      <c r="T1510" s="18"/>
      <c r="V1510" s="18"/>
      <c r="W1510" s="30"/>
      <c r="X1510" s="27"/>
      <c r="Y1510" s="27"/>
      <c r="Z1510" s="27"/>
      <c r="AA1510" s="27"/>
      <c r="AB1510" s="27"/>
      <c r="AC1510" s="273">
        <v>2926435259.9327216</v>
      </c>
      <c r="AD1510" s="27">
        <v>87985689388.379211</v>
      </c>
      <c r="AE1510" s="228">
        <v>3.3260354954032255E-2</v>
      </c>
      <c r="AF1510" s="27">
        <v>15629777862.951683</v>
      </c>
      <c r="AG1510" s="226">
        <v>0.18723460343409284</v>
      </c>
      <c r="AH1510" s="226">
        <v>0.59996022072169664</v>
      </c>
      <c r="AI1510" s="27">
        <v>463440000</v>
      </c>
      <c r="AJ1510" s="226">
        <v>6.314593604204906</v>
      </c>
      <c r="AK1510" s="27">
        <v>2237979848.0380244</v>
      </c>
      <c r="AL1510" s="226">
        <v>1.3076235974592207</v>
      </c>
      <c r="AM1510" s="27">
        <v>2241549818.565165</v>
      </c>
      <c r="AN1510" s="271">
        <v>1.3055410304491726</v>
      </c>
      <c r="AO1510" s="27">
        <v>28030688</v>
      </c>
      <c r="AP1510" s="27">
        <v>49.2</v>
      </c>
      <c r="AQ1510" s="27">
        <v>72.72097560975611</v>
      </c>
      <c r="AR1510" s="27">
        <v>20</v>
      </c>
      <c r="AS1510" s="29">
        <v>99.710220000000007</v>
      </c>
      <c r="AT1510" s="270">
        <v>38</v>
      </c>
      <c r="AU1510" s="464">
        <v>72.816286549781523</v>
      </c>
      <c r="AV1510" s="29">
        <v>4.6586424280511997E-2</v>
      </c>
      <c r="AW1510" s="29">
        <v>-0.85037808720575603</v>
      </c>
      <c r="AX1510" s="29">
        <v>-0.58013716140483895</v>
      </c>
      <c r="AY1510" s="29">
        <v>0.15895971262752601</v>
      </c>
      <c r="AZ1510" s="60">
        <v>-0.216828366148589</v>
      </c>
    </row>
    <row r="1511" spans="1:52" s="29" customFormat="1" ht="15" customHeight="1">
      <c r="A1511" s="63" t="s">
        <v>445</v>
      </c>
      <c r="B1511" s="27">
        <v>2006</v>
      </c>
      <c r="C1511" s="27" t="s">
        <v>442</v>
      </c>
      <c r="D1511" s="69" t="s">
        <v>214</v>
      </c>
      <c r="E1511" s="29" t="s">
        <v>19</v>
      </c>
      <c r="F1511" s="27" t="s">
        <v>1234</v>
      </c>
      <c r="G1511" s="43"/>
      <c r="H1511" s="43"/>
      <c r="I1511" s="43"/>
      <c r="J1511" s="43"/>
      <c r="K1511" s="27"/>
      <c r="L1511" s="44">
        <f>8780.82533333333</f>
        <v>8780.8253333333305</v>
      </c>
      <c r="M1511" s="27" t="s">
        <v>568</v>
      </c>
      <c r="N1511" s="27" t="s">
        <v>1235</v>
      </c>
      <c r="O1511" s="18">
        <f>G1513*L1511</f>
        <v>355579521.87333322</v>
      </c>
      <c r="P1511" s="244"/>
      <c r="Q1511" s="244"/>
      <c r="R1511" s="27"/>
      <c r="S1511" s="27"/>
      <c r="T1511" s="18"/>
      <c r="U1511" s="27"/>
      <c r="V1511" s="27"/>
      <c r="W1511" s="30"/>
      <c r="X1511" s="27">
        <v>1</v>
      </c>
      <c r="Y1511" s="27" t="s">
        <v>1905</v>
      </c>
      <c r="Z1511" s="27">
        <v>1</v>
      </c>
      <c r="AA1511" s="27"/>
      <c r="AB1511" s="27"/>
      <c r="AC1511" s="273">
        <v>2926435259.9327216</v>
      </c>
      <c r="AD1511" s="27">
        <v>87985689388.379211</v>
      </c>
      <c r="AE1511" s="228">
        <v>3.3260354954032255E-2</v>
      </c>
      <c r="AF1511" s="27">
        <v>15629777862.951683</v>
      </c>
      <c r="AG1511" s="226">
        <v>0.18723460343409284</v>
      </c>
      <c r="AH1511" s="226">
        <v>0.59996022072169664</v>
      </c>
      <c r="AI1511" s="27">
        <v>463440000</v>
      </c>
      <c r="AJ1511" s="226">
        <v>6.314593604204906</v>
      </c>
      <c r="AK1511" s="27">
        <v>2237979848.0380244</v>
      </c>
      <c r="AL1511" s="226">
        <v>1.3076235974592207</v>
      </c>
      <c r="AM1511" s="27">
        <v>2241549818.565165</v>
      </c>
      <c r="AN1511" s="271">
        <v>1.3055410304491726</v>
      </c>
      <c r="AO1511" s="27">
        <v>28030688</v>
      </c>
      <c r="AP1511" s="27">
        <v>49.2</v>
      </c>
      <c r="AQ1511" s="27">
        <v>72.72097560975611</v>
      </c>
      <c r="AR1511" s="27">
        <v>20</v>
      </c>
      <c r="AS1511" s="29">
        <v>99.710220000000007</v>
      </c>
      <c r="AT1511" s="270">
        <v>38</v>
      </c>
      <c r="AU1511" s="464">
        <v>72.816286549781523</v>
      </c>
      <c r="AV1511" s="29">
        <v>4.6586424280511997E-2</v>
      </c>
      <c r="AW1511" s="29">
        <v>-0.85037808720575603</v>
      </c>
      <c r="AX1511" s="29">
        <v>-0.58013716140483895</v>
      </c>
      <c r="AY1511" s="29">
        <v>0.15895971262752601</v>
      </c>
      <c r="AZ1511" s="60">
        <v>-0.216828366148589</v>
      </c>
    </row>
    <row r="1512" spans="1:52" s="29" customFormat="1" ht="15" customHeight="1">
      <c r="A1512" s="63" t="s">
        <v>445</v>
      </c>
      <c r="B1512" s="27">
        <v>2006</v>
      </c>
      <c r="C1512" s="27" t="s">
        <v>442</v>
      </c>
      <c r="D1512" s="69" t="s">
        <v>214</v>
      </c>
      <c r="E1512" s="29" t="s">
        <v>19</v>
      </c>
      <c r="F1512" s="27" t="s">
        <v>1906</v>
      </c>
      <c r="G1512" s="43">
        <v>38470</v>
      </c>
      <c r="H1512" s="43"/>
      <c r="I1512" s="43"/>
      <c r="J1512" s="43"/>
      <c r="K1512" s="27" t="s">
        <v>567</v>
      </c>
      <c r="L1512" s="28"/>
      <c r="M1512" s="27"/>
      <c r="N1512" s="27" t="s">
        <v>1057</v>
      </c>
      <c r="O1512" s="18"/>
      <c r="P1512" s="214"/>
      <c r="Q1512" s="214"/>
      <c r="S1512" s="27"/>
      <c r="T1512" s="18"/>
      <c r="U1512" s="27"/>
      <c r="W1512" s="30"/>
      <c r="X1512" s="27"/>
      <c r="Y1512" s="27"/>
      <c r="Z1512" s="27"/>
      <c r="AA1512" s="27"/>
      <c r="AB1512" s="27"/>
      <c r="AC1512" s="273">
        <v>2926435259.9327216</v>
      </c>
      <c r="AD1512" s="27">
        <v>87985689388.379211</v>
      </c>
      <c r="AE1512" s="228">
        <v>3.3260354954032255E-2</v>
      </c>
      <c r="AF1512" s="27">
        <v>15629777862.951683</v>
      </c>
      <c r="AG1512" s="226">
        <v>0.18723460343409284</v>
      </c>
      <c r="AH1512" s="226">
        <v>0.59996022072169664</v>
      </c>
      <c r="AI1512" s="27">
        <v>463440000</v>
      </c>
      <c r="AJ1512" s="226">
        <v>6.314593604204906</v>
      </c>
      <c r="AK1512" s="27">
        <v>2237979848.0380244</v>
      </c>
      <c r="AL1512" s="226">
        <v>1.3076235974592207</v>
      </c>
      <c r="AM1512" s="27">
        <v>2241549818.565165</v>
      </c>
      <c r="AN1512" s="271">
        <v>1.3055410304491726</v>
      </c>
      <c r="AO1512" s="27">
        <v>28030688</v>
      </c>
      <c r="AP1512" s="27">
        <v>49.2</v>
      </c>
      <c r="AQ1512" s="27">
        <v>72.72097560975611</v>
      </c>
      <c r="AR1512" s="27">
        <v>20</v>
      </c>
      <c r="AS1512" s="29">
        <v>99.710220000000007</v>
      </c>
      <c r="AT1512" s="270">
        <v>38</v>
      </c>
      <c r="AU1512" s="464">
        <v>72.816286549781523</v>
      </c>
      <c r="AV1512" s="29">
        <v>4.6586424280511997E-2</v>
      </c>
      <c r="AW1512" s="29">
        <v>-0.85037808720575603</v>
      </c>
      <c r="AX1512" s="29">
        <v>-0.58013716140483895</v>
      </c>
      <c r="AY1512" s="29">
        <v>0.15895971262752601</v>
      </c>
      <c r="AZ1512" s="60">
        <v>-0.216828366148589</v>
      </c>
    </row>
    <row r="1513" spans="1:52" s="29" customFormat="1" ht="15" customHeight="1">
      <c r="A1513" s="63" t="s">
        <v>445</v>
      </c>
      <c r="B1513" s="27">
        <v>2006</v>
      </c>
      <c r="C1513" s="27" t="s">
        <v>442</v>
      </c>
      <c r="D1513" s="69" t="s">
        <v>214</v>
      </c>
      <c r="E1513" s="29" t="s">
        <v>19</v>
      </c>
      <c r="F1513" s="27" t="s">
        <v>1238</v>
      </c>
      <c r="G1513" s="43">
        <v>40495</v>
      </c>
      <c r="H1513" s="43"/>
      <c r="I1513" s="43"/>
      <c r="J1513" s="43"/>
      <c r="K1513" s="27" t="s">
        <v>567</v>
      </c>
      <c r="L1513" s="28"/>
      <c r="M1513" s="27"/>
      <c r="N1513" s="27" t="s">
        <v>1057</v>
      </c>
      <c r="O1513" s="18"/>
      <c r="P1513" s="214"/>
      <c r="Q1513" s="214"/>
      <c r="S1513" s="27"/>
      <c r="T1513" s="18"/>
      <c r="U1513" s="27"/>
      <c r="W1513" s="30"/>
      <c r="X1513" s="27"/>
      <c r="Y1513" s="27"/>
      <c r="Z1513" s="27"/>
      <c r="AA1513" s="27"/>
      <c r="AB1513" s="27"/>
      <c r="AC1513" s="273">
        <v>2926435259.9327216</v>
      </c>
      <c r="AD1513" s="27">
        <v>87985689388.379211</v>
      </c>
      <c r="AE1513" s="228">
        <v>3.3260354954032255E-2</v>
      </c>
      <c r="AF1513" s="27">
        <v>15629777862.951683</v>
      </c>
      <c r="AG1513" s="226">
        <v>0.18723460343409284</v>
      </c>
      <c r="AH1513" s="226">
        <v>0.59996022072169664</v>
      </c>
      <c r="AI1513" s="27">
        <v>463440000</v>
      </c>
      <c r="AJ1513" s="226">
        <v>6.314593604204906</v>
      </c>
      <c r="AK1513" s="27">
        <v>2237979848.0380244</v>
      </c>
      <c r="AL1513" s="226">
        <v>1.3076235974592207</v>
      </c>
      <c r="AM1513" s="27">
        <v>2241549818.565165</v>
      </c>
      <c r="AN1513" s="271">
        <v>1.3055410304491726</v>
      </c>
      <c r="AO1513" s="27">
        <v>28030688</v>
      </c>
      <c r="AP1513" s="27">
        <v>49.2</v>
      </c>
      <c r="AQ1513" s="27">
        <v>72.72097560975611</v>
      </c>
      <c r="AR1513" s="27">
        <v>20</v>
      </c>
      <c r="AS1513" s="29">
        <v>99.710220000000007</v>
      </c>
      <c r="AT1513" s="270">
        <v>38</v>
      </c>
      <c r="AU1513" s="464">
        <v>72.816286549781523</v>
      </c>
      <c r="AV1513" s="29">
        <v>4.6586424280511997E-2</v>
      </c>
      <c r="AW1513" s="29">
        <v>-0.85037808720575603</v>
      </c>
      <c r="AX1513" s="29">
        <v>-0.58013716140483895</v>
      </c>
      <c r="AY1513" s="29">
        <v>0.15895971262752601</v>
      </c>
      <c r="AZ1513" s="60">
        <v>-0.216828366148589</v>
      </c>
    </row>
    <row r="1514" spans="1:52" s="29" customFormat="1" ht="15" customHeight="1">
      <c r="A1514" s="63" t="s">
        <v>445</v>
      </c>
      <c r="B1514" s="27">
        <v>2006</v>
      </c>
      <c r="C1514" s="27" t="s">
        <v>442</v>
      </c>
      <c r="D1514" s="69" t="s">
        <v>214</v>
      </c>
      <c r="E1514" s="29" t="s">
        <v>19</v>
      </c>
      <c r="F1514" s="27" t="s">
        <v>790</v>
      </c>
      <c r="G1514" s="43"/>
      <c r="H1514" s="43"/>
      <c r="I1514" s="43"/>
      <c r="J1514" s="43"/>
      <c r="K1514" s="27"/>
      <c r="L1514" s="44">
        <f>3275.29175</f>
        <v>3275.2917499999999</v>
      </c>
      <c r="M1514" s="27" t="s">
        <v>568</v>
      </c>
      <c r="N1514" s="27" t="s">
        <v>1907</v>
      </c>
      <c r="O1514" s="18">
        <f>G1516*L1514</f>
        <v>573994879.1875</v>
      </c>
      <c r="P1514" s="244"/>
      <c r="Q1514" s="244"/>
      <c r="R1514" s="27"/>
      <c r="S1514" s="27"/>
      <c r="T1514" s="18"/>
      <c r="U1514" s="27"/>
      <c r="V1514" s="27"/>
      <c r="W1514" s="30"/>
      <c r="X1514" s="27">
        <v>10</v>
      </c>
      <c r="Y1514" s="27" t="s">
        <v>1908</v>
      </c>
      <c r="Z1514" s="27">
        <v>10</v>
      </c>
      <c r="AA1514" s="27"/>
      <c r="AB1514" s="27"/>
      <c r="AC1514" s="273">
        <v>2926435259.9327216</v>
      </c>
      <c r="AD1514" s="27">
        <v>87985689388.379211</v>
      </c>
      <c r="AE1514" s="228">
        <v>3.3260354954032255E-2</v>
      </c>
      <c r="AF1514" s="27">
        <v>15629777862.951683</v>
      </c>
      <c r="AG1514" s="226">
        <v>0.18723460343409284</v>
      </c>
      <c r="AH1514" s="226">
        <v>0.59996022072169664</v>
      </c>
      <c r="AI1514" s="27">
        <v>463440000</v>
      </c>
      <c r="AJ1514" s="226">
        <v>6.314593604204906</v>
      </c>
      <c r="AK1514" s="27">
        <v>2237979848.0380244</v>
      </c>
      <c r="AL1514" s="226">
        <v>1.3076235974592207</v>
      </c>
      <c r="AM1514" s="27">
        <v>2241549818.565165</v>
      </c>
      <c r="AN1514" s="271">
        <v>1.3055410304491726</v>
      </c>
      <c r="AO1514" s="27">
        <v>28030688</v>
      </c>
      <c r="AP1514" s="27">
        <v>49.2</v>
      </c>
      <c r="AQ1514" s="27">
        <v>72.72097560975611</v>
      </c>
      <c r="AR1514" s="27">
        <v>20</v>
      </c>
      <c r="AS1514" s="29">
        <v>99.710220000000007</v>
      </c>
      <c r="AT1514" s="270">
        <v>38</v>
      </c>
      <c r="AU1514" s="464">
        <v>72.816286549781523</v>
      </c>
      <c r="AV1514" s="29">
        <v>4.6586424280511997E-2</v>
      </c>
      <c r="AW1514" s="29">
        <v>-0.85037808720575603</v>
      </c>
      <c r="AX1514" s="29">
        <v>-0.58013716140483895</v>
      </c>
      <c r="AY1514" s="29">
        <v>0.15895971262752601</v>
      </c>
      <c r="AZ1514" s="60">
        <v>-0.216828366148589</v>
      </c>
    </row>
    <row r="1515" spans="1:52" s="29" customFormat="1" ht="15" customHeight="1">
      <c r="A1515" s="63" t="s">
        <v>445</v>
      </c>
      <c r="B1515" s="27">
        <v>2006</v>
      </c>
      <c r="C1515" s="27" t="s">
        <v>442</v>
      </c>
      <c r="D1515" s="69" t="s">
        <v>214</v>
      </c>
      <c r="E1515" s="29" t="s">
        <v>19</v>
      </c>
      <c r="F1515" s="27" t="s">
        <v>1909</v>
      </c>
      <c r="G1515" s="43">
        <v>1203364</v>
      </c>
      <c r="H1515" s="43"/>
      <c r="I1515" s="43"/>
      <c r="J1515" s="43"/>
      <c r="K1515" s="27" t="s">
        <v>567</v>
      </c>
      <c r="L1515" s="28"/>
      <c r="M1515" s="27"/>
      <c r="N1515" s="27" t="s">
        <v>1057</v>
      </c>
      <c r="O1515" s="18"/>
      <c r="P1515" s="214"/>
      <c r="Q1515" s="214"/>
      <c r="S1515" s="27"/>
      <c r="T1515" s="18"/>
      <c r="U1515" s="27"/>
      <c r="W1515" s="30"/>
      <c r="X1515" s="27"/>
      <c r="Y1515" s="27"/>
      <c r="Z1515" s="27"/>
      <c r="AA1515" s="27"/>
      <c r="AB1515" s="27"/>
      <c r="AC1515" s="273">
        <v>2926435259.9327216</v>
      </c>
      <c r="AD1515" s="27">
        <v>87985689388.379211</v>
      </c>
      <c r="AE1515" s="228">
        <v>3.3260354954032255E-2</v>
      </c>
      <c r="AF1515" s="27">
        <v>15629777862.951683</v>
      </c>
      <c r="AG1515" s="226">
        <v>0.18723460343409284</v>
      </c>
      <c r="AH1515" s="226">
        <v>0.59996022072169664</v>
      </c>
      <c r="AI1515" s="27">
        <v>463440000</v>
      </c>
      <c r="AJ1515" s="226">
        <v>6.314593604204906</v>
      </c>
      <c r="AK1515" s="27">
        <v>2237979848.0380244</v>
      </c>
      <c r="AL1515" s="226">
        <v>1.3076235974592207</v>
      </c>
      <c r="AM1515" s="27">
        <v>2241549818.565165</v>
      </c>
      <c r="AN1515" s="271">
        <v>1.3055410304491726</v>
      </c>
      <c r="AO1515" s="27">
        <v>28030688</v>
      </c>
      <c r="AP1515" s="27">
        <v>49.2</v>
      </c>
      <c r="AQ1515" s="27">
        <v>72.72097560975611</v>
      </c>
      <c r="AR1515" s="27">
        <v>20</v>
      </c>
      <c r="AS1515" s="29">
        <v>99.710220000000007</v>
      </c>
      <c r="AT1515" s="270">
        <v>38</v>
      </c>
      <c r="AU1515" s="464">
        <v>72.816286549781523</v>
      </c>
      <c r="AV1515" s="29">
        <v>4.6586424280511997E-2</v>
      </c>
      <c r="AW1515" s="29">
        <v>-0.85037808720575603</v>
      </c>
      <c r="AX1515" s="29">
        <v>-0.58013716140483895</v>
      </c>
      <c r="AY1515" s="29">
        <v>0.15895971262752601</v>
      </c>
      <c r="AZ1515" s="60">
        <v>-0.216828366148589</v>
      </c>
    </row>
    <row r="1516" spans="1:52" s="287" customFormat="1" ht="15" customHeight="1">
      <c r="A1516" s="359" t="s">
        <v>445</v>
      </c>
      <c r="B1516" s="284">
        <v>2006</v>
      </c>
      <c r="C1516" s="284" t="s">
        <v>442</v>
      </c>
      <c r="D1516" s="369" t="s">
        <v>214</v>
      </c>
      <c r="E1516" s="287" t="s">
        <v>19</v>
      </c>
      <c r="F1516" s="284" t="s">
        <v>1238</v>
      </c>
      <c r="G1516" s="303">
        <v>175250</v>
      </c>
      <c r="H1516" s="303"/>
      <c r="I1516" s="303"/>
      <c r="J1516" s="303"/>
      <c r="K1516" s="284" t="s">
        <v>567</v>
      </c>
      <c r="L1516" s="304"/>
      <c r="M1516" s="284"/>
      <c r="N1516" s="284" t="s">
        <v>1057</v>
      </c>
      <c r="O1516" s="305"/>
      <c r="P1516" s="346"/>
      <c r="Q1516" s="346"/>
      <c r="S1516" s="284"/>
      <c r="T1516" s="305"/>
      <c r="U1516" s="284"/>
      <c r="W1516" s="307"/>
      <c r="X1516" s="284"/>
      <c r="Y1516" s="284"/>
      <c r="Z1516" s="284"/>
      <c r="AA1516" s="284"/>
      <c r="AB1516" s="284"/>
      <c r="AC1516" s="308">
        <v>2926435259.9327216</v>
      </c>
      <c r="AD1516" s="284">
        <v>87985689388.379211</v>
      </c>
      <c r="AE1516" s="309">
        <v>3.3260354954032255E-2</v>
      </c>
      <c r="AF1516" s="284">
        <v>15629777862.951683</v>
      </c>
      <c r="AG1516" s="310">
        <v>0.18723460343409284</v>
      </c>
      <c r="AH1516" s="310">
        <v>0.59996022072169664</v>
      </c>
      <c r="AI1516" s="284">
        <v>463440000</v>
      </c>
      <c r="AJ1516" s="310">
        <v>6.314593604204906</v>
      </c>
      <c r="AK1516" s="284">
        <v>2237979848.0380244</v>
      </c>
      <c r="AL1516" s="310">
        <v>1.3076235974592207</v>
      </c>
      <c r="AM1516" s="284">
        <v>2241549818.565165</v>
      </c>
      <c r="AN1516" s="311">
        <v>1.3055410304491726</v>
      </c>
      <c r="AO1516" s="284">
        <v>28030688</v>
      </c>
      <c r="AP1516" s="284">
        <v>49.2</v>
      </c>
      <c r="AQ1516" s="284">
        <v>72.72097560975611</v>
      </c>
      <c r="AR1516" s="284">
        <v>20</v>
      </c>
      <c r="AS1516" s="287">
        <v>99.710220000000007</v>
      </c>
      <c r="AT1516" s="312">
        <v>38</v>
      </c>
      <c r="AU1516" s="465">
        <v>72.816286549781523</v>
      </c>
      <c r="AV1516" s="287">
        <v>4.6586424280511997E-2</v>
      </c>
      <c r="AW1516" s="287">
        <v>-0.85037808720575603</v>
      </c>
      <c r="AX1516" s="287">
        <v>-0.58013716140483895</v>
      </c>
      <c r="AY1516" s="287">
        <v>0.15895971262752601</v>
      </c>
      <c r="AZ1516" s="313">
        <v>-0.216828366148589</v>
      </c>
    </row>
    <row r="1517" spans="1:52" ht="15" customHeight="1">
      <c r="A1517" s="347" t="s">
        <v>446</v>
      </c>
      <c r="B1517" s="27">
        <v>2007</v>
      </c>
      <c r="C1517" s="27" t="s">
        <v>442</v>
      </c>
      <c r="D1517" s="69" t="s">
        <v>214</v>
      </c>
      <c r="E1517" s="27" t="s">
        <v>30</v>
      </c>
      <c r="F1517" s="27" t="s">
        <v>659</v>
      </c>
      <c r="G1517" s="43"/>
      <c r="H1517" s="43"/>
      <c r="I1517" s="43"/>
      <c r="J1517" s="43"/>
      <c r="K1517" s="27"/>
      <c r="L1517" s="28"/>
      <c r="M1517" s="27"/>
      <c r="N1517" s="27"/>
      <c r="O1517" s="18">
        <f>O1518+O1521</f>
        <v>22602945343.433014</v>
      </c>
      <c r="P1517" s="214">
        <v>3125388072.7948718</v>
      </c>
      <c r="Q1517" s="214">
        <v>3126093879.5100002</v>
      </c>
      <c r="R1517" s="27" t="s">
        <v>619</v>
      </c>
      <c r="S1517" s="27"/>
      <c r="T1517" s="18"/>
      <c r="U1517" s="27" t="s">
        <v>1879</v>
      </c>
      <c r="V1517" s="27" t="s">
        <v>1880</v>
      </c>
      <c r="W1517" s="30">
        <v>3.12</v>
      </c>
      <c r="X1517" s="27">
        <v>33</v>
      </c>
      <c r="Y1517" s="27" t="s">
        <v>1881</v>
      </c>
      <c r="Z1517" s="27">
        <v>33</v>
      </c>
      <c r="AA1517" s="27" t="s">
        <v>1882</v>
      </c>
      <c r="AB1517" s="27" t="s">
        <v>1912</v>
      </c>
      <c r="AC1517" s="273">
        <v>3125388072.7948718</v>
      </c>
      <c r="AD1517" s="27">
        <v>102172270670.77251</v>
      </c>
      <c r="AE1517" s="228">
        <v>3.0589396244953212E-2</v>
      </c>
      <c r="AF1517" s="27">
        <v>17716671734.311951</v>
      </c>
      <c r="AG1517" s="226">
        <v>0.17640943624540495</v>
      </c>
      <c r="AH1517" s="226">
        <v>0.61430670344584437</v>
      </c>
      <c r="AI1517" s="27">
        <v>307030000</v>
      </c>
      <c r="AJ1517" s="226">
        <v>10.179422443392736</v>
      </c>
      <c r="AK1517" s="27">
        <v>3038714473.5205936</v>
      </c>
      <c r="AL1517" s="226">
        <v>1.0285231139778197</v>
      </c>
      <c r="AM1517" s="27">
        <v>2553560909.1934161</v>
      </c>
      <c r="AN1517" s="271">
        <v>1.2239332383037131</v>
      </c>
      <c r="AO1517" s="27">
        <v>28328410</v>
      </c>
      <c r="AP1517" s="27">
        <v>42.4</v>
      </c>
      <c r="AQ1517" s="27">
        <v>73.014878048780488</v>
      </c>
      <c r="AR1517" s="27">
        <v>18.600000000000001</v>
      </c>
      <c r="AS1517" s="29">
        <v>99.705489999999998</v>
      </c>
      <c r="AT1517" s="270">
        <v>38</v>
      </c>
      <c r="AU1517" s="464">
        <v>72.816286549781523</v>
      </c>
      <c r="AV1517" s="29">
        <v>6.2703568528113707E-2</v>
      </c>
      <c r="AW1517" s="29">
        <v>-0.76005136929099804</v>
      </c>
      <c r="AX1517" s="29">
        <v>-0.50979739813082503</v>
      </c>
      <c r="AY1517" s="29">
        <v>0.27595894070192201</v>
      </c>
      <c r="AZ1517" s="60">
        <v>-0.260524325273502</v>
      </c>
    </row>
    <row r="1518" spans="1:52" ht="15" customHeight="1">
      <c r="A1518" s="63" t="s">
        <v>446</v>
      </c>
      <c r="B1518" s="27">
        <v>2007</v>
      </c>
      <c r="C1518" s="27" t="s">
        <v>442</v>
      </c>
      <c r="D1518" s="69" t="s">
        <v>214</v>
      </c>
      <c r="E1518" s="29" t="s">
        <v>50</v>
      </c>
      <c r="F1518" s="27" t="s">
        <v>597</v>
      </c>
      <c r="G1518" s="43"/>
      <c r="H1518" s="43"/>
      <c r="I1518" s="43"/>
      <c r="J1518" s="43"/>
      <c r="K1518" s="27"/>
      <c r="L1518" s="28"/>
      <c r="M1518" s="27"/>
      <c r="N1518" s="27"/>
      <c r="O1518" s="18">
        <f>SUM(O1519:O1520)</f>
        <v>3131219699.9999995</v>
      </c>
      <c r="P1518" s="214">
        <v>663117717.52564096</v>
      </c>
      <c r="Q1518" s="214">
        <v>663123566.52564096</v>
      </c>
      <c r="R1518" s="27"/>
      <c r="S1518" s="27"/>
      <c r="T1518" s="18"/>
      <c r="U1518" s="27"/>
      <c r="V1518" s="27"/>
      <c r="W1518" s="30"/>
      <c r="X1518" s="27">
        <v>9</v>
      </c>
      <c r="Y1518" s="27" t="s">
        <v>1884</v>
      </c>
      <c r="Z1518" s="27">
        <v>9</v>
      </c>
      <c r="AA1518" s="27"/>
      <c r="AB1518" s="27"/>
      <c r="AC1518" s="273">
        <v>3125388072.7948718</v>
      </c>
      <c r="AD1518" s="27">
        <v>102172270670.77251</v>
      </c>
      <c r="AE1518" s="228">
        <v>3.0589396244953212E-2</v>
      </c>
      <c r="AF1518" s="27">
        <v>17716671734.311951</v>
      </c>
      <c r="AG1518" s="226">
        <v>0.17640943624540495</v>
      </c>
      <c r="AH1518" s="226">
        <v>0.61430670344584437</v>
      </c>
      <c r="AI1518" s="27">
        <v>307030000</v>
      </c>
      <c r="AJ1518" s="226">
        <v>10.179422443392736</v>
      </c>
      <c r="AK1518" s="27">
        <v>3038714473.5205936</v>
      </c>
      <c r="AL1518" s="226">
        <v>1.0285231139778197</v>
      </c>
      <c r="AM1518" s="27">
        <v>2553560909.1934161</v>
      </c>
      <c r="AN1518" s="271">
        <v>1.2239332383037131</v>
      </c>
      <c r="AO1518" s="27">
        <v>28328410</v>
      </c>
      <c r="AP1518" s="27">
        <v>42.4</v>
      </c>
      <c r="AQ1518" s="27">
        <v>73.014878048780488</v>
      </c>
      <c r="AR1518" s="27">
        <v>18.600000000000001</v>
      </c>
      <c r="AS1518" s="29">
        <v>99.705489999999998</v>
      </c>
      <c r="AT1518" s="270">
        <v>38</v>
      </c>
      <c r="AU1518" s="464">
        <v>72.816286549781523</v>
      </c>
      <c r="AV1518" s="29">
        <v>6.2703568528113707E-2</v>
      </c>
      <c r="AW1518" s="29">
        <v>-0.76005136929099804</v>
      </c>
      <c r="AX1518" s="29">
        <v>-0.50979739813082503</v>
      </c>
      <c r="AY1518" s="29">
        <v>0.27595894070192201</v>
      </c>
      <c r="AZ1518" s="60">
        <v>-0.260524325273502</v>
      </c>
    </row>
    <row r="1519" spans="1:52" ht="15" customHeight="1">
      <c r="A1519" s="63" t="s">
        <v>446</v>
      </c>
      <c r="B1519" s="27">
        <v>2007</v>
      </c>
      <c r="C1519" s="27" t="s">
        <v>442</v>
      </c>
      <c r="D1519" s="69" t="s">
        <v>214</v>
      </c>
      <c r="E1519" s="29" t="s">
        <v>552</v>
      </c>
      <c r="F1519" s="27" t="s">
        <v>552</v>
      </c>
      <c r="G1519" s="43">
        <v>2700000000</v>
      </c>
      <c r="H1519" s="43"/>
      <c r="I1519" s="43"/>
      <c r="J1519" s="43"/>
      <c r="K1519" s="27" t="s">
        <v>599</v>
      </c>
      <c r="L1519" s="28">
        <v>0.22764700000000004</v>
      </c>
      <c r="M1519" s="27" t="s">
        <v>600</v>
      </c>
      <c r="N1519" s="27" t="s">
        <v>685</v>
      </c>
      <c r="O1519" s="18">
        <f>G1519*L1519</f>
        <v>614646900.00000012</v>
      </c>
      <c r="P1519" s="214"/>
      <c r="Q1519" s="214"/>
      <c r="R1519" s="27"/>
      <c r="S1519" s="27"/>
      <c r="T1519" s="18"/>
      <c r="U1519" s="27"/>
      <c r="V1519" s="27"/>
      <c r="W1519" s="30"/>
      <c r="X1519" s="27">
        <v>6</v>
      </c>
      <c r="Y1519" s="27" t="s">
        <v>1885</v>
      </c>
      <c r="Z1519" s="27">
        <v>6</v>
      </c>
      <c r="AA1519" s="27"/>
      <c r="AB1519" s="27"/>
      <c r="AC1519" s="273">
        <v>3125388072.7948718</v>
      </c>
      <c r="AD1519" s="27">
        <v>102172270670.77251</v>
      </c>
      <c r="AE1519" s="228">
        <v>3.0589396244953212E-2</v>
      </c>
      <c r="AF1519" s="27">
        <v>17716671734.311951</v>
      </c>
      <c r="AG1519" s="226">
        <v>0.17640943624540495</v>
      </c>
      <c r="AH1519" s="226">
        <v>0.61430670344584437</v>
      </c>
      <c r="AI1519" s="27">
        <v>307030000</v>
      </c>
      <c r="AJ1519" s="226">
        <v>10.179422443392736</v>
      </c>
      <c r="AK1519" s="27">
        <v>3038714473.5205936</v>
      </c>
      <c r="AL1519" s="226">
        <v>1.0285231139778197</v>
      </c>
      <c r="AM1519" s="27">
        <v>2553560909.1934161</v>
      </c>
      <c r="AN1519" s="271">
        <v>1.2239332383037131</v>
      </c>
      <c r="AO1519" s="27">
        <v>28328410</v>
      </c>
      <c r="AP1519" s="27">
        <v>42.4</v>
      </c>
      <c r="AQ1519" s="27">
        <v>73.014878048780488</v>
      </c>
      <c r="AR1519" s="27">
        <v>18.600000000000001</v>
      </c>
      <c r="AS1519" s="29">
        <v>99.705489999999998</v>
      </c>
      <c r="AT1519" s="270">
        <v>38</v>
      </c>
      <c r="AU1519" s="464">
        <v>72.816286549781523</v>
      </c>
      <c r="AV1519" s="29">
        <v>6.2703568528113707E-2</v>
      </c>
      <c r="AW1519" s="29">
        <v>-0.76005136929099804</v>
      </c>
      <c r="AX1519" s="29">
        <v>-0.50979739813082503</v>
      </c>
      <c r="AY1519" s="29">
        <v>0.27595894070192201</v>
      </c>
      <c r="AZ1519" s="60">
        <v>-0.260524325273502</v>
      </c>
    </row>
    <row r="1520" spans="1:52" ht="15" customHeight="1">
      <c r="A1520" s="63" t="s">
        <v>446</v>
      </c>
      <c r="B1520" s="27">
        <v>2007</v>
      </c>
      <c r="C1520" s="27" t="s">
        <v>442</v>
      </c>
      <c r="D1520" s="69" t="s">
        <v>214</v>
      </c>
      <c r="E1520" s="29" t="s">
        <v>98</v>
      </c>
      <c r="F1520" s="27" t="s">
        <v>98</v>
      </c>
      <c r="G1520" s="43">
        <v>35040000</v>
      </c>
      <c r="H1520" s="43"/>
      <c r="I1520" s="43"/>
      <c r="J1520" s="43"/>
      <c r="K1520" s="27" t="s">
        <v>603</v>
      </c>
      <c r="L1520" s="28">
        <v>71.819999999999993</v>
      </c>
      <c r="M1520" s="27" t="s">
        <v>626</v>
      </c>
      <c r="N1520" s="27" t="s">
        <v>687</v>
      </c>
      <c r="O1520" s="18">
        <f>G1520*L1520</f>
        <v>2516572799.9999995</v>
      </c>
      <c r="P1520" s="214"/>
      <c r="Q1520" s="214"/>
      <c r="R1520" s="18"/>
      <c r="S1520" s="27"/>
      <c r="T1520" s="18"/>
      <c r="U1520" s="27"/>
      <c r="V1520" s="18"/>
      <c r="W1520" s="30"/>
      <c r="X1520" s="27">
        <v>8</v>
      </c>
      <c r="Y1520" s="27" t="s">
        <v>1886</v>
      </c>
      <c r="Z1520" s="27">
        <v>8</v>
      </c>
      <c r="AA1520" s="27"/>
      <c r="AB1520" s="27"/>
      <c r="AC1520" s="273">
        <v>3125388072.7948718</v>
      </c>
      <c r="AD1520" s="27">
        <v>102172270670.77251</v>
      </c>
      <c r="AE1520" s="228">
        <v>3.0589396244953212E-2</v>
      </c>
      <c r="AF1520" s="27">
        <v>17716671734.311951</v>
      </c>
      <c r="AG1520" s="226">
        <v>0.17640943624540495</v>
      </c>
      <c r="AH1520" s="226">
        <v>0.61430670344584437</v>
      </c>
      <c r="AI1520" s="27">
        <v>307030000</v>
      </c>
      <c r="AJ1520" s="226">
        <v>10.179422443392736</v>
      </c>
      <c r="AK1520" s="27">
        <v>3038714473.5205936</v>
      </c>
      <c r="AL1520" s="226">
        <v>1.0285231139778197</v>
      </c>
      <c r="AM1520" s="27">
        <v>2553560909.1934161</v>
      </c>
      <c r="AN1520" s="271">
        <v>1.2239332383037131</v>
      </c>
      <c r="AO1520" s="27">
        <v>28328410</v>
      </c>
      <c r="AP1520" s="27">
        <v>42.4</v>
      </c>
      <c r="AQ1520" s="27">
        <v>73.014878048780488</v>
      </c>
      <c r="AR1520" s="27">
        <v>18.600000000000001</v>
      </c>
      <c r="AS1520" s="29">
        <v>99.705489999999998</v>
      </c>
      <c r="AT1520" s="270">
        <v>38</v>
      </c>
      <c r="AU1520" s="464">
        <v>72.816286549781523</v>
      </c>
      <c r="AV1520" s="29">
        <v>6.2703568528113707E-2</v>
      </c>
      <c r="AW1520" s="29">
        <v>-0.76005136929099804</v>
      </c>
      <c r="AX1520" s="29">
        <v>-0.50979739813082503</v>
      </c>
      <c r="AY1520" s="29">
        <v>0.27595894070192201</v>
      </c>
      <c r="AZ1520" s="60">
        <v>-0.260524325273502</v>
      </c>
    </row>
    <row r="1521" spans="1:52" ht="15" customHeight="1">
      <c r="A1521" s="63" t="s">
        <v>446</v>
      </c>
      <c r="B1521" s="27">
        <v>2007</v>
      </c>
      <c r="C1521" s="27" t="s">
        <v>442</v>
      </c>
      <c r="D1521" s="69" t="s">
        <v>214</v>
      </c>
      <c r="E1521" s="29" t="s">
        <v>19</v>
      </c>
      <c r="F1521" s="27" t="s">
        <v>559</v>
      </c>
      <c r="G1521" s="43"/>
      <c r="H1521" s="43"/>
      <c r="I1521" s="43"/>
      <c r="J1521" s="43"/>
      <c r="K1521" s="27"/>
      <c r="L1521" s="28"/>
      <c r="M1521" s="27"/>
      <c r="N1521" s="27"/>
      <c r="O1521" s="18">
        <f>SUM(O1522:O1545)</f>
        <v>19471725643.433014</v>
      </c>
      <c r="P1521" s="214">
        <v>2462270355.2692308</v>
      </c>
      <c r="Q1521" s="214">
        <v>2462970312.974359</v>
      </c>
      <c r="R1521" s="71"/>
      <c r="S1521" s="27"/>
      <c r="T1521" s="18"/>
      <c r="U1521" s="27"/>
      <c r="V1521" s="71"/>
      <c r="W1521" s="30"/>
      <c r="X1521" s="27">
        <v>24</v>
      </c>
      <c r="Y1521" s="27" t="s">
        <v>1887</v>
      </c>
      <c r="Z1521" s="27">
        <v>24</v>
      </c>
      <c r="AA1521" s="27"/>
      <c r="AB1521" s="27"/>
      <c r="AC1521" s="273">
        <v>3125388072.7948718</v>
      </c>
      <c r="AD1521" s="27">
        <v>102172270670.77251</v>
      </c>
      <c r="AE1521" s="228">
        <v>3.0589396244953212E-2</v>
      </c>
      <c r="AF1521" s="27">
        <v>17716671734.311951</v>
      </c>
      <c r="AG1521" s="226">
        <v>0.17640943624540495</v>
      </c>
      <c r="AH1521" s="226">
        <v>0.61430670344584437</v>
      </c>
      <c r="AI1521" s="27">
        <v>307030000</v>
      </c>
      <c r="AJ1521" s="226">
        <v>10.179422443392736</v>
      </c>
      <c r="AK1521" s="27">
        <v>3038714473.5205936</v>
      </c>
      <c r="AL1521" s="226">
        <v>1.0285231139778197</v>
      </c>
      <c r="AM1521" s="27">
        <v>2553560909.1934161</v>
      </c>
      <c r="AN1521" s="271">
        <v>1.2239332383037131</v>
      </c>
      <c r="AO1521" s="27">
        <v>28328410</v>
      </c>
      <c r="AP1521" s="27">
        <v>42.4</v>
      </c>
      <c r="AQ1521" s="27">
        <v>73.014878048780488</v>
      </c>
      <c r="AR1521" s="27">
        <v>18.600000000000001</v>
      </c>
      <c r="AS1521" s="29">
        <v>99.705489999999998</v>
      </c>
      <c r="AT1521" s="270">
        <v>38</v>
      </c>
      <c r="AU1521" s="464">
        <v>72.816286549781523</v>
      </c>
      <c r="AV1521" s="29">
        <v>6.2703568528113707E-2</v>
      </c>
      <c r="AW1521" s="29">
        <v>-0.76005136929099804</v>
      </c>
      <c r="AX1521" s="29">
        <v>-0.50979739813082503</v>
      </c>
      <c r="AY1521" s="29">
        <v>0.27595894070192201</v>
      </c>
      <c r="AZ1521" s="60">
        <v>-0.260524325273502</v>
      </c>
    </row>
    <row r="1522" spans="1:52" ht="15" customHeight="1">
      <c r="A1522" s="63" t="s">
        <v>446</v>
      </c>
      <c r="B1522" s="27">
        <v>2007</v>
      </c>
      <c r="C1522" s="27" t="s">
        <v>442</v>
      </c>
      <c r="D1522" s="69" t="s">
        <v>214</v>
      </c>
      <c r="E1522" s="29" t="s">
        <v>19</v>
      </c>
      <c r="F1522" s="27" t="s">
        <v>1888</v>
      </c>
      <c r="G1522" s="43">
        <v>1114</v>
      </c>
      <c r="H1522" s="43"/>
      <c r="I1522" s="43"/>
      <c r="J1522" s="43"/>
      <c r="K1522" s="27" t="s">
        <v>567</v>
      </c>
      <c r="L1522" s="28">
        <f>14.07/0.000453592</f>
        <v>31019.065591985749</v>
      </c>
      <c r="M1522" s="29" t="s">
        <v>568</v>
      </c>
      <c r="N1522" s="29" t="s">
        <v>1913</v>
      </c>
      <c r="O1522" s="18">
        <f>G1522*L1522</f>
        <v>34555239.069472127</v>
      </c>
      <c r="P1522" s="214"/>
      <c r="Q1522" s="214"/>
      <c r="R1522" s="29"/>
      <c r="S1522" s="27"/>
      <c r="T1522" s="18"/>
      <c r="U1522" s="27"/>
      <c r="V1522" s="29"/>
      <c r="W1522" s="30"/>
      <c r="X1522" s="27"/>
      <c r="Y1522" s="27"/>
      <c r="Z1522" s="27"/>
      <c r="AA1522" s="27"/>
      <c r="AB1522" s="27"/>
      <c r="AC1522" s="273">
        <v>3125388072.7948718</v>
      </c>
      <c r="AD1522" s="27">
        <v>102172270670.77251</v>
      </c>
      <c r="AE1522" s="228">
        <v>3.0589396244953212E-2</v>
      </c>
      <c r="AF1522" s="27">
        <v>17716671734.311951</v>
      </c>
      <c r="AG1522" s="226">
        <v>0.17640943624540495</v>
      </c>
      <c r="AH1522" s="226">
        <v>0.61430670344584437</v>
      </c>
      <c r="AI1522" s="27">
        <v>307030000</v>
      </c>
      <c r="AJ1522" s="226">
        <v>10.179422443392736</v>
      </c>
      <c r="AK1522" s="27">
        <v>3038714473.5205936</v>
      </c>
      <c r="AL1522" s="226">
        <v>1.0285231139778197</v>
      </c>
      <c r="AM1522" s="27">
        <v>2553560909.1934161</v>
      </c>
      <c r="AN1522" s="271">
        <v>1.2239332383037131</v>
      </c>
      <c r="AO1522" s="27">
        <v>28328410</v>
      </c>
      <c r="AP1522" s="27">
        <v>42.4</v>
      </c>
      <c r="AQ1522" s="27">
        <v>73.014878048780488</v>
      </c>
      <c r="AR1522" s="27">
        <v>18.600000000000001</v>
      </c>
      <c r="AS1522" s="29">
        <v>99.705489999999998</v>
      </c>
      <c r="AT1522" s="270">
        <v>38</v>
      </c>
      <c r="AU1522" s="464">
        <v>72.816286549781523</v>
      </c>
      <c r="AV1522" s="29">
        <v>6.2703568528113707E-2</v>
      </c>
      <c r="AW1522" s="29">
        <v>-0.76005136929099804</v>
      </c>
      <c r="AX1522" s="29">
        <v>-0.50979739813082503</v>
      </c>
      <c r="AY1522" s="29">
        <v>0.27595894070192201</v>
      </c>
      <c r="AZ1522" s="60">
        <v>-0.260524325273502</v>
      </c>
    </row>
    <row r="1523" spans="1:52" ht="15" customHeight="1">
      <c r="A1523" s="63" t="s">
        <v>446</v>
      </c>
      <c r="B1523" s="27">
        <v>2007</v>
      </c>
      <c r="C1523" s="27" t="s">
        <v>442</v>
      </c>
      <c r="D1523" s="69" t="s">
        <v>214</v>
      </c>
      <c r="E1523" s="29" t="s">
        <v>19</v>
      </c>
      <c r="F1523" s="27" t="s">
        <v>576</v>
      </c>
      <c r="G1523" s="43"/>
      <c r="H1523" s="43"/>
      <c r="I1523" s="43"/>
      <c r="J1523" s="43"/>
      <c r="K1523" s="27"/>
      <c r="L1523" s="44">
        <v>7118.2259999999997</v>
      </c>
      <c r="M1523" s="27" t="s">
        <v>568</v>
      </c>
      <c r="N1523" s="27" t="s">
        <v>633</v>
      </c>
      <c r="O1523" s="18">
        <f>SUM(G1525:G1526)*L1523</f>
        <v>4602972369.9959993</v>
      </c>
      <c r="P1523" s="214"/>
      <c r="Q1523" s="214"/>
      <c r="R1523" s="29"/>
      <c r="S1523" s="27"/>
      <c r="T1523" s="18"/>
      <c r="U1523" s="27"/>
      <c r="V1523" s="29"/>
      <c r="W1523" s="30"/>
      <c r="X1523" s="27">
        <v>17</v>
      </c>
      <c r="Y1523" s="27" t="s">
        <v>1890</v>
      </c>
      <c r="Z1523" s="27">
        <v>17</v>
      </c>
      <c r="AA1523" s="27"/>
      <c r="AB1523" s="27"/>
      <c r="AC1523" s="273">
        <v>3125388072.7948718</v>
      </c>
      <c r="AD1523" s="27">
        <v>102172270670.77251</v>
      </c>
      <c r="AE1523" s="228">
        <v>3.0589396244953212E-2</v>
      </c>
      <c r="AF1523" s="27">
        <v>17716671734.311951</v>
      </c>
      <c r="AG1523" s="226">
        <v>0.17640943624540495</v>
      </c>
      <c r="AH1523" s="226">
        <v>0.61430670344584437</v>
      </c>
      <c r="AI1523" s="27">
        <v>307030000</v>
      </c>
      <c r="AJ1523" s="226">
        <v>10.179422443392736</v>
      </c>
      <c r="AK1523" s="27">
        <v>3038714473.5205936</v>
      </c>
      <c r="AL1523" s="226">
        <v>1.0285231139778197</v>
      </c>
      <c r="AM1523" s="27">
        <v>2553560909.1934161</v>
      </c>
      <c r="AN1523" s="271">
        <v>1.2239332383037131</v>
      </c>
      <c r="AO1523" s="27">
        <v>28328410</v>
      </c>
      <c r="AP1523" s="27">
        <v>42.4</v>
      </c>
      <c r="AQ1523" s="27">
        <v>73.014878048780488</v>
      </c>
      <c r="AR1523" s="27">
        <v>18.600000000000001</v>
      </c>
      <c r="AS1523" s="29">
        <v>99.705489999999998</v>
      </c>
      <c r="AT1523" s="270">
        <v>38</v>
      </c>
      <c r="AU1523" s="464">
        <v>72.816286549781523</v>
      </c>
      <c r="AV1523" s="29">
        <v>6.2703568528113707E-2</v>
      </c>
      <c r="AW1523" s="29">
        <v>-0.76005136929099804</v>
      </c>
      <c r="AX1523" s="29">
        <v>-0.50979739813082503</v>
      </c>
      <c r="AY1523" s="29">
        <v>0.27595894070192201</v>
      </c>
      <c r="AZ1523" s="60">
        <v>-0.260524325273502</v>
      </c>
    </row>
    <row r="1524" spans="1:52" ht="15" customHeight="1">
      <c r="A1524" s="63" t="s">
        <v>446</v>
      </c>
      <c r="B1524" s="27">
        <v>2007</v>
      </c>
      <c r="C1524" s="27" t="s">
        <v>442</v>
      </c>
      <c r="D1524" s="69" t="s">
        <v>214</v>
      </c>
      <c r="E1524" s="29" t="s">
        <v>19</v>
      </c>
      <c r="F1524" s="27" t="s">
        <v>1226</v>
      </c>
      <c r="G1524" s="43">
        <v>1018155</v>
      </c>
      <c r="H1524" s="43"/>
      <c r="I1524" s="43"/>
      <c r="J1524" s="43"/>
      <c r="K1524" s="27" t="s">
        <v>567</v>
      </c>
      <c r="L1524" s="28"/>
      <c r="M1524" s="27"/>
      <c r="N1524" s="27" t="s">
        <v>788</v>
      </c>
      <c r="O1524" s="18"/>
      <c r="P1524" s="214"/>
      <c r="Q1524" s="214"/>
      <c r="R1524" s="29"/>
      <c r="S1524" s="27"/>
      <c r="T1524" s="18"/>
      <c r="U1524" s="27"/>
      <c r="V1524" s="29"/>
      <c r="W1524" s="30"/>
      <c r="X1524" s="27"/>
      <c r="Y1524" s="27"/>
      <c r="Z1524" s="27"/>
      <c r="AA1524" s="27"/>
      <c r="AB1524" s="27"/>
      <c r="AC1524" s="273">
        <v>3125388072.7948718</v>
      </c>
      <c r="AD1524" s="27">
        <v>102172270670.77251</v>
      </c>
      <c r="AE1524" s="228">
        <v>3.0589396244953212E-2</v>
      </c>
      <c r="AF1524" s="27">
        <v>17716671734.311951</v>
      </c>
      <c r="AG1524" s="226">
        <v>0.17640943624540495</v>
      </c>
      <c r="AH1524" s="226">
        <v>0.61430670344584437</v>
      </c>
      <c r="AI1524" s="27">
        <v>307030000</v>
      </c>
      <c r="AJ1524" s="226">
        <v>10.179422443392736</v>
      </c>
      <c r="AK1524" s="27">
        <v>3038714473.5205936</v>
      </c>
      <c r="AL1524" s="226">
        <v>1.0285231139778197</v>
      </c>
      <c r="AM1524" s="27">
        <v>2553560909.1934161</v>
      </c>
      <c r="AN1524" s="271">
        <v>1.2239332383037131</v>
      </c>
      <c r="AO1524" s="27">
        <v>28328410</v>
      </c>
      <c r="AP1524" s="27">
        <v>42.4</v>
      </c>
      <c r="AQ1524" s="27">
        <v>73.014878048780488</v>
      </c>
      <c r="AR1524" s="27">
        <v>18.600000000000001</v>
      </c>
      <c r="AS1524" s="29">
        <v>99.705489999999998</v>
      </c>
      <c r="AT1524" s="270">
        <v>38</v>
      </c>
      <c r="AU1524" s="464">
        <v>72.816286549781523</v>
      </c>
      <c r="AV1524" s="29">
        <v>6.2703568528113707E-2</v>
      </c>
      <c r="AW1524" s="29">
        <v>-0.76005136929099804</v>
      </c>
      <c r="AX1524" s="29">
        <v>-0.50979739813082503</v>
      </c>
      <c r="AY1524" s="29">
        <v>0.27595894070192201</v>
      </c>
      <c r="AZ1524" s="60">
        <v>-0.260524325273502</v>
      </c>
    </row>
    <row r="1525" spans="1:52" ht="15" customHeight="1">
      <c r="A1525" s="63" t="s">
        <v>446</v>
      </c>
      <c r="B1525" s="27">
        <v>2007</v>
      </c>
      <c r="C1525" s="27" t="s">
        <v>442</v>
      </c>
      <c r="D1525" s="69" t="s">
        <v>214</v>
      </c>
      <c r="E1525" s="29" t="s">
        <v>19</v>
      </c>
      <c r="F1525" s="27" t="s">
        <v>1310</v>
      </c>
      <c r="G1525" s="43">
        <v>236809</v>
      </c>
      <c r="H1525" s="43"/>
      <c r="I1525" s="43"/>
      <c r="J1525" s="43"/>
      <c r="K1525" s="27" t="s">
        <v>567</v>
      </c>
      <c r="L1525" s="28"/>
      <c r="M1525" s="27"/>
      <c r="N1525" s="27" t="s">
        <v>788</v>
      </c>
      <c r="O1525" s="18"/>
      <c r="P1525" s="214"/>
      <c r="Q1525" s="214"/>
      <c r="R1525" s="29"/>
      <c r="S1525" s="27"/>
      <c r="T1525" s="18"/>
      <c r="U1525" s="27"/>
      <c r="V1525" s="29"/>
      <c r="W1525" s="30"/>
      <c r="X1525" s="27"/>
      <c r="Y1525" s="27"/>
      <c r="Z1525" s="27"/>
      <c r="AA1525" s="27"/>
      <c r="AB1525" s="27"/>
      <c r="AC1525" s="273">
        <v>3125388072.7948718</v>
      </c>
      <c r="AD1525" s="27">
        <v>102172270670.77251</v>
      </c>
      <c r="AE1525" s="228">
        <v>3.0589396244953212E-2</v>
      </c>
      <c r="AF1525" s="27">
        <v>17716671734.311951</v>
      </c>
      <c r="AG1525" s="226">
        <v>0.17640943624540495</v>
      </c>
      <c r="AH1525" s="226">
        <v>0.61430670344584437</v>
      </c>
      <c r="AI1525" s="27">
        <v>307030000</v>
      </c>
      <c r="AJ1525" s="226">
        <v>10.179422443392736</v>
      </c>
      <c r="AK1525" s="27">
        <v>3038714473.5205936</v>
      </c>
      <c r="AL1525" s="226">
        <v>1.0285231139778197</v>
      </c>
      <c r="AM1525" s="27">
        <v>2553560909.1934161</v>
      </c>
      <c r="AN1525" s="271">
        <v>1.2239332383037131</v>
      </c>
      <c r="AO1525" s="27">
        <v>28328410</v>
      </c>
      <c r="AP1525" s="27">
        <v>42.4</v>
      </c>
      <c r="AQ1525" s="27">
        <v>73.014878048780488</v>
      </c>
      <c r="AR1525" s="27">
        <v>18.600000000000001</v>
      </c>
      <c r="AS1525" s="29">
        <v>99.705489999999998</v>
      </c>
      <c r="AT1525" s="270">
        <v>38</v>
      </c>
      <c r="AU1525" s="464">
        <v>72.816286549781523</v>
      </c>
      <c r="AV1525" s="29">
        <v>6.2703568528113707E-2</v>
      </c>
      <c r="AW1525" s="29">
        <v>-0.76005136929099804</v>
      </c>
      <c r="AX1525" s="29">
        <v>-0.50979739813082503</v>
      </c>
      <c r="AY1525" s="29">
        <v>0.27595894070192201</v>
      </c>
      <c r="AZ1525" s="60">
        <v>-0.260524325273502</v>
      </c>
    </row>
    <row r="1526" spans="1:52" ht="15" customHeight="1">
      <c r="A1526" s="63" t="s">
        <v>446</v>
      </c>
      <c r="B1526" s="27">
        <v>2007</v>
      </c>
      <c r="C1526" s="27" t="s">
        <v>442</v>
      </c>
      <c r="D1526" s="69" t="s">
        <v>214</v>
      </c>
      <c r="E1526" s="29" t="s">
        <v>19</v>
      </c>
      <c r="F1526" s="27" t="s">
        <v>1311</v>
      </c>
      <c r="G1526" s="43">
        <v>409837</v>
      </c>
      <c r="H1526" s="43"/>
      <c r="I1526" s="43"/>
      <c r="J1526" s="43"/>
      <c r="K1526" s="27" t="s">
        <v>567</v>
      </c>
      <c r="L1526" s="28"/>
      <c r="M1526" s="27"/>
      <c r="N1526" s="27" t="s">
        <v>788</v>
      </c>
      <c r="O1526" s="18"/>
      <c r="P1526" s="214"/>
      <c r="Q1526" s="214"/>
      <c r="R1526" s="29"/>
      <c r="S1526" s="27"/>
      <c r="T1526" s="18"/>
      <c r="U1526" s="27"/>
      <c r="V1526" s="29"/>
      <c r="W1526" s="30"/>
      <c r="X1526" s="27"/>
      <c r="Y1526" s="27"/>
      <c r="Z1526" s="27"/>
      <c r="AA1526" s="27"/>
      <c r="AB1526" s="27"/>
      <c r="AC1526" s="273">
        <v>3125388072.7948718</v>
      </c>
      <c r="AD1526" s="27">
        <v>102172270670.77251</v>
      </c>
      <c r="AE1526" s="228">
        <v>3.0589396244953212E-2</v>
      </c>
      <c r="AF1526" s="27">
        <v>17716671734.311951</v>
      </c>
      <c r="AG1526" s="226">
        <v>0.17640943624540495</v>
      </c>
      <c r="AH1526" s="226">
        <v>0.61430670344584437</v>
      </c>
      <c r="AI1526" s="27">
        <v>307030000</v>
      </c>
      <c r="AJ1526" s="226">
        <v>10.179422443392736</v>
      </c>
      <c r="AK1526" s="27">
        <v>3038714473.5205936</v>
      </c>
      <c r="AL1526" s="226">
        <v>1.0285231139778197</v>
      </c>
      <c r="AM1526" s="27">
        <v>2553560909.1934161</v>
      </c>
      <c r="AN1526" s="271">
        <v>1.2239332383037131</v>
      </c>
      <c r="AO1526" s="27">
        <v>28328410</v>
      </c>
      <c r="AP1526" s="27">
        <v>42.4</v>
      </c>
      <c r="AQ1526" s="27">
        <v>73.014878048780488</v>
      </c>
      <c r="AR1526" s="27">
        <v>18.600000000000001</v>
      </c>
      <c r="AS1526" s="29">
        <v>99.705489999999998</v>
      </c>
      <c r="AT1526" s="270">
        <v>38</v>
      </c>
      <c r="AU1526" s="464">
        <v>72.816286549781523</v>
      </c>
      <c r="AV1526" s="29">
        <v>6.2703568528113707E-2</v>
      </c>
      <c r="AW1526" s="29">
        <v>-0.76005136929099804</v>
      </c>
      <c r="AX1526" s="29">
        <v>-0.50979739813082503</v>
      </c>
      <c r="AY1526" s="29">
        <v>0.27595894070192201</v>
      </c>
      <c r="AZ1526" s="60">
        <v>-0.260524325273502</v>
      </c>
    </row>
    <row r="1527" spans="1:52" ht="15" customHeight="1">
      <c r="A1527" s="63" t="s">
        <v>446</v>
      </c>
      <c r="B1527" s="27">
        <v>2007</v>
      </c>
      <c r="C1527" s="27" t="s">
        <v>442</v>
      </c>
      <c r="D1527" s="69" t="s">
        <v>214</v>
      </c>
      <c r="E1527" s="29" t="s">
        <v>19</v>
      </c>
      <c r="F1527" s="27" t="s">
        <v>730</v>
      </c>
      <c r="G1527" s="43">
        <f>170236*32.150743126506</f>
        <v>5473213.9068838758</v>
      </c>
      <c r="H1527" s="43"/>
      <c r="I1527" s="43"/>
      <c r="J1527" s="43"/>
      <c r="K1527" s="27" t="s">
        <v>731</v>
      </c>
      <c r="L1527" s="28">
        <v>696.72024999999996</v>
      </c>
      <c r="M1527" s="27" t="s">
        <v>732</v>
      </c>
      <c r="N1527" s="27" t="s">
        <v>782</v>
      </c>
      <c r="O1527" s="18">
        <f>G1527*L1527</f>
        <v>3813298961.5076103</v>
      </c>
      <c r="P1527" s="214"/>
      <c r="Q1527" s="214"/>
      <c r="R1527" s="27"/>
      <c r="S1527" s="27"/>
      <c r="T1527" s="18"/>
      <c r="U1527" s="27"/>
      <c r="V1527" s="27"/>
      <c r="W1527" s="30"/>
      <c r="X1527" s="27">
        <v>11</v>
      </c>
      <c r="Y1527" s="27" t="s">
        <v>1891</v>
      </c>
      <c r="Z1527" s="27">
        <v>11</v>
      </c>
      <c r="AA1527" s="27"/>
      <c r="AB1527" s="27"/>
      <c r="AC1527" s="273">
        <v>3125388072.7948718</v>
      </c>
      <c r="AD1527" s="27">
        <v>102172270670.77251</v>
      </c>
      <c r="AE1527" s="228">
        <v>3.0589396244953212E-2</v>
      </c>
      <c r="AF1527" s="27">
        <v>17716671734.311951</v>
      </c>
      <c r="AG1527" s="226">
        <v>0.17640943624540495</v>
      </c>
      <c r="AH1527" s="226">
        <v>0.61430670344584437</v>
      </c>
      <c r="AI1527" s="27">
        <v>307030000</v>
      </c>
      <c r="AJ1527" s="226">
        <v>10.179422443392736</v>
      </c>
      <c r="AK1527" s="27">
        <v>3038714473.5205936</v>
      </c>
      <c r="AL1527" s="226">
        <v>1.0285231139778197</v>
      </c>
      <c r="AM1527" s="27">
        <v>2553560909.1934161</v>
      </c>
      <c r="AN1527" s="271">
        <v>1.2239332383037131</v>
      </c>
      <c r="AO1527" s="27">
        <v>28328410</v>
      </c>
      <c r="AP1527" s="27">
        <v>42.4</v>
      </c>
      <c r="AQ1527" s="27">
        <v>73.014878048780488</v>
      </c>
      <c r="AR1527" s="27">
        <v>18.600000000000001</v>
      </c>
      <c r="AS1527" s="29">
        <v>99.705489999999998</v>
      </c>
      <c r="AT1527" s="270">
        <v>38</v>
      </c>
      <c r="AU1527" s="464">
        <v>72.816286549781523</v>
      </c>
      <c r="AV1527" s="29">
        <v>6.2703568528113707E-2</v>
      </c>
      <c r="AW1527" s="29">
        <v>-0.76005136929099804</v>
      </c>
      <c r="AX1527" s="29">
        <v>-0.50979739813082503</v>
      </c>
      <c r="AY1527" s="29">
        <v>0.27595894070192201</v>
      </c>
      <c r="AZ1527" s="60">
        <v>-0.260524325273502</v>
      </c>
    </row>
    <row r="1528" spans="1:52" ht="15" customHeight="1">
      <c r="A1528" s="63" t="s">
        <v>446</v>
      </c>
      <c r="B1528" s="27">
        <v>2007</v>
      </c>
      <c r="C1528" s="27" t="s">
        <v>442</v>
      </c>
      <c r="D1528" s="69" t="s">
        <v>214</v>
      </c>
      <c r="E1528" s="29" t="s">
        <v>19</v>
      </c>
      <c r="F1528" s="27" t="s">
        <v>1892</v>
      </c>
      <c r="G1528" s="43">
        <v>5000</v>
      </c>
      <c r="H1528" s="43"/>
      <c r="I1528" s="43"/>
      <c r="J1528" s="43"/>
      <c r="K1528" s="27" t="s">
        <v>894</v>
      </c>
      <c r="L1528" s="28">
        <v>795</v>
      </c>
      <c r="M1528" s="27" t="s">
        <v>1743</v>
      </c>
      <c r="N1528" s="27" t="s">
        <v>1914</v>
      </c>
      <c r="O1528" s="18">
        <f>G1528*L1528</f>
        <v>3975000</v>
      </c>
      <c r="P1528" s="214"/>
      <c r="Q1528" s="214"/>
      <c r="R1528" s="71"/>
      <c r="S1528" s="27"/>
      <c r="T1528" s="18"/>
      <c r="U1528" s="27"/>
      <c r="V1528" s="18"/>
      <c r="W1528" s="30"/>
      <c r="X1528" s="27"/>
      <c r="Y1528" s="27"/>
      <c r="Z1528" s="27"/>
      <c r="AA1528" s="27"/>
      <c r="AB1528" s="27"/>
      <c r="AC1528" s="273">
        <v>3125388072.7948718</v>
      </c>
      <c r="AD1528" s="27">
        <v>102172270670.77251</v>
      </c>
      <c r="AE1528" s="228">
        <v>3.0589396244953212E-2</v>
      </c>
      <c r="AF1528" s="27">
        <v>17716671734.311951</v>
      </c>
      <c r="AG1528" s="226">
        <v>0.17640943624540495</v>
      </c>
      <c r="AH1528" s="226">
        <v>0.61430670344584437</v>
      </c>
      <c r="AI1528" s="27">
        <v>307030000</v>
      </c>
      <c r="AJ1528" s="226">
        <v>10.179422443392736</v>
      </c>
      <c r="AK1528" s="27">
        <v>3038714473.5205936</v>
      </c>
      <c r="AL1528" s="226">
        <v>1.0285231139778197</v>
      </c>
      <c r="AM1528" s="27">
        <v>2553560909.1934161</v>
      </c>
      <c r="AN1528" s="271">
        <v>1.2239332383037131</v>
      </c>
      <c r="AO1528" s="27">
        <v>28328410</v>
      </c>
      <c r="AP1528" s="27">
        <v>42.4</v>
      </c>
      <c r="AQ1528" s="27">
        <v>73.014878048780488</v>
      </c>
      <c r="AR1528" s="27">
        <v>18.600000000000001</v>
      </c>
      <c r="AS1528" s="29">
        <v>99.705489999999998</v>
      </c>
      <c r="AT1528" s="270">
        <v>38</v>
      </c>
      <c r="AU1528" s="464">
        <v>72.816286549781523</v>
      </c>
      <c r="AV1528" s="29">
        <v>6.2703568528113707E-2</v>
      </c>
      <c r="AW1528" s="29">
        <v>-0.76005136929099804</v>
      </c>
      <c r="AX1528" s="29">
        <v>-0.50979739813082503</v>
      </c>
      <c r="AY1528" s="29">
        <v>0.27595894070192201</v>
      </c>
      <c r="AZ1528" s="60">
        <v>-0.260524325273502</v>
      </c>
    </row>
    <row r="1529" spans="1:52" ht="15" customHeight="1">
      <c r="A1529" s="63" t="s">
        <v>446</v>
      </c>
      <c r="B1529" s="27">
        <v>2007</v>
      </c>
      <c r="C1529" s="27" t="s">
        <v>442</v>
      </c>
      <c r="D1529" s="69" t="s">
        <v>214</v>
      </c>
      <c r="E1529" s="29" t="s">
        <v>19</v>
      </c>
      <c r="F1529" s="27" t="s">
        <v>1133</v>
      </c>
      <c r="G1529" s="43">
        <v>7614000</v>
      </c>
      <c r="H1529" s="43"/>
      <c r="I1529" s="43"/>
      <c r="J1529" s="43"/>
      <c r="K1529" s="27" t="s">
        <v>567</v>
      </c>
      <c r="L1529" s="28">
        <v>122.9875</v>
      </c>
      <c r="M1529" s="27" t="s">
        <v>568</v>
      </c>
      <c r="N1529" s="27" t="s">
        <v>1320</v>
      </c>
      <c r="O1529" s="18">
        <f>G1529*L1529</f>
        <v>936426825</v>
      </c>
      <c r="P1529" s="214"/>
      <c r="Q1529" s="214"/>
      <c r="R1529" s="71"/>
      <c r="S1529" s="27"/>
      <c r="T1529" s="18"/>
      <c r="U1529" s="27"/>
      <c r="V1529" s="18"/>
      <c r="W1529" s="30"/>
      <c r="X1529" s="27"/>
      <c r="Y1529" s="27"/>
      <c r="Z1529" s="27"/>
      <c r="AA1529" s="27"/>
      <c r="AB1529" s="27"/>
      <c r="AC1529" s="273">
        <v>3125388072.7948718</v>
      </c>
      <c r="AD1529" s="27">
        <v>102172270670.77251</v>
      </c>
      <c r="AE1529" s="228">
        <v>3.0589396244953212E-2</v>
      </c>
      <c r="AF1529" s="27">
        <v>17716671734.311951</v>
      </c>
      <c r="AG1529" s="226">
        <v>0.17640943624540495</v>
      </c>
      <c r="AH1529" s="226">
        <v>0.61430670344584437</v>
      </c>
      <c r="AI1529" s="27">
        <v>307030000</v>
      </c>
      <c r="AJ1529" s="226">
        <v>10.179422443392736</v>
      </c>
      <c r="AK1529" s="27">
        <v>3038714473.5205936</v>
      </c>
      <c r="AL1529" s="226">
        <v>1.0285231139778197</v>
      </c>
      <c r="AM1529" s="27">
        <v>2553560909.1934161</v>
      </c>
      <c r="AN1529" s="271">
        <v>1.2239332383037131</v>
      </c>
      <c r="AO1529" s="27">
        <v>28328410</v>
      </c>
      <c r="AP1529" s="27">
        <v>42.4</v>
      </c>
      <c r="AQ1529" s="27">
        <v>73.014878048780488</v>
      </c>
      <c r="AR1529" s="27">
        <v>18.600000000000001</v>
      </c>
      <c r="AS1529" s="29">
        <v>99.705489999999998</v>
      </c>
      <c r="AT1529" s="270">
        <v>38</v>
      </c>
      <c r="AU1529" s="464">
        <v>72.816286549781523</v>
      </c>
      <c r="AV1529" s="29">
        <v>6.2703568528113707E-2</v>
      </c>
      <c r="AW1529" s="29">
        <v>-0.76005136929099804</v>
      </c>
      <c r="AX1529" s="29">
        <v>-0.50979739813082503</v>
      </c>
      <c r="AY1529" s="29">
        <v>0.27595894070192201</v>
      </c>
      <c r="AZ1529" s="60">
        <v>-0.260524325273502</v>
      </c>
    </row>
    <row r="1530" spans="1:52" ht="15" customHeight="1">
      <c r="A1530" s="63" t="s">
        <v>446</v>
      </c>
      <c r="B1530" s="27">
        <v>2007</v>
      </c>
      <c r="C1530" s="27" t="s">
        <v>442</v>
      </c>
      <c r="D1530" s="69" t="s">
        <v>214</v>
      </c>
      <c r="E1530" s="29" t="s">
        <v>19</v>
      </c>
      <c r="F1530" s="27" t="s">
        <v>1360</v>
      </c>
      <c r="G1530" s="43"/>
      <c r="H1530" s="43"/>
      <c r="I1530" s="43"/>
      <c r="J1530" s="43"/>
      <c r="K1530" s="27"/>
      <c r="L1530" s="44">
        <v>2579.9854166666701</v>
      </c>
      <c r="M1530" s="27" t="s">
        <v>568</v>
      </c>
      <c r="N1530" s="27" t="s">
        <v>1895</v>
      </c>
      <c r="O1530" s="18">
        <f>G1532*L1530</f>
        <v>301275217.04583371</v>
      </c>
      <c r="P1530" s="214"/>
      <c r="Q1530" s="214"/>
      <c r="R1530" s="18"/>
      <c r="S1530" s="27"/>
      <c r="T1530" s="18"/>
      <c r="U1530" s="27"/>
      <c r="V1530" s="18"/>
      <c r="W1530" s="30"/>
      <c r="X1530" s="27">
        <v>10</v>
      </c>
      <c r="Y1530" s="27" t="s">
        <v>1896</v>
      </c>
      <c r="Z1530" s="27">
        <v>10</v>
      </c>
      <c r="AA1530" s="27"/>
      <c r="AB1530" s="27"/>
      <c r="AC1530" s="273">
        <v>3125388072.7948718</v>
      </c>
      <c r="AD1530" s="27">
        <v>102172270670.77251</v>
      </c>
      <c r="AE1530" s="228">
        <v>3.0589396244953212E-2</v>
      </c>
      <c r="AF1530" s="27">
        <v>17716671734.311951</v>
      </c>
      <c r="AG1530" s="226">
        <v>0.17640943624540495</v>
      </c>
      <c r="AH1530" s="226">
        <v>0.61430670344584437</v>
      </c>
      <c r="AI1530" s="27">
        <v>307030000</v>
      </c>
      <c r="AJ1530" s="226">
        <v>10.179422443392736</v>
      </c>
      <c r="AK1530" s="27">
        <v>3038714473.5205936</v>
      </c>
      <c r="AL1530" s="226">
        <v>1.0285231139778197</v>
      </c>
      <c r="AM1530" s="27">
        <v>2553560909.1934161</v>
      </c>
      <c r="AN1530" s="271">
        <v>1.2239332383037131</v>
      </c>
      <c r="AO1530" s="27">
        <v>28328410</v>
      </c>
      <c r="AP1530" s="27">
        <v>42.4</v>
      </c>
      <c r="AQ1530" s="27">
        <v>73.014878048780488</v>
      </c>
      <c r="AR1530" s="27">
        <v>18.600000000000001</v>
      </c>
      <c r="AS1530" s="29">
        <v>99.705489999999998</v>
      </c>
      <c r="AT1530" s="270">
        <v>38</v>
      </c>
      <c r="AU1530" s="464">
        <v>72.816286549781523</v>
      </c>
      <c r="AV1530" s="29">
        <v>6.2703568528113707E-2</v>
      </c>
      <c r="AW1530" s="29">
        <v>-0.76005136929099804</v>
      </c>
      <c r="AX1530" s="29">
        <v>-0.50979739813082503</v>
      </c>
      <c r="AY1530" s="29">
        <v>0.27595894070192201</v>
      </c>
      <c r="AZ1530" s="60">
        <v>-0.260524325273502</v>
      </c>
    </row>
    <row r="1531" spans="1:52" ht="15" customHeight="1">
      <c r="A1531" s="63" t="s">
        <v>446</v>
      </c>
      <c r="B1531" s="27">
        <v>2007</v>
      </c>
      <c r="C1531" s="27" t="s">
        <v>442</v>
      </c>
      <c r="D1531" s="69" t="s">
        <v>214</v>
      </c>
      <c r="E1531" s="29" t="s">
        <v>19</v>
      </c>
      <c r="F1531" s="27" t="s">
        <v>1897</v>
      </c>
      <c r="G1531" s="43">
        <v>329165</v>
      </c>
      <c r="H1531" s="43"/>
      <c r="I1531" s="43"/>
      <c r="J1531" s="43"/>
      <c r="K1531" s="27" t="s">
        <v>567</v>
      </c>
      <c r="L1531" s="28"/>
      <c r="M1531" s="27"/>
      <c r="N1531" s="27" t="s">
        <v>788</v>
      </c>
      <c r="O1531" s="18"/>
      <c r="P1531" s="214"/>
      <c r="Q1531" s="214"/>
      <c r="R1531" s="29"/>
      <c r="S1531" s="27"/>
      <c r="T1531" s="18"/>
      <c r="U1531" s="27"/>
      <c r="V1531" s="29"/>
      <c r="W1531" s="30"/>
      <c r="X1531" s="27"/>
      <c r="Y1531" s="27"/>
      <c r="Z1531" s="27"/>
      <c r="AA1531" s="27"/>
      <c r="AB1531" s="27"/>
      <c r="AC1531" s="273">
        <v>3125388072.7948718</v>
      </c>
      <c r="AD1531" s="27">
        <v>102172270670.77251</v>
      </c>
      <c r="AE1531" s="228">
        <v>3.0589396244953212E-2</v>
      </c>
      <c r="AF1531" s="27">
        <v>17716671734.311951</v>
      </c>
      <c r="AG1531" s="226">
        <v>0.17640943624540495</v>
      </c>
      <c r="AH1531" s="226">
        <v>0.61430670344584437</v>
      </c>
      <c r="AI1531" s="27">
        <v>307030000</v>
      </c>
      <c r="AJ1531" s="226">
        <v>10.179422443392736</v>
      </c>
      <c r="AK1531" s="27">
        <v>3038714473.5205936</v>
      </c>
      <c r="AL1531" s="226">
        <v>1.0285231139778197</v>
      </c>
      <c r="AM1531" s="27">
        <v>2553560909.1934161</v>
      </c>
      <c r="AN1531" s="271">
        <v>1.2239332383037131</v>
      </c>
      <c r="AO1531" s="27">
        <v>28328410</v>
      </c>
      <c r="AP1531" s="27">
        <v>42.4</v>
      </c>
      <c r="AQ1531" s="27">
        <v>73.014878048780488</v>
      </c>
      <c r="AR1531" s="27">
        <v>18.600000000000001</v>
      </c>
      <c r="AS1531" s="29">
        <v>99.705489999999998</v>
      </c>
      <c r="AT1531" s="270">
        <v>38</v>
      </c>
      <c r="AU1531" s="464">
        <v>72.816286549781523</v>
      </c>
      <c r="AV1531" s="29">
        <v>6.2703568528113707E-2</v>
      </c>
      <c r="AW1531" s="29">
        <v>-0.76005136929099804</v>
      </c>
      <c r="AX1531" s="29">
        <v>-0.50979739813082503</v>
      </c>
      <c r="AY1531" s="29">
        <v>0.27595894070192201</v>
      </c>
      <c r="AZ1531" s="60">
        <v>-0.260524325273502</v>
      </c>
    </row>
    <row r="1532" spans="1:52" ht="15" customHeight="1">
      <c r="A1532" s="63" t="s">
        <v>446</v>
      </c>
      <c r="B1532" s="27">
        <v>2007</v>
      </c>
      <c r="C1532" s="27" t="s">
        <v>442</v>
      </c>
      <c r="D1532" s="69" t="s">
        <v>214</v>
      </c>
      <c r="E1532" s="29" t="s">
        <v>19</v>
      </c>
      <c r="F1532" s="27" t="s">
        <v>1238</v>
      </c>
      <c r="G1532" s="43">
        <v>116774</v>
      </c>
      <c r="H1532" s="43"/>
      <c r="I1532" s="43"/>
      <c r="J1532" s="43"/>
      <c r="K1532" s="27" t="s">
        <v>567</v>
      </c>
      <c r="L1532" s="28"/>
      <c r="M1532" s="27"/>
      <c r="N1532" s="27" t="s">
        <v>788</v>
      </c>
      <c r="O1532" s="18"/>
      <c r="P1532" s="214"/>
      <c r="Q1532" s="214"/>
      <c r="R1532" s="29"/>
      <c r="S1532" s="27"/>
      <c r="T1532" s="18"/>
      <c r="U1532" s="27"/>
      <c r="V1532" s="29"/>
      <c r="W1532" s="30"/>
      <c r="X1532" s="27"/>
      <c r="Y1532" s="27"/>
      <c r="Z1532" s="27"/>
      <c r="AA1532" s="27"/>
      <c r="AB1532" s="27"/>
      <c r="AC1532" s="273">
        <v>3125388072.7948718</v>
      </c>
      <c r="AD1532" s="27">
        <v>102172270670.77251</v>
      </c>
      <c r="AE1532" s="228">
        <v>3.0589396244953212E-2</v>
      </c>
      <c r="AF1532" s="27">
        <v>17716671734.311951</v>
      </c>
      <c r="AG1532" s="226">
        <v>0.17640943624540495</v>
      </c>
      <c r="AH1532" s="226">
        <v>0.61430670344584437</v>
      </c>
      <c r="AI1532" s="27">
        <v>307030000</v>
      </c>
      <c r="AJ1532" s="226">
        <v>10.179422443392736</v>
      </c>
      <c r="AK1532" s="27">
        <v>3038714473.5205936</v>
      </c>
      <c r="AL1532" s="226">
        <v>1.0285231139778197</v>
      </c>
      <c r="AM1532" s="27">
        <v>2553560909.1934161</v>
      </c>
      <c r="AN1532" s="271">
        <v>1.2239332383037131</v>
      </c>
      <c r="AO1532" s="27">
        <v>28328410</v>
      </c>
      <c r="AP1532" s="27">
        <v>42.4</v>
      </c>
      <c r="AQ1532" s="27">
        <v>73.014878048780488</v>
      </c>
      <c r="AR1532" s="27">
        <v>18.600000000000001</v>
      </c>
      <c r="AS1532" s="29">
        <v>99.705489999999998</v>
      </c>
      <c r="AT1532" s="270">
        <v>38</v>
      </c>
      <c r="AU1532" s="464">
        <v>72.816286549781523</v>
      </c>
      <c r="AV1532" s="29">
        <v>6.2703568528113707E-2</v>
      </c>
      <c r="AW1532" s="29">
        <v>-0.76005136929099804</v>
      </c>
      <c r="AX1532" s="29">
        <v>-0.50979739813082503</v>
      </c>
      <c r="AY1532" s="29">
        <v>0.27595894070192201</v>
      </c>
      <c r="AZ1532" s="60">
        <v>-0.260524325273502</v>
      </c>
    </row>
    <row r="1533" spans="1:52" ht="15" customHeight="1">
      <c r="A1533" s="63" t="s">
        <v>446</v>
      </c>
      <c r="B1533" s="27">
        <v>2007</v>
      </c>
      <c r="C1533" s="27" t="s">
        <v>442</v>
      </c>
      <c r="D1533" s="69" t="s">
        <v>214</v>
      </c>
      <c r="E1533" s="29" t="s">
        <v>19</v>
      </c>
      <c r="F1533" s="27" t="s">
        <v>1326</v>
      </c>
      <c r="G1533" s="43">
        <v>330000</v>
      </c>
      <c r="H1533" s="43"/>
      <c r="I1533" s="43"/>
      <c r="J1533" s="43"/>
      <c r="K1533" s="27" t="s">
        <v>567</v>
      </c>
      <c r="L1533" s="28"/>
      <c r="M1533" s="27"/>
      <c r="N1533" s="27" t="s">
        <v>788</v>
      </c>
      <c r="O1533" s="18"/>
      <c r="P1533" s="214"/>
      <c r="Q1533" s="214"/>
      <c r="R1533" s="18"/>
      <c r="S1533" s="27"/>
      <c r="T1533" s="18"/>
      <c r="U1533" s="27"/>
      <c r="V1533" s="18"/>
      <c r="W1533" s="30"/>
      <c r="X1533" s="27"/>
      <c r="Y1533" s="27"/>
      <c r="Z1533" s="27"/>
      <c r="AA1533" s="27"/>
      <c r="AB1533" s="27"/>
      <c r="AC1533" s="273">
        <v>3125388072.7948718</v>
      </c>
      <c r="AD1533" s="27">
        <v>102172270670.77251</v>
      </c>
      <c r="AE1533" s="228">
        <v>3.0589396244953212E-2</v>
      </c>
      <c r="AF1533" s="27">
        <v>17716671734.311951</v>
      </c>
      <c r="AG1533" s="226">
        <v>0.17640943624540495</v>
      </c>
      <c r="AH1533" s="226">
        <v>0.61430670344584437</v>
      </c>
      <c r="AI1533" s="27">
        <v>307030000</v>
      </c>
      <c r="AJ1533" s="226">
        <v>10.179422443392736</v>
      </c>
      <c r="AK1533" s="27">
        <v>3038714473.5205936</v>
      </c>
      <c r="AL1533" s="226">
        <v>1.0285231139778197</v>
      </c>
      <c r="AM1533" s="27">
        <v>2553560909.1934161</v>
      </c>
      <c r="AN1533" s="271">
        <v>1.2239332383037131</v>
      </c>
      <c r="AO1533" s="27">
        <v>28328410</v>
      </c>
      <c r="AP1533" s="27">
        <v>42.4</v>
      </c>
      <c r="AQ1533" s="27">
        <v>73.014878048780488</v>
      </c>
      <c r="AR1533" s="27">
        <v>18.600000000000001</v>
      </c>
      <c r="AS1533" s="29">
        <v>99.705489999999998</v>
      </c>
      <c r="AT1533" s="270">
        <v>38</v>
      </c>
      <c r="AU1533" s="464">
        <v>72.816286549781523</v>
      </c>
      <c r="AV1533" s="29">
        <v>6.2703568528113707E-2</v>
      </c>
      <c r="AW1533" s="29">
        <v>-0.76005136929099804</v>
      </c>
      <c r="AX1533" s="29">
        <v>-0.50979739813082503</v>
      </c>
      <c r="AY1533" s="29">
        <v>0.27595894070192201</v>
      </c>
      <c r="AZ1533" s="60">
        <v>-0.260524325273502</v>
      </c>
    </row>
    <row r="1534" spans="1:52" ht="15" customHeight="1">
      <c r="A1534" s="63" t="s">
        <v>446</v>
      </c>
      <c r="B1534" s="27">
        <v>2007</v>
      </c>
      <c r="C1534" s="27" t="s">
        <v>442</v>
      </c>
      <c r="D1534" s="69" t="s">
        <v>214</v>
      </c>
      <c r="E1534" s="29" t="s">
        <v>19</v>
      </c>
      <c r="F1534" s="27" t="s">
        <v>1898</v>
      </c>
      <c r="G1534" s="43">
        <v>60000</v>
      </c>
      <c r="H1534" s="43"/>
      <c r="I1534" s="43"/>
      <c r="J1534" s="43"/>
      <c r="K1534" s="27" t="s">
        <v>567</v>
      </c>
      <c r="L1534" s="28">
        <f>32.9/0.000453592</f>
        <v>72532.14342404627</v>
      </c>
      <c r="M1534" s="27" t="s">
        <v>568</v>
      </c>
      <c r="N1534" s="27" t="s">
        <v>1915</v>
      </c>
      <c r="O1534" s="18">
        <f>G1534*L1534</f>
        <v>4351928605.4427757</v>
      </c>
      <c r="P1534" s="214"/>
      <c r="Q1534" s="214"/>
      <c r="R1534" s="18"/>
      <c r="S1534" s="27"/>
      <c r="T1534" s="18"/>
      <c r="U1534" s="27"/>
      <c r="V1534" s="18"/>
      <c r="W1534" s="30"/>
      <c r="X1534" s="27"/>
      <c r="Y1534" s="27"/>
      <c r="Z1534" s="27"/>
      <c r="AA1534" s="27"/>
      <c r="AB1534" s="27"/>
      <c r="AC1534" s="273">
        <v>3125388072.7948718</v>
      </c>
      <c r="AD1534" s="27">
        <v>102172270670.77251</v>
      </c>
      <c r="AE1534" s="228">
        <v>3.0589396244953212E-2</v>
      </c>
      <c r="AF1534" s="27">
        <v>17716671734.311951</v>
      </c>
      <c r="AG1534" s="226">
        <v>0.17640943624540495</v>
      </c>
      <c r="AH1534" s="226">
        <v>0.61430670344584437</v>
      </c>
      <c r="AI1534" s="27">
        <v>307030000</v>
      </c>
      <c r="AJ1534" s="226">
        <v>10.179422443392736</v>
      </c>
      <c r="AK1534" s="27">
        <v>3038714473.5205936</v>
      </c>
      <c r="AL1534" s="226">
        <v>1.0285231139778197</v>
      </c>
      <c r="AM1534" s="27">
        <v>2553560909.1934161</v>
      </c>
      <c r="AN1534" s="271">
        <v>1.2239332383037131</v>
      </c>
      <c r="AO1534" s="27">
        <v>28328410</v>
      </c>
      <c r="AP1534" s="27">
        <v>42.4</v>
      </c>
      <c r="AQ1534" s="27">
        <v>73.014878048780488</v>
      </c>
      <c r="AR1534" s="27">
        <v>18.600000000000001</v>
      </c>
      <c r="AS1534" s="29">
        <v>99.705489999999998</v>
      </c>
      <c r="AT1534" s="270">
        <v>38</v>
      </c>
      <c r="AU1534" s="464">
        <v>72.816286549781523</v>
      </c>
      <c r="AV1534" s="29">
        <v>6.2703568528113707E-2</v>
      </c>
      <c r="AW1534" s="29">
        <v>-0.76005136929099804</v>
      </c>
      <c r="AX1534" s="29">
        <v>-0.50979739813082503</v>
      </c>
      <c r="AY1534" s="29">
        <v>0.27595894070192201</v>
      </c>
      <c r="AZ1534" s="60">
        <v>-0.260524325273502</v>
      </c>
    </row>
    <row r="1535" spans="1:52" ht="15" customHeight="1">
      <c r="A1535" s="63" t="s">
        <v>446</v>
      </c>
      <c r="B1535" s="27">
        <v>2007</v>
      </c>
      <c r="C1535" s="27" t="s">
        <v>442</v>
      </c>
      <c r="D1535" s="69" t="s">
        <v>214</v>
      </c>
      <c r="E1535" s="29" t="s">
        <v>19</v>
      </c>
      <c r="F1535" s="27" t="s">
        <v>1916</v>
      </c>
      <c r="G1535" s="43">
        <v>4000</v>
      </c>
      <c r="H1535" s="43"/>
      <c r="I1535" s="43"/>
      <c r="J1535" s="43"/>
      <c r="K1535" s="27" t="s">
        <v>567</v>
      </c>
      <c r="L1535" s="28">
        <v>8.4700000000000006</v>
      </c>
      <c r="M1535" s="27" t="s">
        <v>568</v>
      </c>
      <c r="N1535" s="27" t="s">
        <v>1917</v>
      </c>
      <c r="O1535" s="18">
        <f>G1535*L1535</f>
        <v>33880</v>
      </c>
      <c r="P1535" s="214"/>
      <c r="Q1535" s="214"/>
      <c r="R1535" s="18"/>
      <c r="S1535" s="27"/>
      <c r="T1535" s="18"/>
      <c r="U1535" s="27"/>
      <c r="V1535" s="18"/>
      <c r="W1535" s="30"/>
      <c r="X1535" s="27"/>
      <c r="Y1535" s="27"/>
      <c r="Z1535" s="27"/>
      <c r="AA1535" s="27"/>
      <c r="AB1535" s="27"/>
      <c r="AC1535" s="273">
        <v>3125388072.7948718</v>
      </c>
      <c r="AD1535" s="27">
        <v>102172270670.77251</v>
      </c>
      <c r="AE1535" s="228">
        <v>3.0589396244953212E-2</v>
      </c>
      <c r="AF1535" s="27">
        <v>17716671734.311951</v>
      </c>
      <c r="AG1535" s="226">
        <v>0.17640943624540495</v>
      </c>
      <c r="AH1535" s="226">
        <v>0.61430670344584437</v>
      </c>
      <c r="AI1535" s="27">
        <v>307030000</v>
      </c>
      <c r="AJ1535" s="226">
        <v>10.179422443392736</v>
      </c>
      <c r="AK1535" s="27">
        <v>3038714473.5205936</v>
      </c>
      <c r="AL1535" s="226">
        <v>1.0285231139778197</v>
      </c>
      <c r="AM1535" s="27">
        <v>2553560909.1934161</v>
      </c>
      <c r="AN1535" s="271">
        <v>1.2239332383037131</v>
      </c>
      <c r="AO1535" s="27">
        <v>28328410</v>
      </c>
      <c r="AP1535" s="27">
        <v>42.4</v>
      </c>
      <c r="AQ1535" s="27">
        <v>73.014878048780488</v>
      </c>
      <c r="AR1535" s="27">
        <v>18.600000000000001</v>
      </c>
      <c r="AS1535" s="29">
        <v>99.705489999999998</v>
      </c>
      <c r="AT1535" s="270">
        <v>38</v>
      </c>
      <c r="AU1535" s="464">
        <v>72.816286549781523</v>
      </c>
      <c r="AV1535" s="29">
        <v>6.2703568528113707E-2</v>
      </c>
      <c r="AW1535" s="29">
        <v>-0.76005136929099804</v>
      </c>
      <c r="AX1535" s="29">
        <v>-0.50979739813082503</v>
      </c>
      <c r="AY1535" s="29">
        <v>0.27595894070192201</v>
      </c>
      <c r="AZ1535" s="60">
        <v>-0.260524325273502</v>
      </c>
    </row>
    <row r="1536" spans="1:52" ht="15" customHeight="1">
      <c r="A1536" s="63" t="s">
        <v>446</v>
      </c>
      <c r="B1536" s="27">
        <v>2007</v>
      </c>
      <c r="C1536" s="27" t="s">
        <v>442</v>
      </c>
      <c r="D1536" s="69" t="s">
        <v>214</v>
      </c>
      <c r="E1536" s="29" t="s">
        <v>19</v>
      </c>
      <c r="F1536" s="27" t="s">
        <v>735</v>
      </c>
      <c r="G1536" s="43">
        <f>3501*32150.7466</f>
        <v>112559763.8466</v>
      </c>
      <c r="H1536" s="43"/>
      <c r="I1536" s="43"/>
      <c r="J1536" s="43"/>
      <c r="K1536" s="27" t="s">
        <v>731</v>
      </c>
      <c r="L1536" s="28">
        <f>13.391975/1</f>
        <v>13.391975</v>
      </c>
      <c r="M1536" s="27" t="s">
        <v>732</v>
      </c>
      <c r="N1536" s="27" t="s">
        <v>1074</v>
      </c>
      <c r="O1536" s="18">
        <f>G1536*L1536</f>
        <v>1507397543.4395711</v>
      </c>
      <c r="P1536" s="214"/>
      <c r="Q1536" s="214"/>
      <c r="R1536" s="18"/>
      <c r="S1536" s="27"/>
      <c r="T1536" s="18"/>
      <c r="U1536" s="27"/>
      <c r="V1536" s="18"/>
      <c r="W1536" s="30"/>
      <c r="X1536" s="27">
        <v>16</v>
      </c>
      <c r="Y1536" s="27" t="s">
        <v>1900</v>
      </c>
      <c r="Z1536" s="27">
        <v>16</v>
      </c>
      <c r="AA1536" s="27"/>
      <c r="AB1536" s="27"/>
      <c r="AC1536" s="273">
        <v>3125388072.7948718</v>
      </c>
      <c r="AD1536" s="27">
        <v>102172270670.77251</v>
      </c>
      <c r="AE1536" s="228">
        <v>3.0589396244953212E-2</v>
      </c>
      <c r="AF1536" s="27">
        <v>17716671734.311951</v>
      </c>
      <c r="AG1536" s="226">
        <v>0.17640943624540495</v>
      </c>
      <c r="AH1536" s="226">
        <v>0.61430670344584437</v>
      </c>
      <c r="AI1536" s="27">
        <v>307030000</v>
      </c>
      <c r="AJ1536" s="226">
        <v>10.179422443392736</v>
      </c>
      <c r="AK1536" s="27">
        <v>3038714473.5205936</v>
      </c>
      <c r="AL1536" s="226">
        <v>1.0285231139778197</v>
      </c>
      <c r="AM1536" s="27">
        <v>2553560909.1934161</v>
      </c>
      <c r="AN1536" s="271">
        <v>1.2239332383037131</v>
      </c>
      <c r="AO1536" s="27">
        <v>28328410</v>
      </c>
      <c r="AP1536" s="27">
        <v>42.4</v>
      </c>
      <c r="AQ1536" s="27">
        <v>73.014878048780488</v>
      </c>
      <c r="AR1536" s="27">
        <v>18.600000000000001</v>
      </c>
      <c r="AS1536" s="29">
        <v>99.705489999999998</v>
      </c>
      <c r="AT1536" s="270">
        <v>38</v>
      </c>
      <c r="AU1536" s="464">
        <v>72.816286549781523</v>
      </c>
      <c r="AV1536" s="29">
        <v>6.2703568528113707E-2</v>
      </c>
      <c r="AW1536" s="29">
        <v>-0.76005136929099804</v>
      </c>
      <c r="AX1536" s="29">
        <v>-0.50979739813082503</v>
      </c>
      <c r="AY1536" s="29">
        <v>0.27595894070192201</v>
      </c>
      <c r="AZ1536" s="60">
        <v>-0.260524325273502</v>
      </c>
    </row>
    <row r="1537" spans="1:52" ht="15" customHeight="1">
      <c r="A1537" s="63" t="s">
        <v>446</v>
      </c>
      <c r="B1537" s="27">
        <v>2007</v>
      </c>
      <c r="C1537" s="27" t="s">
        <v>442</v>
      </c>
      <c r="D1537" s="69" t="s">
        <v>214</v>
      </c>
      <c r="E1537" s="29" t="s">
        <v>19</v>
      </c>
      <c r="F1537" s="27" t="s">
        <v>1901</v>
      </c>
      <c r="G1537" s="43">
        <v>100</v>
      </c>
      <c r="H1537" s="43"/>
      <c r="I1537" s="43"/>
      <c r="J1537" s="43"/>
      <c r="K1537" s="27" t="s">
        <v>567</v>
      </c>
      <c r="L1537" s="28"/>
      <c r="M1537" s="27"/>
      <c r="N1537" s="27" t="s">
        <v>788</v>
      </c>
      <c r="O1537" s="18"/>
      <c r="P1537" s="214"/>
      <c r="Q1537" s="214"/>
      <c r="R1537" s="18"/>
      <c r="S1537" s="27"/>
      <c r="T1537" s="18"/>
      <c r="U1537" s="29"/>
      <c r="V1537" s="18"/>
      <c r="W1537" s="30"/>
      <c r="X1537" s="27"/>
      <c r="Y1537" s="27"/>
      <c r="Z1537" s="27"/>
      <c r="AA1537" s="27"/>
      <c r="AB1537" s="27"/>
      <c r="AC1537" s="273">
        <v>3125388072.7948718</v>
      </c>
      <c r="AD1537" s="27">
        <v>102172270670.77251</v>
      </c>
      <c r="AE1537" s="228">
        <v>3.0589396244953212E-2</v>
      </c>
      <c r="AF1537" s="27">
        <v>17716671734.311951</v>
      </c>
      <c r="AG1537" s="226">
        <v>0.17640943624540495</v>
      </c>
      <c r="AH1537" s="226">
        <v>0.61430670344584437</v>
      </c>
      <c r="AI1537" s="27">
        <v>307030000</v>
      </c>
      <c r="AJ1537" s="226">
        <v>10.179422443392736</v>
      </c>
      <c r="AK1537" s="27">
        <v>3038714473.5205936</v>
      </c>
      <c r="AL1537" s="226">
        <v>1.0285231139778197</v>
      </c>
      <c r="AM1537" s="27">
        <v>2553560909.1934161</v>
      </c>
      <c r="AN1537" s="271">
        <v>1.2239332383037131</v>
      </c>
      <c r="AO1537" s="27">
        <v>28328410</v>
      </c>
      <c r="AP1537" s="27">
        <v>42.4</v>
      </c>
      <c r="AQ1537" s="27">
        <v>73.014878048780488</v>
      </c>
      <c r="AR1537" s="27">
        <v>18.600000000000001</v>
      </c>
      <c r="AS1537" s="29">
        <v>99.705489999999998</v>
      </c>
      <c r="AT1537" s="270">
        <v>38</v>
      </c>
      <c r="AU1537" s="464">
        <v>72.816286549781523</v>
      </c>
      <c r="AV1537" s="29">
        <v>6.2703568528113707E-2</v>
      </c>
      <c r="AW1537" s="29">
        <v>-0.76005136929099804</v>
      </c>
      <c r="AX1537" s="29">
        <v>-0.50979739813082503</v>
      </c>
      <c r="AY1537" s="29">
        <v>0.27595894070192201</v>
      </c>
      <c r="AZ1537" s="60">
        <v>-0.260524325273502</v>
      </c>
    </row>
    <row r="1538" spans="1:52" ht="15" customHeight="1">
      <c r="A1538" s="63" t="s">
        <v>446</v>
      </c>
      <c r="B1538" s="27">
        <v>2007</v>
      </c>
      <c r="C1538" s="27" t="s">
        <v>442</v>
      </c>
      <c r="D1538" s="69" t="s">
        <v>214</v>
      </c>
      <c r="E1538" s="29" t="s">
        <v>19</v>
      </c>
      <c r="F1538" s="27" t="s">
        <v>1902</v>
      </c>
      <c r="G1538" s="43">
        <v>623000</v>
      </c>
      <c r="H1538" s="43"/>
      <c r="I1538" s="43"/>
      <c r="J1538" s="43"/>
      <c r="K1538" s="27" t="s">
        <v>567</v>
      </c>
      <c r="L1538" s="28"/>
      <c r="M1538" s="27"/>
      <c r="N1538" s="27" t="s">
        <v>788</v>
      </c>
      <c r="O1538" s="18"/>
      <c r="P1538" s="214"/>
      <c r="Q1538" s="214"/>
      <c r="R1538" s="18"/>
      <c r="S1538" s="27"/>
      <c r="T1538" s="18"/>
      <c r="U1538" s="29"/>
      <c r="V1538" s="18"/>
      <c r="W1538" s="30"/>
      <c r="X1538" s="27"/>
      <c r="Y1538" s="27"/>
      <c r="Z1538" s="27"/>
      <c r="AA1538" s="27"/>
      <c r="AB1538" s="27"/>
      <c r="AC1538" s="273">
        <v>3125388072.7948718</v>
      </c>
      <c r="AD1538" s="27">
        <v>102172270670.77251</v>
      </c>
      <c r="AE1538" s="228">
        <v>3.0589396244953212E-2</v>
      </c>
      <c r="AF1538" s="27">
        <v>17716671734.311951</v>
      </c>
      <c r="AG1538" s="226">
        <v>0.17640943624540495</v>
      </c>
      <c r="AH1538" s="226">
        <v>0.61430670344584437</v>
      </c>
      <c r="AI1538" s="27">
        <v>307030000</v>
      </c>
      <c r="AJ1538" s="226">
        <v>10.179422443392736</v>
      </c>
      <c r="AK1538" s="27">
        <v>3038714473.5205936</v>
      </c>
      <c r="AL1538" s="226">
        <v>1.0285231139778197</v>
      </c>
      <c r="AM1538" s="27">
        <v>2553560909.1934161</v>
      </c>
      <c r="AN1538" s="271">
        <v>1.2239332383037131</v>
      </c>
      <c r="AO1538" s="27">
        <v>28328410</v>
      </c>
      <c r="AP1538" s="27">
        <v>42.4</v>
      </c>
      <c r="AQ1538" s="27">
        <v>73.014878048780488</v>
      </c>
      <c r="AR1538" s="27">
        <v>18.600000000000001</v>
      </c>
      <c r="AS1538" s="29">
        <v>99.705489999999998</v>
      </c>
      <c r="AT1538" s="270">
        <v>38</v>
      </c>
      <c r="AU1538" s="464">
        <v>72.816286549781523</v>
      </c>
      <c r="AV1538" s="29">
        <v>6.2703568528113707E-2</v>
      </c>
      <c r="AW1538" s="29">
        <v>-0.76005136929099804</v>
      </c>
      <c r="AX1538" s="29">
        <v>-0.50979739813082503</v>
      </c>
      <c r="AY1538" s="29">
        <v>0.27595894070192201</v>
      </c>
      <c r="AZ1538" s="60">
        <v>-0.260524325273502</v>
      </c>
    </row>
    <row r="1539" spans="1:52" ht="15" customHeight="1">
      <c r="A1539" s="63" t="s">
        <v>446</v>
      </c>
      <c r="B1539" s="27">
        <v>2007</v>
      </c>
      <c r="C1539" s="27" t="s">
        <v>442</v>
      </c>
      <c r="D1539" s="69" t="s">
        <v>214</v>
      </c>
      <c r="E1539" s="29" t="s">
        <v>19</v>
      </c>
      <c r="F1539" s="27" t="s">
        <v>1903</v>
      </c>
      <c r="G1539" s="43">
        <v>35000</v>
      </c>
      <c r="H1539" s="43"/>
      <c r="I1539" s="43"/>
      <c r="J1539" s="43"/>
      <c r="K1539" s="27" t="s">
        <v>567</v>
      </c>
      <c r="L1539" s="28">
        <v>82000</v>
      </c>
      <c r="M1539" s="27" t="s">
        <v>568</v>
      </c>
      <c r="N1539" s="27" t="s">
        <v>1918</v>
      </c>
      <c r="O1539" s="18">
        <f>G1539*L1539</f>
        <v>2870000000</v>
      </c>
      <c r="P1539" s="214"/>
      <c r="Q1539" s="214"/>
      <c r="R1539" s="18"/>
      <c r="S1539" s="27"/>
      <c r="T1539" s="18"/>
      <c r="U1539" s="29"/>
      <c r="V1539" s="18"/>
      <c r="W1539" s="30"/>
      <c r="X1539" s="27"/>
      <c r="Y1539" s="27"/>
      <c r="Z1539" s="27"/>
      <c r="AA1539" s="27"/>
      <c r="AB1539" s="27"/>
      <c r="AC1539" s="273">
        <v>3125388072.7948718</v>
      </c>
      <c r="AD1539" s="27">
        <v>102172270670.77251</v>
      </c>
      <c r="AE1539" s="228">
        <v>3.0589396244953212E-2</v>
      </c>
      <c r="AF1539" s="27">
        <v>17716671734.311951</v>
      </c>
      <c r="AG1539" s="226">
        <v>0.17640943624540495</v>
      </c>
      <c r="AH1539" s="226">
        <v>0.61430670344584437</v>
      </c>
      <c r="AI1539" s="27">
        <v>307030000</v>
      </c>
      <c r="AJ1539" s="226">
        <v>10.179422443392736</v>
      </c>
      <c r="AK1539" s="27">
        <v>3038714473.5205936</v>
      </c>
      <c r="AL1539" s="226">
        <v>1.0285231139778197</v>
      </c>
      <c r="AM1539" s="27">
        <v>2553560909.1934161</v>
      </c>
      <c r="AN1539" s="271">
        <v>1.2239332383037131</v>
      </c>
      <c r="AO1539" s="27">
        <v>28328410</v>
      </c>
      <c r="AP1539" s="27">
        <v>42.4</v>
      </c>
      <c r="AQ1539" s="27">
        <v>73.014878048780488</v>
      </c>
      <c r="AR1539" s="27">
        <v>18.600000000000001</v>
      </c>
      <c r="AS1539" s="29">
        <v>99.705489999999998</v>
      </c>
      <c r="AT1539" s="270">
        <v>38</v>
      </c>
      <c r="AU1539" s="464">
        <v>72.816286549781523</v>
      </c>
      <c r="AV1539" s="29">
        <v>6.2703568528113707E-2</v>
      </c>
      <c r="AW1539" s="29">
        <v>-0.76005136929099804</v>
      </c>
      <c r="AX1539" s="29">
        <v>-0.50979739813082503</v>
      </c>
      <c r="AY1539" s="29">
        <v>0.27595894070192201</v>
      </c>
      <c r="AZ1539" s="60">
        <v>-0.260524325273502</v>
      </c>
    </row>
    <row r="1540" spans="1:52" ht="15" customHeight="1">
      <c r="A1540" s="63" t="s">
        <v>446</v>
      </c>
      <c r="B1540" s="27">
        <v>2007</v>
      </c>
      <c r="C1540" s="27" t="s">
        <v>442</v>
      </c>
      <c r="D1540" s="69" t="s">
        <v>214</v>
      </c>
      <c r="E1540" s="29" t="s">
        <v>19</v>
      </c>
      <c r="F1540" s="27" t="s">
        <v>1234</v>
      </c>
      <c r="G1540" s="43"/>
      <c r="H1540" s="43"/>
      <c r="I1540" s="43"/>
      <c r="J1540" s="43"/>
      <c r="K1540" s="27"/>
      <c r="L1540" s="44">
        <f>14536.8345</f>
        <v>14536.834500000001</v>
      </c>
      <c r="M1540" s="27" t="s">
        <v>568</v>
      </c>
      <c r="N1540" s="27" t="s">
        <v>1235</v>
      </c>
      <c r="O1540" s="18">
        <f>G1542*L1540</f>
        <v>523384189.33800006</v>
      </c>
      <c r="P1540" s="214"/>
      <c r="Q1540" s="214"/>
      <c r="R1540" s="27"/>
      <c r="S1540" s="27"/>
      <c r="T1540" s="18"/>
      <c r="U1540" s="27"/>
      <c r="V1540" s="27"/>
      <c r="W1540" s="30"/>
      <c r="X1540" s="27">
        <v>1</v>
      </c>
      <c r="Y1540" s="27" t="s">
        <v>1905</v>
      </c>
      <c r="Z1540" s="27">
        <v>1</v>
      </c>
      <c r="AA1540" s="27"/>
      <c r="AB1540" s="27"/>
      <c r="AC1540" s="273">
        <v>3125388072.7948718</v>
      </c>
      <c r="AD1540" s="27">
        <v>102172270670.77251</v>
      </c>
      <c r="AE1540" s="228">
        <v>3.0589396244953212E-2</v>
      </c>
      <c r="AF1540" s="27">
        <v>17716671734.311951</v>
      </c>
      <c r="AG1540" s="226">
        <v>0.17640943624540495</v>
      </c>
      <c r="AH1540" s="226">
        <v>0.61430670344584437</v>
      </c>
      <c r="AI1540" s="27">
        <v>307030000</v>
      </c>
      <c r="AJ1540" s="226">
        <v>10.179422443392736</v>
      </c>
      <c r="AK1540" s="27">
        <v>3038714473.5205936</v>
      </c>
      <c r="AL1540" s="226">
        <v>1.0285231139778197</v>
      </c>
      <c r="AM1540" s="27">
        <v>2553560909.1934161</v>
      </c>
      <c r="AN1540" s="271">
        <v>1.2239332383037131</v>
      </c>
      <c r="AO1540" s="27">
        <v>28328410</v>
      </c>
      <c r="AP1540" s="27">
        <v>42.4</v>
      </c>
      <c r="AQ1540" s="27">
        <v>73.014878048780488</v>
      </c>
      <c r="AR1540" s="27">
        <v>18.600000000000001</v>
      </c>
      <c r="AS1540" s="29">
        <v>99.705489999999998</v>
      </c>
      <c r="AT1540" s="270">
        <v>38</v>
      </c>
      <c r="AU1540" s="464">
        <v>72.816286549781523</v>
      </c>
      <c r="AV1540" s="29">
        <v>6.2703568528113707E-2</v>
      </c>
      <c r="AW1540" s="29">
        <v>-0.76005136929099804</v>
      </c>
      <c r="AX1540" s="29">
        <v>-0.50979739813082503</v>
      </c>
      <c r="AY1540" s="29">
        <v>0.27595894070192201</v>
      </c>
      <c r="AZ1540" s="60">
        <v>-0.260524325273502</v>
      </c>
    </row>
    <row r="1541" spans="1:52" ht="15" customHeight="1">
      <c r="A1541" s="63" t="s">
        <v>446</v>
      </c>
      <c r="B1541" s="27">
        <v>2007</v>
      </c>
      <c r="C1541" s="27" t="s">
        <v>442</v>
      </c>
      <c r="D1541" s="69" t="s">
        <v>214</v>
      </c>
      <c r="E1541" s="29" t="s">
        <v>19</v>
      </c>
      <c r="F1541" s="27" t="s">
        <v>1906</v>
      </c>
      <c r="G1541" s="43">
        <v>39019</v>
      </c>
      <c r="H1541" s="43"/>
      <c r="I1541" s="43"/>
      <c r="J1541" s="43"/>
      <c r="K1541" s="27" t="s">
        <v>567</v>
      </c>
      <c r="L1541" s="28"/>
      <c r="M1541" s="27"/>
      <c r="N1541" s="27" t="s">
        <v>788</v>
      </c>
      <c r="O1541" s="18"/>
      <c r="P1541" s="214"/>
      <c r="Q1541" s="214"/>
      <c r="R1541" s="29"/>
      <c r="S1541" s="27"/>
      <c r="T1541" s="18"/>
      <c r="U1541" s="27"/>
      <c r="V1541" s="29"/>
      <c r="W1541" s="30"/>
      <c r="X1541" s="27"/>
      <c r="Y1541" s="27"/>
      <c r="Z1541" s="27"/>
      <c r="AA1541" s="27"/>
      <c r="AB1541" s="27"/>
      <c r="AC1541" s="273">
        <v>3125388072.7948718</v>
      </c>
      <c r="AD1541" s="27">
        <v>102172270670.77251</v>
      </c>
      <c r="AE1541" s="228">
        <v>3.0589396244953212E-2</v>
      </c>
      <c r="AF1541" s="27">
        <v>17716671734.311951</v>
      </c>
      <c r="AG1541" s="226">
        <v>0.17640943624540495</v>
      </c>
      <c r="AH1541" s="226">
        <v>0.61430670344584437</v>
      </c>
      <c r="AI1541" s="27">
        <v>307030000</v>
      </c>
      <c r="AJ1541" s="226">
        <v>10.179422443392736</v>
      </c>
      <c r="AK1541" s="27">
        <v>3038714473.5205936</v>
      </c>
      <c r="AL1541" s="226">
        <v>1.0285231139778197</v>
      </c>
      <c r="AM1541" s="27">
        <v>2553560909.1934161</v>
      </c>
      <c r="AN1541" s="271">
        <v>1.2239332383037131</v>
      </c>
      <c r="AO1541" s="27">
        <v>28328410</v>
      </c>
      <c r="AP1541" s="27">
        <v>42.4</v>
      </c>
      <c r="AQ1541" s="27">
        <v>73.014878048780488</v>
      </c>
      <c r="AR1541" s="27">
        <v>18.600000000000001</v>
      </c>
      <c r="AS1541" s="29">
        <v>99.705489999999998</v>
      </c>
      <c r="AT1541" s="270">
        <v>38</v>
      </c>
      <c r="AU1541" s="464">
        <v>72.816286549781523</v>
      </c>
      <c r="AV1541" s="29">
        <v>6.2703568528113707E-2</v>
      </c>
      <c r="AW1541" s="29">
        <v>-0.76005136929099804</v>
      </c>
      <c r="AX1541" s="29">
        <v>-0.50979739813082503</v>
      </c>
      <c r="AY1541" s="29">
        <v>0.27595894070192201</v>
      </c>
      <c r="AZ1541" s="60">
        <v>-0.260524325273502</v>
      </c>
    </row>
    <row r="1542" spans="1:52" ht="15" customHeight="1">
      <c r="A1542" s="63" t="s">
        <v>446</v>
      </c>
      <c r="B1542" s="27">
        <v>2007</v>
      </c>
      <c r="C1542" s="27" t="s">
        <v>442</v>
      </c>
      <c r="D1542" s="69" t="s">
        <v>214</v>
      </c>
      <c r="E1542" s="29" t="s">
        <v>19</v>
      </c>
      <c r="F1542" s="27" t="s">
        <v>1238</v>
      </c>
      <c r="G1542" s="43">
        <v>36004</v>
      </c>
      <c r="H1542" s="43"/>
      <c r="I1542" s="43"/>
      <c r="J1542" s="43"/>
      <c r="K1542" s="27" t="s">
        <v>567</v>
      </c>
      <c r="L1542" s="28"/>
      <c r="M1542" s="27"/>
      <c r="N1542" s="27" t="s">
        <v>788</v>
      </c>
      <c r="O1542" s="18"/>
      <c r="P1542" s="214"/>
      <c r="Q1542" s="214"/>
      <c r="R1542" s="29"/>
      <c r="S1542" s="27"/>
      <c r="T1542" s="18"/>
      <c r="U1542" s="27"/>
      <c r="V1542" s="29"/>
      <c r="W1542" s="30"/>
      <c r="X1542" s="27"/>
      <c r="Y1542" s="27"/>
      <c r="Z1542" s="27"/>
      <c r="AA1542" s="27"/>
      <c r="AB1542" s="27"/>
      <c r="AC1542" s="273">
        <v>3125388072.7948718</v>
      </c>
      <c r="AD1542" s="27">
        <v>102172270670.77251</v>
      </c>
      <c r="AE1542" s="228">
        <v>3.0589396244953212E-2</v>
      </c>
      <c r="AF1542" s="27">
        <v>17716671734.311951</v>
      </c>
      <c r="AG1542" s="226">
        <v>0.17640943624540495</v>
      </c>
      <c r="AH1542" s="226">
        <v>0.61430670344584437</v>
      </c>
      <c r="AI1542" s="27">
        <v>307030000</v>
      </c>
      <c r="AJ1542" s="226">
        <v>10.179422443392736</v>
      </c>
      <c r="AK1542" s="27">
        <v>3038714473.5205936</v>
      </c>
      <c r="AL1542" s="226">
        <v>1.0285231139778197</v>
      </c>
      <c r="AM1542" s="27">
        <v>2553560909.1934161</v>
      </c>
      <c r="AN1542" s="271">
        <v>1.2239332383037131</v>
      </c>
      <c r="AO1542" s="27">
        <v>28328410</v>
      </c>
      <c r="AP1542" s="27">
        <v>42.4</v>
      </c>
      <c r="AQ1542" s="27">
        <v>73.014878048780488</v>
      </c>
      <c r="AR1542" s="27">
        <v>18.600000000000001</v>
      </c>
      <c r="AS1542" s="29">
        <v>99.705489999999998</v>
      </c>
      <c r="AT1542" s="270">
        <v>38</v>
      </c>
      <c r="AU1542" s="464">
        <v>72.816286549781523</v>
      </c>
      <c r="AV1542" s="29">
        <v>6.2703568528113707E-2</v>
      </c>
      <c r="AW1542" s="29">
        <v>-0.76005136929099804</v>
      </c>
      <c r="AX1542" s="29">
        <v>-0.50979739813082503</v>
      </c>
      <c r="AY1542" s="29">
        <v>0.27595894070192201</v>
      </c>
      <c r="AZ1542" s="60">
        <v>-0.260524325273502</v>
      </c>
    </row>
    <row r="1543" spans="1:52" ht="15" customHeight="1">
      <c r="A1543" s="63" t="s">
        <v>446</v>
      </c>
      <c r="B1543" s="27">
        <v>2007</v>
      </c>
      <c r="C1543" s="27" t="s">
        <v>442</v>
      </c>
      <c r="D1543" s="69" t="s">
        <v>214</v>
      </c>
      <c r="E1543" s="29" t="s">
        <v>19</v>
      </c>
      <c r="F1543" s="27" t="s">
        <v>790</v>
      </c>
      <c r="G1543" s="43"/>
      <c r="H1543" s="43"/>
      <c r="I1543" s="43"/>
      <c r="J1543" s="43"/>
      <c r="K1543" s="27"/>
      <c r="L1543" s="44">
        <f>3242.35758333333</f>
        <v>3242.3575833333298</v>
      </c>
      <c r="M1543" s="27" t="s">
        <v>568</v>
      </c>
      <c r="N1543" s="27" t="s">
        <v>1907</v>
      </c>
      <c r="O1543" s="18">
        <f>G1545*L1543</f>
        <v>526477812.5937494</v>
      </c>
      <c r="P1543" s="244"/>
      <c r="Q1543" s="244"/>
      <c r="R1543" s="27"/>
      <c r="S1543" s="27"/>
      <c r="T1543" s="18"/>
      <c r="U1543" s="27"/>
      <c r="V1543" s="27"/>
      <c r="W1543" s="30"/>
      <c r="X1543" s="27">
        <v>10</v>
      </c>
      <c r="Y1543" s="27" t="s">
        <v>1908</v>
      </c>
      <c r="Z1543" s="27">
        <v>10</v>
      </c>
      <c r="AA1543" s="27"/>
      <c r="AB1543" s="27"/>
      <c r="AC1543" s="273">
        <v>3125388072.7948718</v>
      </c>
      <c r="AD1543" s="27">
        <v>102172270670.77251</v>
      </c>
      <c r="AE1543" s="228">
        <v>3.0589396244953212E-2</v>
      </c>
      <c r="AF1543" s="27">
        <v>17716671734.311951</v>
      </c>
      <c r="AG1543" s="226">
        <v>0.17640943624540495</v>
      </c>
      <c r="AH1543" s="226">
        <v>0.61430670344584437</v>
      </c>
      <c r="AI1543" s="27">
        <v>307030000</v>
      </c>
      <c r="AJ1543" s="226">
        <v>10.179422443392736</v>
      </c>
      <c r="AK1543" s="27">
        <v>3038714473.5205936</v>
      </c>
      <c r="AL1543" s="226">
        <v>1.0285231139778197</v>
      </c>
      <c r="AM1543" s="27">
        <v>2553560909.1934161</v>
      </c>
      <c r="AN1543" s="271">
        <v>1.2239332383037131</v>
      </c>
      <c r="AO1543" s="27">
        <v>28328410</v>
      </c>
      <c r="AP1543" s="27">
        <v>42.4</v>
      </c>
      <c r="AQ1543" s="27">
        <v>73.014878048780488</v>
      </c>
      <c r="AR1543" s="27">
        <v>18.600000000000001</v>
      </c>
      <c r="AS1543" s="29">
        <v>99.705489999999998</v>
      </c>
      <c r="AT1543" s="270">
        <v>38</v>
      </c>
      <c r="AU1543" s="464">
        <v>72.816286549781523</v>
      </c>
      <c r="AV1543" s="29">
        <v>6.2703568528113707E-2</v>
      </c>
      <c r="AW1543" s="29">
        <v>-0.76005136929099804</v>
      </c>
      <c r="AX1543" s="29">
        <v>-0.50979739813082503</v>
      </c>
      <c r="AY1543" s="29">
        <v>0.27595894070192201</v>
      </c>
      <c r="AZ1543" s="60">
        <v>-0.260524325273502</v>
      </c>
    </row>
    <row r="1544" spans="1:52" ht="15" customHeight="1">
      <c r="A1544" s="63" t="s">
        <v>446</v>
      </c>
      <c r="B1544" s="27">
        <v>2007</v>
      </c>
      <c r="C1544" s="27" t="s">
        <v>442</v>
      </c>
      <c r="D1544" s="69" t="s">
        <v>214</v>
      </c>
      <c r="E1544" s="29" t="s">
        <v>19</v>
      </c>
      <c r="F1544" s="27" t="s">
        <v>1909</v>
      </c>
      <c r="G1544" s="43">
        <v>1444381</v>
      </c>
      <c r="H1544" s="43"/>
      <c r="I1544" s="43"/>
      <c r="J1544" s="43"/>
      <c r="K1544" s="27" t="s">
        <v>567</v>
      </c>
      <c r="L1544" s="28"/>
      <c r="M1544" s="27"/>
      <c r="N1544" s="27" t="s">
        <v>788</v>
      </c>
      <c r="O1544" s="18"/>
      <c r="P1544" s="214"/>
      <c r="Q1544" s="214"/>
      <c r="R1544" s="29"/>
      <c r="S1544" s="27"/>
      <c r="T1544" s="18"/>
      <c r="U1544" s="27"/>
      <c r="V1544" s="29"/>
      <c r="W1544" s="30"/>
      <c r="X1544" s="27"/>
      <c r="Y1544" s="27"/>
      <c r="Z1544" s="27"/>
      <c r="AA1544" s="27"/>
      <c r="AB1544" s="27"/>
      <c r="AC1544" s="273">
        <v>3125388072.7948718</v>
      </c>
      <c r="AD1544" s="27">
        <v>102172270670.77251</v>
      </c>
      <c r="AE1544" s="228">
        <v>3.0589396244953212E-2</v>
      </c>
      <c r="AF1544" s="27">
        <v>17716671734.311951</v>
      </c>
      <c r="AG1544" s="226">
        <v>0.17640943624540495</v>
      </c>
      <c r="AH1544" s="226">
        <v>0.61430670344584437</v>
      </c>
      <c r="AI1544" s="27">
        <v>307030000</v>
      </c>
      <c r="AJ1544" s="226">
        <v>10.179422443392736</v>
      </c>
      <c r="AK1544" s="27">
        <v>3038714473.5205936</v>
      </c>
      <c r="AL1544" s="226">
        <v>1.0285231139778197</v>
      </c>
      <c r="AM1544" s="27">
        <v>2553560909.1934161</v>
      </c>
      <c r="AN1544" s="271">
        <v>1.2239332383037131</v>
      </c>
      <c r="AO1544" s="27">
        <v>28328410</v>
      </c>
      <c r="AP1544" s="27">
        <v>42.4</v>
      </c>
      <c r="AQ1544" s="27">
        <v>73.014878048780488</v>
      </c>
      <c r="AR1544" s="27">
        <v>18.600000000000001</v>
      </c>
      <c r="AS1544" s="29">
        <v>99.705489999999998</v>
      </c>
      <c r="AT1544" s="270">
        <v>38</v>
      </c>
      <c r="AU1544" s="464">
        <v>72.816286549781523</v>
      </c>
      <c r="AV1544" s="29">
        <v>6.2703568528113707E-2</v>
      </c>
      <c r="AW1544" s="29">
        <v>-0.76005136929099804</v>
      </c>
      <c r="AX1544" s="29">
        <v>-0.50979739813082503</v>
      </c>
      <c r="AY1544" s="29">
        <v>0.27595894070192201</v>
      </c>
      <c r="AZ1544" s="60">
        <v>-0.260524325273502</v>
      </c>
    </row>
    <row r="1545" spans="1:52" s="287" customFormat="1" ht="15" customHeight="1">
      <c r="A1545" s="359" t="s">
        <v>446</v>
      </c>
      <c r="B1545" s="284">
        <v>2007</v>
      </c>
      <c r="C1545" s="284" t="s">
        <v>442</v>
      </c>
      <c r="D1545" s="369" t="s">
        <v>214</v>
      </c>
      <c r="E1545" s="287" t="s">
        <v>19</v>
      </c>
      <c r="F1545" s="284" t="s">
        <v>1238</v>
      </c>
      <c r="G1545" s="303">
        <v>162375</v>
      </c>
      <c r="H1545" s="303"/>
      <c r="I1545" s="303"/>
      <c r="J1545" s="303"/>
      <c r="K1545" s="284" t="s">
        <v>567</v>
      </c>
      <c r="L1545" s="304"/>
      <c r="M1545" s="284"/>
      <c r="N1545" s="284" t="s">
        <v>788</v>
      </c>
      <c r="O1545" s="305"/>
      <c r="P1545" s="346"/>
      <c r="Q1545" s="346"/>
      <c r="S1545" s="284"/>
      <c r="T1545" s="305"/>
      <c r="U1545" s="284"/>
      <c r="W1545" s="307"/>
      <c r="X1545" s="284"/>
      <c r="Y1545" s="284"/>
      <c r="Z1545" s="284"/>
      <c r="AA1545" s="284"/>
      <c r="AB1545" s="284"/>
      <c r="AC1545" s="308">
        <v>3125388072.7948718</v>
      </c>
      <c r="AD1545" s="284">
        <v>102172270670.77251</v>
      </c>
      <c r="AE1545" s="309">
        <v>3.0589396244953212E-2</v>
      </c>
      <c r="AF1545" s="284">
        <v>17716671734.311951</v>
      </c>
      <c r="AG1545" s="310">
        <v>0.17640943624540495</v>
      </c>
      <c r="AH1545" s="310">
        <v>0.61430670344584437</v>
      </c>
      <c r="AI1545" s="284">
        <v>307030000</v>
      </c>
      <c r="AJ1545" s="310">
        <v>10.179422443392736</v>
      </c>
      <c r="AK1545" s="284">
        <v>3038714473.5205936</v>
      </c>
      <c r="AL1545" s="310">
        <v>1.0285231139778197</v>
      </c>
      <c r="AM1545" s="284">
        <v>2553560909.1934161</v>
      </c>
      <c r="AN1545" s="311">
        <v>1.2239332383037131</v>
      </c>
      <c r="AO1545" s="284">
        <v>28328410</v>
      </c>
      <c r="AP1545" s="284">
        <v>42.4</v>
      </c>
      <c r="AQ1545" s="284">
        <v>73.014878048780488</v>
      </c>
      <c r="AR1545" s="284">
        <v>18.600000000000001</v>
      </c>
      <c r="AS1545" s="287">
        <v>99.705489999999998</v>
      </c>
      <c r="AT1545" s="312">
        <v>38</v>
      </c>
      <c r="AU1545" s="465">
        <v>72.816286549781523</v>
      </c>
      <c r="AV1545" s="287">
        <v>6.2703568528113707E-2</v>
      </c>
      <c r="AW1545" s="287">
        <v>-0.76005136929099804</v>
      </c>
      <c r="AX1545" s="287">
        <v>-0.50979739813082503</v>
      </c>
      <c r="AY1545" s="287">
        <v>0.27595894070192201</v>
      </c>
      <c r="AZ1545" s="313">
        <v>-0.260524325273502</v>
      </c>
    </row>
    <row r="1546" spans="1:52" s="29" customFormat="1" ht="15" customHeight="1">
      <c r="A1546" s="347" t="s">
        <v>447</v>
      </c>
      <c r="B1546" s="27">
        <v>2008</v>
      </c>
      <c r="C1546" s="27" t="s">
        <v>442</v>
      </c>
      <c r="D1546" s="69" t="s">
        <v>214</v>
      </c>
      <c r="E1546" s="27" t="s">
        <v>30</v>
      </c>
      <c r="F1546" s="27" t="s">
        <v>659</v>
      </c>
      <c r="G1546" s="43"/>
      <c r="H1546" s="43"/>
      <c r="I1546" s="43"/>
      <c r="J1546" s="43"/>
      <c r="K1546" s="27"/>
      <c r="L1546" s="28"/>
      <c r="M1546" s="27"/>
      <c r="N1546" s="27"/>
      <c r="O1546" s="18">
        <f>O1547+O1550</f>
        <v>26830570791.299999</v>
      </c>
      <c r="P1546" s="214">
        <v>3573697357.7190704</v>
      </c>
      <c r="Q1546" s="214">
        <v>3573963810.1613121</v>
      </c>
      <c r="R1546" s="27" t="s">
        <v>619</v>
      </c>
      <c r="S1546" s="27"/>
      <c r="T1546" s="18"/>
      <c r="U1546" s="27" t="s">
        <v>1879</v>
      </c>
      <c r="V1546" s="27" t="s">
        <v>1880</v>
      </c>
      <c r="W1546" s="30">
        <v>2.9260000000000002</v>
      </c>
      <c r="X1546" s="27">
        <v>51</v>
      </c>
      <c r="Y1546" s="27" t="s">
        <v>1919</v>
      </c>
      <c r="Z1546" s="27">
        <v>51</v>
      </c>
      <c r="AA1546" s="27" t="s">
        <v>1920</v>
      </c>
      <c r="AB1546" s="27" t="s">
        <v>1921</v>
      </c>
      <c r="AC1546" s="273">
        <v>3573697357.7190704</v>
      </c>
      <c r="AD1546" s="27">
        <v>121571548180.02281</v>
      </c>
      <c r="AE1546" s="228">
        <v>2.9395836535923269E-2</v>
      </c>
      <c r="AF1546" s="27">
        <v>21446436814.437824</v>
      </c>
      <c r="AG1546" s="226">
        <v>0.16663361791238177</v>
      </c>
      <c r="AH1546" s="226">
        <v>0.5679679010669535</v>
      </c>
      <c r="AI1546" s="27">
        <v>463020000</v>
      </c>
      <c r="AJ1546" s="226">
        <v>7.7182354060711642</v>
      </c>
      <c r="AK1546" s="27">
        <v>4354464168.2466049</v>
      </c>
      <c r="AL1546" s="226">
        <v>0.82069738540484471</v>
      </c>
      <c r="AM1546" s="27">
        <v>3251054184.275352</v>
      </c>
      <c r="AN1546" s="271">
        <v>1.0992426318220945</v>
      </c>
      <c r="AO1546" s="27">
        <v>28625628</v>
      </c>
      <c r="AP1546" s="27">
        <v>37.299999999999997</v>
      </c>
      <c r="AQ1546" s="27">
        <v>73.307292682926828</v>
      </c>
      <c r="AR1546" s="27">
        <v>17.399999999999999</v>
      </c>
      <c r="AS1546" s="29">
        <v>97.638440000000003</v>
      </c>
      <c r="AT1546" s="270">
        <v>38</v>
      </c>
      <c r="AU1546" s="464">
        <v>72.816286549781523</v>
      </c>
      <c r="AV1546" s="29">
        <v>0.102797518483968</v>
      </c>
      <c r="AW1546" s="29">
        <v>-0.89730607728999101</v>
      </c>
      <c r="AX1546" s="29">
        <v>-0.35724068854121799</v>
      </c>
      <c r="AY1546" s="29">
        <v>0.34906767606171601</v>
      </c>
      <c r="AZ1546" s="60">
        <v>-0.20419570946809601</v>
      </c>
    </row>
    <row r="1547" spans="1:52" s="29" customFormat="1" ht="15" customHeight="1">
      <c r="A1547" s="63" t="s">
        <v>447</v>
      </c>
      <c r="B1547" s="27">
        <v>2008</v>
      </c>
      <c r="C1547" s="27" t="s">
        <v>442</v>
      </c>
      <c r="D1547" s="69" t="s">
        <v>214</v>
      </c>
      <c r="E1547" s="29" t="s">
        <v>50</v>
      </c>
      <c r="F1547" s="27" t="s">
        <v>597</v>
      </c>
      <c r="G1547" s="43"/>
      <c r="H1547" s="43"/>
      <c r="I1547" s="43"/>
      <c r="J1547" s="43"/>
      <c r="K1547" s="27"/>
      <c r="L1547" s="28"/>
      <c r="M1547" s="27"/>
      <c r="N1547" s="27"/>
      <c r="O1547" s="18">
        <v>5469782912.6199999</v>
      </c>
      <c r="P1547" s="214">
        <v>1242636379.2378674</v>
      </c>
      <c r="Q1547" s="214">
        <v>1242653558.2378674</v>
      </c>
      <c r="R1547" s="27"/>
      <c r="S1547" s="27"/>
      <c r="T1547" s="18"/>
      <c r="U1547" s="27"/>
      <c r="V1547" s="27"/>
      <c r="W1547" s="30"/>
      <c r="X1547" s="27">
        <v>18</v>
      </c>
      <c r="Y1547" s="27" t="s">
        <v>1922</v>
      </c>
      <c r="Z1547" s="27">
        <v>18</v>
      </c>
      <c r="AA1547" s="27">
        <v>10</v>
      </c>
      <c r="AB1547" s="27"/>
      <c r="AC1547" s="273">
        <v>3573697357.7190704</v>
      </c>
      <c r="AD1547" s="27">
        <v>121571548180.02281</v>
      </c>
      <c r="AE1547" s="228">
        <v>2.9395836535923269E-2</v>
      </c>
      <c r="AF1547" s="27">
        <v>21446436814.437824</v>
      </c>
      <c r="AG1547" s="226">
        <v>0.16663361791238177</v>
      </c>
      <c r="AH1547" s="226">
        <v>0.5679679010669535</v>
      </c>
      <c r="AI1547" s="27">
        <v>463020000</v>
      </c>
      <c r="AJ1547" s="226">
        <v>7.7182354060711642</v>
      </c>
      <c r="AK1547" s="27">
        <v>4354464168.2466049</v>
      </c>
      <c r="AL1547" s="226">
        <v>0.82069738540484471</v>
      </c>
      <c r="AM1547" s="27">
        <v>3251054184.275352</v>
      </c>
      <c r="AN1547" s="271">
        <v>1.0992426318220945</v>
      </c>
      <c r="AO1547" s="27">
        <v>28625628</v>
      </c>
      <c r="AP1547" s="27">
        <v>37.299999999999997</v>
      </c>
      <c r="AQ1547" s="27">
        <v>73.307292682926828</v>
      </c>
      <c r="AR1547" s="27">
        <v>17.399999999999999</v>
      </c>
      <c r="AS1547" s="29">
        <v>97.638440000000003</v>
      </c>
      <c r="AT1547" s="270">
        <v>38</v>
      </c>
      <c r="AU1547" s="464">
        <v>72.816286549781523</v>
      </c>
      <c r="AV1547" s="29">
        <v>0.102797518483968</v>
      </c>
      <c r="AW1547" s="29">
        <v>-0.89730607728999101</v>
      </c>
      <c r="AX1547" s="29">
        <v>-0.35724068854121799</v>
      </c>
      <c r="AY1547" s="29">
        <v>0.34906767606171601</v>
      </c>
      <c r="AZ1547" s="60">
        <v>-0.20419570946809601</v>
      </c>
    </row>
    <row r="1548" spans="1:52" s="29" customFormat="1" ht="15" customHeight="1">
      <c r="A1548" s="63" t="s">
        <v>447</v>
      </c>
      <c r="B1548" s="27">
        <v>2008</v>
      </c>
      <c r="C1548" s="27" t="s">
        <v>442</v>
      </c>
      <c r="D1548" s="69" t="s">
        <v>214</v>
      </c>
      <c r="E1548" s="29" t="s">
        <v>552</v>
      </c>
      <c r="F1548" s="27" t="s">
        <v>552</v>
      </c>
      <c r="G1548" s="43"/>
      <c r="H1548" s="43"/>
      <c r="I1548" s="43"/>
      <c r="J1548" s="43"/>
      <c r="K1548" s="27"/>
      <c r="L1548" s="28"/>
      <c r="M1548" s="27"/>
      <c r="N1548" s="27"/>
      <c r="O1548" s="18"/>
      <c r="P1548" s="214"/>
      <c r="Q1548" s="214"/>
      <c r="R1548" s="27"/>
      <c r="S1548" s="27"/>
      <c r="T1548" s="18"/>
      <c r="U1548" s="27"/>
      <c r="V1548" s="27"/>
      <c r="W1548" s="30"/>
      <c r="X1548" s="27"/>
      <c r="Z1548" s="27"/>
      <c r="AA1548" s="27"/>
      <c r="AB1548" s="27"/>
      <c r="AC1548" s="273">
        <v>3573697357.7190704</v>
      </c>
      <c r="AD1548" s="27">
        <v>121571548180.02281</v>
      </c>
      <c r="AE1548" s="228">
        <v>2.9395836535923269E-2</v>
      </c>
      <c r="AF1548" s="27">
        <v>21446436814.437824</v>
      </c>
      <c r="AG1548" s="226">
        <v>0.16663361791238177</v>
      </c>
      <c r="AH1548" s="226">
        <v>0.5679679010669535</v>
      </c>
      <c r="AI1548" s="27">
        <v>463020000</v>
      </c>
      <c r="AJ1548" s="226">
        <v>7.7182354060711642</v>
      </c>
      <c r="AK1548" s="27">
        <v>4354464168.2466049</v>
      </c>
      <c r="AL1548" s="226">
        <v>0.82069738540484471</v>
      </c>
      <c r="AM1548" s="27">
        <v>3251054184.275352</v>
      </c>
      <c r="AN1548" s="271">
        <v>1.0992426318220945</v>
      </c>
      <c r="AO1548" s="27">
        <v>28625628</v>
      </c>
      <c r="AP1548" s="27">
        <v>37.299999999999997</v>
      </c>
      <c r="AQ1548" s="27">
        <v>73.307292682926828</v>
      </c>
      <c r="AR1548" s="27">
        <v>17.399999999999999</v>
      </c>
      <c r="AS1548" s="29">
        <v>97.638440000000003</v>
      </c>
      <c r="AT1548" s="270">
        <v>38</v>
      </c>
      <c r="AU1548" s="464">
        <v>72.816286549781523</v>
      </c>
      <c r="AV1548" s="29">
        <v>0.102797518483968</v>
      </c>
      <c r="AW1548" s="29">
        <v>-0.89730607728999101</v>
      </c>
      <c r="AX1548" s="29">
        <v>-0.35724068854121799</v>
      </c>
      <c r="AY1548" s="29">
        <v>0.34906767606171601</v>
      </c>
      <c r="AZ1548" s="60">
        <v>-0.20419570946809601</v>
      </c>
    </row>
    <row r="1549" spans="1:52" s="29" customFormat="1" ht="15" customHeight="1">
      <c r="A1549" s="63" t="s">
        <v>447</v>
      </c>
      <c r="B1549" s="27">
        <v>2008</v>
      </c>
      <c r="C1549" s="27" t="s">
        <v>442</v>
      </c>
      <c r="D1549" s="69" t="s">
        <v>214</v>
      </c>
      <c r="E1549" s="29" t="s">
        <v>98</v>
      </c>
      <c r="F1549" s="27" t="s">
        <v>98</v>
      </c>
      <c r="G1549" s="43"/>
      <c r="H1549" s="43"/>
      <c r="I1549" s="43"/>
      <c r="J1549" s="43"/>
      <c r="K1549" s="27"/>
      <c r="L1549" s="28"/>
      <c r="M1549" s="27"/>
      <c r="N1549" s="27"/>
      <c r="O1549" s="18"/>
      <c r="P1549" s="214"/>
      <c r="Q1549" s="214"/>
      <c r="R1549" s="27"/>
      <c r="S1549" s="27"/>
      <c r="T1549" s="18"/>
      <c r="U1549" s="27"/>
      <c r="V1549" s="27"/>
      <c r="W1549" s="30"/>
      <c r="X1549" s="27"/>
      <c r="Y1549" s="27"/>
      <c r="Z1549" s="27"/>
      <c r="AA1549" s="27"/>
      <c r="AB1549" s="27"/>
      <c r="AC1549" s="273">
        <v>3573697357.7190704</v>
      </c>
      <c r="AD1549" s="27">
        <v>121571548180.02281</v>
      </c>
      <c r="AE1549" s="228">
        <v>2.9395836535923269E-2</v>
      </c>
      <c r="AF1549" s="27">
        <v>21446436814.437824</v>
      </c>
      <c r="AG1549" s="226">
        <v>0.16663361791238177</v>
      </c>
      <c r="AH1549" s="226">
        <v>0.5679679010669535</v>
      </c>
      <c r="AI1549" s="27">
        <v>463020000</v>
      </c>
      <c r="AJ1549" s="226">
        <v>7.7182354060711642</v>
      </c>
      <c r="AK1549" s="27">
        <v>4354464168.2466049</v>
      </c>
      <c r="AL1549" s="226">
        <v>0.82069738540484471</v>
      </c>
      <c r="AM1549" s="27">
        <v>3251054184.275352</v>
      </c>
      <c r="AN1549" s="271">
        <v>1.0992426318220945</v>
      </c>
      <c r="AO1549" s="27">
        <v>28625628</v>
      </c>
      <c r="AP1549" s="27">
        <v>37.299999999999997</v>
      </c>
      <c r="AQ1549" s="27">
        <v>73.307292682926828</v>
      </c>
      <c r="AR1549" s="27">
        <v>17.399999999999999</v>
      </c>
      <c r="AS1549" s="29">
        <v>97.638440000000003</v>
      </c>
      <c r="AT1549" s="270">
        <v>38</v>
      </c>
      <c r="AU1549" s="464">
        <v>72.816286549781523</v>
      </c>
      <c r="AV1549" s="29">
        <v>0.102797518483968</v>
      </c>
      <c r="AW1549" s="29">
        <v>-0.89730607728999101</v>
      </c>
      <c r="AX1549" s="29">
        <v>-0.35724068854121799</v>
      </c>
      <c r="AY1549" s="29">
        <v>0.34906767606171601</v>
      </c>
      <c r="AZ1549" s="60">
        <v>-0.20419570946809601</v>
      </c>
    </row>
    <row r="1550" spans="1:52" s="29" customFormat="1" ht="15" customHeight="1">
      <c r="A1550" s="63" t="s">
        <v>447</v>
      </c>
      <c r="B1550" s="27">
        <v>2008</v>
      </c>
      <c r="C1550" s="27" t="s">
        <v>442</v>
      </c>
      <c r="D1550" s="69" t="s">
        <v>214</v>
      </c>
      <c r="E1550" s="29" t="s">
        <v>19</v>
      </c>
      <c r="F1550" s="27" t="s">
        <v>559</v>
      </c>
      <c r="G1550" s="43"/>
      <c r="H1550" s="43"/>
      <c r="I1550" s="43"/>
      <c r="J1550" s="43"/>
      <c r="K1550" s="27"/>
      <c r="L1550" s="28"/>
      <c r="M1550" s="27"/>
      <c r="N1550" s="27"/>
      <c r="O1550" s="18">
        <v>21360787878.68</v>
      </c>
      <c r="P1550" s="214">
        <v>2331060978.4812031</v>
      </c>
      <c r="Q1550" s="214">
        <v>2331310251.9234447</v>
      </c>
      <c r="S1550" s="27"/>
      <c r="T1550" s="18"/>
      <c r="U1550" s="27"/>
      <c r="W1550" s="30"/>
      <c r="X1550" s="27">
        <v>33</v>
      </c>
      <c r="Y1550" s="27" t="s">
        <v>1923</v>
      </c>
      <c r="Z1550" s="27">
        <v>33</v>
      </c>
      <c r="AA1550" s="27">
        <v>10</v>
      </c>
      <c r="AB1550" s="27"/>
      <c r="AC1550" s="273">
        <v>3573697357.7190704</v>
      </c>
      <c r="AD1550" s="27">
        <v>121571548180.02281</v>
      </c>
      <c r="AE1550" s="228">
        <v>2.9395836535923269E-2</v>
      </c>
      <c r="AF1550" s="27">
        <v>21446436814.437824</v>
      </c>
      <c r="AG1550" s="226">
        <v>0.16663361791238177</v>
      </c>
      <c r="AH1550" s="226">
        <v>0.5679679010669535</v>
      </c>
      <c r="AI1550" s="27">
        <v>463020000</v>
      </c>
      <c r="AJ1550" s="226">
        <v>7.7182354060711642</v>
      </c>
      <c r="AK1550" s="27">
        <v>4354464168.2466049</v>
      </c>
      <c r="AL1550" s="226">
        <v>0.82069738540484471</v>
      </c>
      <c r="AM1550" s="27">
        <v>3251054184.275352</v>
      </c>
      <c r="AN1550" s="271">
        <v>1.0992426318220945</v>
      </c>
      <c r="AO1550" s="27">
        <v>28625628</v>
      </c>
      <c r="AP1550" s="27">
        <v>37.299999999999997</v>
      </c>
      <c r="AQ1550" s="27">
        <v>73.307292682926828</v>
      </c>
      <c r="AR1550" s="27">
        <v>17.399999999999999</v>
      </c>
      <c r="AS1550" s="29">
        <v>97.638440000000003</v>
      </c>
      <c r="AT1550" s="270">
        <v>38</v>
      </c>
      <c r="AU1550" s="464">
        <v>72.816286549781523</v>
      </c>
      <c r="AV1550" s="29">
        <v>0.102797518483968</v>
      </c>
      <c r="AW1550" s="29">
        <v>-0.89730607728999101</v>
      </c>
      <c r="AX1550" s="29">
        <v>-0.35724068854121799</v>
      </c>
      <c r="AY1550" s="29">
        <v>0.34906767606171601</v>
      </c>
      <c r="AZ1550" s="60">
        <v>-0.20419570946809601</v>
      </c>
    </row>
    <row r="1551" spans="1:52" s="29" customFormat="1" ht="15" customHeight="1">
      <c r="A1551" s="63" t="s">
        <v>447</v>
      </c>
      <c r="B1551" s="27">
        <v>2008</v>
      </c>
      <c r="C1551" s="27" t="s">
        <v>442</v>
      </c>
      <c r="D1551" s="69" t="s">
        <v>214</v>
      </c>
      <c r="E1551" s="29" t="s">
        <v>19</v>
      </c>
      <c r="F1551" s="27" t="s">
        <v>1924</v>
      </c>
      <c r="G1551" s="43"/>
      <c r="H1551" s="43"/>
      <c r="I1551" s="43"/>
      <c r="J1551" s="43"/>
      <c r="K1551" s="27"/>
      <c r="L1551" s="28"/>
      <c r="M1551" s="27"/>
      <c r="N1551" s="27"/>
      <c r="O1551" s="18"/>
      <c r="P1551" s="214"/>
      <c r="Q1551" s="214"/>
      <c r="S1551" s="27"/>
      <c r="T1551" s="18"/>
      <c r="U1551" s="27"/>
      <c r="W1551" s="30"/>
      <c r="X1551" s="27"/>
      <c r="Y1551" s="27"/>
      <c r="Z1551" s="27"/>
      <c r="AA1551" s="27"/>
      <c r="AB1551" s="27"/>
      <c r="AC1551" s="273">
        <v>3573697357.7190704</v>
      </c>
      <c r="AD1551" s="27">
        <v>121571548180.02281</v>
      </c>
      <c r="AE1551" s="228">
        <v>2.9395836535923269E-2</v>
      </c>
      <c r="AF1551" s="27">
        <v>21446436814.437824</v>
      </c>
      <c r="AG1551" s="226">
        <v>0.16663361791238177</v>
      </c>
      <c r="AH1551" s="226">
        <v>0.5679679010669535</v>
      </c>
      <c r="AI1551" s="27">
        <v>463020000</v>
      </c>
      <c r="AJ1551" s="226">
        <v>7.7182354060711642</v>
      </c>
      <c r="AK1551" s="27">
        <v>4354464168.2466049</v>
      </c>
      <c r="AL1551" s="226">
        <v>0.82069738540484471</v>
      </c>
      <c r="AM1551" s="27">
        <v>3251054184.275352</v>
      </c>
      <c r="AN1551" s="271">
        <v>1.0992426318220945</v>
      </c>
      <c r="AO1551" s="27">
        <v>28625628</v>
      </c>
      <c r="AP1551" s="27">
        <v>37.299999999999997</v>
      </c>
      <c r="AQ1551" s="27">
        <v>73.307292682926828</v>
      </c>
      <c r="AR1551" s="27">
        <v>17.399999999999999</v>
      </c>
      <c r="AS1551" s="29">
        <v>97.638440000000003</v>
      </c>
      <c r="AT1551" s="270">
        <v>38</v>
      </c>
      <c r="AU1551" s="464">
        <v>72.816286549781523</v>
      </c>
      <c r="AV1551" s="29">
        <v>0.102797518483968</v>
      </c>
      <c r="AW1551" s="29">
        <v>-0.89730607728999101</v>
      </c>
      <c r="AX1551" s="29">
        <v>-0.35724068854121799</v>
      </c>
      <c r="AY1551" s="29">
        <v>0.34906767606171601</v>
      </c>
      <c r="AZ1551" s="60">
        <v>-0.20419570946809601</v>
      </c>
    </row>
    <row r="1552" spans="1:52" s="29" customFormat="1" ht="15" customHeight="1">
      <c r="A1552" s="63" t="s">
        <v>447</v>
      </c>
      <c r="B1552" s="27">
        <v>2008</v>
      </c>
      <c r="C1552" s="27" t="s">
        <v>442</v>
      </c>
      <c r="D1552" s="69" t="s">
        <v>214</v>
      </c>
      <c r="E1552" s="29" t="s">
        <v>19</v>
      </c>
      <c r="F1552" s="27" t="s">
        <v>1925</v>
      </c>
      <c r="G1552" s="43"/>
      <c r="H1552" s="43"/>
      <c r="I1552" s="43"/>
      <c r="J1552" s="43"/>
      <c r="K1552" s="27"/>
      <c r="L1552" s="28"/>
      <c r="M1552" s="27"/>
      <c r="N1552" s="27"/>
      <c r="O1552" s="18"/>
      <c r="P1552" s="214"/>
      <c r="Q1552" s="214"/>
      <c r="S1552" s="27"/>
      <c r="T1552" s="18"/>
      <c r="U1552" s="27"/>
      <c r="W1552" s="30"/>
      <c r="X1552" s="27"/>
      <c r="Y1552" s="27"/>
      <c r="Z1552" s="27"/>
      <c r="AA1552" s="27"/>
      <c r="AB1552" s="27"/>
      <c r="AC1552" s="273">
        <v>3573697357.7190704</v>
      </c>
      <c r="AD1552" s="27">
        <v>121571548180.02281</v>
      </c>
      <c r="AE1552" s="228">
        <v>2.9395836535923269E-2</v>
      </c>
      <c r="AF1552" s="27">
        <v>21446436814.437824</v>
      </c>
      <c r="AG1552" s="226">
        <v>0.16663361791238177</v>
      </c>
      <c r="AH1552" s="226">
        <v>0.5679679010669535</v>
      </c>
      <c r="AI1552" s="27">
        <v>463020000</v>
      </c>
      <c r="AJ1552" s="226">
        <v>7.7182354060711642</v>
      </c>
      <c r="AK1552" s="27">
        <v>4354464168.2466049</v>
      </c>
      <c r="AL1552" s="226">
        <v>0.82069738540484471</v>
      </c>
      <c r="AM1552" s="27">
        <v>3251054184.275352</v>
      </c>
      <c r="AN1552" s="271">
        <v>1.0992426318220945</v>
      </c>
      <c r="AO1552" s="27">
        <v>28625628</v>
      </c>
      <c r="AP1552" s="27">
        <v>37.299999999999997</v>
      </c>
      <c r="AQ1552" s="27">
        <v>73.307292682926828</v>
      </c>
      <c r="AR1552" s="27">
        <v>17.399999999999999</v>
      </c>
      <c r="AS1552" s="29">
        <v>97.638440000000003</v>
      </c>
      <c r="AT1552" s="270">
        <v>38</v>
      </c>
      <c r="AU1552" s="464">
        <v>72.816286549781523</v>
      </c>
      <c r="AV1552" s="29">
        <v>0.102797518483968</v>
      </c>
      <c r="AW1552" s="29">
        <v>-0.89730607728999101</v>
      </c>
      <c r="AX1552" s="29">
        <v>-0.35724068854121799</v>
      </c>
      <c r="AY1552" s="29">
        <v>0.34906767606171601</v>
      </c>
      <c r="AZ1552" s="60">
        <v>-0.20419570946809601</v>
      </c>
    </row>
    <row r="1553" spans="1:52" s="29" customFormat="1" ht="15" customHeight="1">
      <c r="A1553" s="63" t="s">
        <v>447</v>
      </c>
      <c r="B1553" s="27">
        <v>2008</v>
      </c>
      <c r="C1553" s="27" t="s">
        <v>442</v>
      </c>
      <c r="D1553" s="69" t="s">
        <v>214</v>
      </c>
      <c r="E1553" s="29" t="s">
        <v>19</v>
      </c>
      <c r="F1553" s="27" t="s">
        <v>1302</v>
      </c>
      <c r="G1553" s="43"/>
      <c r="H1553" s="43"/>
      <c r="I1553" s="43"/>
      <c r="J1553" s="43"/>
      <c r="K1553" s="27"/>
      <c r="L1553" s="28"/>
      <c r="M1553" s="27"/>
      <c r="N1553" s="27"/>
      <c r="O1553" s="18"/>
      <c r="P1553" s="214"/>
      <c r="Q1553" s="214"/>
      <c r="S1553" s="27"/>
      <c r="T1553" s="18"/>
      <c r="U1553" s="27"/>
      <c r="W1553" s="30"/>
      <c r="X1553" s="27"/>
      <c r="Y1553" s="27"/>
      <c r="Z1553" s="27"/>
      <c r="AA1553" s="27"/>
      <c r="AB1553" s="27"/>
      <c r="AC1553" s="273">
        <v>3573697357.7190704</v>
      </c>
      <c r="AD1553" s="27">
        <v>121571548180.02281</v>
      </c>
      <c r="AE1553" s="228">
        <v>2.9395836535923269E-2</v>
      </c>
      <c r="AF1553" s="27">
        <v>21446436814.437824</v>
      </c>
      <c r="AG1553" s="226">
        <v>0.16663361791238177</v>
      </c>
      <c r="AH1553" s="226">
        <v>0.5679679010669535</v>
      </c>
      <c r="AI1553" s="27">
        <v>463020000</v>
      </c>
      <c r="AJ1553" s="226">
        <v>7.7182354060711642</v>
      </c>
      <c r="AK1553" s="27">
        <v>4354464168.2466049</v>
      </c>
      <c r="AL1553" s="226">
        <v>0.82069738540484471</v>
      </c>
      <c r="AM1553" s="27">
        <v>3251054184.275352</v>
      </c>
      <c r="AN1553" s="271">
        <v>1.0992426318220945</v>
      </c>
      <c r="AO1553" s="27">
        <v>28625628</v>
      </c>
      <c r="AP1553" s="27">
        <v>37.299999999999997</v>
      </c>
      <c r="AQ1553" s="27">
        <v>73.307292682926828</v>
      </c>
      <c r="AR1553" s="27">
        <v>17.399999999999999</v>
      </c>
      <c r="AS1553" s="29">
        <v>97.638440000000003</v>
      </c>
      <c r="AT1553" s="270">
        <v>38</v>
      </c>
      <c r="AU1553" s="464">
        <v>72.816286549781523</v>
      </c>
      <c r="AV1553" s="29">
        <v>0.102797518483968</v>
      </c>
      <c r="AW1553" s="29">
        <v>-0.89730607728999101</v>
      </c>
      <c r="AX1553" s="29">
        <v>-0.35724068854121799</v>
      </c>
      <c r="AY1553" s="29">
        <v>0.34906767606171601</v>
      </c>
      <c r="AZ1553" s="60">
        <v>-0.20419570946809601</v>
      </c>
    </row>
    <row r="1554" spans="1:52" s="29" customFormat="1" ht="15" customHeight="1">
      <c r="A1554" s="63" t="s">
        <v>447</v>
      </c>
      <c r="B1554" s="27">
        <v>2008</v>
      </c>
      <c r="C1554" s="27" t="s">
        <v>442</v>
      </c>
      <c r="D1554" s="69" t="s">
        <v>214</v>
      </c>
      <c r="E1554" s="29" t="s">
        <v>19</v>
      </c>
      <c r="F1554" s="27" t="s">
        <v>1120</v>
      </c>
      <c r="G1554" s="43"/>
      <c r="H1554" s="43"/>
      <c r="I1554" s="43"/>
      <c r="J1554" s="43"/>
      <c r="K1554" s="27"/>
      <c r="L1554" s="28"/>
      <c r="M1554" s="27"/>
      <c r="N1554" s="27"/>
      <c r="O1554" s="18"/>
      <c r="P1554" s="214"/>
      <c r="Q1554" s="214"/>
      <c r="S1554" s="27"/>
      <c r="T1554" s="18"/>
      <c r="U1554" s="27"/>
      <c r="W1554" s="30"/>
      <c r="X1554" s="27"/>
      <c r="Y1554" s="27"/>
      <c r="Z1554" s="27"/>
      <c r="AA1554" s="27"/>
      <c r="AB1554" s="27"/>
      <c r="AC1554" s="273">
        <v>3573697357.7190704</v>
      </c>
      <c r="AD1554" s="27">
        <v>121571548180.02281</v>
      </c>
      <c r="AE1554" s="228">
        <v>2.9395836535923269E-2</v>
      </c>
      <c r="AF1554" s="27">
        <v>21446436814.437824</v>
      </c>
      <c r="AG1554" s="226">
        <v>0.16663361791238177</v>
      </c>
      <c r="AH1554" s="226">
        <v>0.5679679010669535</v>
      </c>
      <c r="AI1554" s="27">
        <v>463020000</v>
      </c>
      <c r="AJ1554" s="226">
        <v>7.7182354060711642</v>
      </c>
      <c r="AK1554" s="27">
        <v>4354464168.2466049</v>
      </c>
      <c r="AL1554" s="226">
        <v>0.82069738540484471</v>
      </c>
      <c r="AM1554" s="27">
        <v>3251054184.275352</v>
      </c>
      <c r="AN1554" s="271">
        <v>1.0992426318220945</v>
      </c>
      <c r="AO1554" s="27">
        <v>28625628</v>
      </c>
      <c r="AP1554" s="27">
        <v>37.299999999999997</v>
      </c>
      <c r="AQ1554" s="27">
        <v>73.307292682926828</v>
      </c>
      <c r="AR1554" s="27">
        <v>17.399999999999999</v>
      </c>
      <c r="AS1554" s="29">
        <v>97.638440000000003</v>
      </c>
      <c r="AT1554" s="270">
        <v>38</v>
      </c>
      <c r="AU1554" s="464">
        <v>72.816286549781523</v>
      </c>
      <c r="AV1554" s="29">
        <v>0.102797518483968</v>
      </c>
      <c r="AW1554" s="29">
        <v>-0.89730607728999101</v>
      </c>
      <c r="AX1554" s="29">
        <v>-0.35724068854121799</v>
      </c>
      <c r="AY1554" s="29">
        <v>0.34906767606171601</v>
      </c>
      <c r="AZ1554" s="60">
        <v>-0.20419570946809601</v>
      </c>
    </row>
    <row r="1555" spans="1:52" s="29" customFormat="1" ht="15" customHeight="1">
      <c r="A1555" s="63" t="s">
        <v>447</v>
      </c>
      <c r="B1555" s="27">
        <v>2008</v>
      </c>
      <c r="C1555" s="27" t="s">
        <v>442</v>
      </c>
      <c r="D1555" s="69" t="s">
        <v>214</v>
      </c>
      <c r="E1555" s="29" t="s">
        <v>19</v>
      </c>
      <c r="F1555" s="27" t="s">
        <v>1888</v>
      </c>
      <c r="G1555" s="43"/>
      <c r="H1555" s="43"/>
      <c r="I1555" s="43"/>
      <c r="J1555" s="43"/>
      <c r="K1555" s="27"/>
      <c r="L1555" s="28"/>
      <c r="M1555" s="27"/>
      <c r="N1555" s="27"/>
      <c r="O1555" s="18"/>
      <c r="P1555" s="214"/>
      <c r="Q1555" s="214"/>
      <c r="S1555" s="27"/>
      <c r="T1555" s="18"/>
      <c r="U1555" s="27"/>
      <c r="W1555" s="30"/>
      <c r="X1555" s="27"/>
      <c r="Y1555" s="27"/>
      <c r="Z1555" s="27"/>
      <c r="AA1555" s="27"/>
      <c r="AB1555" s="27"/>
      <c r="AC1555" s="273">
        <v>3573697357.7190704</v>
      </c>
      <c r="AD1555" s="27">
        <v>121571548180.02281</v>
      </c>
      <c r="AE1555" s="228">
        <v>2.9395836535923269E-2</v>
      </c>
      <c r="AF1555" s="27">
        <v>21446436814.437824</v>
      </c>
      <c r="AG1555" s="226">
        <v>0.16663361791238177</v>
      </c>
      <c r="AH1555" s="226">
        <v>0.5679679010669535</v>
      </c>
      <c r="AI1555" s="27">
        <v>463020000</v>
      </c>
      <c r="AJ1555" s="226">
        <v>7.7182354060711642</v>
      </c>
      <c r="AK1555" s="27">
        <v>4354464168.2466049</v>
      </c>
      <c r="AL1555" s="226">
        <v>0.82069738540484471</v>
      </c>
      <c r="AM1555" s="27">
        <v>3251054184.275352</v>
      </c>
      <c r="AN1555" s="271">
        <v>1.0992426318220945</v>
      </c>
      <c r="AO1555" s="27">
        <v>28625628</v>
      </c>
      <c r="AP1555" s="27">
        <v>37.299999999999997</v>
      </c>
      <c r="AQ1555" s="27">
        <v>73.307292682926828</v>
      </c>
      <c r="AR1555" s="27">
        <v>17.399999999999999</v>
      </c>
      <c r="AS1555" s="29">
        <v>97.638440000000003</v>
      </c>
      <c r="AT1555" s="270">
        <v>38</v>
      </c>
      <c r="AU1555" s="464">
        <v>72.816286549781523</v>
      </c>
      <c r="AV1555" s="29">
        <v>0.102797518483968</v>
      </c>
      <c r="AW1555" s="29">
        <v>-0.89730607728999101</v>
      </c>
      <c r="AX1555" s="29">
        <v>-0.35724068854121799</v>
      </c>
      <c r="AY1555" s="29">
        <v>0.34906767606171601</v>
      </c>
      <c r="AZ1555" s="60">
        <v>-0.20419570946809601</v>
      </c>
    </row>
    <row r="1556" spans="1:52" s="29" customFormat="1" ht="15" customHeight="1">
      <c r="A1556" s="63" t="s">
        <v>447</v>
      </c>
      <c r="B1556" s="27">
        <v>2008</v>
      </c>
      <c r="C1556" s="27" t="s">
        <v>442</v>
      </c>
      <c r="D1556" s="69" t="s">
        <v>214</v>
      </c>
      <c r="E1556" s="29" t="s">
        <v>19</v>
      </c>
      <c r="F1556" s="27" t="s">
        <v>1926</v>
      </c>
      <c r="G1556" s="43"/>
      <c r="H1556" s="43"/>
      <c r="I1556" s="43"/>
      <c r="J1556" s="43"/>
      <c r="K1556" s="27"/>
      <c r="L1556" s="28"/>
      <c r="M1556" s="27"/>
      <c r="N1556" s="27"/>
      <c r="O1556" s="18"/>
      <c r="P1556" s="214"/>
      <c r="Q1556" s="214"/>
      <c r="S1556" s="27"/>
      <c r="T1556" s="18"/>
      <c r="U1556" s="27"/>
      <c r="W1556" s="30"/>
      <c r="X1556" s="27"/>
      <c r="Y1556" s="27"/>
      <c r="Z1556" s="27"/>
      <c r="AA1556" s="27"/>
      <c r="AB1556" s="27"/>
      <c r="AC1556" s="273">
        <v>3573697357.7190704</v>
      </c>
      <c r="AD1556" s="27">
        <v>121571548180.02281</v>
      </c>
      <c r="AE1556" s="228">
        <v>2.9395836535923269E-2</v>
      </c>
      <c r="AF1556" s="27">
        <v>21446436814.437824</v>
      </c>
      <c r="AG1556" s="226">
        <v>0.16663361791238177</v>
      </c>
      <c r="AH1556" s="226">
        <v>0.5679679010669535</v>
      </c>
      <c r="AI1556" s="27">
        <v>463020000</v>
      </c>
      <c r="AJ1556" s="226">
        <v>7.7182354060711642</v>
      </c>
      <c r="AK1556" s="27">
        <v>4354464168.2466049</v>
      </c>
      <c r="AL1556" s="226">
        <v>0.82069738540484471</v>
      </c>
      <c r="AM1556" s="27">
        <v>3251054184.275352</v>
      </c>
      <c r="AN1556" s="271">
        <v>1.0992426318220945</v>
      </c>
      <c r="AO1556" s="27">
        <v>28625628</v>
      </c>
      <c r="AP1556" s="27">
        <v>37.299999999999997</v>
      </c>
      <c r="AQ1556" s="27">
        <v>73.307292682926828</v>
      </c>
      <c r="AR1556" s="27">
        <v>17.399999999999999</v>
      </c>
      <c r="AS1556" s="29">
        <v>97.638440000000003</v>
      </c>
      <c r="AT1556" s="270">
        <v>38</v>
      </c>
      <c r="AU1556" s="464">
        <v>72.816286549781523</v>
      </c>
      <c r="AV1556" s="29">
        <v>0.102797518483968</v>
      </c>
      <c r="AW1556" s="29">
        <v>-0.89730607728999101</v>
      </c>
      <c r="AX1556" s="29">
        <v>-0.35724068854121799</v>
      </c>
      <c r="AY1556" s="29">
        <v>0.34906767606171601</v>
      </c>
      <c r="AZ1556" s="60">
        <v>-0.20419570946809601</v>
      </c>
    </row>
    <row r="1557" spans="1:52" s="29" customFormat="1" ht="15" customHeight="1">
      <c r="A1557" s="63" t="s">
        <v>447</v>
      </c>
      <c r="B1557" s="27">
        <v>2008</v>
      </c>
      <c r="C1557" s="27" t="s">
        <v>442</v>
      </c>
      <c r="D1557" s="69" t="s">
        <v>214</v>
      </c>
      <c r="E1557" s="29" t="s">
        <v>19</v>
      </c>
      <c r="F1557" s="27" t="s">
        <v>1927</v>
      </c>
      <c r="G1557" s="43"/>
      <c r="H1557" s="43"/>
      <c r="I1557" s="43"/>
      <c r="J1557" s="43"/>
      <c r="K1557" s="27"/>
      <c r="L1557" s="28"/>
      <c r="M1557" s="27"/>
      <c r="N1557" s="27"/>
      <c r="O1557" s="18"/>
      <c r="P1557" s="214"/>
      <c r="Q1557" s="214"/>
      <c r="S1557" s="27"/>
      <c r="T1557" s="18"/>
      <c r="U1557" s="27"/>
      <c r="W1557" s="30"/>
      <c r="X1557" s="27"/>
      <c r="Y1557" s="27"/>
      <c r="Z1557" s="27"/>
      <c r="AA1557" s="27"/>
      <c r="AB1557" s="27"/>
      <c r="AC1557" s="273">
        <v>3573697357.7190704</v>
      </c>
      <c r="AD1557" s="27">
        <v>121571548180.02281</v>
      </c>
      <c r="AE1557" s="228">
        <v>2.9395836535923269E-2</v>
      </c>
      <c r="AF1557" s="27">
        <v>21446436814.437824</v>
      </c>
      <c r="AG1557" s="226">
        <v>0.16663361791238177</v>
      </c>
      <c r="AH1557" s="226">
        <v>0.5679679010669535</v>
      </c>
      <c r="AI1557" s="27">
        <v>463020000</v>
      </c>
      <c r="AJ1557" s="226">
        <v>7.7182354060711642</v>
      </c>
      <c r="AK1557" s="27">
        <v>4354464168.2466049</v>
      </c>
      <c r="AL1557" s="226">
        <v>0.82069738540484471</v>
      </c>
      <c r="AM1557" s="27">
        <v>3251054184.275352</v>
      </c>
      <c r="AN1557" s="271">
        <v>1.0992426318220945</v>
      </c>
      <c r="AO1557" s="27">
        <v>28625628</v>
      </c>
      <c r="AP1557" s="27">
        <v>37.299999999999997</v>
      </c>
      <c r="AQ1557" s="27">
        <v>73.307292682926828</v>
      </c>
      <c r="AR1557" s="27">
        <v>17.399999999999999</v>
      </c>
      <c r="AS1557" s="29">
        <v>97.638440000000003</v>
      </c>
      <c r="AT1557" s="270">
        <v>38</v>
      </c>
      <c r="AU1557" s="464">
        <v>72.816286549781523</v>
      </c>
      <c r="AV1557" s="29">
        <v>0.102797518483968</v>
      </c>
      <c r="AW1557" s="29">
        <v>-0.89730607728999101</v>
      </c>
      <c r="AX1557" s="29">
        <v>-0.35724068854121799</v>
      </c>
      <c r="AY1557" s="29">
        <v>0.34906767606171601</v>
      </c>
      <c r="AZ1557" s="60">
        <v>-0.20419570946809601</v>
      </c>
    </row>
    <row r="1558" spans="1:52" s="29" customFormat="1" ht="15" customHeight="1">
      <c r="A1558" s="63" t="s">
        <v>447</v>
      </c>
      <c r="B1558" s="27">
        <v>2008</v>
      </c>
      <c r="C1558" s="27" t="s">
        <v>442</v>
      </c>
      <c r="D1558" s="69" t="s">
        <v>214</v>
      </c>
      <c r="E1558" s="29" t="s">
        <v>19</v>
      </c>
      <c r="F1558" s="27" t="s">
        <v>566</v>
      </c>
      <c r="G1558" s="43"/>
      <c r="H1558" s="43"/>
      <c r="I1558" s="43"/>
      <c r="J1558" s="43"/>
      <c r="K1558" s="27"/>
      <c r="L1558" s="28"/>
      <c r="M1558" s="27"/>
      <c r="N1558" s="27"/>
      <c r="O1558" s="18"/>
      <c r="P1558" s="214"/>
      <c r="Q1558" s="214"/>
      <c r="S1558" s="27"/>
      <c r="T1558" s="18"/>
      <c r="U1558" s="27"/>
      <c r="W1558" s="30"/>
      <c r="X1558" s="27"/>
      <c r="Y1558" s="27"/>
      <c r="Z1558" s="27"/>
      <c r="AA1558" s="27"/>
      <c r="AB1558" s="27"/>
      <c r="AC1558" s="273">
        <v>3573697357.7190704</v>
      </c>
      <c r="AD1558" s="27">
        <v>121571548180.02281</v>
      </c>
      <c r="AE1558" s="228">
        <v>2.9395836535923269E-2</v>
      </c>
      <c r="AF1558" s="27">
        <v>21446436814.437824</v>
      </c>
      <c r="AG1558" s="226">
        <v>0.16663361791238177</v>
      </c>
      <c r="AH1558" s="226">
        <v>0.5679679010669535</v>
      </c>
      <c r="AI1558" s="27">
        <v>463020000</v>
      </c>
      <c r="AJ1558" s="226">
        <v>7.7182354060711642</v>
      </c>
      <c r="AK1558" s="27">
        <v>4354464168.2466049</v>
      </c>
      <c r="AL1558" s="226">
        <v>0.82069738540484471</v>
      </c>
      <c r="AM1558" s="27">
        <v>3251054184.275352</v>
      </c>
      <c r="AN1558" s="271">
        <v>1.0992426318220945</v>
      </c>
      <c r="AO1558" s="27">
        <v>28625628</v>
      </c>
      <c r="AP1558" s="27">
        <v>37.299999999999997</v>
      </c>
      <c r="AQ1558" s="27">
        <v>73.307292682926828</v>
      </c>
      <c r="AR1558" s="27">
        <v>17.399999999999999</v>
      </c>
      <c r="AS1558" s="29">
        <v>97.638440000000003</v>
      </c>
      <c r="AT1558" s="270">
        <v>38</v>
      </c>
      <c r="AU1558" s="464">
        <v>72.816286549781523</v>
      </c>
      <c r="AV1558" s="29">
        <v>0.102797518483968</v>
      </c>
      <c r="AW1558" s="29">
        <v>-0.89730607728999101</v>
      </c>
      <c r="AX1558" s="29">
        <v>-0.35724068854121799</v>
      </c>
      <c r="AY1558" s="29">
        <v>0.34906767606171601</v>
      </c>
      <c r="AZ1558" s="60">
        <v>-0.20419570946809601</v>
      </c>
    </row>
    <row r="1559" spans="1:52" s="29" customFormat="1" ht="15" customHeight="1">
      <c r="A1559" s="63" t="s">
        <v>447</v>
      </c>
      <c r="B1559" s="27">
        <v>2008</v>
      </c>
      <c r="C1559" s="27" t="s">
        <v>442</v>
      </c>
      <c r="D1559" s="69" t="s">
        <v>214</v>
      </c>
      <c r="E1559" s="29" t="s">
        <v>19</v>
      </c>
      <c r="F1559" s="27" t="s">
        <v>1928</v>
      </c>
      <c r="G1559" s="43"/>
      <c r="H1559" s="43"/>
      <c r="I1559" s="43"/>
      <c r="J1559" s="43"/>
      <c r="K1559" s="27"/>
      <c r="L1559" s="28"/>
      <c r="M1559" s="27"/>
      <c r="N1559" s="27"/>
      <c r="O1559" s="18"/>
      <c r="P1559" s="214"/>
      <c r="Q1559" s="214"/>
      <c r="S1559" s="27"/>
      <c r="T1559" s="18"/>
      <c r="U1559" s="27"/>
      <c r="W1559" s="30"/>
      <c r="X1559" s="27"/>
      <c r="Y1559" s="27"/>
      <c r="Z1559" s="27"/>
      <c r="AA1559" s="27"/>
      <c r="AB1559" s="27"/>
      <c r="AC1559" s="273">
        <v>3573697357.7190704</v>
      </c>
      <c r="AD1559" s="27">
        <v>121571548180.02281</v>
      </c>
      <c r="AE1559" s="228">
        <v>2.9395836535923269E-2</v>
      </c>
      <c r="AF1559" s="27">
        <v>21446436814.437824</v>
      </c>
      <c r="AG1559" s="226">
        <v>0.16663361791238177</v>
      </c>
      <c r="AH1559" s="226">
        <v>0.5679679010669535</v>
      </c>
      <c r="AI1559" s="27">
        <v>463020000</v>
      </c>
      <c r="AJ1559" s="226">
        <v>7.7182354060711642</v>
      </c>
      <c r="AK1559" s="27">
        <v>4354464168.2466049</v>
      </c>
      <c r="AL1559" s="226">
        <v>0.82069738540484471</v>
      </c>
      <c r="AM1559" s="27">
        <v>3251054184.275352</v>
      </c>
      <c r="AN1559" s="271">
        <v>1.0992426318220945</v>
      </c>
      <c r="AO1559" s="27">
        <v>28625628</v>
      </c>
      <c r="AP1559" s="27">
        <v>37.299999999999997</v>
      </c>
      <c r="AQ1559" s="27">
        <v>73.307292682926828</v>
      </c>
      <c r="AR1559" s="27">
        <v>17.399999999999999</v>
      </c>
      <c r="AS1559" s="29">
        <v>97.638440000000003</v>
      </c>
      <c r="AT1559" s="270">
        <v>38</v>
      </c>
      <c r="AU1559" s="464">
        <v>72.816286549781523</v>
      </c>
      <c r="AV1559" s="29">
        <v>0.102797518483968</v>
      </c>
      <c r="AW1559" s="29">
        <v>-0.89730607728999101</v>
      </c>
      <c r="AX1559" s="29">
        <v>-0.35724068854121799</v>
      </c>
      <c r="AY1559" s="29">
        <v>0.34906767606171601</v>
      </c>
      <c r="AZ1559" s="60">
        <v>-0.20419570946809601</v>
      </c>
    </row>
    <row r="1560" spans="1:52" s="29" customFormat="1" ht="15" customHeight="1">
      <c r="A1560" s="63" t="s">
        <v>447</v>
      </c>
      <c r="B1560" s="27">
        <v>2008</v>
      </c>
      <c r="C1560" s="27" t="s">
        <v>442</v>
      </c>
      <c r="D1560" s="69" t="s">
        <v>214</v>
      </c>
      <c r="E1560" s="29" t="s">
        <v>19</v>
      </c>
      <c r="F1560" s="27" t="s">
        <v>573</v>
      </c>
      <c r="G1560" s="43"/>
      <c r="H1560" s="43"/>
      <c r="I1560" s="43"/>
      <c r="J1560" s="43"/>
      <c r="K1560" s="27"/>
      <c r="L1560" s="28"/>
      <c r="M1560" s="27"/>
      <c r="N1560" s="27"/>
      <c r="O1560" s="18"/>
      <c r="P1560" s="214"/>
      <c r="Q1560" s="214"/>
      <c r="S1560" s="27"/>
      <c r="T1560" s="18"/>
      <c r="U1560" s="27"/>
      <c r="W1560" s="30"/>
      <c r="X1560" s="27"/>
      <c r="Y1560" s="27"/>
      <c r="Z1560" s="27"/>
      <c r="AA1560" s="27"/>
      <c r="AB1560" s="27"/>
      <c r="AC1560" s="273">
        <v>3573697357.7190704</v>
      </c>
      <c r="AD1560" s="27">
        <v>121571548180.02281</v>
      </c>
      <c r="AE1560" s="228">
        <v>2.9395836535923269E-2</v>
      </c>
      <c r="AF1560" s="27">
        <v>21446436814.437824</v>
      </c>
      <c r="AG1560" s="226">
        <v>0.16663361791238177</v>
      </c>
      <c r="AH1560" s="226">
        <v>0.5679679010669535</v>
      </c>
      <c r="AI1560" s="27">
        <v>463020000</v>
      </c>
      <c r="AJ1560" s="226">
        <v>7.7182354060711642</v>
      </c>
      <c r="AK1560" s="27">
        <v>4354464168.2466049</v>
      </c>
      <c r="AL1560" s="226">
        <v>0.82069738540484471</v>
      </c>
      <c r="AM1560" s="27">
        <v>3251054184.275352</v>
      </c>
      <c r="AN1560" s="271">
        <v>1.0992426318220945</v>
      </c>
      <c r="AO1560" s="27">
        <v>28625628</v>
      </c>
      <c r="AP1560" s="27">
        <v>37.299999999999997</v>
      </c>
      <c r="AQ1560" s="27">
        <v>73.307292682926828</v>
      </c>
      <c r="AR1560" s="27">
        <v>17.399999999999999</v>
      </c>
      <c r="AS1560" s="29">
        <v>97.638440000000003</v>
      </c>
      <c r="AT1560" s="270">
        <v>38</v>
      </c>
      <c r="AU1560" s="464">
        <v>72.816286549781523</v>
      </c>
      <c r="AV1560" s="29">
        <v>0.102797518483968</v>
      </c>
      <c r="AW1560" s="29">
        <v>-0.89730607728999101</v>
      </c>
      <c r="AX1560" s="29">
        <v>-0.35724068854121799</v>
      </c>
      <c r="AY1560" s="29">
        <v>0.34906767606171601</v>
      </c>
      <c r="AZ1560" s="60">
        <v>-0.20419570946809601</v>
      </c>
    </row>
    <row r="1561" spans="1:52" s="29" customFormat="1" ht="15" customHeight="1">
      <c r="A1561" s="63" t="s">
        <v>447</v>
      </c>
      <c r="B1561" s="27">
        <v>2008</v>
      </c>
      <c r="C1561" s="27" t="s">
        <v>442</v>
      </c>
      <c r="D1561" s="69" t="s">
        <v>214</v>
      </c>
      <c r="E1561" s="29" t="s">
        <v>19</v>
      </c>
      <c r="F1561" s="27" t="s">
        <v>1929</v>
      </c>
      <c r="G1561" s="43"/>
      <c r="H1561" s="43"/>
      <c r="I1561" s="43"/>
      <c r="J1561" s="43"/>
      <c r="K1561" s="27"/>
      <c r="L1561" s="28"/>
      <c r="M1561" s="27"/>
      <c r="N1561" s="27"/>
      <c r="O1561" s="18"/>
      <c r="P1561" s="214"/>
      <c r="Q1561" s="214"/>
      <c r="S1561" s="27"/>
      <c r="T1561" s="18"/>
      <c r="U1561" s="27"/>
      <c r="W1561" s="30"/>
      <c r="X1561" s="27"/>
      <c r="Y1561" s="27"/>
      <c r="Z1561" s="27"/>
      <c r="AA1561" s="27"/>
      <c r="AB1561" s="27"/>
      <c r="AC1561" s="273">
        <v>3573697357.7190704</v>
      </c>
      <c r="AD1561" s="27">
        <v>121571548180.02281</v>
      </c>
      <c r="AE1561" s="228">
        <v>2.9395836535923269E-2</v>
      </c>
      <c r="AF1561" s="27">
        <v>21446436814.437824</v>
      </c>
      <c r="AG1561" s="226">
        <v>0.16663361791238177</v>
      </c>
      <c r="AH1561" s="226">
        <v>0.5679679010669535</v>
      </c>
      <c r="AI1561" s="27">
        <v>463020000</v>
      </c>
      <c r="AJ1561" s="226">
        <v>7.7182354060711642</v>
      </c>
      <c r="AK1561" s="27">
        <v>4354464168.2466049</v>
      </c>
      <c r="AL1561" s="226">
        <v>0.82069738540484471</v>
      </c>
      <c r="AM1561" s="27">
        <v>3251054184.275352</v>
      </c>
      <c r="AN1561" s="271">
        <v>1.0992426318220945</v>
      </c>
      <c r="AO1561" s="27">
        <v>28625628</v>
      </c>
      <c r="AP1561" s="27">
        <v>37.299999999999997</v>
      </c>
      <c r="AQ1561" s="27">
        <v>73.307292682926828</v>
      </c>
      <c r="AR1561" s="27">
        <v>17.399999999999999</v>
      </c>
      <c r="AS1561" s="29">
        <v>97.638440000000003</v>
      </c>
      <c r="AT1561" s="270">
        <v>38</v>
      </c>
      <c r="AU1561" s="464">
        <v>72.816286549781523</v>
      </c>
      <c r="AV1561" s="29">
        <v>0.102797518483968</v>
      </c>
      <c r="AW1561" s="29">
        <v>-0.89730607728999101</v>
      </c>
      <c r="AX1561" s="29">
        <v>-0.35724068854121799</v>
      </c>
      <c r="AY1561" s="29">
        <v>0.34906767606171601</v>
      </c>
      <c r="AZ1561" s="60">
        <v>-0.20419570946809601</v>
      </c>
    </row>
    <row r="1562" spans="1:52" s="29" customFormat="1" ht="15" customHeight="1">
      <c r="A1562" s="63" t="s">
        <v>447</v>
      </c>
      <c r="B1562" s="27">
        <v>2008</v>
      </c>
      <c r="C1562" s="27" t="s">
        <v>442</v>
      </c>
      <c r="D1562" s="69" t="s">
        <v>214</v>
      </c>
      <c r="E1562" s="29" t="s">
        <v>19</v>
      </c>
      <c r="F1562" s="27" t="s">
        <v>576</v>
      </c>
      <c r="G1562" s="43"/>
      <c r="H1562" s="43"/>
      <c r="I1562" s="43"/>
      <c r="J1562" s="43"/>
      <c r="K1562" s="27"/>
      <c r="L1562" s="28"/>
      <c r="M1562" s="27"/>
      <c r="N1562" s="27"/>
      <c r="O1562" s="18"/>
      <c r="P1562" s="214"/>
      <c r="Q1562" s="214"/>
      <c r="R1562" s="71"/>
      <c r="S1562" s="27"/>
      <c r="T1562" s="18"/>
      <c r="U1562" s="27"/>
      <c r="V1562" s="71"/>
      <c r="W1562" s="30"/>
      <c r="X1562" s="27"/>
      <c r="Y1562" s="27"/>
      <c r="Z1562" s="27"/>
      <c r="AA1562" s="27"/>
      <c r="AB1562" s="27"/>
      <c r="AC1562" s="273">
        <v>3573697357.7190704</v>
      </c>
      <c r="AD1562" s="27">
        <v>121571548180.02281</v>
      </c>
      <c r="AE1562" s="228">
        <v>2.9395836535923269E-2</v>
      </c>
      <c r="AF1562" s="27">
        <v>21446436814.437824</v>
      </c>
      <c r="AG1562" s="226">
        <v>0.16663361791238177</v>
      </c>
      <c r="AH1562" s="226">
        <v>0.5679679010669535</v>
      </c>
      <c r="AI1562" s="27">
        <v>463020000</v>
      </c>
      <c r="AJ1562" s="226">
        <v>7.7182354060711642</v>
      </c>
      <c r="AK1562" s="27">
        <v>4354464168.2466049</v>
      </c>
      <c r="AL1562" s="226">
        <v>0.82069738540484471</v>
      </c>
      <c r="AM1562" s="27">
        <v>3251054184.275352</v>
      </c>
      <c r="AN1562" s="271">
        <v>1.0992426318220945</v>
      </c>
      <c r="AO1562" s="27">
        <v>28625628</v>
      </c>
      <c r="AP1562" s="27">
        <v>37.299999999999997</v>
      </c>
      <c r="AQ1562" s="27">
        <v>73.307292682926828</v>
      </c>
      <c r="AR1562" s="27">
        <v>17.399999999999999</v>
      </c>
      <c r="AS1562" s="29">
        <v>97.638440000000003</v>
      </c>
      <c r="AT1562" s="270">
        <v>38</v>
      </c>
      <c r="AU1562" s="464">
        <v>72.816286549781523</v>
      </c>
      <c r="AV1562" s="29">
        <v>0.102797518483968</v>
      </c>
      <c r="AW1562" s="29">
        <v>-0.89730607728999101</v>
      </c>
      <c r="AX1562" s="29">
        <v>-0.35724068854121799</v>
      </c>
      <c r="AY1562" s="29">
        <v>0.34906767606171601</v>
      </c>
      <c r="AZ1562" s="60">
        <v>-0.20419570946809601</v>
      </c>
    </row>
    <row r="1563" spans="1:52" s="29" customFormat="1" ht="15" customHeight="1">
      <c r="A1563" s="63" t="s">
        <v>447</v>
      </c>
      <c r="B1563" s="27">
        <v>2008</v>
      </c>
      <c r="C1563" s="27" t="s">
        <v>442</v>
      </c>
      <c r="D1563" s="69" t="s">
        <v>214</v>
      </c>
      <c r="E1563" s="29" t="s">
        <v>19</v>
      </c>
      <c r="F1563" s="27" t="s">
        <v>1930</v>
      </c>
      <c r="G1563" s="43"/>
      <c r="H1563" s="43"/>
      <c r="I1563" s="43"/>
      <c r="J1563" s="43"/>
      <c r="K1563" s="27"/>
      <c r="L1563" s="28"/>
      <c r="M1563" s="27"/>
      <c r="N1563" s="27"/>
      <c r="O1563" s="18"/>
      <c r="P1563" s="214"/>
      <c r="Q1563" s="214"/>
      <c r="S1563" s="27"/>
      <c r="T1563" s="18"/>
      <c r="U1563" s="27"/>
      <c r="W1563" s="30"/>
      <c r="X1563" s="27"/>
      <c r="Y1563" s="27"/>
      <c r="Z1563" s="27"/>
      <c r="AA1563" s="27"/>
      <c r="AB1563" s="27"/>
      <c r="AC1563" s="273">
        <v>3573697357.7190704</v>
      </c>
      <c r="AD1563" s="27">
        <v>121571548180.02281</v>
      </c>
      <c r="AE1563" s="228">
        <v>2.9395836535923269E-2</v>
      </c>
      <c r="AF1563" s="27">
        <v>21446436814.437824</v>
      </c>
      <c r="AG1563" s="226">
        <v>0.16663361791238177</v>
      </c>
      <c r="AH1563" s="226">
        <v>0.5679679010669535</v>
      </c>
      <c r="AI1563" s="27">
        <v>463020000</v>
      </c>
      <c r="AJ1563" s="226">
        <v>7.7182354060711642</v>
      </c>
      <c r="AK1563" s="27">
        <v>4354464168.2466049</v>
      </c>
      <c r="AL1563" s="226">
        <v>0.82069738540484471</v>
      </c>
      <c r="AM1563" s="27">
        <v>3251054184.275352</v>
      </c>
      <c r="AN1563" s="271">
        <v>1.0992426318220945</v>
      </c>
      <c r="AO1563" s="27">
        <v>28625628</v>
      </c>
      <c r="AP1563" s="27">
        <v>37.299999999999997</v>
      </c>
      <c r="AQ1563" s="27">
        <v>73.307292682926828</v>
      </c>
      <c r="AR1563" s="27">
        <v>17.399999999999999</v>
      </c>
      <c r="AS1563" s="29">
        <v>97.638440000000003</v>
      </c>
      <c r="AT1563" s="270">
        <v>38</v>
      </c>
      <c r="AU1563" s="464">
        <v>72.816286549781523</v>
      </c>
      <c r="AV1563" s="29">
        <v>0.102797518483968</v>
      </c>
      <c r="AW1563" s="29">
        <v>-0.89730607728999101</v>
      </c>
      <c r="AX1563" s="29">
        <v>-0.35724068854121799</v>
      </c>
      <c r="AY1563" s="29">
        <v>0.34906767606171601</v>
      </c>
      <c r="AZ1563" s="60">
        <v>-0.20419570946809601</v>
      </c>
    </row>
    <row r="1564" spans="1:52" s="29" customFormat="1" ht="15" customHeight="1">
      <c r="A1564" s="63" t="s">
        <v>447</v>
      </c>
      <c r="B1564" s="27">
        <v>2008</v>
      </c>
      <c r="C1564" s="27" t="s">
        <v>442</v>
      </c>
      <c r="D1564" s="69" t="s">
        <v>214</v>
      </c>
      <c r="E1564" s="29" t="s">
        <v>19</v>
      </c>
      <c r="F1564" s="27" t="s">
        <v>1931</v>
      </c>
      <c r="G1564" s="43"/>
      <c r="H1564" s="43"/>
      <c r="I1564" s="43"/>
      <c r="J1564" s="43"/>
      <c r="K1564" s="27"/>
      <c r="L1564" s="28"/>
      <c r="M1564" s="27"/>
      <c r="N1564" s="27"/>
      <c r="O1564" s="18"/>
      <c r="P1564" s="214"/>
      <c r="Q1564" s="214"/>
      <c r="S1564" s="27"/>
      <c r="T1564" s="18"/>
      <c r="U1564" s="27"/>
      <c r="W1564" s="30"/>
      <c r="X1564" s="27"/>
      <c r="Y1564" s="27"/>
      <c r="Z1564" s="27"/>
      <c r="AA1564" s="27"/>
      <c r="AB1564" s="27"/>
      <c r="AC1564" s="273">
        <v>3573697357.7190704</v>
      </c>
      <c r="AD1564" s="27">
        <v>121571548180.02281</v>
      </c>
      <c r="AE1564" s="228">
        <v>2.9395836535923269E-2</v>
      </c>
      <c r="AF1564" s="27">
        <v>21446436814.437824</v>
      </c>
      <c r="AG1564" s="226">
        <v>0.16663361791238177</v>
      </c>
      <c r="AH1564" s="226">
        <v>0.5679679010669535</v>
      </c>
      <c r="AI1564" s="27">
        <v>463020000</v>
      </c>
      <c r="AJ1564" s="226">
        <v>7.7182354060711642</v>
      </c>
      <c r="AK1564" s="27">
        <v>4354464168.2466049</v>
      </c>
      <c r="AL1564" s="226">
        <v>0.82069738540484471</v>
      </c>
      <c r="AM1564" s="27">
        <v>3251054184.275352</v>
      </c>
      <c r="AN1564" s="271">
        <v>1.0992426318220945</v>
      </c>
      <c r="AO1564" s="27">
        <v>28625628</v>
      </c>
      <c r="AP1564" s="27">
        <v>37.299999999999997</v>
      </c>
      <c r="AQ1564" s="27">
        <v>73.307292682926828</v>
      </c>
      <c r="AR1564" s="27">
        <v>17.399999999999999</v>
      </c>
      <c r="AS1564" s="29">
        <v>97.638440000000003</v>
      </c>
      <c r="AT1564" s="270">
        <v>38</v>
      </c>
      <c r="AU1564" s="464">
        <v>72.816286549781523</v>
      </c>
      <c r="AV1564" s="29">
        <v>0.102797518483968</v>
      </c>
      <c r="AW1564" s="29">
        <v>-0.89730607728999101</v>
      </c>
      <c r="AX1564" s="29">
        <v>-0.35724068854121799</v>
      </c>
      <c r="AY1564" s="29">
        <v>0.34906767606171601</v>
      </c>
      <c r="AZ1564" s="60">
        <v>-0.20419570946809601</v>
      </c>
    </row>
    <row r="1565" spans="1:52" s="29" customFormat="1" ht="15" customHeight="1">
      <c r="A1565" s="63" t="s">
        <v>447</v>
      </c>
      <c r="B1565" s="27">
        <v>2008</v>
      </c>
      <c r="C1565" s="27" t="s">
        <v>442</v>
      </c>
      <c r="D1565" s="69" t="s">
        <v>214</v>
      </c>
      <c r="E1565" s="29" t="s">
        <v>19</v>
      </c>
      <c r="F1565" s="27" t="s">
        <v>1125</v>
      </c>
      <c r="G1565" s="43"/>
      <c r="H1565" s="43"/>
      <c r="I1565" s="43"/>
      <c r="J1565" s="43"/>
      <c r="K1565" s="27"/>
      <c r="L1565" s="28"/>
      <c r="M1565" s="27"/>
      <c r="N1565" s="27"/>
      <c r="O1565" s="18"/>
      <c r="P1565" s="214"/>
      <c r="Q1565" s="214"/>
      <c r="S1565" s="27"/>
      <c r="T1565" s="18"/>
      <c r="U1565" s="27"/>
      <c r="W1565" s="30"/>
      <c r="X1565" s="27"/>
      <c r="Y1565" s="27"/>
      <c r="Z1565" s="27"/>
      <c r="AA1565" s="27"/>
      <c r="AB1565" s="27"/>
      <c r="AC1565" s="273">
        <v>3573697357.7190704</v>
      </c>
      <c r="AD1565" s="27">
        <v>121571548180.02281</v>
      </c>
      <c r="AE1565" s="228">
        <v>2.9395836535923269E-2</v>
      </c>
      <c r="AF1565" s="27">
        <v>21446436814.437824</v>
      </c>
      <c r="AG1565" s="226">
        <v>0.16663361791238177</v>
      </c>
      <c r="AH1565" s="226">
        <v>0.5679679010669535</v>
      </c>
      <c r="AI1565" s="27">
        <v>463020000</v>
      </c>
      <c r="AJ1565" s="226">
        <v>7.7182354060711642</v>
      </c>
      <c r="AK1565" s="27">
        <v>4354464168.2466049</v>
      </c>
      <c r="AL1565" s="226">
        <v>0.82069738540484471</v>
      </c>
      <c r="AM1565" s="27">
        <v>3251054184.275352</v>
      </c>
      <c r="AN1565" s="271">
        <v>1.0992426318220945</v>
      </c>
      <c r="AO1565" s="27">
        <v>28625628</v>
      </c>
      <c r="AP1565" s="27">
        <v>37.299999999999997</v>
      </c>
      <c r="AQ1565" s="27">
        <v>73.307292682926828</v>
      </c>
      <c r="AR1565" s="27">
        <v>17.399999999999999</v>
      </c>
      <c r="AS1565" s="29">
        <v>97.638440000000003</v>
      </c>
      <c r="AT1565" s="270">
        <v>38</v>
      </c>
      <c r="AU1565" s="464">
        <v>72.816286549781523</v>
      </c>
      <c r="AV1565" s="29">
        <v>0.102797518483968</v>
      </c>
      <c r="AW1565" s="29">
        <v>-0.89730607728999101</v>
      </c>
      <c r="AX1565" s="29">
        <v>-0.35724068854121799</v>
      </c>
      <c r="AY1565" s="29">
        <v>0.34906767606171601</v>
      </c>
      <c r="AZ1565" s="60">
        <v>-0.20419570946809601</v>
      </c>
    </row>
    <row r="1566" spans="1:52" s="29" customFormat="1" ht="15" customHeight="1">
      <c r="A1566" s="63" t="s">
        <v>447</v>
      </c>
      <c r="B1566" s="27">
        <v>2008</v>
      </c>
      <c r="C1566" s="27" t="s">
        <v>442</v>
      </c>
      <c r="D1566" s="69" t="s">
        <v>214</v>
      </c>
      <c r="E1566" s="29" t="s">
        <v>19</v>
      </c>
      <c r="F1566" s="27" t="s">
        <v>1932</v>
      </c>
      <c r="G1566" s="43"/>
      <c r="H1566" s="43"/>
      <c r="I1566" s="43"/>
      <c r="J1566" s="43"/>
      <c r="K1566" s="27"/>
      <c r="L1566" s="28"/>
      <c r="M1566" s="27"/>
      <c r="N1566" s="27"/>
      <c r="O1566" s="18"/>
      <c r="P1566" s="214"/>
      <c r="Q1566" s="214"/>
      <c r="S1566" s="27"/>
      <c r="T1566" s="18"/>
      <c r="U1566" s="27"/>
      <c r="W1566" s="30"/>
      <c r="X1566" s="27"/>
      <c r="Y1566" s="27"/>
      <c r="Z1566" s="27"/>
      <c r="AA1566" s="27"/>
      <c r="AB1566" s="27"/>
      <c r="AC1566" s="273">
        <v>3573697357.7190704</v>
      </c>
      <c r="AD1566" s="27">
        <v>121571548180.02281</v>
      </c>
      <c r="AE1566" s="228">
        <v>2.9395836535923269E-2</v>
      </c>
      <c r="AF1566" s="27">
        <v>21446436814.437824</v>
      </c>
      <c r="AG1566" s="226">
        <v>0.16663361791238177</v>
      </c>
      <c r="AH1566" s="226">
        <v>0.5679679010669535</v>
      </c>
      <c r="AI1566" s="27">
        <v>463020000</v>
      </c>
      <c r="AJ1566" s="226">
        <v>7.7182354060711642</v>
      </c>
      <c r="AK1566" s="27">
        <v>4354464168.2466049</v>
      </c>
      <c r="AL1566" s="226">
        <v>0.82069738540484471</v>
      </c>
      <c r="AM1566" s="27">
        <v>3251054184.275352</v>
      </c>
      <c r="AN1566" s="271">
        <v>1.0992426318220945</v>
      </c>
      <c r="AO1566" s="27">
        <v>28625628</v>
      </c>
      <c r="AP1566" s="27">
        <v>37.299999999999997</v>
      </c>
      <c r="AQ1566" s="27">
        <v>73.307292682926828</v>
      </c>
      <c r="AR1566" s="27">
        <v>17.399999999999999</v>
      </c>
      <c r="AS1566" s="29">
        <v>97.638440000000003</v>
      </c>
      <c r="AT1566" s="270">
        <v>38</v>
      </c>
      <c r="AU1566" s="464">
        <v>72.816286549781523</v>
      </c>
      <c r="AV1566" s="29">
        <v>0.102797518483968</v>
      </c>
      <c r="AW1566" s="29">
        <v>-0.89730607728999101</v>
      </c>
      <c r="AX1566" s="29">
        <v>-0.35724068854121799</v>
      </c>
      <c r="AY1566" s="29">
        <v>0.34906767606171601</v>
      </c>
      <c r="AZ1566" s="60">
        <v>-0.20419570946809601</v>
      </c>
    </row>
    <row r="1567" spans="1:52" s="29" customFormat="1" ht="15" customHeight="1">
      <c r="A1567" s="63" t="s">
        <v>447</v>
      </c>
      <c r="B1567" s="27">
        <v>2008</v>
      </c>
      <c r="C1567" s="27" t="s">
        <v>442</v>
      </c>
      <c r="D1567" s="69" t="s">
        <v>214</v>
      </c>
      <c r="E1567" s="29" t="s">
        <v>19</v>
      </c>
      <c r="F1567" s="27" t="s">
        <v>1933</v>
      </c>
      <c r="G1567" s="43"/>
      <c r="H1567" s="43"/>
      <c r="I1567" s="43"/>
      <c r="J1567" s="43"/>
      <c r="K1567" s="27"/>
      <c r="L1567" s="28"/>
      <c r="M1567" s="27"/>
      <c r="N1567" s="27"/>
      <c r="O1567" s="18"/>
      <c r="P1567" s="214"/>
      <c r="Q1567" s="214"/>
      <c r="S1567" s="27"/>
      <c r="T1567" s="18"/>
      <c r="U1567" s="27"/>
      <c r="W1567" s="30"/>
      <c r="X1567" s="27"/>
      <c r="Y1567" s="27"/>
      <c r="Z1567" s="27"/>
      <c r="AA1567" s="27"/>
      <c r="AB1567" s="27"/>
      <c r="AC1567" s="273">
        <v>3573697357.7190704</v>
      </c>
      <c r="AD1567" s="27">
        <v>121571548180.02281</v>
      </c>
      <c r="AE1567" s="228">
        <v>2.9395836535923269E-2</v>
      </c>
      <c r="AF1567" s="27">
        <v>21446436814.437824</v>
      </c>
      <c r="AG1567" s="226">
        <v>0.16663361791238177</v>
      </c>
      <c r="AH1567" s="226">
        <v>0.5679679010669535</v>
      </c>
      <c r="AI1567" s="27">
        <v>463020000</v>
      </c>
      <c r="AJ1567" s="226">
        <v>7.7182354060711642</v>
      </c>
      <c r="AK1567" s="27">
        <v>4354464168.2466049</v>
      </c>
      <c r="AL1567" s="226">
        <v>0.82069738540484471</v>
      </c>
      <c r="AM1567" s="27">
        <v>3251054184.275352</v>
      </c>
      <c r="AN1567" s="271">
        <v>1.0992426318220945</v>
      </c>
      <c r="AO1567" s="27">
        <v>28625628</v>
      </c>
      <c r="AP1567" s="27">
        <v>37.299999999999997</v>
      </c>
      <c r="AQ1567" s="27">
        <v>73.307292682926828</v>
      </c>
      <c r="AR1567" s="27">
        <v>17.399999999999999</v>
      </c>
      <c r="AS1567" s="29">
        <v>97.638440000000003</v>
      </c>
      <c r="AT1567" s="270">
        <v>38</v>
      </c>
      <c r="AU1567" s="464">
        <v>72.816286549781523</v>
      </c>
      <c r="AV1567" s="29">
        <v>0.102797518483968</v>
      </c>
      <c r="AW1567" s="29">
        <v>-0.89730607728999101</v>
      </c>
      <c r="AX1567" s="29">
        <v>-0.35724068854121799</v>
      </c>
      <c r="AY1567" s="29">
        <v>0.34906767606171601</v>
      </c>
      <c r="AZ1567" s="60">
        <v>-0.20419570946809601</v>
      </c>
    </row>
    <row r="1568" spans="1:52" s="29" customFormat="1" ht="15" customHeight="1">
      <c r="A1568" s="63" t="s">
        <v>447</v>
      </c>
      <c r="B1568" s="27">
        <v>2008</v>
      </c>
      <c r="C1568" s="27" t="s">
        <v>442</v>
      </c>
      <c r="D1568" s="69" t="s">
        <v>214</v>
      </c>
      <c r="E1568" s="29" t="s">
        <v>19</v>
      </c>
      <c r="F1568" s="27" t="s">
        <v>730</v>
      </c>
      <c r="G1568" s="43"/>
      <c r="H1568" s="43"/>
      <c r="I1568" s="43"/>
      <c r="J1568" s="43"/>
      <c r="K1568" s="27"/>
      <c r="L1568" s="28"/>
      <c r="M1568" s="27"/>
      <c r="N1568" s="27"/>
      <c r="O1568" s="18"/>
      <c r="P1568" s="214"/>
      <c r="Q1568" s="214"/>
      <c r="S1568" s="27"/>
      <c r="T1568" s="18"/>
      <c r="U1568" s="27"/>
      <c r="W1568" s="30"/>
      <c r="X1568" s="27"/>
      <c r="Y1568" s="27"/>
      <c r="Z1568" s="27"/>
      <c r="AA1568" s="27"/>
      <c r="AB1568" s="27"/>
      <c r="AC1568" s="273">
        <v>3573697357.7190704</v>
      </c>
      <c r="AD1568" s="27">
        <v>121571548180.02281</v>
      </c>
      <c r="AE1568" s="228">
        <v>2.9395836535923269E-2</v>
      </c>
      <c r="AF1568" s="27">
        <v>21446436814.437824</v>
      </c>
      <c r="AG1568" s="226">
        <v>0.16663361791238177</v>
      </c>
      <c r="AH1568" s="226">
        <v>0.5679679010669535</v>
      </c>
      <c r="AI1568" s="27">
        <v>463020000</v>
      </c>
      <c r="AJ1568" s="226">
        <v>7.7182354060711642</v>
      </c>
      <c r="AK1568" s="27">
        <v>4354464168.2466049</v>
      </c>
      <c r="AL1568" s="226">
        <v>0.82069738540484471</v>
      </c>
      <c r="AM1568" s="27">
        <v>3251054184.275352</v>
      </c>
      <c r="AN1568" s="271">
        <v>1.0992426318220945</v>
      </c>
      <c r="AO1568" s="27">
        <v>28625628</v>
      </c>
      <c r="AP1568" s="27">
        <v>37.299999999999997</v>
      </c>
      <c r="AQ1568" s="27">
        <v>73.307292682926828</v>
      </c>
      <c r="AR1568" s="27">
        <v>17.399999999999999</v>
      </c>
      <c r="AS1568" s="29">
        <v>97.638440000000003</v>
      </c>
      <c r="AT1568" s="270">
        <v>38</v>
      </c>
      <c r="AU1568" s="464">
        <v>72.816286549781523</v>
      </c>
      <c r="AV1568" s="29">
        <v>0.102797518483968</v>
      </c>
      <c r="AW1568" s="29">
        <v>-0.89730607728999101</v>
      </c>
      <c r="AX1568" s="29">
        <v>-0.35724068854121799</v>
      </c>
      <c r="AY1568" s="29">
        <v>0.34906767606171601</v>
      </c>
      <c r="AZ1568" s="60">
        <v>-0.20419570946809601</v>
      </c>
    </row>
    <row r="1569" spans="1:52" s="29" customFormat="1" ht="15" customHeight="1">
      <c r="A1569" s="63" t="s">
        <v>447</v>
      </c>
      <c r="B1569" s="27">
        <v>2008</v>
      </c>
      <c r="C1569" s="27" t="s">
        <v>442</v>
      </c>
      <c r="D1569" s="69" t="s">
        <v>214</v>
      </c>
      <c r="E1569" s="29" t="s">
        <v>19</v>
      </c>
      <c r="F1569" s="27" t="s">
        <v>882</v>
      </c>
      <c r="G1569" s="43"/>
      <c r="H1569" s="43"/>
      <c r="I1569" s="43"/>
      <c r="J1569" s="43"/>
      <c r="K1569" s="27"/>
      <c r="L1569" s="28"/>
      <c r="M1569" s="27"/>
      <c r="N1569" s="27"/>
      <c r="O1569" s="18"/>
      <c r="P1569" s="214"/>
      <c r="Q1569" s="214"/>
      <c r="R1569" s="71"/>
      <c r="S1569" s="27"/>
      <c r="T1569" s="18"/>
      <c r="U1569" s="27"/>
      <c r="V1569" s="18"/>
      <c r="W1569" s="30"/>
      <c r="X1569" s="27"/>
      <c r="Y1569" s="27"/>
      <c r="Z1569" s="27"/>
      <c r="AA1569" s="27"/>
      <c r="AB1569" s="27"/>
      <c r="AC1569" s="273">
        <v>3573697357.7190704</v>
      </c>
      <c r="AD1569" s="27">
        <v>121571548180.02281</v>
      </c>
      <c r="AE1569" s="228">
        <v>2.9395836535923269E-2</v>
      </c>
      <c r="AF1569" s="27">
        <v>21446436814.437824</v>
      </c>
      <c r="AG1569" s="226">
        <v>0.16663361791238177</v>
      </c>
      <c r="AH1569" s="226">
        <v>0.5679679010669535</v>
      </c>
      <c r="AI1569" s="27">
        <v>463020000</v>
      </c>
      <c r="AJ1569" s="226">
        <v>7.7182354060711642</v>
      </c>
      <c r="AK1569" s="27">
        <v>4354464168.2466049</v>
      </c>
      <c r="AL1569" s="226">
        <v>0.82069738540484471</v>
      </c>
      <c r="AM1569" s="27">
        <v>3251054184.275352</v>
      </c>
      <c r="AN1569" s="271">
        <v>1.0992426318220945</v>
      </c>
      <c r="AO1569" s="27">
        <v>28625628</v>
      </c>
      <c r="AP1569" s="27">
        <v>37.299999999999997</v>
      </c>
      <c r="AQ1569" s="27">
        <v>73.307292682926828</v>
      </c>
      <c r="AR1569" s="27">
        <v>17.399999999999999</v>
      </c>
      <c r="AS1569" s="29">
        <v>97.638440000000003</v>
      </c>
      <c r="AT1569" s="270">
        <v>38</v>
      </c>
      <c r="AU1569" s="464">
        <v>72.816286549781523</v>
      </c>
      <c r="AV1569" s="29">
        <v>0.102797518483968</v>
      </c>
      <c r="AW1569" s="29">
        <v>-0.89730607728999101</v>
      </c>
      <c r="AX1569" s="29">
        <v>-0.35724068854121799</v>
      </c>
      <c r="AY1569" s="29">
        <v>0.34906767606171601</v>
      </c>
      <c r="AZ1569" s="60">
        <v>-0.20419570946809601</v>
      </c>
    </row>
    <row r="1570" spans="1:52" s="29" customFormat="1" ht="15" customHeight="1">
      <c r="A1570" s="63" t="s">
        <v>447</v>
      </c>
      <c r="B1570" s="27">
        <v>2008</v>
      </c>
      <c r="C1570" s="27" t="s">
        <v>442</v>
      </c>
      <c r="D1570" s="69" t="s">
        <v>214</v>
      </c>
      <c r="E1570" s="29" t="s">
        <v>19</v>
      </c>
      <c r="F1570" s="27" t="s">
        <v>1131</v>
      </c>
      <c r="G1570" s="43"/>
      <c r="H1570" s="43"/>
      <c r="I1570" s="43"/>
      <c r="J1570" s="43"/>
      <c r="K1570" s="27"/>
      <c r="L1570" s="28"/>
      <c r="M1570" s="27"/>
      <c r="N1570" s="27"/>
      <c r="O1570" s="18"/>
      <c r="P1570" s="214"/>
      <c r="Q1570" s="214"/>
      <c r="R1570" s="71"/>
      <c r="S1570" s="27"/>
      <c r="T1570" s="18"/>
      <c r="U1570" s="27"/>
      <c r="V1570" s="18"/>
      <c r="W1570" s="30"/>
      <c r="X1570" s="27"/>
      <c r="Y1570" s="27"/>
      <c r="Z1570" s="27"/>
      <c r="AA1570" s="27"/>
      <c r="AB1570" s="27"/>
      <c r="AC1570" s="273">
        <v>3573697357.7190704</v>
      </c>
      <c r="AD1570" s="27">
        <v>121571548180.02281</v>
      </c>
      <c r="AE1570" s="228">
        <v>2.9395836535923269E-2</v>
      </c>
      <c r="AF1570" s="27">
        <v>21446436814.437824</v>
      </c>
      <c r="AG1570" s="226">
        <v>0.16663361791238177</v>
      </c>
      <c r="AH1570" s="226">
        <v>0.5679679010669535</v>
      </c>
      <c r="AI1570" s="27">
        <v>463020000</v>
      </c>
      <c r="AJ1570" s="226">
        <v>7.7182354060711642</v>
      </c>
      <c r="AK1570" s="27">
        <v>4354464168.2466049</v>
      </c>
      <c r="AL1570" s="226">
        <v>0.82069738540484471</v>
      </c>
      <c r="AM1570" s="27">
        <v>3251054184.275352</v>
      </c>
      <c r="AN1570" s="271">
        <v>1.0992426318220945</v>
      </c>
      <c r="AO1570" s="27">
        <v>28625628</v>
      </c>
      <c r="AP1570" s="27">
        <v>37.299999999999997</v>
      </c>
      <c r="AQ1570" s="27">
        <v>73.307292682926828</v>
      </c>
      <c r="AR1570" s="27">
        <v>17.399999999999999</v>
      </c>
      <c r="AS1570" s="29">
        <v>97.638440000000003</v>
      </c>
      <c r="AT1570" s="270">
        <v>38</v>
      </c>
      <c r="AU1570" s="464">
        <v>72.816286549781523</v>
      </c>
      <c r="AV1570" s="29">
        <v>0.102797518483968</v>
      </c>
      <c r="AW1570" s="29">
        <v>-0.89730607728999101</v>
      </c>
      <c r="AX1570" s="29">
        <v>-0.35724068854121799</v>
      </c>
      <c r="AY1570" s="29">
        <v>0.34906767606171601</v>
      </c>
      <c r="AZ1570" s="60">
        <v>-0.20419570946809601</v>
      </c>
    </row>
    <row r="1571" spans="1:52" s="29" customFormat="1" ht="15" customHeight="1">
      <c r="A1571" s="63" t="s">
        <v>447</v>
      </c>
      <c r="B1571" s="27">
        <v>2008</v>
      </c>
      <c r="C1571" s="27" t="s">
        <v>442</v>
      </c>
      <c r="D1571" s="69" t="s">
        <v>214</v>
      </c>
      <c r="E1571" s="29" t="s">
        <v>19</v>
      </c>
      <c r="F1571" s="27" t="s">
        <v>1892</v>
      </c>
      <c r="G1571" s="43"/>
      <c r="H1571" s="43"/>
      <c r="I1571" s="43"/>
      <c r="J1571" s="43"/>
      <c r="K1571" s="27"/>
      <c r="L1571" s="28"/>
      <c r="M1571" s="27"/>
      <c r="N1571" s="27"/>
      <c r="O1571" s="18"/>
      <c r="P1571" s="214"/>
      <c r="Q1571" s="214"/>
      <c r="R1571" s="71"/>
      <c r="S1571" s="27"/>
      <c r="T1571" s="18"/>
      <c r="U1571" s="27"/>
      <c r="V1571" s="18"/>
      <c r="W1571" s="30"/>
      <c r="X1571" s="27"/>
      <c r="Y1571" s="27"/>
      <c r="Z1571" s="27"/>
      <c r="AA1571" s="27"/>
      <c r="AB1571" s="27"/>
      <c r="AC1571" s="273">
        <v>3573697357.7190704</v>
      </c>
      <c r="AD1571" s="27">
        <v>121571548180.02281</v>
      </c>
      <c r="AE1571" s="228">
        <v>2.9395836535923269E-2</v>
      </c>
      <c r="AF1571" s="27">
        <v>21446436814.437824</v>
      </c>
      <c r="AG1571" s="226">
        <v>0.16663361791238177</v>
      </c>
      <c r="AH1571" s="226">
        <v>0.5679679010669535</v>
      </c>
      <c r="AI1571" s="27">
        <v>463020000</v>
      </c>
      <c r="AJ1571" s="226">
        <v>7.7182354060711642</v>
      </c>
      <c r="AK1571" s="27">
        <v>4354464168.2466049</v>
      </c>
      <c r="AL1571" s="226">
        <v>0.82069738540484471</v>
      </c>
      <c r="AM1571" s="27">
        <v>3251054184.275352</v>
      </c>
      <c r="AN1571" s="271">
        <v>1.0992426318220945</v>
      </c>
      <c r="AO1571" s="27">
        <v>28625628</v>
      </c>
      <c r="AP1571" s="27">
        <v>37.299999999999997</v>
      </c>
      <c r="AQ1571" s="27">
        <v>73.307292682926828</v>
      </c>
      <c r="AR1571" s="27">
        <v>17.399999999999999</v>
      </c>
      <c r="AS1571" s="29">
        <v>97.638440000000003</v>
      </c>
      <c r="AT1571" s="270">
        <v>38</v>
      </c>
      <c r="AU1571" s="464">
        <v>72.816286549781523</v>
      </c>
      <c r="AV1571" s="29">
        <v>0.102797518483968</v>
      </c>
      <c r="AW1571" s="29">
        <v>-0.89730607728999101</v>
      </c>
      <c r="AX1571" s="29">
        <v>-0.35724068854121799</v>
      </c>
      <c r="AY1571" s="29">
        <v>0.34906767606171601</v>
      </c>
      <c r="AZ1571" s="60">
        <v>-0.20419570946809601</v>
      </c>
    </row>
    <row r="1572" spans="1:52" s="29" customFormat="1" ht="15" customHeight="1">
      <c r="A1572" s="63" t="s">
        <v>447</v>
      </c>
      <c r="B1572" s="27">
        <v>2008</v>
      </c>
      <c r="C1572" s="27" t="s">
        <v>442</v>
      </c>
      <c r="D1572" s="69" t="s">
        <v>214</v>
      </c>
      <c r="E1572" s="29" t="s">
        <v>19</v>
      </c>
      <c r="F1572" s="27" t="s">
        <v>1133</v>
      </c>
      <c r="G1572" s="43"/>
      <c r="H1572" s="43"/>
      <c r="I1572" s="43"/>
      <c r="J1572" s="43"/>
      <c r="K1572" s="27"/>
      <c r="L1572" s="28"/>
      <c r="M1572" s="27"/>
      <c r="N1572" s="27"/>
      <c r="O1572" s="18"/>
      <c r="P1572" s="214"/>
      <c r="Q1572" s="214"/>
      <c r="R1572" s="71"/>
      <c r="S1572" s="27"/>
      <c r="T1572" s="18"/>
      <c r="U1572" s="27"/>
      <c r="V1572" s="18"/>
      <c r="W1572" s="30"/>
      <c r="X1572" s="27"/>
      <c r="Y1572" s="27"/>
      <c r="Z1572" s="27"/>
      <c r="AA1572" s="27"/>
      <c r="AB1572" s="27"/>
      <c r="AC1572" s="273">
        <v>3573697357.7190704</v>
      </c>
      <c r="AD1572" s="27">
        <v>121571548180.02281</v>
      </c>
      <c r="AE1572" s="228">
        <v>2.9395836535923269E-2</v>
      </c>
      <c r="AF1572" s="27">
        <v>21446436814.437824</v>
      </c>
      <c r="AG1572" s="226">
        <v>0.16663361791238177</v>
      </c>
      <c r="AH1572" s="226">
        <v>0.5679679010669535</v>
      </c>
      <c r="AI1572" s="27">
        <v>463020000</v>
      </c>
      <c r="AJ1572" s="226">
        <v>7.7182354060711642</v>
      </c>
      <c r="AK1572" s="27">
        <v>4354464168.2466049</v>
      </c>
      <c r="AL1572" s="226">
        <v>0.82069738540484471</v>
      </c>
      <c r="AM1572" s="27">
        <v>3251054184.275352</v>
      </c>
      <c r="AN1572" s="271">
        <v>1.0992426318220945</v>
      </c>
      <c r="AO1572" s="27">
        <v>28625628</v>
      </c>
      <c r="AP1572" s="27">
        <v>37.299999999999997</v>
      </c>
      <c r="AQ1572" s="27">
        <v>73.307292682926828</v>
      </c>
      <c r="AR1572" s="27">
        <v>17.399999999999999</v>
      </c>
      <c r="AS1572" s="29">
        <v>97.638440000000003</v>
      </c>
      <c r="AT1572" s="270">
        <v>38</v>
      </c>
      <c r="AU1572" s="464">
        <v>72.816286549781523</v>
      </c>
      <c r="AV1572" s="29">
        <v>0.102797518483968</v>
      </c>
      <c r="AW1572" s="29">
        <v>-0.89730607728999101</v>
      </c>
      <c r="AX1572" s="29">
        <v>-0.35724068854121799</v>
      </c>
      <c r="AY1572" s="29">
        <v>0.34906767606171601</v>
      </c>
      <c r="AZ1572" s="60">
        <v>-0.20419570946809601</v>
      </c>
    </row>
    <row r="1573" spans="1:52" s="29" customFormat="1" ht="15" customHeight="1">
      <c r="A1573" s="63" t="s">
        <v>447</v>
      </c>
      <c r="B1573" s="27">
        <v>2008</v>
      </c>
      <c r="C1573" s="27" t="s">
        <v>442</v>
      </c>
      <c r="D1573" s="69" t="s">
        <v>214</v>
      </c>
      <c r="E1573" s="29" t="s">
        <v>19</v>
      </c>
      <c r="F1573" s="27" t="s">
        <v>1135</v>
      </c>
      <c r="G1573" s="43"/>
      <c r="H1573" s="43"/>
      <c r="I1573" s="43"/>
      <c r="J1573" s="43"/>
      <c r="K1573" s="27"/>
      <c r="L1573" s="28"/>
      <c r="M1573" s="27"/>
      <c r="N1573" s="27"/>
      <c r="O1573" s="18"/>
      <c r="P1573" s="214"/>
      <c r="Q1573" s="214"/>
      <c r="R1573" s="71"/>
      <c r="S1573" s="27"/>
      <c r="T1573" s="18"/>
      <c r="U1573" s="27"/>
      <c r="V1573" s="18"/>
      <c r="W1573" s="30"/>
      <c r="X1573" s="27"/>
      <c r="Y1573" s="27"/>
      <c r="Z1573" s="27"/>
      <c r="AA1573" s="27"/>
      <c r="AB1573" s="27"/>
      <c r="AC1573" s="273">
        <v>3573697357.7190704</v>
      </c>
      <c r="AD1573" s="27">
        <v>121571548180.02281</v>
      </c>
      <c r="AE1573" s="228">
        <v>2.9395836535923269E-2</v>
      </c>
      <c r="AF1573" s="27">
        <v>21446436814.437824</v>
      </c>
      <c r="AG1573" s="226">
        <v>0.16663361791238177</v>
      </c>
      <c r="AH1573" s="226">
        <v>0.5679679010669535</v>
      </c>
      <c r="AI1573" s="27">
        <v>463020000</v>
      </c>
      <c r="AJ1573" s="226">
        <v>7.7182354060711642</v>
      </c>
      <c r="AK1573" s="27">
        <v>4354464168.2466049</v>
      </c>
      <c r="AL1573" s="226">
        <v>0.82069738540484471</v>
      </c>
      <c r="AM1573" s="27">
        <v>3251054184.275352</v>
      </c>
      <c r="AN1573" s="271">
        <v>1.0992426318220945</v>
      </c>
      <c r="AO1573" s="27">
        <v>28625628</v>
      </c>
      <c r="AP1573" s="27">
        <v>37.299999999999997</v>
      </c>
      <c r="AQ1573" s="27">
        <v>73.307292682926828</v>
      </c>
      <c r="AR1573" s="27">
        <v>17.399999999999999</v>
      </c>
      <c r="AS1573" s="29">
        <v>97.638440000000003</v>
      </c>
      <c r="AT1573" s="270">
        <v>38</v>
      </c>
      <c r="AU1573" s="464">
        <v>72.816286549781523</v>
      </c>
      <c r="AV1573" s="29">
        <v>0.102797518483968</v>
      </c>
      <c r="AW1573" s="29">
        <v>-0.89730607728999101</v>
      </c>
      <c r="AX1573" s="29">
        <v>-0.35724068854121799</v>
      </c>
      <c r="AY1573" s="29">
        <v>0.34906767606171601</v>
      </c>
      <c r="AZ1573" s="60">
        <v>-0.20419570946809601</v>
      </c>
    </row>
    <row r="1574" spans="1:52" s="29" customFormat="1" ht="15" customHeight="1">
      <c r="A1574" s="63" t="s">
        <v>447</v>
      </c>
      <c r="B1574" s="27">
        <v>2008</v>
      </c>
      <c r="C1574" s="27" t="s">
        <v>442</v>
      </c>
      <c r="D1574" s="69" t="s">
        <v>214</v>
      </c>
      <c r="E1574" s="29" t="s">
        <v>19</v>
      </c>
      <c r="F1574" s="27" t="s">
        <v>1360</v>
      </c>
      <c r="G1574" s="43"/>
      <c r="H1574" s="43"/>
      <c r="I1574" s="43"/>
      <c r="J1574" s="43"/>
      <c r="K1574" s="27"/>
      <c r="L1574" s="28"/>
      <c r="M1574" s="27"/>
      <c r="N1574" s="27"/>
      <c r="O1574" s="18"/>
      <c r="P1574" s="244"/>
      <c r="Q1574" s="244"/>
      <c r="R1574" s="18"/>
      <c r="S1574" s="27"/>
      <c r="T1574" s="18"/>
      <c r="U1574" s="27"/>
      <c r="V1574" s="18"/>
      <c r="W1574" s="30"/>
      <c r="X1574" s="27"/>
      <c r="Y1574" s="27"/>
      <c r="Z1574" s="27"/>
      <c r="AA1574" s="27"/>
      <c r="AB1574" s="27"/>
      <c r="AC1574" s="273">
        <v>3573697357.7190704</v>
      </c>
      <c r="AD1574" s="27">
        <v>121571548180.02281</v>
      </c>
      <c r="AE1574" s="228">
        <v>2.9395836535923269E-2</v>
      </c>
      <c r="AF1574" s="27">
        <v>21446436814.437824</v>
      </c>
      <c r="AG1574" s="226">
        <v>0.16663361791238177</v>
      </c>
      <c r="AH1574" s="226">
        <v>0.5679679010669535</v>
      </c>
      <c r="AI1574" s="27">
        <v>463020000</v>
      </c>
      <c r="AJ1574" s="226">
        <v>7.7182354060711642</v>
      </c>
      <c r="AK1574" s="27">
        <v>4354464168.2466049</v>
      </c>
      <c r="AL1574" s="226">
        <v>0.82069738540484471</v>
      </c>
      <c r="AM1574" s="27">
        <v>3251054184.275352</v>
      </c>
      <c r="AN1574" s="271">
        <v>1.0992426318220945</v>
      </c>
      <c r="AO1574" s="27">
        <v>28625628</v>
      </c>
      <c r="AP1574" s="27">
        <v>37.299999999999997</v>
      </c>
      <c r="AQ1574" s="27">
        <v>73.307292682926828</v>
      </c>
      <c r="AR1574" s="27">
        <v>17.399999999999999</v>
      </c>
      <c r="AS1574" s="29">
        <v>97.638440000000003</v>
      </c>
      <c r="AT1574" s="270">
        <v>38</v>
      </c>
      <c r="AU1574" s="464">
        <v>72.816286549781523</v>
      </c>
      <c r="AV1574" s="29">
        <v>0.102797518483968</v>
      </c>
      <c r="AW1574" s="29">
        <v>-0.89730607728999101</v>
      </c>
      <c r="AX1574" s="29">
        <v>-0.35724068854121799</v>
      </c>
      <c r="AY1574" s="29">
        <v>0.34906767606171601</v>
      </c>
      <c r="AZ1574" s="60">
        <v>-0.20419570946809601</v>
      </c>
    </row>
    <row r="1575" spans="1:52" s="29" customFormat="1" ht="15" customHeight="1">
      <c r="A1575" s="63" t="s">
        <v>447</v>
      </c>
      <c r="B1575" s="27">
        <v>2008</v>
      </c>
      <c r="C1575" s="27" t="s">
        <v>442</v>
      </c>
      <c r="D1575" s="69" t="s">
        <v>214</v>
      </c>
      <c r="E1575" s="29" t="s">
        <v>19</v>
      </c>
      <c r="F1575" s="27" t="s">
        <v>1934</v>
      </c>
      <c r="G1575" s="43"/>
      <c r="H1575" s="43"/>
      <c r="I1575" s="43"/>
      <c r="J1575" s="43"/>
      <c r="K1575" s="27"/>
      <c r="L1575" s="28"/>
      <c r="M1575" s="27"/>
      <c r="N1575" s="27"/>
      <c r="O1575" s="18"/>
      <c r="P1575" s="214"/>
      <c r="Q1575" s="214"/>
      <c r="S1575" s="27"/>
      <c r="T1575" s="18"/>
      <c r="U1575" s="27"/>
      <c r="W1575" s="30"/>
      <c r="X1575" s="27"/>
      <c r="Y1575" s="27"/>
      <c r="Z1575" s="27"/>
      <c r="AA1575" s="27"/>
      <c r="AB1575" s="27"/>
      <c r="AC1575" s="273">
        <v>3573697357.7190704</v>
      </c>
      <c r="AD1575" s="27">
        <v>121571548180.02281</v>
      </c>
      <c r="AE1575" s="228">
        <v>2.9395836535923269E-2</v>
      </c>
      <c r="AF1575" s="27">
        <v>21446436814.437824</v>
      </c>
      <c r="AG1575" s="226">
        <v>0.16663361791238177</v>
      </c>
      <c r="AH1575" s="226">
        <v>0.5679679010669535</v>
      </c>
      <c r="AI1575" s="27">
        <v>463020000</v>
      </c>
      <c r="AJ1575" s="226">
        <v>7.7182354060711642</v>
      </c>
      <c r="AK1575" s="27">
        <v>4354464168.2466049</v>
      </c>
      <c r="AL1575" s="226">
        <v>0.82069738540484471</v>
      </c>
      <c r="AM1575" s="27">
        <v>3251054184.275352</v>
      </c>
      <c r="AN1575" s="271">
        <v>1.0992426318220945</v>
      </c>
      <c r="AO1575" s="27">
        <v>28625628</v>
      </c>
      <c r="AP1575" s="27">
        <v>37.299999999999997</v>
      </c>
      <c r="AQ1575" s="27">
        <v>73.307292682926828</v>
      </c>
      <c r="AR1575" s="27">
        <v>17.399999999999999</v>
      </c>
      <c r="AS1575" s="29">
        <v>97.638440000000003</v>
      </c>
      <c r="AT1575" s="270">
        <v>38</v>
      </c>
      <c r="AU1575" s="464">
        <v>72.816286549781523</v>
      </c>
      <c r="AV1575" s="29">
        <v>0.102797518483968</v>
      </c>
      <c r="AW1575" s="29">
        <v>-0.89730607728999101</v>
      </c>
      <c r="AX1575" s="29">
        <v>-0.35724068854121799</v>
      </c>
      <c r="AY1575" s="29">
        <v>0.34906767606171601</v>
      </c>
      <c r="AZ1575" s="60">
        <v>-0.20419570946809601</v>
      </c>
    </row>
    <row r="1576" spans="1:52" s="29" customFormat="1" ht="15" customHeight="1">
      <c r="A1576" s="63" t="s">
        <v>447</v>
      </c>
      <c r="B1576" s="27">
        <v>2008</v>
      </c>
      <c r="C1576" s="27" t="s">
        <v>442</v>
      </c>
      <c r="D1576" s="69" t="s">
        <v>214</v>
      </c>
      <c r="E1576" s="29" t="s">
        <v>19</v>
      </c>
      <c r="F1576" s="27" t="s">
        <v>653</v>
      </c>
      <c r="G1576" s="43"/>
      <c r="H1576" s="43"/>
      <c r="I1576" s="43"/>
      <c r="J1576" s="43"/>
      <c r="K1576" s="27"/>
      <c r="L1576" s="28"/>
      <c r="M1576" s="27"/>
      <c r="N1576" s="27"/>
      <c r="O1576" s="18"/>
      <c r="P1576" s="214"/>
      <c r="Q1576" s="214"/>
      <c r="S1576" s="27"/>
      <c r="T1576" s="18"/>
      <c r="U1576" s="27"/>
      <c r="W1576" s="30"/>
      <c r="X1576" s="27"/>
      <c r="Y1576" s="27"/>
      <c r="Z1576" s="27"/>
      <c r="AA1576" s="27"/>
      <c r="AB1576" s="27"/>
      <c r="AC1576" s="273">
        <v>3573697357.7190704</v>
      </c>
      <c r="AD1576" s="27">
        <v>121571548180.02281</v>
      </c>
      <c r="AE1576" s="228">
        <v>2.9395836535923269E-2</v>
      </c>
      <c r="AF1576" s="27">
        <v>21446436814.437824</v>
      </c>
      <c r="AG1576" s="226">
        <v>0.16663361791238177</v>
      </c>
      <c r="AH1576" s="226">
        <v>0.5679679010669535</v>
      </c>
      <c r="AI1576" s="27">
        <v>463020000</v>
      </c>
      <c r="AJ1576" s="226">
        <v>7.7182354060711642</v>
      </c>
      <c r="AK1576" s="27">
        <v>4354464168.2466049</v>
      </c>
      <c r="AL1576" s="226">
        <v>0.82069738540484471</v>
      </c>
      <c r="AM1576" s="27">
        <v>3251054184.275352</v>
      </c>
      <c r="AN1576" s="271">
        <v>1.0992426318220945</v>
      </c>
      <c r="AO1576" s="27">
        <v>28625628</v>
      </c>
      <c r="AP1576" s="27">
        <v>37.299999999999997</v>
      </c>
      <c r="AQ1576" s="27">
        <v>73.307292682926828</v>
      </c>
      <c r="AR1576" s="27">
        <v>17.399999999999999</v>
      </c>
      <c r="AS1576" s="29">
        <v>97.638440000000003</v>
      </c>
      <c r="AT1576" s="270">
        <v>38</v>
      </c>
      <c r="AU1576" s="464">
        <v>72.816286549781523</v>
      </c>
      <c r="AV1576" s="29">
        <v>0.102797518483968</v>
      </c>
      <c r="AW1576" s="29">
        <v>-0.89730607728999101</v>
      </c>
      <c r="AX1576" s="29">
        <v>-0.35724068854121799</v>
      </c>
      <c r="AY1576" s="29">
        <v>0.34906767606171601</v>
      </c>
      <c r="AZ1576" s="60">
        <v>-0.20419570946809601</v>
      </c>
    </row>
    <row r="1577" spans="1:52" s="29" customFormat="1" ht="15" customHeight="1">
      <c r="A1577" s="63" t="s">
        <v>447</v>
      </c>
      <c r="B1577" s="27">
        <v>2008</v>
      </c>
      <c r="C1577" s="27" t="s">
        <v>442</v>
      </c>
      <c r="D1577" s="69" t="s">
        <v>214</v>
      </c>
      <c r="E1577" s="29" t="s">
        <v>19</v>
      </c>
      <c r="F1577" s="27" t="s">
        <v>784</v>
      </c>
      <c r="G1577" s="43"/>
      <c r="H1577" s="43"/>
      <c r="I1577" s="43"/>
      <c r="J1577" s="43"/>
      <c r="K1577" s="27"/>
      <c r="L1577" s="28"/>
      <c r="M1577" s="27"/>
      <c r="N1577" s="27"/>
      <c r="O1577" s="18"/>
      <c r="P1577" s="214"/>
      <c r="Q1577" s="214"/>
      <c r="S1577" s="27"/>
      <c r="T1577" s="18"/>
      <c r="U1577" s="27"/>
      <c r="W1577" s="30"/>
      <c r="X1577" s="27"/>
      <c r="Y1577" s="27"/>
      <c r="Z1577" s="27"/>
      <c r="AA1577" s="27"/>
      <c r="AB1577" s="27"/>
      <c r="AC1577" s="273">
        <v>3573697357.7190704</v>
      </c>
      <c r="AD1577" s="27">
        <v>121571548180.02281</v>
      </c>
      <c r="AE1577" s="228">
        <v>2.9395836535923269E-2</v>
      </c>
      <c r="AF1577" s="27">
        <v>21446436814.437824</v>
      </c>
      <c r="AG1577" s="226">
        <v>0.16663361791238177</v>
      </c>
      <c r="AH1577" s="226">
        <v>0.5679679010669535</v>
      </c>
      <c r="AI1577" s="27">
        <v>463020000</v>
      </c>
      <c r="AJ1577" s="226">
        <v>7.7182354060711642</v>
      </c>
      <c r="AK1577" s="27">
        <v>4354464168.2466049</v>
      </c>
      <c r="AL1577" s="226">
        <v>0.82069738540484471</v>
      </c>
      <c r="AM1577" s="27">
        <v>3251054184.275352</v>
      </c>
      <c r="AN1577" s="271">
        <v>1.0992426318220945</v>
      </c>
      <c r="AO1577" s="27">
        <v>28625628</v>
      </c>
      <c r="AP1577" s="27">
        <v>37.299999999999997</v>
      </c>
      <c r="AQ1577" s="27">
        <v>73.307292682926828</v>
      </c>
      <c r="AR1577" s="27">
        <v>17.399999999999999</v>
      </c>
      <c r="AS1577" s="29">
        <v>97.638440000000003</v>
      </c>
      <c r="AT1577" s="270">
        <v>38</v>
      </c>
      <c r="AU1577" s="464">
        <v>72.816286549781523</v>
      </c>
      <c r="AV1577" s="29">
        <v>0.102797518483968</v>
      </c>
      <c r="AW1577" s="29">
        <v>-0.89730607728999101</v>
      </c>
      <c r="AX1577" s="29">
        <v>-0.35724068854121799</v>
      </c>
      <c r="AY1577" s="29">
        <v>0.34906767606171601</v>
      </c>
      <c r="AZ1577" s="60">
        <v>-0.20419570946809601</v>
      </c>
    </row>
    <row r="1578" spans="1:52" s="29" customFormat="1" ht="15" customHeight="1">
      <c r="A1578" s="63" t="s">
        <v>447</v>
      </c>
      <c r="B1578" s="27">
        <v>2008</v>
      </c>
      <c r="C1578" s="27" t="s">
        <v>442</v>
      </c>
      <c r="D1578" s="69" t="s">
        <v>214</v>
      </c>
      <c r="E1578" s="29" t="s">
        <v>19</v>
      </c>
      <c r="F1578" s="27" t="s">
        <v>613</v>
      </c>
      <c r="G1578" s="43"/>
      <c r="H1578" s="43"/>
      <c r="I1578" s="43"/>
      <c r="J1578" s="43"/>
      <c r="K1578" s="27"/>
      <c r="L1578" s="28"/>
      <c r="M1578" s="27"/>
      <c r="N1578" s="27"/>
      <c r="O1578" s="18"/>
      <c r="P1578" s="214"/>
      <c r="Q1578" s="214"/>
      <c r="S1578" s="27"/>
      <c r="T1578" s="18"/>
      <c r="U1578" s="27"/>
      <c r="W1578" s="30"/>
      <c r="X1578" s="27"/>
      <c r="Y1578" s="27"/>
      <c r="Z1578" s="27"/>
      <c r="AA1578" s="27"/>
      <c r="AB1578" s="27"/>
      <c r="AC1578" s="273">
        <v>3573697357.7190704</v>
      </c>
      <c r="AD1578" s="27">
        <v>121571548180.02281</v>
      </c>
      <c r="AE1578" s="228">
        <v>2.9395836535923269E-2</v>
      </c>
      <c r="AF1578" s="27">
        <v>21446436814.437824</v>
      </c>
      <c r="AG1578" s="226">
        <v>0.16663361791238177</v>
      </c>
      <c r="AH1578" s="226">
        <v>0.5679679010669535</v>
      </c>
      <c r="AI1578" s="27">
        <v>463020000</v>
      </c>
      <c r="AJ1578" s="226">
        <v>7.7182354060711642</v>
      </c>
      <c r="AK1578" s="27">
        <v>4354464168.2466049</v>
      </c>
      <c r="AL1578" s="226">
        <v>0.82069738540484471</v>
      </c>
      <c r="AM1578" s="27">
        <v>3251054184.275352</v>
      </c>
      <c r="AN1578" s="271">
        <v>1.0992426318220945</v>
      </c>
      <c r="AO1578" s="27">
        <v>28625628</v>
      </c>
      <c r="AP1578" s="27">
        <v>37.299999999999997</v>
      </c>
      <c r="AQ1578" s="27">
        <v>73.307292682926828</v>
      </c>
      <c r="AR1578" s="27">
        <v>17.399999999999999</v>
      </c>
      <c r="AS1578" s="29">
        <v>97.638440000000003</v>
      </c>
      <c r="AT1578" s="270">
        <v>38</v>
      </c>
      <c r="AU1578" s="464">
        <v>72.816286549781523</v>
      </c>
      <c r="AV1578" s="29">
        <v>0.102797518483968</v>
      </c>
      <c r="AW1578" s="29">
        <v>-0.89730607728999101</v>
      </c>
      <c r="AX1578" s="29">
        <v>-0.35724068854121799</v>
      </c>
      <c r="AY1578" s="29">
        <v>0.34906767606171601</v>
      </c>
      <c r="AZ1578" s="60">
        <v>-0.20419570946809601</v>
      </c>
    </row>
    <row r="1579" spans="1:52" s="29" customFormat="1" ht="15" customHeight="1">
      <c r="A1579" s="63" t="s">
        <v>447</v>
      </c>
      <c r="B1579" s="27">
        <v>2008</v>
      </c>
      <c r="C1579" s="27" t="s">
        <v>442</v>
      </c>
      <c r="D1579" s="69" t="s">
        <v>214</v>
      </c>
      <c r="E1579" s="29" t="s">
        <v>19</v>
      </c>
      <c r="F1579" s="27" t="s">
        <v>1379</v>
      </c>
      <c r="G1579" s="43"/>
      <c r="H1579" s="43"/>
      <c r="I1579" s="43"/>
      <c r="J1579" s="43"/>
      <c r="K1579" s="27"/>
      <c r="L1579" s="28"/>
      <c r="M1579" s="27"/>
      <c r="N1579" s="27"/>
      <c r="O1579" s="18"/>
      <c r="P1579" s="214"/>
      <c r="Q1579" s="214"/>
      <c r="R1579" s="27"/>
      <c r="S1579" s="27"/>
      <c r="T1579" s="18"/>
      <c r="U1579" s="27"/>
      <c r="V1579" s="27"/>
      <c r="W1579" s="30"/>
      <c r="X1579" s="27"/>
      <c r="Y1579" s="27"/>
      <c r="Z1579" s="27"/>
      <c r="AA1579" s="27"/>
      <c r="AB1579" s="27"/>
      <c r="AC1579" s="273">
        <v>3573697357.7190704</v>
      </c>
      <c r="AD1579" s="27">
        <v>121571548180.02281</v>
      </c>
      <c r="AE1579" s="228">
        <v>2.9395836535923269E-2</v>
      </c>
      <c r="AF1579" s="27">
        <v>21446436814.437824</v>
      </c>
      <c r="AG1579" s="226">
        <v>0.16663361791238177</v>
      </c>
      <c r="AH1579" s="226">
        <v>0.5679679010669535</v>
      </c>
      <c r="AI1579" s="27">
        <v>463020000</v>
      </c>
      <c r="AJ1579" s="226">
        <v>7.7182354060711642</v>
      </c>
      <c r="AK1579" s="27">
        <v>4354464168.2466049</v>
      </c>
      <c r="AL1579" s="226">
        <v>0.82069738540484471</v>
      </c>
      <c r="AM1579" s="27">
        <v>3251054184.275352</v>
      </c>
      <c r="AN1579" s="271">
        <v>1.0992426318220945</v>
      </c>
      <c r="AO1579" s="27">
        <v>28625628</v>
      </c>
      <c r="AP1579" s="27">
        <v>37.299999999999997</v>
      </c>
      <c r="AQ1579" s="27">
        <v>73.307292682926828</v>
      </c>
      <c r="AR1579" s="27">
        <v>17.399999999999999</v>
      </c>
      <c r="AS1579" s="29">
        <v>97.638440000000003</v>
      </c>
      <c r="AT1579" s="270">
        <v>38</v>
      </c>
      <c r="AU1579" s="464">
        <v>72.816286549781523</v>
      </c>
      <c r="AV1579" s="29">
        <v>0.102797518483968</v>
      </c>
      <c r="AW1579" s="29">
        <v>-0.89730607728999101</v>
      </c>
      <c r="AX1579" s="29">
        <v>-0.35724068854121799</v>
      </c>
      <c r="AY1579" s="29">
        <v>0.34906767606171601</v>
      </c>
      <c r="AZ1579" s="60">
        <v>-0.20419570946809601</v>
      </c>
    </row>
    <row r="1580" spans="1:52" s="29" customFormat="1" ht="15" customHeight="1">
      <c r="A1580" s="63" t="s">
        <v>447</v>
      </c>
      <c r="B1580" s="27">
        <v>2008</v>
      </c>
      <c r="C1580" s="27" t="s">
        <v>442</v>
      </c>
      <c r="D1580" s="69" t="s">
        <v>214</v>
      </c>
      <c r="E1580" s="29" t="s">
        <v>19</v>
      </c>
      <c r="F1580" s="27" t="s">
        <v>1848</v>
      </c>
      <c r="G1580" s="43"/>
      <c r="H1580" s="43"/>
      <c r="I1580" s="43"/>
      <c r="J1580" s="43"/>
      <c r="K1580" s="27"/>
      <c r="L1580" s="28"/>
      <c r="M1580" s="27"/>
      <c r="N1580" s="27"/>
      <c r="O1580" s="18"/>
      <c r="P1580" s="214"/>
      <c r="Q1580" s="214"/>
      <c r="R1580" s="18"/>
      <c r="S1580" s="27"/>
      <c r="T1580" s="18"/>
      <c r="U1580" s="27"/>
      <c r="V1580" s="18"/>
      <c r="W1580" s="30"/>
      <c r="X1580" s="27"/>
      <c r="Y1580" s="27"/>
      <c r="Z1580" s="27"/>
      <c r="AA1580" s="27"/>
      <c r="AB1580" s="27"/>
      <c r="AC1580" s="273">
        <v>3573697357.7190704</v>
      </c>
      <c r="AD1580" s="27">
        <v>121571548180.02281</v>
      </c>
      <c r="AE1580" s="228">
        <v>2.9395836535923269E-2</v>
      </c>
      <c r="AF1580" s="27">
        <v>21446436814.437824</v>
      </c>
      <c r="AG1580" s="226">
        <v>0.16663361791238177</v>
      </c>
      <c r="AH1580" s="226">
        <v>0.5679679010669535</v>
      </c>
      <c r="AI1580" s="27">
        <v>463020000</v>
      </c>
      <c r="AJ1580" s="226">
        <v>7.7182354060711642</v>
      </c>
      <c r="AK1580" s="27">
        <v>4354464168.2466049</v>
      </c>
      <c r="AL1580" s="226">
        <v>0.82069738540484471</v>
      </c>
      <c r="AM1580" s="27">
        <v>3251054184.275352</v>
      </c>
      <c r="AN1580" s="271">
        <v>1.0992426318220945</v>
      </c>
      <c r="AO1580" s="27">
        <v>28625628</v>
      </c>
      <c r="AP1580" s="27">
        <v>37.299999999999997</v>
      </c>
      <c r="AQ1580" s="27">
        <v>73.307292682926828</v>
      </c>
      <c r="AR1580" s="27">
        <v>17.399999999999999</v>
      </c>
      <c r="AS1580" s="29">
        <v>97.638440000000003</v>
      </c>
      <c r="AT1580" s="270">
        <v>38</v>
      </c>
      <c r="AU1580" s="464">
        <v>72.816286549781523</v>
      </c>
      <c r="AV1580" s="29">
        <v>0.102797518483968</v>
      </c>
      <c r="AW1580" s="29">
        <v>-0.89730607728999101</v>
      </c>
      <c r="AX1580" s="29">
        <v>-0.35724068854121799</v>
      </c>
      <c r="AY1580" s="29">
        <v>0.34906767606171601</v>
      </c>
      <c r="AZ1580" s="60">
        <v>-0.20419570946809601</v>
      </c>
    </row>
    <row r="1581" spans="1:52" s="29" customFormat="1" ht="15" customHeight="1">
      <c r="A1581" s="63" t="s">
        <v>447</v>
      </c>
      <c r="B1581" s="27">
        <v>2008</v>
      </c>
      <c r="C1581" s="27" t="s">
        <v>442</v>
      </c>
      <c r="D1581" s="69" t="s">
        <v>214</v>
      </c>
      <c r="E1581" s="29" t="s">
        <v>19</v>
      </c>
      <c r="F1581" s="27" t="s">
        <v>1935</v>
      </c>
      <c r="G1581" s="43"/>
      <c r="H1581" s="43"/>
      <c r="I1581" s="43"/>
      <c r="J1581" s="43"/>
      <c r="K1581" s="27"/>
      <c r="L1581" s="28"/>
      <c r="M1581" s="27"/>
      <c r="N1581" s="27"/>
      <c r="O1581" s="18"/>
      <c r="P1581" s="214"/>
      <c r="Q1581" s="214"/>
      <c r="R1581" s="18"/>
      <c r="S1581" s="27"/>
      <c r="T1581" s="18"/>
      <c r="U1581" s="27"/>
      <c r="V1581" s="18"/>
      <c r="W1581" s="30"/>
      <c r="X1581" s="27"/>
      <c r="Y1581" s="27"/>
      <c r="Z1581" s="27"/>
      <c r="AA1581" s="27"/>
      <c r="AB1581" s="27"/>
      <c r="AC1581" s="273">
        <v>3573697357.7190704</v>
      </c>
      <c r="AD1581" s="27">
        <v>121571548180.02281</v>
      </c>
      <c r="AE1581" s="228">
        <v>2.9395836535923269E-2</v>
      </c>
      <c r="AF1581" s="27">
        <v>21446436814.437824</v>
      </c>
      <c r="AG1581" s="226">
        <v>0.16663361791238177</v>
      </c>
      <c r="AH1581" s="226">
        <v>0.5679679010669535</v>
      </c>
      <c r="AI1581" s="27">
        <v>463020000</v>
      </c>
      <c r="AJ1581" s="226">
        <v>7.7182354060711642</v>
      </c>
      <c r="AK1581" s="27">
        <v>4354464168.2466049</v>
      </c>
      <c r="AL1581" s="226">
        <v>0.82069738540484471</v>
      </c>
      <c r="AM1581" s="27">
        <v>3251054184.275352</v>
      </c>
      <c r="AN1581" s="271">
        <v>1.0992426318220945</v>
      </c>
      <c r="AO1581" s="27">
        <v>28625628</v>
      </c>
      <c r="AP1581" s="27">
        <v>37.299999999999997</v>
      </c>
      <c r="AQ1581" s="27">
        <v>73.307292682926828</v>
      </c>
      <c r="AR1581" s="27">
        <v>17.399999999999999</v>
      </c>
      <c r="AS1581" s="29">
        <v>97.638440000000003</v>
      </c>
      <c r="AT1581" s="270">
        <v>38</v>
      </c>
      <c r="AU1581" s="464">
        <v>72.816286549781523</v>
      </c>
      <c r="AV1581" s="29">
        <v>0.102797518483968</v>
      </c>
      <c r="AW1581" s="29">
        <v>-0.89730607728999101</v>
      </c>
      <c r="AX1581" s="29">
        <v>-0.35724068854121799</v>
      </c>
      <c r="AY1581" s="29">
        <v>0.34906767606171601</v>
      </c>
      <c r="AZ1581" s="60">
        <v>-0.20419570946809601</v>
      </c>
    </row>
    <row r="1582" spans="1:52" s="29" customFormat="1" ht="15" customHeight="1">
      <c r="A1582" s="63" t="s">
        <v>447</v>
      </c>
      <c r="B1582" s="27">
        <v>2008</v>
      </c>
      <c r="C1582" s="27" t="s">
        <v>442</v>
      </c>
      <c r="D1582" s="69" t="s">
        <v>214</v>
      </c>
      <c r="E1582" s="29" t="s">
        <v>19</v>
      </c>
      <c r="F1582" s="27" t="s">
        <v>1936</v>
      </c>
      <c r="G1582" s="43"/>
      <c r="H1582" s="43"/>
      <c r="I1582" s="43"/>
      <c r="J1582" s="43"/>
      <c r="K1582" s="27"/>
      <c r="L1582" s="28"/>
      <c r="M1582" s="27"/>
      <c r="N1582" s="27"/>
      <c r="O1582" s="18"/>
      <c r="P1582" s="214"/>
      <c r="Q1582" s="214"/>
      <c r="R1582" s="18"/>
      <c r="S1582" s="27"/>
      <c r="T1582" s="18"/>
      <c r="U1582" s="27"/>
      <c r="V1582" s="18"/>
      <c r="W1582" s="30"/>
      <c r="X1582" s="27"/>
      <c r="Y1582" s="27"/>
      <c r="Z1582" s="27"/>
      <c r="AA1582" s="27"/>
      <c r="AB1582" s="27"/>
      <c r="AC1582" s="273">
        <v>3573697357.7190704</v>
      </c>
      <c r="AD1582" s="27">
        <v>121571548180.02281</v>
      </c>
      <c r="AE1582" s="228">
        <v>2.9395836535923269E-2</v>
      </c>
      <c r="AF1582" s="27">
        <v>21446436814.437824</v>
      </c>
      <c r="AG1582" s="226">
        <v>0.16663361791238177</v>
      </c>
      <c r="AH1582" s="226">
        <v>0.5679679010669535</v>
      </c>
      <c r="AI1582" s="27">
        <v>463020000</v>
      </c>
      <c r="AJ1582" s="226">
        <v>7.7182354060711642</v>
      </c>
      <c r="AK1582" s="27">
        <v>4354464168.2466049</v>
      </c>
      <c r="AL1582" s="226">
        <v>0.82069738540484471</v>
      </c>
      <c r="AM1582" s="27">
        <v>3251054184.275352</v>
      </c>
      <c r="AN1582" s="271">
        <v>1.0992426318220945</v>
      </c>
      <c r="AO1582" s="27">
        <v>28625628</v>
      </c>
      <c r="AP1582" s="27">
        <v>37.299999999999997</v>
      </c>
      <c r="AQ1582" s="27">
        <v>73.307292682926828</v>
      </c>
      <c r="AR1582" s="27">
        <v>17.399999999999999</v>
      </c>
      <c r="AS1582" s="29">
        <v>97.638440000000003</v>
      </c>
      <c r="AT1582" s="270">
        <v>38</v>
      </c>
      <c r="AU1582" s="464">
        <v>72.816286549781523</v>
      </c>
      <c r="AV1582" s="29">
        <v>0.102797518483968</v>
      </c>
      <c r="AW1582" s="29">
        <v>-0.89730607728999101</v>
      </c>
      <c r="AX1582" s="29">
        <v>-0.35724068854121799</v>
      </c>
      <c r="AY1582" s="29">
        <v>0.34906767606171601</v>
      </c>
      <c r="AZ1582" s="60">
        <v>-0.20419570946809601</v>
      </c>
    </row>
    <row r="1583" spans="1:52" s="29" customFormat="1" ht="15" customHeight="1">
      <c r="A1583" s="63" t="s">
        <v>447</v>
      </c>
      <c r="B1583" s="27">
        <v>2008</v>
      </c>
      <c r="C1583" s="27" t="s">
        <v>442</v>
      </c>
      <c r="D1583" s="69" t="s">
        <v>214</v>
      </c>
      <c r="E1583" s="29" t="s">
        <v>19</v>
      </c>
      <c r="F1583" s="27" t="s">
        <v>1326</v>
      </c>
      <c r="G1583" s="43"/>
      <c r="H1583" s="43"/>
      <c r="I1583" s="43"/>
      <c r="J1583" s="43"/>
      <c r="K1583" s="27"/>
      <c r="L1583" s="28"/>
      <c r="M1583" s="27"/>
      <c r="N1583" s="27"/>
      <c r="O1583" s="18"/>
      <c r="P1583" s="214"/>
      <c r="Q1583" s="214"/>
      <c r="R1583" s="18"/>
      <c r="S1583" s="27"/>
      <c r="T1583" s="18"/>
      <c r="U1583" s="27"/>
      <c r="V1583" s="18"/>
      <c r="W1583" s="30"/>
      <c r="X1583" s="27"/>
      <c r="Y1583" s="27"/>
      <c r="Z1583" s="27"/>
      <c r="AA1583" s="27"/>
      <c r="AB1583" s="27"/>
      <c r="AC1583" s="273">
        <v>3573697357.7190704</v>
      </c>
      <c r="AD1583" s="27">
        <v>121571548180.02281</v>
      </c>
      <c r="AE1583" s="228">
        <v>2.9395836535923269E-2</v>
      </c>
      <c r="AF1583" s="27">
        <v>21446436814.437824</v>
      </c>
      <c r="AG1583" s="226">
        <v>0.16663361791238177</v>
      </c>
      <c r="AH1583" s="226">
        <v>0.5679679010669535</v>
      </c>
      <c r="AI1583" s="27">
        <v>463020000</v>
      </c>
      <c r="AJ1583" s="226">
        <v>7.7182354060711642</v>
      </c>
      <c r="AK1583" s="27">
        <v>4354464168.2466049</v>
      </c>
      <c r="AL1583" s="226">
        <v>0.82069738540484471</v>
      </c>
      <c r="AM1583" s="27">
        <v>3251054184.275352</v>
      </c>
      <c r="AN1583" s="271">
        <v>1.0992426318220945</v>
      </c>
      <c r="AO1583" s="27">
        <v>28625628</v>
      </c>
      <c r="AP1583" s="27">
        <v>37.299999999999997</v>
      </c>
      <c r="AQ1583" s="27">
        <v>73.307292682926828</v>
      </c>
      <c r="AR1583" s="27">
        <v>17.399999999999999</v>
      </c>
      <c r="AS1583" s="29">
        <v>97.638440000000003</v>
      </c>
      <c r="AT1583" s="270">
        <v>38</v>
      </c>
      <c r="AU1583" s="464">
        <v>72.816286549781523</v>
      </c>
      <c r="AV1583" s="29">
        <v>0.102797518483968</v>
      </c>
      <c r="AW1583" s="29">
        <v>-0.89730607728999101</v>
      </c>
      <c r="AX1583" s="29">
        <v>-0.35724068854121799</v>
      </c>
      <c r="AY1583" s="29">
        <v>0.34906767606171601</v>
      </c>
      <c r="AZ1583" s="60">
        <v>-0.20419570946809601</v>
      </c>
    </row>
    <row r="1584" spans="1:52" s="29" customFormat="1" ht="15" customHeight="1">
      <c r="A1584" s="63" t="s">
        <v>447</v>
      </c>
      <c r="B1584" s="27">
        <v>2008</v>
      </c>
      <c r="C1584" s="27" t="s">
        <v>442</v>
      </c>
      <c r="D1584" s="69" t="s">
        <v>214</v>
      </c>
      <c r="E1584" s="29" t="s">
        <v>19</v>
      </c>
      <c r="F1584" s="27" t="s">
        <v>1937</v>
      </c>
      <c r="G1584" s="43"/>
      <c r="H1584" s="43"/>
      <c r="I1584" s="43"/>
      <c r="J1584" s="43"/>
      <c r="K1584" s="27"/>
      <c r="L1584" s="28"/>
      <c r="M1584" s="27"/>
      <c r="N1584" s="27"/>
      <c r="O1584" s="18"/>
      <c r="P1584" s="214"/>
      <c r="Q1584" s="214"/>
      <c r="R1584" s="18"/>
      <c r="S1584" s="27"/>
      <c r="T1584" s="18"/>
      <c r="U1584" s="27"/>
      <c r="V1584" s="18"/>
      <c r="W1584" s="30"/>
      <c r="X1584" s="27"/>
      <c r="Y1584" s="27"/>
      <c r="Z1584" s="27"/>
      <c r="AA1584" s="27"/>
      <c r="AB1584" s="27"/>
      <c r="AC1584" s="273">
        <v>3573697357.7190704</v>
      </c>
      <c r="AD1584" s="27">
        <v>121571548180.02281</v>
      </c>
      <c r="AE1584" s="228">
        <v>2.9395836535923269E-2</v>
      </c>
      <c r="AF1584" s="27">
        <v>21446436814.437824</v>
      </c>
      <c r="AG1584" s="226">
        <v>0.16663361791238177</v>
      </c>
      <c r="AH1584" s="226">
        <v>0.5679679010669535</v>
      </c>
      <c r="AI1584" s="27">
        <v>463020000</v>
      </c>
      <c r="AJ1584" s="226">
        <v>7.7182354060711642</v>
      </c>
      <c r="AK1584" s="27">
        <v>4354464168.2466049</v>
      </c>
      <c r="AL1584" s="226">
        <v>0.82069738540484471</v>
      </c>
      <c r="AM1584" s="27">
        <v>3251054184.275352</v>
      </c>
      <c r="AN1584" s="271">
        <v>1.0992426318220945</v>
      </c>
      <c r="AO1584" s="27">
        <v>28625628</v>
      </c>
      <c r="AP1584" s="27">
        <v>37.299999999999997</v>
      </c>
      <c r="AQ1584" s="27">
        <v>73.307292682926828</v>
      </c>
      <c r="AR1584" s="27">
        <v>17.399999999999999</v>
      </c>
      <c r="AS1584" s="29">
        <v>97.638440000000003</v>
      </c>
      <c r="AT1584" s="270">
        <v>38</v>
      </c>
      <c r="AU1584" s="464">
        <v>72.816286549781523</v>
      </c>
      <c r="AV1584" s="29">
        <v>0.102797518483968</v>
      </c>
      <c r="AW1584" s="29">
        <v>-0.89730607728999101</v>
      </c>
      <c r="AX1584" s="29">
        <v>-0.35724068854121799</v>
      </c>
      <c r="AY1584" s="29">
        <v>0.34906767606171601</v>
      </c>
      <c r="AZ1584" s="60">
        <v>-0.20419570946809601</v>
      </c>
    </row>
    <row r="1585" spans="1:52" s="29" customFormat="1" ht="15" customHeight="1">
      <c r="A1585" s="63" t="s">
        <v>447</v>
      </c>
      <c r="B1585" s="27">
        <v>2008</v>
      </c>
      <c r="C1585" s="27" t="s">
        <v>442</v>
      </c>
      <c r="D1585" s="69" t="s">
        <v>214</v>
      </c>
      <c r="E1585" s="29" t="s">
        <v>19</v>
      </c>
      <c r="F1585" s="27" t="s">
        <v>1058</v>
      </c>
      <c r="G1585" s="43"/>
      <c r="H1585" s="43"/>
      <c r="I1585" s="43"/>
      <c r="J1585" s="43"/>
      <c r="K1585" s="27"/>
      <c r="L1585" s="28"/>
      <c r="M1585" s="27"/>
      <c r="N1585" s="27"/>
      <c r="O1585" s="18"/>
      <c r="P1585" s="214"/>
      <c r="Q1585" s="214"/>
      <c r="R1585" s="18"/>
      <c r="S1585" s="27"/>
      <c r="T1585" s="18"/>
      <c r="U1585" s="27"/>
      <c r="V1585" s="18"/>
      <c r="W1585" s="30"/>
      <c r="X1585" s="27"/>
      <c r="Y1585" s="27"/>
      <c r="Z1585" s="27"/>
      <c r="AA1585" s="27"/>
      <c r="AB1585" s="27"/>
      <c r="AC1585" s="273">
        <v>3573697357.7190704</v>
      </c>
      <c r="AD1585" s="27">
        <v>121571548180.02281</v>
      </c>
      <c r="AE1585" s="228">
        <v>2.9395836535923269E-2</v>
      </c>
      <c r="AF1585" s="27">
        <v>21446436814.437824</v>
      </c>
      <c r="AG1585" s="226">
        <v>0.16663361791238177</v>
      </c>
      <c r="AH1585" s="226">
        <v>0.5679679010669535</v>
      </c>
      <c r="AI1585" s="27">
        <v>463020000</v>
      </c>
      <c r="AJ1585" s="226">
        <v>7.7182354060711642</v>
      </c>
      <c r="AK1585" s="27">
        <v>4354464168.2466049</v>
      </c>
      <c r="AL1585" s="226">
        <v>0.82069738540484471</v>
      </c>
      <c r="AM1585" s="27">
        <v>3251054184.275352</v>
      </c>
      <c r="AN1585" s="271">
        <v>1.0992426318220945</v>
      </c>
      <c r="AO1585" s="27">
        <v>28625628</v>
      </c>
      <c r="AP1585" s="27">
        <v>37.299999999999997</v>
      </c>
      <c r="AQ1585" s="27">
        <v>73.307292682926828</v>
      </c>
      <c r="AR1585" s="27">
        <v>17.399999999999999</v>
      </c>
      <c r="AS1585" s="29">
        <v>97.638440000000003</v>
      </c>
      <c r="AT1585" s="270">
        <v>38</v>
      </c>
      <c r="AU1585" s="464">
        <v>72.816286549781523</v>
      </c>
      <c r="AV1585" s="29">
        <v>0.102797518483968</v>
      </c>
      <c r="AW1585" s="29">
        <v>-0.89730607728999101</v>
      </c>
      <c r="AX1585" s="29">
        <v>-0.35724068854121799</v>
      </c>
      <c r="AY1585" s="29">
        <v>0.34906767606171601</v>
      </c>
      <c r="AZ1585" s="60">
        <v>-0.20419570946809601</v>
      </c>
    </row>
    <row r="1586" spans="1:52" s="29" customFormat="1" ht="15" customHeight="1">
      <c r="A1586" s="63" t="s">
        <v>447</v>
      </c>
      <c r="B1586" s="27">
        <v>2008</v>
      </c>
      <c r="C1586" s="27" t="s">
        <v>442</v>
      </c>
      <c r="D1586" s="69" t="s">
        <v>214</v>
      </c>
      <c r="E1586" s="29" t="s">
        <v>19</v>
      </c>
      <c r="F1586" s="27" t="s">
        <v>897</v>
      </c>
      <c r="G1586" s="43"/>
      <c r="H1586" s="43"/>
      <c r="I1586" s="43"/>
      <c r="J1586" s="43"/>
      <c r="K1586" s="27"/>
      <c r="L1586" s="28"/>
      <c r="M1586" s="27"/>
      <c r="N1586" s="27"/>
      <c r="O1586" s="18"/>
      <c r="P1586" s="214"/>
      <c r="Q1586" s="214"/>
      <c r="R1586" s="18"/>
      <c r="S1586" s="27"/>
      <c r="T1586" s="18"/>
      <c r="U1586" s="27"/>
      <c r="V1586" s="18"/>
      <c r="W1586" s="30"/>
      <c r="X1586" s="27"/>
      <c r="Y1586" s="27"/>
      <c r="Z1586" s="27"/>
      <c r="AA1586" s="27"/>
      <c r="AB1586" s="27"/>
      <c r="AC1586" s="273">
        <v>3573697357.7190704</v>
      </c>
      <c r="AD1586" s="27">
        <v>121571548180.02281</v>
      </c>
      <c r="AE1586" s="228">
        <v>2.9395836535923269E-2</v>
      </c>
      <c r="AF1586" s="27">
        <v>21446436814.437824</v>
      </c>
      <c r="AG1586" s="226">
        <v>0.16663361791238177</v>
      </c>
      <c r="AH1586" s="226">
        <v>0.5679679010669535</v>
      </c>
      <c r="AI1586" s="27">
        <v>463020000</v>
      </c>
      <c r="AJ1586" s="226">
        <v>7.7182354060711642</v>
      </c>
      <c r="AK1586" s="27">
        <v>4354464168.2466049</v>
      </c>
      <c r="AL1586" s="226">
        <v>0.82069738540484471</v>
      </c>
      <c r="AM1586" s="27">
        <v>3251054184.275352</v>
      </c>
      <c r="AN1586" s="271">
        <v>1.0992426318220945</v>
      </c>
      <c r="AO1586" s="27">
        <v>28625628</v>
      </c>
      <c r="AP1586" s="27">
        <v>37.299999999999997</v>
      </c>
      <c r="AQ1586" s="27">
        <v>73.307292682926828</v>
      </c>
      <c r="AR1586" s="27">
        <v>17.399999999999999</v>
      </c>
      <c r="AS1586" s="29">
        <v>97.638440000000003</v>
      </c>
      <c r="AT1586" s="270">
        <v>38</v>
      </c>
      <c r="AU1586" s="464">
        <v>72.816286549781523</v>
      </c>
      <c r="AV1586" s="29">
        <v>0.102797518483968</v>
      </c>
      <c r="AW1586" s="29">
        <v>-0.89730607728999101</v>
      </c>
      <c r="AX1586" s="29">
        <v>-0.35724068854121799</v>
      </c>
      <c r="AY1586" s="29">
        <v>0.34906767606171601</v>
      </c>
      <c r="AZ1586" s="60">
        <v>-0.20419570946809601</v>
      </c>
    </row>
    <row r="1587" spans="1:52" s="29" customFormat="1" ht="15" customHeight="1">
      <c r="A1587" s="63" t="s">
        <v>447</v>
      </c>
      <c r="B1587" s="27">
        <v>2008</v>
      </c>
      <c r="C1587" s="27" t="s">
        <v>442</v>
      </c>
      <c r="D1587" s="69" t="s">
        <v>214</v>
      </c>
      <c r="E1587" s="29" t="s">
        <v>19</v>
      </c>
      <c r="F1587" s="27" t="s">
        <v>1898</v>
      </c>
      <c r="G1587" s="43"/>
      <c r="H1587" s="43"/>
      <c r="I1587" s="43"/>
      <c r="J1587" s="43"/>
      <c r="K1587" s="27"/>
      <c r="L1587" s="28"/>
      <c r="M1587" s="27"/>
      <c r="N1587" s="27"/>
      <c r="O1587" s="18"/>
      <c r="P1587" s="214"/>
      <c r="Q1587" s="214"/>
      <c r="R1587" s="18"/>
      <c r="S1587" s="27"/>
      <c r="T1587" s="18"/>
      <c r="U1587" s="27"/>
      <c r="V1587" s="18"/>
      <c r="W1587" s="30"/>
      <c r="X1587" s="27"/>
      <c r="Y1587" s="27"/>
      <c r="Z1587" s="27"/>
      <c r="AA1587" s="27"/>
      <c r="AB1587" s="27"/>
      <c r="AC1587" s="273">
        <v>3573697357.7190704</v>
      </c>
      <c r="AD1587" s="27">
        <v>121571548180.02281</v>
      </c>
      <c r="AE1587" s="228">
        <v>2.9395836535923269E-2</v>
      </c>
      <c r="AF1587" s="27">
        <v>21446436814.437824</v>
      </c>
      <c r="AG1587" s="226">
        <v>0.16663361791238177</v>
      </c>
      <c r="AH1587" s="226">
        <v>0.5679679010669535</v>
      </c>
      <c r="AI1587" s="27">
        <v>463020000</v>
      </c>
      <c r="AJ1587" s="226">
        <v>7.7182354060711642</v>
      </c>
      <c r="AK1587" s="27">
        <v>4354464168.2466049</v>
      </c>
      <c r="AL1587" s="226">
        <v>0.82069738540484471</v>
      </c>
      <c r="AM1587" s="27">
        <v>3251054184.275352</v>
      </c>
      <c r="AN1587" s="271">
        <v>1.0992426318220945</v>
      </c>
      <c r="AO1587" s="27">
        <v>28625628</v>
      </c>
      <c r="AP1587" s="27">
        <v>37.299999999999997</v>
      </c>
      <c r="AQ1587" s="27">
        <v>73.307292682926828</v>
      </c>
      <c r="AR1587" s="27">
        <v>17.399999999999999</v>
      </c>
      <c r="AS1587" s="29">
        <v>97.638440000000003</v>
      </c>
      <c r="AT1587" s="270">
        <v>38</v>
      </c>
      <c r="AU1587" s="464">
        <v>72.816286549781523</v>
      </c>
      <c r="AV1587" s="29">
        <v>0.102797518483968</v>
      </c>
      <c r="AW1587" s="29">
        <v>-0.89730607728999101</v>
      </c>
      <c r="AX1587" s="29">
        <v>-0.35724068854121799</v>
      </c>
      <c r="AY1587" s="29">
        <v>0.34906767606171601</v>
      </c>
      <c r="AZ1587" s="60">
        <v>-0.20419570946809601</v>
      </c>
    </row>
    <row r="1588" spans="1:52" s="29" customFormat="1" ht="15" customHeight="1">
      <c r="A1588" s="63" t="s">
        <v>447</v>
      </c>
      <c r="B1588" s="27">
        <v>2008</v>
      </c>
      <c r="C1588" s="27" t="s">
        <v>442</v>
      </c>
      <c r="D1588" s="69" t="s">
        <v>214</v>
      </c>
      <c r="E1588" s="29" t="s">
        <v>19</v>
      </c>
      <c r="F1588" s="27" t="s">
        <v>1916</v>
      </c>
      <c r="G1588" s="43"/>
      <c r="H1588" s="43"/>
      <c r="I1588" s="43"/>
      <c r="J1588" s="43"/>
      <c r="K1588" s="27"/>
      <c r="L1588" s="28"/>
      <c r="M1588" s="27"/>
      <c r="N1588" s="27"/>
      <c r="O1588" s="18"/>
      <c r="P1588" s="214"/>
      <c r="Q1588" s="214"/>
      <c r="R1588" s="18"/>
      <c r="S1588" s="27"/>
      <c r="T1588" s="18"/>
      <c r="U1588" s="27"/>
      <c r="V1588" s="18"/>
      <c r="W1588" s="30"/>
      <c r="X1588" s="27"/>
      <c r="Y1588" s="27"/>
      <c r="Z1588" s="27"/>
      <c r="AA1588" s="27"/>
      <c r="AB1588" s="27"/>
      <c r="AC1588" s="273">
        <v>3573697357.7190704</v>
      </c>
      <c r="AD1588" s="27">
        <v>121571548180.02281</v>
      </c>
      <c r="AE1588" s="228">
        <v>2.9395836535923269E-2</v>
      </c>
      <c r="AF1588" s="27">
        <v>21446436814.437824</v>
      </c>
      <c r="AG1588" s="226">
        <v>0.16663361791238177</v>
      </c>
      <c r="AH1588" s="226">
        <v>0.5679679010669535</v>
      </c>
      <c r="AI1588" s="27">
        <v>463020000</v>
      </c>
      <c r="AJ1588" s="226">
        <v>7.7182354060711642</v>
      </c>
      <c r="AK1588" s="27">
        <v>4354464168.2466049</v>
      </c>
      <c r="AL1588" s="226">
        <v>0.82069738540484471</v>
      </c>
      <c r="AM1588" s="27">
        <v>3251054184.275352</v>
      </c>
      <c r="AN1588" s="271">
        <v>1.0992426318220945</v>
      </c>
      <c r="AO1588" s="27">
        <v>28625628</v>
      </c>
      <c r="AP1588" s="27">
        <v>37.299999999999997</v>
      </c>
      <c r="AQ1588" s="27">
        <v>73.307292682926828</v>
      </c>
      <c r="AR1588" s="27">
        <v>17.399999999999999</v>
      </c>
      <c r="AS1588" s="29">
        <v>97.638440000000003</v>
      </c>
      <c r="AT1588" s="270">
        <v>38</v>
      </c>
      <c r="AU1588" s="464">
        <v>72.816286549781523</v>
      </c>
      <c r="AV1588" s="29">
        <v>0.102797518483968</v>
      </c>
      <c r="AW1588" s="29">
        <v>-0.89730607728999101</v>
      </c>
      <c r="AX1588" s="29">
        <v>-0.35724068854121799</v>
      </c>
      <c r="AY1588" s="29">
        <v>0.34906767606171601</v>
      </c>
      <c r="AZ1588" s="60">
        <v>-0.20419570946809601</v>
      </c>
    </row>
    <row r="1589" spans="1:52" s="29" customFormat="1" ht="15" customHeight="1">
      <c r="A1589" s="63" t="s">
        <v>447</v>
      </c>
      <c r="B1589" s="27">
        <v>2008</v>
      </c>
      <c r="C1589" s="27" t="s">
        <v>442</v>
      </c>
      <c r="D1589" s="69" t="s">
        <v>214</v>
      </c>
      <c r="E1589" s="29" t="s">
        <v>19</v>
      </c>
      <c r="F1589" s="27" t="s">
        <v>735</v>
      </c>
      <c r="G1589" s="43"/>
      <c r="H1589" s="43"/>
      <c r="I1589" s="43"/>
      <c r="J1589" s="43"/>
      <c r="K1589" s="27"/>
      <c r="L1589" s="28"/>
      <c r="M1589" s="27"/>
      <c r="N1589" s="27"/>
      <c r="O1589" s="18"/>
      <c r="P1589" s="214"/>
      <c r="Q1589" s="214"/>
      <c r="R1589" s="18"/>
      <c r="S1589" s="27"/>
      <c r="T1589" s="18"/>
      <c r="U1589" s="27"/>
      <c r="V1589" s="18"/>
      <c r="W1589" s="30"/>
      <c r="X1589" s="27"/>
      <c r="Y1589" s="27"/>
      <c r="Z1589" s="27"/>
      <c r="AA1589" s="27"/>
      <c r="AB1589" s="27"/>
      <c r="AC1589" s="273">
        <v>3573697357.7190704</v>
      </c>
      <c r="AD1589" s="27">
        <v>121571548180.02281</v>
      </c>
      <c r="AE1589" s="228">
        <v>2.9395836535923269E-2</v>
      </c>
      <c r="AF1589" s="27">
        <v>21446436814.437824</v>
      </c>
      <c r="AG1589" s="226">
        <v>0.16663361791238177</v>
      </c>
      <c r="AH1589" s="226">
        <v>0.5679679010669535</v>
      </c>
      <c r="AI1589" s="27">
        <v>463020000</v>
      </c>
      <c r="AJ1589" s="226">
        <v>7.7182354060711642</v>
      </c>
      <c r="AK1589" s="27">
        <v>4354464168.2466049</v>
      </c>
      <c r="AL1589" s="226">
        <v>0.82069738540484471</v>
      </c>
      <c r="AM1589" s="27">
        <v>3251054184.275352</v>
      </c>
      <c r="AN1589" s="271">
        <v>1.0992426318220945</v>
      </c>
      <c r="AO1589" s="27">
        <v>28625628</v>
      </c>
      <c r="AP1589" s="27">
        <v>37.299999999999997</v>
      </c>
      <c r="AQ1589" s="27">
        <v>73.307292682926828</v>
      </c>
      <c r="AR1589" s="27">
        <v>17.399999999999999</v>
      </c>
      <c r="AS1589" s="29">
        <v>97.638440000000003</v>
      </c>
      <c r="AT1589" s="270">
        <v>38</v>
      </c>
      <c r="AU1589" s="464">
        <v>72.816286549781523</v>
      </c>
      <c r="AV1589" s="29">
        <v>0.102797518483968</v>
      </c>
      <c r="AW1589" s="29">
        <v>-0.89730607728999101</v>
      </c>
      <c r="AX1589" s="29">
        <v>-0.35724068854121799</v>
      </c>
      <c r="AY1589" s="29">
        <v>0.34906767606171601</v>
      </c>
      <c r="AZ1589" s="60">
        <v>-0.20419570946809601</v>
      </c>
    </row>
    <row r="1590" spans="1:52" s="29" customFormat="1" ht="15" customHeight="1">
      <c r="A1590" s="63" t="s">
        <v>447</v>
      </c>
      <c r="B1590" s="27">
        <v>2008</v>
      </c>
      <c r="C1590" s="27" t="s">
        <v>442</v>
      </c>
      <c r="D1590" s="69" t="s">
        <v>214</v>
      </c>
      <c r="E1590" s="29" t="s">
        <v>19</v>
      </c>
      <c r="F1590" s="27" t="s">
        <v>1146</v>
      </c>
      <c r="G1590" s="43"/>
      <c r="H1590" s="43"/>
      <c r="I1590" s="43"/>
      <c r="J1590" s="43"/>
      <c r="K1590" s="27"/>
      <c r="L1590" s="28"/>
      <c r="M1590" s="27"/>
      <c r="N1590" s="27"/>
      <c r="O1590" s="18"/>
      <c r="P1590" s="214"/>
      <c r="Q1590" s="214"/>
      <c r="R1590" s="18"/>
      <c r="S1590" s="27"/>
      <c r="T1590" s="18"/>
      <c r="V1590" s="18"/>
      <c r="W1590" s="30"/>
      <c r="X1590" s="27"/>
      <c r="Y1590" s="27"/>
      <c r="Z1590" s="27"/>
      <c r="AA1590" s="27"/>
      <c r="AB1590" s="27"/>
      <c r="AC1590" s="273">
        <v>3573697357.7190704</v>
      </c>
      <c r="AD1590" s="27">
        <v>121571548180.02281</v>
      </c>
      <c r="AE1590" s="228">
        <v>2.9395836535923269E-2</v>
      </c>
      <c r="AF1590" s="27">
        <v>21446436814.437824</v>
      </c>
      <c r="AG1590" s="226">
        <v>0.16663361791238177</v>
      </c>
      <c r="AH1590" s="226">
        <v>0.5679679010669535</v>
      </c>
      <c r="AI1590" s="27">
        <v>463020000</v>
      </c>
      <c r="AJ1590" s="226">
        <v>7.7182354060711642</v>
      </c>
      <c r="AK1590" s="27">
        <v>4354464168.2466049</v>
      </c>
      <c r="AL1590" s="226">
        <v>0.82069738540484471</v>
      </c>
      <c r="AM1590" s="27">
        <v>3251054184.275352</v>
      </c>
      <c r="AN1590" s="271">
        <v>1.0992426318220945</v>
      </c>
      <c r="AO1590" s="27">
        <v>28625628</v>
      </c>
      <c r="AP1590" s="27">
        <v>37.299999999999997</v>
      </c>
      <c r="AQ1590" s="27">
        <v>73.307292682926828</v>
      </c>
      <c r="AR1590" s="27">
        <v>17.399999999999999</v>
      </c>
      <c r="AS1590" s="29">
        <v>97.638440000000003</v>
      </c>
      <c r="AT1590" s="270">
        <v>38</v>
      </c>
      <c r="AU1590" s="464">
        <v>72.816286549781523</v>
      </c>
      <c r="AV1590" s="29">
        <v>0.102797518483968</v>
      </c>
      <c r="AW1590" s="29">
        <v>-0.89730607728999101</v>
      </c>
      <c r="AX1590" s="29">
        <v>-0.35724068854121799</v>
      </c>
      <c r="AY1590" s="29">
        <v>0.34906767606171601</v>
      </c>
      <c r="AZ1590" s="60">
        <v>-0.20419570946809601</v>
      </c>
    </row>
    <row r="1591" spans="1:52" s="29" customFormat="1" ht="15" customHeight="1">
      <c r="A1591" s="63" t="s">
        <v>447</v>
      </c>
      <c r="B1591" s="27">
        <v>2008</v>
      </c>
      <c r="C1591" s="27" t="s">
        <v>442</v>
      </c>
      <c r="D1591" s="69" t="s">
        <v>214</v>
      </c>
      <c r="E1591" s="29" t="s">
        <v>19</v>
      </c>
      <c r="F1591" s="27" t="s">
        <v>1938</v>
      </c>
      <c r="G1591" s="43"/>
      <c r="H1591" s="43"/>
      <c r="I1591" s="43"/>
      <c r="J1591" s="43"/>
      <c r="K1591" s="27"/>
      <c r="L1591" s="28"/>
      <c r="M1591" s="27"/>
      <c r="N1591" s="27"/>
      <c r="O1591" s="18"/>
      <c r="P1591" s="214"/>
      <c r="Q1591" s="214"/>
      <c r="R1591" s="18"/>
      <c r="S1591" s="27"/>
      <c r="T1591" s="18"/>
      <c r="V1591" s="18"/>
      <c r="W1591" s="30"/>
      <c r="X1591" s="27"/>
      <c r="Y1591" s="27"/>
      <c r="Z1591" s="27"/>
      <c r="AA1591" s="27"/>
      <c r="AB1591" s="27"/>
      <c r="AC1591" s="273">
        <v>3573697357.7190704</v>
      </c>
      <c r="AD1591" s="27">
        <v>121571548180.02281</v>
      </c>
      <c r="AE1591" s="228">
        <v>2.9395836535923269E-2</v>
      </c>
      <c r="AF1591" s="27">
        <v>21446436814.437824</v>
      </c>
      <c r="AG1591" s="226">
        <v>0.16663361791238177</v>
      </c>
      <c r="AH1591" s="226">
        <v>0.5679679010669535</v>
      </c>
      <c r="AI1591" s="27">
        <v>463020000</v>
      </c>
      <c r="AJ1591" s="226">
        <v>7.7182354060711642</v>
      </c>
      <c r="AK1591" s="27">
        <v>4354464168.2466049</v>
      </c>
      <c r="AL1591" s="226">
        <v>0.82069738540484471</v>
      </c>
      <c r="AM1591" s="27">
        <v>3251054184.275352</v>
      </c>
      <c r="AN1591" s="271">
        <v>1.0992426318220945</v>
      </c>
      <c r="AO1591" s="27">
        <v>28625628</v>
      </c>
      <c r="AP1591" s="27">
        <v>37.299999999999997</v>
      </c>
      <c r="AQ1591" s="27">
        <v>73.307292682926828</v>
      </c>
      <c r="AR1591" s="27">
        <v>17.399999999999999</v>
      </c>
      <c r="AS1591" s="29">
        <v>97.638440000000003</v>
      </c>
      <c r="AT1591" s="270">
        <v>38</v>
      </c>
      <c r="AU1591" s="464">
        <v>72.816286549781523</v>
      </c>
      <c r="AV1591" s="29">
        <v>0.102797518483968</v>
      </c>
      <c r="AW1591" s="29">
        <v>-0.89730607728999101</v>
      </c>
      <c r="AX1591" s="29">
        <v>-0.35724068854121799</v>
      </c>
      <c r="AY1591" s="29">
        <v>0.34906767606171601</v>
      </c>
      <c r="AZ1591" s="60">
        <v>-0.20419570946809601</v>
      </c>
    </row>
    <row r="1592" spans="1:52" s="29" customFormat="1" ht="15" customHeight="1">
      <c r="A1592" s="63" t="s">
        <v>447</v>
      </c>
      <c r="B1592" s="27">
        <v>2008</v>
      </c>
      <c r="C1592" s="27" t="s">
        <v>442</v>
      </c>
      <c r="D1592" s="69" t="s">
        <v>214</v>
      </c>
      <c r="E1592" s="29" t="s">
        <v>19</v>
      </c>
      <c r="F1592" s="27" t="s">
        <v>1939</v>
      </c>
      <c r="G1592" s="43"/>
      <c r="H1592" s="43"/>
      <c r="I1592" s="43"/>
      <c r="J1592" s="43"/>
      <c r="K1592" s="27"/>
      <c r="L1592" s="28"/>
      <c r="M1592" s="27"/>
      <c r="N1592" s="27"/>
      <c r="O1592" s="18"/>
      <c r="P1592" s="214"/>
      <c r="Q1592" s="214"/>
      <c r="R1592" s="18"/>
      <c r="S1592" s="27"/>
      <c r="T1592" s="18"/>
      <c r="V1592" s="18"/>
      <c r="W1592" s="30"/>
      <c r="X1592" s="27"/>
      <c r="Y1592" s="27"/>
      <c r="Z1592" s="27"/>
      <c r="AA1592" s="27"/>
      <c r="AB1592" s="27"/>
      <c r="AC1592" s="273">
        <v>3573697357.7190704</v>
      </c>
      <c r="AD1592" s="27">
        <v>121571548180.02281</v>
      </c>
      <c r="AE1592" s="228">
        <v>2.9395836535923269E-2</v>
      </c>
      <c r="AF1592" s="27">
        <v>21446436814.437824</v>
      </c>
      <c r="AG1592" s="226">
        <v>0.16663361791238177</v>
      </c>
      <c r="AH1592" s="226">
        <v>0.5679679010669535</v>
      </c>
      <c r="AI1592" s="27">
        <v>463020000</v>
      </c>
      <c r="AJ1592" s="226">
        <v>7.7182354060711642</v>
      </c>
      <c r="AK1592" s="27">
        <v>4354464168.2466049</v>
      </c>
      <c r="AL1592" s="226">
        <v>0.82069738540484471</v>
      </c>
      <c r="AM1592" s="27">
        <v>3251054184.275352</v>
      </c>
      <c r="AN1592" s="271">
        <v>1.0992426318220945</v>
      </c>
      <c r="AO1592" s="27">
        <v>28625628</v>
      </c>
      <c r="AP1592" s="27">
        <v>37.299999999999997</v>
      </c>
      <c r="AQ1592" s="27">
        <v>73.307292682926828</v>
      </c>
      <c r="AR1592" s="27">
        <v>17.399999999999999</v>
      </c>
      <c r="AS1592" s="29">
        <v>97.638440000000003</v>
      </c>
      <c r="AT1592" s="270">
        <v>38</v>
      </c>
      <c r="AU1592" s="464">
        <v>72.816286549781523</v>
      </c>
      <c r="AV1592" s="29">
        <v>0.102797518483968</v>
      </c>
      <c r="AW1592" s="29">
        <v>-0.89730607728999101</v>
      </c>
      <c r="AX1592" s="29">
        <v>-0.35724068854121799</v>
      </c>
      <c r="AY1592" s="29">
        <v>0.34906767606171601</v>
      </c>
      <c r="AZ1592" s="60">
        <v>-0.20419570946809601</v>
      </c>
    </row>
    <row r="1593" spans="1:52" s="29" customFormat="1" ht="15" customHeight="1">
      <c r="A1593" s="63" t="s">
        <v>447</v>
      </c>
      <c r="B1593" s="27">
        <v>2008</v>
      </c>
      <c r="C1593" s="27" t="s">
        <v>442</v>
      </c>
      <c r="D1593" s="69" t="s">
        <v>214</v>
      </c>
      <c r="E1593" s="29" t="s">
        <v>19</v>
      </c>
      <c r="F1593" s="27" t="s">
        <v>1940</v>
      </c>
      <c r="G1593" s="43"/>
      <c r="H1593" s="43"/>
      <c r="I1593" s="43"/>
      <c r="J1593" s="43"/>
      <c r="K1593" s="27"/>
      <c r="L1593" s="28"/>
      <c r="M1593" s="27"/>
      <c r="N1593" s="27"/>
      <c r="O1593" s="18"/>
      <c r="P1593" s="214"/>
      <c r="Q1593" s="214"/>
      <c r="R1593" s="18"/>
      <c r="S1593" s="27"/>
      <c r="T1593" s="18"/>
      <c r="V1593" s="18"/>
      <c r="W1593" s="30"/>
      <c r="X1593" s="27"/>
      <c r="Y1593" s="27"/>
      <c r="Z1593" s="27"/>
      <c r="AA1593" s="27"/>
      <c r="AB1593" s="27"/>
      <c r="AC1593" s="273">
        <v>3573697357.7190704</v>
      </c>
      <c r="AD1593" s="27">
        <v>121571548180.02281</v>
      </c>
      <c r="AE1593" s="228">
        <v>2.9395836535923269E-2</v>
      </c>
      <c r="AF1593" s="27">
        <v>21446436814.437824</v>
      </c>
      <c r="AG1593" s="226">
        <v>0.16663361791238177</v>
      </c>
      <c r="AH1593" s="226">
        <v>0.5679679010669535</v>
      </c>
      <c r="AI1593" s="27">
        <v>463020000</v>
      </c>
      <c r="AJ1593" s="226">
        <v>7.7182354060711642</v>
      </c>
      <c r="AK1593" s="27">
        <v>4354464168.2466049</v>
      </c>
      <c r="AL1593" s="226">
        <v>0.82069738540484471</v>
      </c>
      <c r="AM1593" s="27">
        <v>3251054184.275352</v>
      </c>
      <c r="AN1593" s="271">
        <v>1.0992426318220945</v>
      </c>
      <c r="AO1593" s="27">
        <v>28625628</v>
      </c>
      <c r="AP1593" s="27">
        <v>37.299999999999997</v>
      </c>
      <c r="AQ1593" s="27">
        <v>73.307292682926828</v>
      </c>
      <c r="AR1593" s="27">
        <v>17.399999999999999</v>
      </c>
      <c r="AS1593" s="29">
        <v>97.638440000000003</v>
      </c>
      <c r="AT1593" s="270">
        <v>38</v>
      </c>
      <c r="AU1593" s="464">
        <v>72.816286549781523</v>
      </c>
      <c r="AV1593" s="29">
        <v>0.102797518483968</v>
      </c>
      <c r="AW1593" s="29">
        <v>-0.89730607728999101</v>
      </c>
      <c r="AX1593" s="29">
        <v>-0.35724068854121799</v>
      </c>
      <c r="AY1593" s="29">
        <v>0.34906767606171601</v>
      </c>
      <c r="AZ1593" s="60">
        <v>-0.20419570946809601</v>
      </c>
    </row>
    <row r="1594" spans="1:52" s="29" customFormat="1" ht="15" customHeight="1">
      <c r="A1594" s="63" t="s">
        <v>447</v>
      </c>
      <c r="B1594" s="27">
        <v>2008</v>
      </c>
      <c r="C1594" s="27" t="s">
        <v>442</v>
      </c>
      <c r="D1594" s="69" t="s">
        <v>214</v>
      </c>
      <c r="E1594" s="29" t="s">
        <v>19</v>
      </c>
      <c r="F1594" s="27" t="s">
        <v>584</v>
      </c>
      <c r="G1594" s="43"/>
      <c r="H1594" s="43"/>
      <c r="I1594" s="43"/>
      <c r="J1594" s="43"/>
      <c r="K1594" s="27"/>
      <c r="L1594" s="28"/>
      <c r="M1594" s="27"/>
      <c r="N1594" s="27"/>
      <c r="O1594" s="18"/>
      <c r="P1594" s="214"/>
      <c r="Q1594" s="214"/>
      <c r="R1594" s="18"/>
      <c r="S1594" s="27"/>
      <c r="T1594" s="18"/>
      <c r="V1594" s="18"/>
      <c r="W1594" s="30"/>
      <c r="X1594" s="27"/>
      <c r="Y1594" s="27"/>
      <c r="Z1594" s="27"/>
      <c r="AA1594" s="27"/>
      <c r="AB1594" s="27"/>
      <c r="AC1594" s="273">
        <v>3573697357.7190704</v>
      </c>
      <c r="AD1594" s="27">
        <v>121571548180.02281</v>
      </c>
      <c r="AE1594" s="228">
        <v>2.9395836535923269E-2</v>
      </c>
      <c r="AF1594" s="27">
        <v>21446436814.437824</v>
      </c>
      <c r="AG1594" s="226">
        <v>0.16663361791238177</v>
      </c>
      <c r="AH1594" s="226">
        <v>0.5679679010669535</v>
      </c>
      <c r="AI1594" s="27">
        <v>463020000</v>
      </c>
      <c r="AJ1594" s="226">
        <v>7.7182354060711642</v>
      </c>
      <c r="AK1594" s="27">
        <v>4354464168.2466049</v>
      </c>
      <c r="AL1594" s="226">
        <v>0.82069738540484471</v>
      </c>
      <c r="AM1594" s="27">
        <v>3251054184.275352</v>
      </c>
      <c r="AN1594" s="271">
        <v>1.0992426318220945</v>
      </c>
      <c r="AO1594" s="27">
        <v>28625628</v>
      </c>
      <c r="AP1594" s="27">
        <v>37.299999999999997</v>
      </c>
      <c r="AQ1594" s="27">
        <v>73.307292682926828</v>
      </c>
      <c r="AR1594" s="27">
        <v>17.399999999999999</v>
      </c>
      <c r="AS1594" s="29">
        <v>97.638440000000003</v>
      </c>
      <c r="AT1594" s="270">
        <v>38</v>
      </c>
      <c r="AU1594" s="464">
        <v>72.816286549781523</v>
      </c>
      <c r="AV1594" s="29">
        <v>0.102797518483968</v>
      </c>
      <c r="AW1594" s="29">
        <v>-0.89730607728999101</v>
      </c>
      <c r="AX1594" s="29">
        <v>-0.35724068854121799</v>
      </c>
      <c r="AY1594" s="29">
        <v>0.34906767606171601</v>
      </c>
      <c r="AZ1594" s="60">
        <v>-0.20419570946809601</v>
      </c>
    </row>
    <row r="1595" spans="1:52" s="29" customFormat="1" ht="15" customHeight="1">
      <c r="A1595" s="63" t="s">
        <v>447</v>
      </c>
      <c r="B1595" s="27">
        <v>2008</v>
      </c>
      <c r="C1595" s="27" t="s">
        <v>442</v>
      </c>
      <c r="D1595" s="69" t="s">
        <v>214</v>
      </c>
      <c r="E1595" s="29" t="s">
        <v>19</v>
      </c>
      <c r="F1595" s="27" t="s">
        <v>1903</v>
      </c>
      <c r="G1595" s="43"/>
      <c r="H1595" s="43"/>
      <c r="I1595" s="43"/>
      <c r="J1595" s="43"/>
      <c r="K1595" s="27"/>
      <c r="L1595" s="28"/>
      <c r="M1595" s="27"/>
      <c r="N1595" s="27"/>
      <c r="O1595" s="18"/>
      <c r="P1595" s="214"/>
      <c r="Q1595" s="214"/>
      <c r="R1595" s="18"/>
      <c r="S1595" s="27"/>
      <c r="T1595" s="18"/>
      <c r="V1595" s="18"/>
      <c r="W1595" s="30"/>
      <c r="X1595" s="27"/>
      <c r="Y1595" s="27"/>
      <c r="Z1595" s="27"/>
      <c r="AA1595" s="27"/>
      <c r="AB1595" s="27"/>
      <c r="AC1595" s="273">
        <v>3573697357.7190704</v>
      </c>
      <c r="AD1595" s="27">
        <v>121571548180.02281</v>
      </c>
      <c r="AE1595" s="228">
        <v>2.9395836535923269E-2</v>
      </c>
      <c r="AF1595" s="27">
        <v>21446436814.437824</v>
      </c>
      <c r="AG1595" s="226">
        <v>0.16663361791238177</v>
      </c>
      <c r="AH1595" s="226">
        <v>0.5679679010669535</v>
      </c>
      <c r="AI1595" s="27">
        <v>463020000</v>
      </c>
      <c r="AJ1595" s="226">
        <v>7.7182354060711642</v>
      </c>
      <c r="AK1595" s="27">
        <v>4354464168.2466049</v>
      </c>
      <c r="AL1595" s="226">
        <v>0.82069738540484471</v>
      </c>
      <c r="AM1595" s="27">
        <v>3251054184.275352</v>
      </c>
      <c r="AN1595" s="271">
        <v>1.0992426318220945</v>
      </c>
      <c r="AO1595" s="27">
        <v>28625628</v>
      </c>
      <c r="AP1595" s="27">
        <v>37.299999999999997</v>
      </c>
      <c r="AQ1595" s="27">
        <v>73.307292682926828</v>
      </c>
      <c r="AR1595" s="27">
        <v>17.399999999999999</v>
      </c>
      <c r="AS1595" s="29">
        <v>97.638440000000003</v>
      </c>
      <c r="AT1595" s="270">
        <v>38</v>
      </c>
      <c r="AU1595" s="464">
        <v>72.816286549781523</v>
      </c>
      <c r="AV1595" s="29">
        <v>0.102797518483968</v>
      </c>
      <c r="AW1595" s="29">
        <v>-0.89730607728999101</v>
      </c>
      <c r="AX1595" s="29">
        <v>-0.35724068854121799</v>
      </c>
      <c r="AY1595" s="29">
        <v>0.34906767606171601</v>
      </c>
      <c r="AZ1595" s="60">
        <v>-0.20419570946809601</v>
      </c>
    </row>
    <row r="1596" spans="1:52" s="29" customFormat="1" ht="15" customHeight="1">
      <c r="A1596" s="63" t="s">
        <v>447</v>
      </c>
      <c r="B1596" s="27">
        <v>2008</v>
      </c>
      <c r="C1596" s="27" t="s">
        <v>442</v>
      </c>
      <c r="D1596" s="69" t="s">
        <v>214</v>
      </c>
      <c r="E1596" s="29" t="s">
        <v>19</v>
      </c>
      <c r="F1596" s="27" t="s">
        <v>1234</v>
      </c>
      <c r="G1596" s="43"/>
      <c r="H1596" s="43"/>
      <c r="I1596" s="43"/>
      <c r="J1596" s="43"/>
      <c r="K1596" s="27"/>
      <c r="L1596" s="28"/>
      <c r="M1596" s="27"/>
      <c r="N1596" s="27"/>
      <c r="O1596" s="18"/>
      <c r="P1596" s="214"/>
      <c r="Q1596" s="214"/>
      <c r="R1596" s="71"/>
      <c r="S1596" s="27"/>
      <c r="T1596" s="18"/>
      <c r="U1596" s="27"/>
      <c r="V1596" s="18"/>
      <c r="W1596" s="30"/>
      <c r="X1596" s="27"/>
      <c r="Y1596" s="27"/>
      <c r="Z1596" s="27"/>
      <c r="AA1596" s="27"/>
      <c r="AB1596" s="27"/>
      <c r="AC1596" s="273">
        <v>3573697357.7190704</v>
      </c>
      <c r="AD1596" s="27">
        <v>121571548180.02281</v>
      </c>
      <c r="AE1596" s="228">
        <v>2.9395836535923269E-2</v>
      </c>
      <c r="AF1596" s="27">
        <v>21446436814.437824</v>
      </c>
      <c r="AG1596" s="226">
        <v>0.16663361791238177</v>
      </c>
      <c r="AH1596" s="226">
        <v>0.5679679010669535</v>
      </c>
      <c r="AI1596" s="27">
        <v>463020000</v>
      </c>
      <c r="AJ1596" s="226">
        <v>7.7182354060711642</v>
      </c>
      <c r="AK1596" s="27">
        <v>4354464168.2466049</v>
      </c>
      <c r="AL1596" s="226">
        <v>0.82069738540484471</v>
      </c>
      <c r="AM1596" s="27">
        <v>3251054184.275352</v>
      </c>
      <c r="AN1596" s="271">
        <v>1.0992426318220945</v>
      </c>
      <c r="AO1596" s="27">
        <v>28625628</v>
      </c>
      <c r="AP1596" s="27">
        <v>37.299999999999997</v>
      </c>
      <c r="AQ1596" s="27">
        <v>73.307292682926828</v>
      </c>
      <c r="AR1596" s="27">
        <v>17.399999999999999</v>
      </c>
      <c r="AS1596" s="29">
        <v>97.638440000000003</v>
      </c>
      <c r="AT1596" s="270">
        <v>38</v>
      </c>
      <c r="AU1596" s="464">
        <v>72.816286549781523</v>
      </c>
      <c r="AV1596" s="29">
        <v>0.102797518483968</v>
      </c>
      <c r="AW1596" s="29">
        <v>-0.89730607728999101</v>
      </c>
      <c r="AX1596" s="29">
        <v>-0.35724068854121799</v>
      </c>
      <c r="AY1596" s="29">
        <v>0.34906767606171601</v>
      </c>
      <c r="AZ1596" s="60">
        <v>-0.20419570946809601</v>
      </c>
    </row>
    <row r="1597" spans="1:52" s="29" customFormat="1" ht="15" customHeight="1">
      <c r="A1597" s="63" t="s">
        <v>447</v>
      </c>
      <c r="B1597" s="27">
        <v>2008</v>
      </c>
      <c r="C1597" s="27" t="s">
        <v>442</v>
      </c>
      <c r="D1597" s="69" t="s">
        <v>214</v>
      </c>
      <c r="E1597" s="29" t="s">
        <v>19</v>
      </c>
      <c r="F1597" s="27" t="s">
        <v>1941</v>
      </c>
      <c r="G1597" s="43"/>
      <c r="H1597" s="43"/>
      <c r="I1597" s="43"/>
      <c r="J1597" s="43"/>
      <c r="K1597" s="27"/>
      <c r="L1597" s="28"/>
      <c r="M1597" s="27"/>
      <c r="N1597" s="27"/>
      <c r="O1597" s="18"/>
      <c r="P1597" s="214"/>
      <c r="Q1597" s="214"/>
      <c r="S1597" s="27"/>
      <c r="T1597" s="18"/>
      <c r="U1597" s="27"/>
      <c r="W1597" s="30"/>
      <c r="X1597" s="27"/>
      <c r="Y1597" s="27"/>
      <c r="Z1597" s="27"/>
      <c r="AA1597" s="27"/>
      <c r="AB1597" s="27"/>
      <c r="AC1597" s="273">
        <v>3573697357.7190704</v>
      </c>
      <c r="AD1597" s="27">
        <v>121571548180.02281</v>
      </c>
      <c r="AE1597" s="228">
        <v>2.9395836535923269E-2</v>
      </c>
      <c r="AF1597" s="27">
        <v>21446436814.437824</v>
      </c>
      <c r="AG1597" s="226">
        <v>0.16663361791238177</v>
      </c>
      <c r="AH1597" s="226">
        <v>0.5679679010669535</v>
      </c>
      <c r="AI1597" s="27">
        <v>463020000</v>
      </c>
      <c r="AJ1597" s="226">
        <v>7.7182354060711642</v>
      </c>
      <c r="AK1597" s="27">
        <v>4354464168.2466049</v>
      </c>
      <c r="AL1597" s="226">
        <v>0.82069738540484471</v>
      </c>
      <c r="AM1597" s="27">
        <v>3251054184.275352</v>
      </c>
      <c r="AN1597" s="271">
        <v>1.0992426318220945</v>
      </c>
      <c r="AO1597" s="27">
        <v>28625628</v>
      </c>
      <c r="AP1597" s="27">
        <v>37.299999999999997</v>
      </c>
      <c r="AQ1597" s="27">
        <v>73.307292682926828</v>
      </c>
      <c r="AR1597" s="27">
        <v>17.399999999999999</v>
      </c>
      <c r="AS1597" s="29">
        <v>97.638440000000003</v>
      </c>
      <c r="AT1597" s="270">
        <v>38</v>
      </c>
      <c r="AU1597" s="464">
        <v>72.816286549781523</v>
      </c>
      <c r="AV1597" s="29">
        <v>0.102797518483968</v>
      </c>
      <c r="AW1597" s="29">
        <v>-0.89730607728999101</v>
      </c>
      <c r="AX1597" s="29">
        <v>-0.35724068854121799</v>
      </c>
      <c r="AY1597" s="29">
        <v>0.34906767606171601</v>
      </c>
      <c r="AZ1597" s="60">
        <v>-0.20419570946809601</v>
      </c>
    </row>
    <row r="1598" spans="1:52" s="29" customFormat="1" ht="15" customHeight="1">
      <c r="A1598" s="63" t="s">
        <v>447</v>
      </c>
      <c r="B1598" s="27">
        <v>2008</v>
      </c>
      <c r="C1598" s="27" t="s">
        <v>442</v>
      </c>
      <c r="D1598" s="69" t="s">
        <v>214</v>
      </c>
      <c r="E1598" s="29" t="s">
        <v>19</v>
      </c>
      <c r="F1598" s="27" t="s">
        <v>1942</v>
      </c>
      <c r="G1598" s="43"/>
      <c r="H1598" s="43"/>
      <c r="I1598" s="43"/>
      <c r="J1598" s="43"/>
      <c r="K1598" s="27"/>
      <c r="L1598" s="28"/>
      <c r="M1598" s="27"/>
      <c r="N1598" s="27"/>
      <c r="O1598" s="18"/>
      <c r="P1598" s="214"/>
      <c r="Q1598" s="214"/>
      <c r="S1598" s="27"/>
      <c r="T1598" s="18"/>
      <c r="U1598" s="27"/>
      <c r="W1598" s="30"/>
      <c r="X1598" s="27"/>
      <c r="Y1598" s="27"/>
      <c r="Z1598" s="27"/>
      <c r="AA1598" s="27"/>
      <c r="AB1598" s="27"/>
      <c r="AC1598" s="273">
        <v>3573697357.7190704</v>
      </c>
      <c r="AD1598" s="27">
        <v>121571548180.02281</v>
      </c>
      <c r="AE1598" s="228">
        <v>2.9395836535923269E-2</v>
      </c>
      <c r="AF1598" s="27">
        <v>21446436814.437824</v>
      </c>
      <c r="AG1598" s="226">
        <v>0.16663361791238177</v>
      </c>
      <c r="AH1598" s="226">
        <v>0.5679679010669535</v>
      </c>
      <c r="AI1598" s="27">
        <v>463020000</v>
      </c>
      <c r="AJ1598" s="226">
        <v>7.7182354060711642</v>
      </c>
      <c r="AK1598" s="27">
        <v>4354464168.2466049</v>
      </c>
      <c r="AL1598" s="226">
        <v>0.82069738540484471</v>
      </c>
      <c r="AM1598" s="27">
        <v>3251054184.275352</v>
      </c>
      <c r="AN1598" s="271">
        <v>1.0992426318220945</v>
      </c>
      <c r="AO1598" s="27">
        <v>28625628</v>
      </c>
      <c r="AP1598" s="27">
        <v>37.299999999999997</v>
      </c>
      <c r="AQ1598" s="27">
        <v>73.307292682926828</v>
      </c>
      <c r="AR1598" s="27">
        <v>17.399999999999999</v>
      </c>
      <c r="AS1598" s="29">
        <v>97.638440000000003</v>
      </c>
      <c r="AT1598" s="270">
        <v>38</v>
      </c>
      <c r="AU1598" s="464">
        <v>72.816286549781523</v>
      </c>
      <c r="AV1598" s="29">
        <v>0.102797518483968</v>
      </c>
      <c r="AW1598" s="29">
        <v>-0.89730607728999101</v>
      </c>
      <c r="AX1598" s="29">
        <v>-0.35724068854121799</v>
      </c>
      <c r="AY1598" s="29">
        <v>0.34906767606171601</v>
      </c>
      <c r="AZ1598" s="60">
        <v>-0.20419570946809601</v>
      </c>
    </row>
    <row r="1599" spans="1:52" s="287" customFormat="1" ht="15" customHeight="1">
      <c r="A1599" s="359" t="s">
        <v>447</v>
      </c>
      <c r="B1599" s="284">
        <v>2008</v>
      </c>
      <c r="C1599" s="284" t="s">
        <v>442</v>
      </c>
      <c r="D1599" s="369" t="s">
        <v>214</v>
      </c>
      <c r="E1599" s="287" t="s">
        <v>19</v>
      </c>
      <c r="F1599" s="284" t="s">
        <v>790</v>
      </c>
      <c r="G1599" s="303"/>
      <c r="H1599" s="303"/>
      <c r="I1599" s="303"/>
      <c r="J1599" s="303"/>
      <c r="K1599" s="284"/>
      <c r="L1599" s="304"/>
      <c r="M1599" s="284"/>
      <c r="N1599" s="284"/>
      <c r="O1599" s="305"/>
      <c r="P1599" s="374"/>
      <c r="Q1599" s="374"/>
      <c r="R1599" s="284"/>
      <c r="S1599" s="284"/>
      <c r="T1599" s="305"/>
      <c r="U1599" s="284"/>
      <c r="V1599" s="284"/>
      <c r="W1599" s="307"/>
      <c r="X1599" s="284"/>
      <c r="Y1599" s="284"/>
      <c r="Z1599" s="284"/>
      <c r="AA1599" s="284"/>
      <c r="AB1599" s="284"/>
      <c r="AC1599" s="308">
        <v>3573697357.7190704</v>
      </c>
      <c r="AD1599" s="284">
        <v>121571548180.02281</v>
      </c>
      <c r="AE1599" s="309">
        <v>2.9395836535923269E-2</v>
      </c>
      <c r="AF1599" s="284">
        <v>21446436814.437824</v>
      </c>
      <c r="AG1599" s="310">
        <v>0.16663361791238177</v>
      </c>
      <c r="AH1599" s="310">
        <v>0.5679679010669535</v>
      </c>
      <c r="AI1599" s="284">
        <v>463020000</v>
      </c>
      <c r="AJ1599" s="310">
        <v>7.7182354060711642</v>
      </c>
      <c r="AK1599" s="284">
        <v>4354464168.2466049</v>
      </c>
      <c r="AL1599" s="310">
        <v>0.82069738540484471</v>
      </c>
      <c r="AM1599" s="284">
        <v>3251054184.275352</v>
      </c>
      <c r="AN1599" s="311">
        <v>1.0992426318220945</v>
      </c>
      <c r="AO1599" s="284">
        <v>28625628</v>
      </c>
      <c r="AP1599" s="284">
        <v>37.299999999999997</v>
      </c>
      <c r="AQ1599" s="284">
        <v>73.307292682926828</v>
      </c>
      <c r="AR1599" s="284">
        <v>17.399999999999999</v>
      </c>
      <c r="AS1599" s="287">
        <v>97.638440000000003</v>
      </c>
      <c r="AT1599" s="312">
        <v>38</v>
      </c>
      <c r="AU1599" s="465">
        <v>72.816286549781523</v>
      </c>
      <c r="AV1599" s="287">
        <v>0.102797518483968</v>
      </c>
      <c r="AW1599" s="287">
        <v>-0.89730607728999101</v>
      </c>
      <c r="AX1599" s="287">
        <v>-0.35724068854121799</v>
      </c>
      <c r="AY1599" s="287">
        <v>0.34906767606171601</v>
      </c>
      <c r="AZ1599" s="313">
        <v>-0.20419570946809601</v>
      </c>
    </row>
    <row r="1600" spans="1:52" ht="15" customHeight="1">
      <c r="A1600" s="347" t="s">
        <v>450</v>
      </c>
      <c r="B1600" s="27">
        <v>2009</v>
      </c>
      <c r="C1600" s="27" t="s">
        <v>442</v>
      </c>
      <c r="D1600" s="69" t="s">
        <v>214</v>
      </c>
      <c r="E1600" s="27" t="s">
        <v>30</v>
      </c>
      <c r="F1600" s="27" t="s">
        <v>659</v>
      </c>
      <c r="G1600" s="43"/>
      <c r="H1600" s="43"/>
      <c r="I1600" s="43"/>
      <c r="J1600" s="43"/>
      <c r="K1600" s="27"/>
      <c r="L1600" s="28"/>
      <c r="M1600" s="27"/>
      <c r="N1600" s="27"/>
      <c r="O1600" s="18">
        <f>O1601+O1604</f>
        <v>21925846717.900002</v>
      </c>
      <c r="P1600" s="214">
        <v>2965369766.4701195</v>
      </c>
      <c r="Q1600" s="214">
        <v>2965945526.7968125</v>
      </c>
      <c r="R1600" s="27" t="s">
        <v>619</v>
      </c>
      <c r="S1600" s="27"/>
      <c r="T1600" s="18"/>
      <c r="U1600" s="27" t="s">
        <v>1879</v>
      </c>
      <c r="V1600" s="27" t="s">
        <v>1880</v>
      </c>
      <c r="W1600" s="30">
        <v>3.012</v>
      </c>
      <c r="X1600" s="27">
        <v>51</v>
      </c>
      <c r="Y1600" s="27" t="s">
        <v>1919</v>
      </c>
      <c r="Z1600" s="27">
        <v>51</v>
      </c>
      <c r="AA1600" s="27" t="s">
        <v>1920</v>
      </c>
      <c r="AB1600" s="27" t="s">
        <v>1943</v>
      </c>
      <c r="AC1600" s="273">
        <v>2965369766.4701195</v>
      </c>
      <c r="AD1600" s="27">
        <v>121200381042.49667</v>
      </c>
      <c r="AE1600" s="228">
        <v>2.4466670326971723E-2</v>
      </c>
      <c r="AF1600" s="27">
        <v>21299754964.408367</v>
      </c>
      <c r="AG1600" s="226">
        <v>0.13922083946154387</v>
      </c>
      <c r="AH1600" s="226">
        <v>0.5227221672018223</v>
      </c>
      <c r="AI1600" s="27">
        <v>441170000</v>
      </c>
      <c r="AJ1600" s="226">
        <v>6.7216033875152874</v>
      </c>
      <c r="AK1600" s="27">
        <v>3736086215.4426045</v>
      </c>
      <c r="AL1600" s="226">
        <v>0.79371020781403989</v>
      </c>
      <c r="AM1600" s="27">
        <v>3535221194.39996</v>
      </c>
      <c r="AN1600" s="271">
        <v>0.83880741922668789</v>
      </c>
      <c r="AO1600" s="27">
        <v>28934303</v>
      </c>
      <c r="AP1600" s="27">
        <v>33.5</v>
      </c>
      <c r="AQ1600" s="27">
        <v>73.603682926829279</v>
      </c>
      <c r="AR1600" s="27">
        <v>16.2</v>
      </c>
      <c r="AS1600" s="29">
        <v>96.569890000000001</v>
      </c>
      <c r="AT1600" s="270">
        <v>38</v>
      </c>
      <c r="AU1600" s="464">
        <v>72.816286549781523</v>
      </c>
      <c r="AV1600" s="29">
        <v>4.0587288441011303E-2</v>
      </c>
      <c r="AW1600" s="29">
        <v>-1.1809401239462201</v>
      </c>
      <c r="AX1600" s="29">
        <v>-0.42240703988964201</v>
      </c>
      <c r="AY1600" s="29">
        <v>0.401355532712239</v>
      </c>
      <c r="AZ1600" s="60">
        <v>-0.34216136455586199</v>
      </c>
    </row>
    <row r="1601" spans="1:52" ht="15" customHeight="1">
      <c r="A1601" s="63" t="s">
        <v>450</v>
      </c>
      <c r="B1601" s="27">
        <v>2009</v>
      </c>
      <c r="C1601" s="27" t="s">
        <v>442</v>
      </c>
      <c r="D1601" s="69" t="s">
        <v>214</v>
      </c>
      <c r="E1601" s="29" t="s">
        <v>50</v>
      </c>
      <c r="F1601" s="27" t="s">
        <v>597</v>
      </c>
      <c r="G1601" s="43"/>
      <c r="H1601" s="43"/>
      <c r="I1601" s="43"/>
      <c r="J1601" s="43"/>
      <c r="K1601" s="27"/>
      <c r="L1601" s="28"/>
      <c r="M1601" s="27"/>
      <c r="N1601" s="27"/>
      <c r="O1601" s="18">
        <v>3764019398.8099999</v>
      </c>
      <c r="P1601" s="214">
        <v>908761224.34528553</v>
      </c>
      <c r="Q1601" s="214">
        <v>908758831.34528553</v>
      </c>
      <c r="R1601" s="27"/>
      <c r="S1601" s="27"/>
      <c r="T1601" s="18"/>
      <c r="U1601" s="27"/>
      <c r="V1601" s="27"/>
      <c r="W1601" s="30"/>
      <c r="X1601" s="27">
        <v>18</v>
      </c>
      <c r="Y1601" s="27" t="s">
        <v>1922</v>
      </c>
      <c r="Z1601" s="27">
        <v>18</v>
      </c>
      <c r="AA1601" s="27">
        <v>10</v>
      </c>
      <c r="AB1601" s="27"/>
      <c r="AC1601" s="273">
        <v>2965369766.4701195</v>
      </c>
      <c r="AD1601" s="27">
        <v>121200381042.49667</v>
      </c>
      <c r="AE1601" s="228">
        <v>2.4466670326971723E-2</v>
      </c>
      <c r="AF1601" s="27">
        <v>21299754964.408367</v>
      </c>
      <c r="AG1601" s="226">
        <v>0.13922083946154387</v>
      </c>
      <c r="AH1601" s="226">
        <v>0.5227221672018223</v>
      </c>
      <c r="AI1601" s="27">
        <v>441170000</v>
      </c>
      <c r="AJ1601" s="226">
        <v>6.7216033875152874</v>
      </c>
      <c r="AK1601" s="27">
        <v>3736086215.4426045</v>
      </c>
      <c r="AL1601" s="226">
        <v>0.79371020781403989</v>
      </c>
      <c r="AM1601" s="27">
        <v>3535221194.39996</v>
      </c>
      <c r="AN1601" s="271">
        <v>0.83880741922668789</v>
      </c>
      <c r="AO1601" s="27">
        <v>28934303</v>
      </c>
      <c r="AP1601" s="27">
        <v>33.5</v>
      </c>
      <c r="AQ1601" s="27">
        <v>73.603682926829279</v>
      </c>
      <c r="AR1601" s="27">
        <v>16.2</v>
      </c>
      <c r="AS1601" s="29">
        <v>96.569890000000001</v>
      </c>
      <c r="AT1601" s="270">
        <v>38</v>
      </c>
      <c r="AU1601" s="464">
        <v>72.816286549781523</v>
      </c>
      <c r="AV1601" s="29">
        <v>4.0587288441011303E-2</v>
      </c>
      <c r="AW1601" s="29">
        <v>-1.1809401239462201</v>
      </c>
      <c r="AX1601" s="29">
        <v>-0.42240703988964201</v>
      </c>
      <c r="AY1601" s="29">
        <v>0.401355532712239</v>
      </c>
      <c r="AZ1601" s="60">
        <v>-0.34216136455586199</v>
      </c>
    </row>
    <row r="1602" spans="1:52" ht="15" customHeight="1">
      <c r="A1602" s="63" t="s">
        <v>450</v>
      </c>
      <c r="B1602" s="27">
        <v>2009</v>
      </c>
      <c r="C1602" s="27" t="s">
        <v>442</v>
      </c>
      <c r="D1602" s="69" t="s">
        <v>214</v>
      </c>
      <c r="E1602" s="29" t="s">
        <v>552</v>
      </c>
      <c r="F1602" s="27" t="s">
        <v>552</v>
      </c>
      <c r="G1602" s="43"/>
      <c r="H1602" s="43"/>
      <c r="I1602" s="43"/>
      <c r="J1602" s="43"/>
      <c r="K1602" s="27"/>
      <c r="L1602" s="28"/>
      <c r="M1602" s="27"/>
      <c r="N1602" s="27"/>
      <c r="O1602" s="18"/>
      <c r="P1602" s="214"/>
      <c r="Q1602" s="214"/>
      <c r="R1602" s="27"/>
      <c r="S1602" s="27"/>
      <c r="T1602" s="18"/>
      <c r="U1602" s="27"/>
      <c r="V1602" s="27"/>
      <c r="W1602" s="30"/>
      <c r="X1602" s="27"/>
      <c r="Y1602" s="27" t="s">
        <v>1923</v>
      </c>
      <c r="Z1602" s="27"/>
      <c r="AA1602" s="27"/>
      <c r="AB1602" s="27"/>
      <c r="AC1602" s="273">
        <v>2965369766.4701195</v>
      </c>
      <c r="AD1602" s="27">
        <v>121200381042.49667</v>
      </c>
      <c r="AE1602" s="228">
        <v>2.4466670326971723E-2</v>
      </c>
      <c r="AF1602" s="27">
        <v>21299754964.408367</v>
      </c>
      <c r="AG1602" s="226">
        <v>0.13922083946154387</v>
      </c>
      <c r="AH1602" s="226">
        <v>0.5227221672018223</v>
      </c>
      <c r="AI1602" s="27">
        <v>441170000</v>
      </c>
      <c r="AJ1602" s="226">
        <v>6.7216033875152874</v>
      </c>
      <c r="AK1602" s="27">
        <v>3736086215.4426045</v>
      </c>
      <c r="AL1602" s="226">
        <v>0.79371020781403989</v>
      </c>
      <c r="AM1602" s="27">
        <v>3535221194.39996</v>
      </c>
      <c r="AN1602" s="271">
        <v>0.83880741922668789</v>
      </c>
      <c r="AO1602" s="27">
        <v>28934303</v>
      </c>
      <c r="AP1602" s="27">
        <v>33.5</v>
      </c>
      <c r="AQ1602" s="27">
        <v>73.603682926829279</v>
      </c>
      <c r="AR1602" s="27">
        <v>16.2</v>
      </c>
      <c r="AS1602" s="29">
        <v>96.569890000000001</v>
      </c>
      <c r="AT1602" s="270">
        <v>38</v>
      </c>
      <c r="AU1602" s="464">
        <v>72.816286549781523</v>
      </c>
      <c r="AV1602" s="29">
        <v>4.0587288441011303E-2</v>
      </c>
      <c r="AW1602" s="29">
        <v>-1.1809401239462201</v>
      </c>
      <c r="AX1602" s="29">
        <v>-0.42240703988964201</v>
      </c>
      <c r="AY1602" s="29">
        <v>0.401355532712239</v>
      </c>
      <c r="AZ1602" s="60">
        <v>-0.34216136455586199</v>
      </c>
    </row>
    <row r="1603" spans="1:52" ht="15" customHeight="1">
      <c r="A1603" s="63" t="s">
        <v>450</v>
      </c>
      <c r="B1603" s="27">
        <v>2009</v>
      </c>
      <c r="C1603" s="27" t="s">
        <v>442</v>
      </c>
      <c r="D1603" s="69" t="s">
        <v>214</v>
      </c>
      <c r="E1603" s="29" t="s">
        <v>98</v>
      </c>
      <c r="F1603" s="27" t="s">
        <v>98</v>
      </c>
      <c r="G1603" s="43"/>
      <c r="H1603" s="43"/>
      <c r="I1603" s="43"/>
      <c r="J1603" s="43"/>
      <c r="K1603" s="27"/>
      <c r="L1603" s="28"/>
      <c r="M1603" s="27"/>
      <c r="N1603" s="27"/>
      <c r="O1603" s="18"/>
      <c r="P1603" s="214"/>
      <c r="Q1603" s="214"/>
      <c r="R1603" s="27"/>
      <c r="S1603" s="27"/>
      <c r="T1603" s="18"/>
      <c r="U1603" s="27"/>
      <c r="V1603" s="27"/>
      <c r="W1603" s="30"/>
      <c r="X1603" s="27"/>
      <c r="Y1603" s="27"/>
      <c r="Z1603" s="27"/>
      <c r="AA1603" s="27"/>
      <c r="AB1603" s="27"/>
      <c r="AC1603" s="273">
        <v>2965369766.4701195</v>
      </c>
      <c r="AD1603" s="27">
        <v>121200381042.49667</v>
      </c>
      <c r="AE1603" s="228">
        <v>2.4466670326971723E-2</v>
      </c>
      <c r="AF1603" s="27">
        <v>21299754964.408367</v>
      </c>
      <c r="AG1603" s="226">
        <v>0.13922083946154387</v>
      </c>
      <c r="AH1603" s="226">
        <v>0.5227221672018223</v>
      </c>
      <c r="AI1603" s="27">
        <v>441170000</v>
      </c>
      <c r="AJ1603" s="226">
        <v>6.7216033875152874</v>
      </c>
      <c r="AK1603" s="27">
        <v>3736086215.4426045</v>
      </c>
      <c r="AL1603" s="226">
        <v>0.79371020781403989</v>
      </c>
      <c r="AM1603" s="27">
        <v>3535221194.39996</v>
      </c>
      <c r="AN1603" s="271">
        <v>0.83880741922668789</v>
      </c>
      <c r="AO1603" s="27">
        <v>28934303</v>
      </c>
      <c r="AP1603" s="27">
        <v>33.5</v>
      </c>
      <c r="AQ1603" s="27">
        <v>73.603682926829279</v>
      </c>
      <c r="AR1603" s="27">
        <v>16.2</v>
      </c>
      <c r="AS1603" s="29">
        <v>96.569890000000001</v>
      </c>
      <c r="AT1603" s="270">
        <v>38</v>
      </c>
      <c r="AU1603" s="464">
        <v>72.816286549781523</v>
      </c>
      <c r="AV1603" s="29">
        <v>4.0587288441011303E-2</v>
      </c>
      <c r="AW1603" s="29">
        <v>-1.1809401239462201</v>
      </c>
      <c r="AX1603" s="29">
        <v>-0.42240703988964201</v>
      </c>
      <c r="AY1603" s="29">
        <v>0.401355532712239</v>
      </c>
      <c r="AZ1603" s="60">
        <v>-0.34216136455586199</v>
      </c>
    </row>
    <row r="1604" spans="1:52" ht="15" customHeight="1">
      <c r="A1604" s="63" t="s">
        <v>450</v>
      </c>
      <c r="B1604" s="27">
        <v>2009</v>
      </c>
      <c r="C1604" s="27" t="s">
        <v>442</v>
      </c>
      <c r="D1604" s="69" t="s">
        <v>214</v>
      </c>
      <c r="E1604" s="29" t="s">
        <v>19</v>
      </c>
      <c r="F1604" s="27" t="s">
        <v>559</v>
      </c>
      <c r="G1604" s="43"/>
      <c r="H1604" s="43"/>
      <c r="I1604" s="43"/>
      <c r="J1604" s="43"/>
      <c r="K1604" s="27"/>
      <c r="L1604" s="28"/>
      <c r="M1604" s="27"/>
      <c r="N1604" s="27"/>
      <c r="O1604" s="18">
        <v>18161827319.09</v>
      </c>
      <c r="P1604" s="214">
        <v>2056608542.1248341</v>
      </c>
      <c r="Q1604" s="214">
        <v>2057186695.4515271</v>
      </c>
      <c r="R1604" s="29"/>
      <c r="S1604" s="27"/>
      <c r="T1604" s="18"/>
      <c r="U1604" s="27"/>
      <c r="V1604" s="29"/>
      <c r="W1604" s="30"/>
      <c r="X1604" s="27">
        <v>33</v>
      </c>
      <c r="Y1604" s="27" t="s">
        <v>1923</v>
      </c>
      <c r="Z1604" s="27">
        <v>33</v>
      </c>
      <c r="AA1604" s="27">
        <v>10</v>
      </c>
      <c r="AB1604" s="27"/>
      <c r="AC1604" s="273">
        <v>2965369766.4701195</v>
      </c>
      <c r="AD1604" s="27">
        <v>121200381042.49667</v>
      </c>
      <c r="AE1604" s="228">
        <v>2.4466670326971723E-2</v>
      </c>
      <c r="AF1604" s="27">
        <v>21299754964.408367</v>
      </c>
      <c r="AG1604" s="226">
        <v>0.13922083946154387</v>
      </c>
      <c r="AH1604" s="226">
        <v>0.5227221672018223</v>
      </c>
      <c r="AI1604" s="27">
        <v>441170000</v>
      </c>
      <c r="AJ1604" s="226">
        <v>6.7216033875152874</v>
      </c>
      <c r="AK1604" s="27">
        <v>3736086215.4426045</v>
      </c>
      <c r="AL1604" s="226">
        <v>0.79371020781403989</v>
      </c>
      <c r="AM1604" s="27">
        <v>3535221194.39996</v>
      </c>
      <c r="AN1604" s="271">
        <v>0.83880741922668789</v>
      </c>
      <c r="AO1604" s="27">
        <v>28934303</v>
      </c>
      <c r="AP1604" s="27">
        <v>33.5</v>
      </c>
      <c r="AQ1604" s="27">
        <v>73.603682926829279</v>
      </c>
      <c r="AR1604" s="27">
        <v>16.2</v>
      </c>
      <c r="AS1604" s="29">
        <v>96.569890000000001</v>
      </c>
      <c r="AT1604" s="270">
        <v>38</v>
      </c>
      <c r="AU1604" s="464">
        <v>72.816286549781523</v>
      </c>
      <c r="AV1604" s="29">
        <v>4.0587288441011303E-2</v>
      </c>
      <c r="AW1604" s="29">
        <v>-1.1809401239462201</v>
      </c>
      <c r="AX1604" s="29">
        <v>-0.42240703988964201</v>
      </c>
      <c r="AY1604" s="29">
        <v>0.401355532712239</v>
      </c>
      <c r="AZ1604" s="60">
        <v>-0.34216136455586199</v>
      </c>
    </row>
    <row r="1605" spans="1:52" ht="15" customHeight="1">
      <c r="A1605" s="63" t="s">
        <v>450</v>
      </c>
      <c r="B1605" s="27">
        <v>2009</v>
      </c>
      <c r="C1605" s="27" t="s">
        <v>442</v>
      </c>
      <c r="D1605" s="69" t="s">
        <v>214</v>
      </c>
      <c r="E1605" s="29" t="s">
        <v>19</v>
      </c>
      <c r="F1605" s="27" t="s">
        <v>1924</v>
      </c>
      <c r="G1605" s="43"/>
      <c r="H1605" s="43"/>
      <c r="I1605" s="43"/>
      <c r="J1605" s="43"/>
      <c r="K1605" s="27"/>
      <c r="L1605" s="28"/>
      <c r="M1605" s="27"/>
      <c r="N1605" s="27"/>
      <c r="O1605" s="18"/>
      <c r="P1605" s="214"/>
      <c r="Q1605" s="214"/>
      <c r="R1605" s="29"/>
      <c r="S1605" s="27"/>
      <c r="T1605" s="18"/>
      <c r="U1605" s="27"/>
      <c r="V1605" s="29"/>
      <c r="W1605" s="30"/>
      <c r="X1605" s="27"/>
      <c r="Y1605" s="27"/>
      <c r="Z1605" s="27"/>
      <c r="AA1605" s="27"/>
      <c r="AB1605" s="27"/>
      <c r="AC1605" s="273">
        <v>2965369766.4701195</v>
      </c>
      <c r="AD1605" s="27">
        <v>121200381042.49667</v>
      </c>
      <c r="AE1605" s="228">
        <v>2.4466670326971723E-2</v>
      </c>
      <c r="AF1605" s="27">
        <v>21299754964.408367</v>
      </c>
      <c r="AG1605" s="226">
        <v>0.13922083946154387</v>
      </c>
      <c r="AH1605" s="226">
        <v>0.5227221672018223</v>
      </c>
      <c r="AI1605" s="27">
        <v>441170000</v>
      </c>
      <c r="AJ1605" s="226">
        <v>6.7216033875152874</v>
      </c>
      <c r="AK1605" s="27">
        <v>3736086215.4426045</v>
      </c>
      <c r="AL1605" s="226">
        <v>0.79371020781403989</v>
      </c>
      <c r="AM1605" s="27">
        <v>3535221194.39996</v>
      </c>
      <c r="AN1605" s="271">
        <v>0.83880741922668789</v>
      </c>
      <c r="AO1605" s="27">
        <v>28934303</v>
      </c>
      <c r="AP1605" s="27">
        <v>33.5</v>
      </c>
      <c r="AQ1605" s="27">
        <v>73.603682926829279</v>
      </c>
      <c r="AR1605" s="27">
        <v>16.2</v>
      </c>
      <c r="AS1605" s="29">
        <v>96.569890000000001</v>
      </c>
      <c r="AT1605" s="270">
        <v>38</v>
      </c>
      <c r="AU1605" s="464">
        <v>72.816286549781523</v>
      </c>
      <c r="AV1605" s="29">
        <v>4.0587288441011303E-2</v>
      </c>
      <c r="AW1605" s="29">
        <v>-1.1809401239462201</v>
      </c>
      <c r="AX1605" s="29">
        <v>-0.42240703988964201</v>
      </c>
      <c r="AY1605" s="29">
        <v>0.401355532712239</v>
      </c>
      <c r="AZ1605" s="60">
        <v>-0.34216136455586199</v>
      </c>
    </row>
    <row r="1606" spans="1:52" ht="15" customHeight="1">
      <c r="A1606" s="63" t="s">
        <v>450</v>
      </c>
      <c r="B1606" s="27">
        <v>2009</v>
      </c>
      <c r="C1606" s="27" t="s">
        <v>442</v>
      </c>
      <c r="D1606" s="69" t="s">
        <v>214</v>
      </c>
      <c r="E1606" s="29" t="s">
        <v>19</v>
      </c>
      <c r="F1606" s="27" t="s">
        <v>1925</v>
      </c>
      <c r="G1606" s="43"/>
      <c r="H1606" s="43"/>
      <c r="I1606" s="43"/>
      <c r="J1606" s="43"/>
      <c r="K1606" s="27"/>
      <c r="L1606" s="28"/>
      <c r="M1606" s="27"/>
      <c r="N1606" s="27"/>
      <c r="O1606" s="18"/>
      <c r="P1606" s="214"/>
      <c r="Q1606" s="214"/>
      <c r="R1606" s="29"/>
      <c r="S1606" s="27"/>
      <c r="T1606" s="18"/>
      <c r="U1606" s="27"/>
      <c r="V1606" s="29"/>
      <c r="W1606" s="30"/>
      <c r="X1606" s="27"/>
      <c r="Y1606" s="27"/>
      <c r="Z1606" s="27"/>
      <c r="AA1606" s="27"/>
      <c r="AB1606" s="27"/>
      <c r="AC1606" s="273">
        <v>2965369766.4701195</v>
      </c>
      <c r="AD1606" s="27">
        <v>121200381042.49667</v>
      </c>
      <c r="AE1606" s="228">
        <v>2.4466670326971723E-2</v>
      </c>
      <c r="AF1606" s="27">
        <v>21299754964.408367</v>
      </c>
      <c r="AG1606" s="226">
        <v>0.13922083946154387</v>
      </c>
      <c r="AH1606" s="226">
        <v>0.5227221672018223</v>
      </c>
      <c r="AI1606" s="27">
        <v>441170000</v>
      </c>
      <c r="AJ1606" s="226">
        <v>6.7216033875152874</v>
      </c>
      <c r="AK1606" s="27">
        <v>3736086215.4426045</v>
      </c>
      <c r="AL1606" s="226">
        <v>0.79371020781403989</v>
      </c>
      <c r="AM1606" s="27">
        <v>3535221194.39996</v>
      </c>
      <c r="AN1606" s="271">
        <v>0.83880741922668789</v>
      </c>
      <c r="AO1606" s="27">
        <v>28934303</v>
      </c>
      <c r="AP1606" s="27">
        <v>33.5</v>
      </c>
      <c r="AQ1606" s="27">
        <v>73.603682926829279</v>
      </c>
      <c r="AR1606" s="27">
        <v>16.2</v>
      </c>
      <c r="AS1606" s="29">
        <v>96.569890000000001</v>
      </c>
      <c r="AT1606" s="270">
        <v>38</v>
      </c>
      <c r="AU1606" s="464">
        <v>72.816286549781523</v>
      </c>
      <c r="AV1606" s="29">
        <v>4.0587288441011303E-2</v>
      </c>
      <c r="AW1606" s="29">
        <v>-1.1809401239462201</v>
      </c>
      <c r="AX1606" s="29">
        <v>-0.42240703988964201</v>
      </c>
      <c r="AY1606" s="29">
        <v>0.401355532712239</v>
      </c>
      <c r="AZ1606" s="60">
        <v>-0.34216136455586199</v>
      </c>
    </row>
    <row r="1607" spans="1:52" ht="15" customHeight="1">
      <c r="A1607" s="63" t="s">
        <v>450</v>
      </c>
      <c r="B1607" s="27">
        <v>2009</v>
      </c>
      <c r="C1607" s="27" t="s">
        <v>442</v>
      </c>
      <c r="D1607" s="69" t="s">
        <v>214</v>
      </c>
      <c r="E1607" s="29" t="s">
        <v>19</v>
      </c>
      <c r="F1607" s="27" t="s">
        <v>1302</v>
      </c>
      <c r="G1607" s="43"/>
      <c r="H1607" s="43"/>
      <c r="I1607" s="43"/>
      <c r="J1607" s="43"/>
      <c r="K1607" s="27"/>
      <c r="L1607" s="28"/>
      <c r="M1607" s="27"/>
      <c r="N1607" s="27"/>
      <c r="O1607" s="18"/>
      <c r="P1607" s="214"/>
      <c r="Q1607" s="214"/>
      <c r="R1607" s="29"/>
      <c r="S1607" s="27"/>
      <c r="T1607" s="18"/>
      <c r="U1607" s="27"/>
      <c r="V1607" s="29"/>
      <c r="W1607" s="30"/>
      <c r="X1607" s="27"/>
      <c r="Y1607" s="27"/>
      <c r="Z1607" s="27"/>
      <c r="AA1607" s="27"/>
      <c r="AB1607" s="27"/>
      <c r="AC1607" s="273">
        <v>2965369766.4701195</v>
      </c>
      <c r="AD1607" s="27">
        <v>121200381042.49667</v>
      </c>
      <c r="AE1607" s="228">
        <v>2.4466670326971723E-2</v>
      </c>
      <c r="AF1607" s="27">
        <v>21299754964.408367</v>
      </c>
      <c r="AG1607" s="226">
        <v>0.13922083946154387</v>
      </c>
      <c r="AH1607" s="226">
        <v>0.5227221672018223</v>
      </c>
      <c r="AI1607" s="27">
        <v>441170000</v>
      </c>
      <c r="AJ1607" s="226">
        <v>6.7216033875152874</v>
      </c>
      <c r="AK1607" s="27">
        <v>3736086215.4426045</v>
      </c>
      <c r="AL1607" s="226">
        <v>0.79371020781403989</v>
      </c>
      <c r="AM1607" s="27">
        <v>3535221194.39996</v>
      </c>
      <c r="AN1607" s="271">
        <v>0.83880741922668789</v>
      </c>
      <c r="AO1607" s="27">
        <v>28934303</v>
      </c>
      <c r="AP1607" s="27">
        <v>33.5</v>
      </c>
      <c r="AQ1607" s="27">
        <v>73.603682926829279</v>
      </c>
      <c r="AR1607" s="27">
        <v>16.2</v>
      </c>
      <c r="AS1607" s="29">
        <v>96.569890000000001</v>
      </c>
      <c r="AT1607" s="270">
        <v>38</v>
      </c>
      <c r="AU1607" s="464">
        <v>72.816286549781523</v>
      </c>
      <c r="AV1607" s="29">
        <v>4.0587288441011303E-2</v>
      </c>
      <c r="AW1607" s="29">
        <v>-1.1809401239462201</v>
      </c>
      <c r="AX1607" s="29">
        <v>-0.42240703988964201</v>
      </c>
      <c r="AY1607" s="29">
        <v>0.401355532712239</v>
      </c>
      <c r="AZ1607" s="60">
        <v>-0.34216136455586199</v>
      </c>
    </row>
    <row r="1608" spans="1:52" ht="15" customHeight="1">
      <c r="A1608" s="63" t="s">
        <v>450</v>
      </c>
      <c r="B1608" s="27">
        <v>2009</v>
      </c>
      <c r="C1608" s="27" t="s">
        <v>442</v>
      </c>
      <c r="D1608" s="69" t="s">
        <v>214</v>
      </c>
      <c r="E1608" s="29" t="s">
        <v>19</v>
      </c>
      <c r="F1608" s="27" t="s">
        <v>1120</v>
      </c>
      <c r="G1608" s="43"/>
      <c r="H1608" s="43"/>
      <c r="I1608" s="43"/>
      <c r="J1608" s="43"/>
      <c r="K1608" s="27"/>
      <c r="L1608" s="28"/>
      <c r="M1608" s="27"/>
      <c r="N1608" s="27"/>
      <c r="O1608" s="18"/>
      <c r="P1608" s="214"/>
      <c r="Q1608" s="214"/>
      <c r="R1608" s="29"/>
      <c r="S1608" s="27"/>
      <c r="T1608" s="18"/>
      <c r="U1608" s="27"/>
      <c r="V1608" s="29"/>
      <c r="W1608" s="30"/>
      <c r="X1608" s="27"/>
      <c r="Y1608" s="27"/>
      <c r="Z1608" s="27"/>
      <c r="AA1608" s="27"/>
      <c r="AB1608" s="27"/>
      <c r="AC1608" s="273">
        <v>2965369766.4701195</v>
      </c>
      <c r="AD1608" s="27">
        <v>121200381042.49667</v>
      </c>
      <c r="AE1608" s="228">
        <v>2.4466670326971723E-2</v>
      </c>
      <c r="AF1608" s="27">
        <v>21299754964.408367</v>
      </c>
      <c r="AG1608" s="226">
        <v>0.13922083946154387</v>
      </c>
      <c r="AH1608" s="226">
        <v>0.5227221672018223</v>
      </c>
      <c r="AI1608" s="27">
        <v>441170000</v>
      </c>
      <c r="AJ1608" s="226">
        <v>6.7216033875152874</v>
      </c>
      <c r="AK1608" s="27">
        <v>3736086215.4426045</v>
      </c>
      <c r="AL1608" s="226">
        <v>0.79371020781403989</v>
      </c>
      <c r="AM1608" s="27">
        <v>3535221194.39996</v>
      </c>
      <c r="AN1608" s="271">
        <v>0.83880741922668789</v>
      </c>
      <c r="AO1608" s="27">
        <v>28934303</v>
      </c>
      <c r="AP1608" s="27">
        <v>33.5</v>
      </c>
      <c r="AQ1608" s="27">
        <v>73.603682926829279</v>
      </c>
      <c r="AR1608" s="27">
        <v>16.2</v>
      </c>
      <c r="AS1608" s="29">
        <v>96.569890000000001</v>
      </c>
      <c r="AT1608" s="270">
        <v>38</v>
      </c>
      <c r="AU1608" s="464">
        <v>72.816286549781523</v>
      </c>
      <c r="AV1608" s="29">
        <v>4.0587288441011303E-2</v>
      </c>
      <c r="AW1608" s="29">
        <v>-1.1809401239462201</v>
      </c>
      <c r="AX1608" s="29">
        <v>-0.42240703988964201</v>
      </c>
      <c r="AY1608" s="29">
        <v>0.401355532712239</v>
      </c>
      <c r="AZ1608" s="60">
        <v>-0.34216136455586199</v>
      </c>
    </row>
    <row r="1609" spans="1:52" ht="15" customHeight="1">
      <c r="A1609" s="63" t="s">
        <v>450</v>
      </c>
      <c r="B1609" s="27">
        <v>2009</v>
      </c>
      <c r="C1609" s="27" t="s">
        <v>442</v>
      </c>
      <c r="D1609" s="69" t="s">
        <v>214</v>
      </c>
      <c r="E1609" s="29" t="s">
        <v>19</v>
      </c>
      <c r="F1609" s="27" t="s">
        <v>1888</v>
      </c>
      <c r="G1609" s="43"/>
      <c r="H1609" s="43"/>
      <c r="I1609" s="43"/>
      <c r="J1609" s="43"/>
      <c r="K1609" s="27"/>
      <c r="L1609" s="28"/>
      <c r="M1609" s="27"/>
      <c r="N1609" s="27"/>
      <c r="O1609" s="18"/>
      <c r="P1609" s="214"/>
      <c r="Q1609" s="214"/>
      <c r="R1609" s="29"/>
      <c r="S1609" s="27"/>
      <c r="T1609" s="18"/>
      <c r="U1609" s="27"/>
      <c r="V1609" s="29"/>
      <c r="W1609" s="30"/>
      <c r="X1609" s="27"/>
      <c r="Y1609" s="27"/>
      <c r="Z1609" s="27"/>
      <c r="AA1609" s="27"/>
      <c r="AB1609" s="27"/>
      <c r="AC1609" s="273">
        <v>2965369766.4701195</v>
      </c>
      <c r="AD1609" s="27">
        <v>121200381042.49667</v>
      </c>
      <c r="AE1609" s="228">
        <v>2.4466670326971723E-2</v>
      </c>
      <c r="AF1609" s="27">
        <v>21299754964.408367</v>
      </c>
      <c r="AG1609" s="226">
        <v>0.13922083946154387</v>
      </c>
      <c r="AH1609" s="226">
        <v>0.5227221672018223</v>
      </c>
      <c r="AI1609" s="27">
        <v>441170000</v>
      </c>
      <c r="AJ1609" s="226">
        <v>6.7216033875152874</v>
      </c>
      <c r="AK1609" s="27">
        <v>3736086215.4426045</v>
      </c>
      <c r="AL1609" s="226">
        <v>0.79371020781403989</v>
      </c>
      <c r="AM1609" s="27">
        <v>3535221194.39996</v>
      </c>
      <c r="AN1609" s="271">
        <v>0.83880741922668789</v>
      </c>
      <c r="AO1609" s="27">
        <v>28934303</v>
      </c>
      <c r="AP1609" s="27">
        <v>33.5</v>
      </c>
      <c r="AQ1609" s="27">
        <v>73.603682926829279</v>
      </c>
      <c r="AR1609" s="27">
        <v>16.2</v>
      </c>
      <c r="AS1609" s="29">
        <v>96.569890000000001</v>
      </c>
      <c r="AT1609" s="270">
        <v>38</v>
      </c>
      <c r="AU1609" s="464">
        <v>72.816286549781523</v>
      </c>
      <c r="AV1609" s="29">
        <v>4.0587288441011303E-2</v>
      </c>
      <c r="AW1609" s="29">
        <v>-1.1809401239462201</v>
      </c>
      <c r="AX1609" s="29">
        <v>-0.42240703988964201</v>
      </c>
      <c r="AY1609" s="29">
        <v>0.401355532712239</v>
      </c>
      <c r="AZ1609" s="60">
        <v>-0.34216136455586199</v>
      </c>
    </row>
    <row r="1610" spans="1:52" ht="15" customHeight="1">
      <c r="A1610" s="63" t="s">
        <v>450</v>
      </c>
      <c r="B1610" s="27">
        <v>2009</v>
      </c>
      <c r="C1610" s="27" t="s">
        <v>442</v>
      </c>
      <c r="D1610" s="69" t="s">
        <v>214</v>
      </c>
      <c r="E1610" s="29" t="s">
        <v>19</v>
      </c>
      <c r="F1610" s="27" t="s">
        <v>1926</v>
      </c>
      <c r="G1610" s="43"/>
      <c r="H1610" s="43"/>
      <c r="I1610" s="43"/>
      <c r="J1610" s="43"/>
      <c r="K1610" s="27"/>
      <c r="L1610" s="28"/>
      <c r="M1610" s="27"/>
      <c r="N1610" s="27"/>
      <c r="O1610" s="18"/>
      <c r="P1610" s="214"/>
      <c r="Q1610" s="214"/>
      <c r="R1610" s="29"/>
      <c r="S1610" s="27"/>
      <c r="T1610" s="18"/>
      <c r="U1610" s="27"/>
      <c r="V1610" s="29"/>
      <c r="W1610" s="30"/>
      <c r="X1610" s="27"/>
      <c r="Y1610" s="27"/>
      <c r="Z1610" s="27"/>
      <c r="AA1610" s="27"/>
      <c r="AB1610" s="27"/>
      <c r="AC1610" s="273">
        <v>2965369766.4701195</v>
      </c>
      <c r="AD1610" s="27">
        <v>121200381042.49667</v>
      </c>
      <c r="AE1610" s="228">
        <v>2.4466670326971723E-2</v>
      </c>
      <c r="AF1610" s="27">
        <v>21299754964.408367</v>
      </c>
      <c r="AG1610" s="226">
        <v>0.13922083946154387</v>
      </c>
      <c r="AH1610" s="226">
        <v>0.5227221672018223</v>
      </c>
      <c r="AI1610" s="27">
        <v>441170000</v>
      </c>
      <c r="AJ1610" s="226">
        <v>6.7216033875152874</v>
      </c>
      <c r="AK1610" s="27">
        <v>3736086215.4426045</v>
      </c>
      <c r="AL1610" s="226">
        <v>0.79371020781403989</v>
      </c>
      <c r="AM1610" s="27">
        <v>3535221194.39996</v>
      </c>
      <c r="AN1610" s="271">
        <v>0.83880741922668789</v>
      </c>
      <c r="AO1610" s="27">
        <v>28934303</v>
      </c>
      <c r="AP1610" s="27">
        <v>33.5</v>
      </c>
      <c r="AQ1610" s="27">
        <v>73.603682926829279</v>
      </c>
      <c r="AR1610" s="27">
        <v>16.2</v>
      </c>
      <c r="AS1610" s="29">
        <v>96.569890000000001</v>
      </c>
      <c r="AT1610" s="270">
        <v>38</v>
      </c>
      <c r="AU1610" s="464">
        <v>72.816286549781523</v>
      </c>
      <c r="AV1610" s="29">
        <v>4.0587288441011303E-2</v>
      </c>
      <c r="AW1610" s="29">
        <v>-1.1809401239462201</v>
      </c>
      <c r="AX1610" s="29">
        <v>-0.42240703988964201</v>
      </c>
      <c r="AY1610" s="29">
        <v>0.401355532712239</v>
      </c>
      <c r="AZ1610" s="60">
        <v>-0.34216136455586199</v>
      </c>
    </row>
    <row r="1611" spans="1:52" ht="15" customHeight="1">
      <c r="A1611" s="63" t="s">
        <v>450</v>
      </c>
      <c r="B1611" s="27">
        <v>2009</v>
      </c>
      <c r="C1611" s="27" t="s">
        <v>442</v>
      </c>
      <c r="D1611" s="69" t="s">
        <v>214</v>
      </c>
      <c r="E1611" s="29" t="s">
        <v>19</v>
      </c>
      <c r="F1611" s="27" t="s">
        <v>1927</v>
      </c>
      <c r="G1611" s="43"/>
      <c r="H1611" s="43"/>
      <c r="I1611" s="43"/>
      <c r="J1611" s="43"/>
      <c r="K1611" s="27"/>
      <c r="L1611" s="28"/>
      <c r="M1611" s="27"/>
      <c r="N1611" s="27"/>
      <c r="O1611" s="18"/>
      <c r="P1611" s="214"/>
      <c r="Q1611" s="214"/>
      <c r="R1611" s="29"/>
      <c r="S1611" s="27"/>
      <c r="T1611" s="18"/>
      <c r="U1611" s="27"/>
      <c r="V1611" s="29"/>
      <c r="W1611" s="30"/>
      <c r="X1611" s="27"/>
      <c r="Y1611" s="27"/>
      <c r="Z1611" s="27"/>
      <c r="AA1611" s="27"/>
      <c r="AB1611" s="27"/>
      <c r="AC1611" s="273">
        <v>2965369766.4701195</v>
      </c>
      <c r="AD1611" s="27">
        <v>121200381042.49667</v>
      </c>
      <c r="AE1611" s="228">
        <v>2.4466670326971723E-2</v>
      </c>
      <c r="AF1611" s="27">
        <v>21299754964.408367</v>
      </c>
      <c r="AG1611" s="226">
        <v>0.13922083946154387</v>
      </c>
      <c r="AH1611" s="226">
        <v>0.5227221672018223</v>
      </c>
      <c r="AI1611" s="27">
        <v>441170000</v>
      </c>
      <c r="AJ1611" s="226">
        <v>6.7216033875152874</v>
      </c>
      <c r="AK1611" s="27">
        <v>3736086215.4426045</v>
      </c>
      <c r="AL1611" s="226">
        <v>0.79371020781403989</v>
      </c>
      <c r="AM1611" s="27">
        <v>3535221194.39996</v>
      </c>
      <c r="AN1611" s="271">
        <v>0.83880741922668789</v>
      </c>
      <c r="AO1611" s="27">
        <v>28934303</v>
      </c>
      <c r="AP1611" s="27">
        <v>33.5</v>
      </c>
      <c r="AQ1611" s="27">
        <v>73.603682926829279</v>
      </c>
      <c r="AR1611" s="27">
        <v>16.2</v>
      </c>
      <c r="AS1611" s="29">
        <v>96.569890000000001</v>
      </c>
      <c r="AT1611" s="270">
        <v>38</v>
      </c>
      <c r="AU1611" s="464">
        <v>72.816286549781523</v>
      </c>
      <c r="AV1611" s="29">
        <v>4.0587288441011303E-2</v>
      </c>
      <c r="AW1611" s="29">
        <v>-1.1809401239462201</v>
      </c>
      <c r="AX1611" s="29">
        <v>-0.42240703988964201</v>
      </c>
      <c r="AY1611" s="29">
        <v>0.401355532712239</v>
      </c>
      <c r="AZ1611" s="60">
        <v>-0.34216136455586199</v>
      </c>
    </row>
    <row r="1612" spans="1:52" ht="15" customHeight="1">
      <c r="A1612" s="63" t="s">
        <v>450</v>
      </c>
      <c r="B1612" s="27">
        <v>2009</v>
      </c>
      <c r="C1612" s="27" t="s">
        <v>442</v>
      </c>
      <c r="D1612" s="69" t="s">
        <v>214</v>
      </c>
      <c r="E1612" s="29" t="s">
        <v>19</v>
      </c>
      <c r="F1612" s="27" t="s">
        <v>566</v>
      </c>
      <c r="G1612" s="43"/>
      <c r="H1612" s="43"/>
      <c r="I1612" s="43"/>
      <c r="J1612" s="43"/>
      <c r="K1612" s="27"/>
      <c r="L1612" s="28"/>
      <c r="M1612" s="27"/>
      <c r="N1612" s="27"/>
      <c r="O1612" s="18"/>
      <c r="P1612" s="214"/>
      <c r="Q1612" s="214"/>
      <c r="R1612" s="29"/>
      <c r="S1612" s="27"/>
      <c r="T1612" s="18"/>
      <c r="U1612" s="27"/>
      <c r="V1612" s="29"/>
      <c r="W1612" s="30"/>
      <c r="X1612" s="27"/>
      <c r="Y1612" s="27"/>
      <c r="Z1612" s="27"/>
      <c r="AA1612" s="27"/>
      <c r="AB1612" s="27"/>
      <c r="AC1612" s="273">
        <v>2965369766.4701195</v>
      </c>
      <c r="AD1612" s="27">
        <v>121200381042.49667</v>
      </c>
      <c r="AE1612" s="228">
        <v>2.4466670326971723E-2</v>
      </c>
      <c r="AF1612" s="27">
        <v>21299754964.408367</v>
      </c>
      <c r="AG1612" s="226">
        <v>0.13922083946154387</v>
      </c>
      <c r="AH1612" s="226">
        <v>0.5227221672018223</v>
      </c>
      <c r="AI1612" s="27">
        <v>441170000</v>
      </c>
      <c r="AJ1612" s="226">
        <v>6.7216033875152874</v>
      </c>
      <c r="AK1612" s="27">
        <v>3736086215.4426045</v>
      </c>
      <c r="AL1612" s="226">
        <v>0.79371020781403989</v>
      </c>
      <c r="AM1612" s="27">
        <v>3535221194.39996</v>
      </c>
      <c r="AN1612" s="271">
        <v>0.83880741922668789</v>
      </c>
      <c r="AO1612" s="27">
        <v>28934303</v>
      </c>
      <c r="AP1612" s="27">
        <v>33.5</v>
      </c>
      <c r="AQ1612" s="27">
        <v>73.603682926829279</v>
      </c>
      <c r="AR1612" s="27">
        <v>16.2</v>
      </c>
      <c r="AS1612" s="29">
        <v>96.569890000000001</v>
      </c>
      <c r="AT1612" s="270">
        <v>38</v>
      </c>
      <c r="AU1612" s="464">
        <v>72.816286549781523</v>
      </c>
      <c r="AV1612" s="29">
        <v>4.0587288441011303E-2</v>
      </c>
      <c r="AW1612" s="29">
        <v>-1.1809401239462201</v>
      </c>
      <c r="AX1612" s="29">
        <v>-0.42240703988964201</v>
      </c>
      <c r="AY1612" s="29">
        <v>0.401355532712239</v>
      </c>
      <c r="AZ1612" s="60">
        <v>-0.34216136455586199</v>
      </c>
    </row>
    <row r="1613" spans="1:52" ht="15" customHeight="1">
      <c r="A1613" s="63" t="s">
        <v>450</v>
      </c>
      <c r="B1613" s="27">
        <v>2009</v>
      </c>
      <c r="C1613" s="27" t="s">
        <v>442</v>
      </c>
      <c r="D1613" s="69" t="s">
        <v>214</v>
      </c>
      <c r="E1613" s="29" t="s">
        <v>19</v>
      </c>
      <c r="F1613" s="27" t="s">
        <v>1928</v>
      </c>
      <c r="G1613" s="43"/>
      <c r="H1613" s="43"/>
      <c r="I1613" s="43"/>
      <c r="J1613" s="43"/>
      <c r="K1613" s="27"/>
      <c r="L1613" s="28"/>
      <c r="M1613" s="27"/>
      <c r="N1613" s="27"/>
      <c r="O1613" s="18"/>
      <c r="P1613" s="214"/>
      <c r="Q1613" s="214"/>
      <c r="R1613" s="29"/>
      <c r="S1613" s="27"/>
      <c r="T1613" s="18"/>
      <c r="U1613" s="27"/>
      <c r="V1613" s="29"/>
      <c r="W1613" s="30"/>
      <c r="X1613" s="27"/>
      <c r="Y1613" s="27"/>
      <c r="Z1613" s="27"/>
      <c r="AA1613" s="27"/>
      <c r="AB1613" s="27"/>
      <c r="AC1613" s="273">
        <v>2965369766.4701195</v>
      </c>
      <c r="AD1613" s="27">
        <v>121200381042.49667</v>
      </c>
      <c r="AE1613" s="228">
        <v>2.4466670326971723E-2</v>
      </c>
      <c r="AF1613" s="27">
        <v>21299754964.408367</v>
      </c>
      <c r="AG1613" s="226">
        <v>0.13922083946154387</v>
      </c>
      <c r="AH1613" s="226">
        <v>0.5227221672018223</v>
      </c>
      <c r="AI1613" s="27">
        <v>441170000</v>
      </c>
      <c r="AJ1613" s="226">
        <v>6.7216033875152874</v>
      </c>
      <c r="AK1613" s="27">
        <v>3736086215.4426045</v>
      </c>
      <c r="AL1613" s="226">
        <v>0.79371020781403989</v>
      </c>
      <c r="AM1613" s="27">
        <v>3535221194.39996</v>
      </c>
      <c r="AN1613" s="271">
        <v>0.83880741922668789</v>
      </c>
      <c r="AO1613" s="27">
        <v>28934303</v>
      </c>
      <c r="AP1613" s="27">
        <v>33.5</v>
      </c>
      <c r="AQ1613" s="27">
        <v>73.603682926829279</v>
      </c>
      <c r="AR1613" s="27">
        <v>16.2</v>
      </c>
      <c r="AS1613" s="29">
        <v>96.569890000000001</v>
      </c>
      <c r="AT1613" s="270">
        <v>38</v>
      </c>
      <c r="AU1613" s="464">
        <v>72.816286549781523</v>
      </c>
      <c r="AV1613" s="29">
        <v>4.0587288441011303E-2</v>
      </c>
      <c r="AW1613" s="29">
        <v>-1.1809401239462201</v>
      </c>
      <c r="AX1613" s="29">
        <v>-0.42240703988964201</v>
      </c>
      <c r="AY1613" s="29">
        <v>0.401355532712239</v>
      </c>
      <c r="AZ1613" s="60">
        <v>-0.34216136455586199</v>
      </c>
    </row>
    <row r="1614" spans="1:52" ht="15" customHeight="1">
      <c r="A1614" s="63" t="s">
        <v>450</v>
      </c>
      <c r="B1614" s="27">
        <v>2009</v>
      </c>
      <c r="C1614" s="27" t="s">
        <v>442</v>
      </c>
      <c r="D1614" s="69" t="s">
        <v>214</v>
      </c>
      <c r="E1614" s="29" t="s">
        <v>19</v>
      </c>
      <c r="F1614" s="27" t="s">
        <v>573</v>
      </c>
      <c r="G1614" s="43"/>
      <c r="H1614" s="43"/>
      <c r="I1614" s="43"/>
      <c r="J1614" s="43"/>
      <c r="K1614" s="27"/>
      <c r="L1614" s="28"/>
      <c r="M1614" s="27"/>
      <c r="N1614" s="27"/>
      <c r="O1614" s="18"/>
      <c r="P1614" s="214"/>
      <c r="Q1614" s="214"/>
      <c r="R1614" s="29"/>
      <c r="S1614" s="27"/>
      <c r="T1614" s="18"/>
      <c r="U1614" s="27"/>
      <c r="V1614" s="29"/>
      <c r="W1614" s="30"/>
      <c r="X1614" s="27"/>
      <c r="Y1614" s="27"/>
      <c r="Z1614" s="27"/>
      <c r="AA1614" s="27"/>
      <c r="AB1614" s="27"/>
      <c r="AC1614" s="273">
        <v>2965369766.4701195</v>
      </c>
      <c r="AD1614" s="27">
        <v>121200381042.49667</v>
      </c>
      <c r="AE1614" s="228">
        <v>2.4466670326971723E-2</v>
      </c>
      <c r="AF1614" s="27">
        <v>21299754964.408367</v>
      </c>
      <c r="AG1614" s="226">
        <v>0.13922083946154387</v>
      </c>
      <c r="AH1614" s="226">
        <v>0.5227221672018223</v>
      </c>
      <c r="AI1614" s="27">
        <v>441170000</v>
      </c>
      <c r="AJ1614" s="226">
        <v>6.7216033875152874</v>
      </c>
      <c r="AK1614" s="27">
        <v>3736086215.4426045</v>
      </c>
      <c r="AL1614" s="226">
        <v>0.79371020781403989</v>
      </c>
      <c r="AM1614" s="27">
        <v>3535221194.39996</v>
      </c>
      <c r="AN1614" s="271">
        <v>0.83880741922668789</v>
      </c>
      <c r="AO1614" s="27">
        <v>28934303</v>
      </c>
      <c r="AP1614" s="27">
        <v>33.5</v>
      </c>
      <c r="AQ1614" s="27">
        <v>73.603682926829279</v>
      </c>
      <c r="AR1614" s="27">
        <v>16.2</v>
      </c>
      <c r="AS1614" s="29">
        <v>96.569890000000001</v>
      </c>
      <c r="AT1614" s="270">
        <v>38</v>
      </c>
      <c r="AU1614" s="464">
        <v>72.816286549781523</v>
      </c>
      <c r="AV1614" s="29">
        <v>4.0587288441011303E-2</v>
      </c>
      <c r="AW1614" s="29">
        <v>-1.1809401239462201</v>
      </c>
      <c r="AX1614" s="29">
        <v>-0.42240703988964201</v>
      </c>
      <c r="AY1614" s="29">
        <v>0.401355532712239</v>
      </c>
      <c r="AZ1614" s="60">
        <v>-0.34216136455586199</v>
      </c>
    </row>
    <row r="1615" spans="1:52" ht="15" customHeight="1">
      <c r="A1615" s="63" t="s">
        <v>450</v>
      </c>
      <c r="B1615" s="27">
        <v>2009</v>
      </c>
      <c r="C1615" s="27" t="s">
        <v>442</v>
      </c>
      <c r="D1615" s="69" t="s">
        <v>214</v>
      </c>
      <c r="E1615" s="29" t="s">
        <v>19</v>
      </c>
      <c r="F1615" s="27" t="s">
        <v>1929</v>
      </c>
      <c r="G1615" s="43"/>
      <c r="H1615" s="43"/>
      <c r="I1615" s="43"/>
      <c r="J1615" s="43"/>
      <c r="K1615" s="27"/>
      <c r="L1615" s="28"/>
      <c r="M1615" s="27"/>
      <c r="N1615" s="27"/>
      <c r="O1615" s="18"/>
      <c r="P1615" s="214"/>
      <c r="Q1615" s="214"/>
      <c r="R1615" s="29"/>
      <c r="S1615" s="27"/>
      <c r="T1615" s="18"/>
      <c r="U1615" s="27"/>
      <c r="V1615" s="29"/>
      <c r="W1615" s="30"/>
      <c r="X1615" s="27"/>
      <c r="Y1615" s="27"/>
      <c r="Z1615" s="27"/>
      <c r="AA1615" s="27"/>
      <c r="AB1615" s="27"/>
      <c r="AC1615" s="273">
        <v>2965369766.4701195</v>
      </c>
      <c r="AD1615" s="27">
        <v>121200381042.49667</v>
      </c>
      <c r="AE1615" s="228">
        <v>2.4466670326971723E-2</v>
      </c>
      <c r="AF1615" s="27">
        <v>21299754964.408367</v>
      </c>
      <c r="AG1615" s="226">
        <v>0.13922083946154387</v>
      </c>
      <c r="AH1615" s="226">
        <v>0.5227221672018223</v>
      </c>
      <c r="AI1615" s="27">
        <v>441170000</v>
      </c>
      <c r="AJ1615" s="226">
        <v>6.7216033875152874</v>
      </c>
      <c r="AK1615" s="27">
        <v>3736086215.4426045</v>
      </c>
      <c r="AL1615" s="226">
        <v>0.79371020781403989</v>
      </c>
      <c r="AM1615" s="27">
        <v>3535221194.39996</v>
      </c>
      <c r="AN1615" s="271">
        <v>0.83880741922668789</v>
      </c>
      <c r="AO1615" s="27">
        <v>28934303</v>
      </c>
      <c r="AP1615" s="27">
        <v>33.5</v>
      </c>
      <c r="AQ1615" s="27">
        <v>73.603682926829279</v>
      </c>
      <c r="AR1615" s="27">
        <v>16.2</v>
      </c>
      <c r="AS1615" s="29">
        <v>96.569890000000001</v>
      </c>
      <c r="AT1615" s="270">
        <v>38</v>
      </c>
      <c r="AU1615" s="464">
        <v>72.816286549781523</v>
      </c>
      <c r="AV1615" s="29">
        <v>4.0587288441011303E-2</v>
      </c>
      <c r="AW1615" s="29">
        <v>-1.1809401239462201</v>
      </c>
      <c r="AX1615" s="29">
        <v>-0.42240703988964201</v>
      </c>
      <c r="AY1615" s="29">
        <v>0.401355532712239</v>
      </c>
      <c r="AZ1615" s="60">
        <v>-0.34216136455586199</v>
      </c>
    </row>
    <row r="1616" spans="1:52" ht="15" customHeight="1">
      <c r="A1616" s="63" t="s">
        <v>450</v>
      </c>
      <c r="B1616" s="27">
        <v>2009</v>
      </c>
      <c r="C1616" s="27" t="s">
        <v>442</v>
      </c>
      <c r="D1616" s="69" t="s">
        <v>214</v>
      </c>
      <c r="E1616" s="29" t="s">
        <v>19</v>
      </c>
      <c r="F1616" s="27" t="s">
        <v>576</v>
      </c>
      <c r="G1616" s="43"/>
      <c r="H1616" s="43"/>
      <c r="I1616" s="43"/>
      <c r="J1616" s="43"/>
      <c r="K1616" s="27"/>
      <c r="L1616" s="28"/>
      <c r="M1616" s="27"/>
      <c r="N1616" s="27"/>
      <c r="O1616" s="18"/>
      <c r="P1616" s="214"/>
      <c r="Q1616" s="214"/>
      <c r="R1616" s="71"/>
      <c r="S1616" s="27"/>
      <c r="T1616" s="18"/>
      <c r="U1616" s="27"/>
      <c r="V1616" s="71"/>
      <c r="W1616" s="30"/>
      <c r="X1616" s="27"/>
      <c r="Y1616" s="27"/>
      <c r="Z1616" s="27"/>
      <c r="AA1616" s="27"/>
      <c r="AB1616" s="27"/>
      <c r="AC1616" s="273">
        <v>2965369766.4701195</v>
      </c>
      <c r="AD1616" s="27">
        <v>121200381042.49667</v>
      </c>
      <c r="AE1616" s="228">
        <v>2.4466670326971723E-2</v>
      </c>
      <c r="AF1616" s="27">
        <v>21299754964.408367</v>
      </c>
      <c r="AG1616" s="226">
        <v>0.13922083946154387</v>
      </c>
      <c r="AH1616" s="226">
        <v>0.5227221672018223</v>
      </c>
      <c r="AI1616" s="27">
        <v>441170000</v>
      </c>
      <c r="AJ1616" s="226">
        <v>6.7216033875152874</v>
      </c>
      <c r="AK1616" s="27">
        <v>3736086215.4426045</v>
      </c>
      <c r="AL1616" s="226">
        <v>0.79371020781403989</v>
      </c>
      <c r="AM1616" s="27">
        <v>3535221194.39996</v>
      </c>
      <c r="AN1616" s="271">
        <v>0.83880741922668789</v>
      </c>
      <c r="AO1616" s="27">
        <v>28934303</v>
      </c>
      <c r="AP1616" s="27">
        <v>33.5</v>
      </c>
      <c r="AQ1616" s="27">
        <v>73.603682926829279</v>
      </c>
      <c r="AR1616" s="27">
        <v>16.2</v>
      </c>
      <c r="AS1616" s="29">
        <v>96.569890000000001</v>
      </c>
      <c r="AT1616" s="270">
        <v>38</v>
      </c>
      <c r="AU1616" s="464">
        <v>72.816286549781523</v>
      </c>
      <c r="AV1616" s="29">
        <v>4.0587288441011303E-2</v>
      </c>
      <c r="AW1616" s="29">
        <v>-1.1809401239462201</v>
      </c>
      <c r="AX1616" s="29">
        <v>-0.42240703988964201</v>
      </c>
      <c r="AY1616" s="29">
        <v>0.401355532712239</v>
      </c>
      <c r="AZ1616" s="60">
        <v>-0.34216136455586199</v>
      </c>
    </row>
    <row r="1617" spans="1:52" ht="15" customHeight="1">
      <c r="A1617" s="63" t="s">
        <v>450</v>
      </c>
      <c r="B1617" s="27">
        <v>2009</v>
      </c>
      <c r="C1617" s="27" t="s">
        <v>442</v>
      </c>
      <c r="D1617" s="69" t="s">
        <v>214</v>
      </c>
      <c r="E1617" s="29" t="s">
        <v>19</v>
      </c>
      <c r="F1617" s="27" t="s">
        <v>1930</v>
      </c>
      <c r="G1617" s="43"/>
      <c r="H1617" s="43"/>
      <c r="I1617" s="43"/>
      <c r="J1617" s="43"/>
      <c r="K1617" s="27"/>
      <c r="L1617" s="28"/>
      <c r="M1617" s="27"/>
      <c r="N1617" s="27"/>
      <c r="O1617" s="18"/>
      <c r="P1617" s="214"/>
      <c r="Q1617" s="214"/>
      <c r="R1617" s="29"/>
      <c r="S1617" s="27"/>
      <c r="T1617" s="18"/>
      <c r="U1617" s="27"/>
      <c r="V1617" s="29"/>
      <c r="W1617" s="30"/>
      <c r="X1617" s="27"/>
      <c r="Y1617" s="27"/>
      <c r="Z1617" s="27"/>
      <c r="AA1617" s="27"/>
      <c r="AB1617" s="27"/>
      <c r="AC1617" s="273">
        <v>2965369766.4701195</v>
      </c>
      <c r="AD1617" s="27">
        <v>121200381042.49667</v>
      </c>
      <c r="AE1617" s="228">
        <v>2.4466670326971723E-2</v>
      </c>
      <c r="AF1617" s="27">
        <v>21299754964.408367</v>
      </c>
      <c r="AG1617" s="226">
        <v>0.13922083946154387</v>
      </c>
      <c r="AH1617" s="226">
        <v>0.5227221672018223</v>
      </c>
      <c r="AI1617" s="27">
        <v>441170000</v>
      </c>
      <c r="AJ1617" s="226">
        <v>6.7216033875152874</v>
      </c>
      <c r="AK1617" s="27">
        <v>3736086215.4426045</v>
      </c>
      <c r="AL1617" s="226">
        <v>0.79371020781403989</v>
      </c>
      <c r="AM1617" s="27">
        <v>3535221194.39996</v>
      </c>
      <c r="AN1617" s="271">
        <v>0.83880741922668789</v>
      </c>
      <c r="AO1617" s="27">
        <v>28934303</v>
      </c>
      <c r="AP1617" s="27">
        <v>33.5</v>
      </c>
      <c r="AQ1617" s="27">
        <v>73.603682926829279</v>
      </c>
      <c r="AR1617" s="27">
        <v>16.2</v>
      </c>
      <c r="AS1617" s="29">
        <v>96.569890000000001</v>
      </c>
      <c r="AT1617" s="270">
        <v>38</v>
      </c>
      <c r="AU1617" s="464">
        <v>72.816286549781523</v>
      </c>
      <c r="AV1617" s="29">
        <v>4.0587288441011303E-2</v>
      </c>
      <c r="AW1617" s="29">
        <v>-1.1809401239462201</v>
      </c>
      <c r="AX1617" s="29">
        <v>-0.42240703988964201</v>
      </c>
      <c r="AY1617" s="29">
        <v>0.401355532712239</v>
      </c>
      <c r="AZ1617" s="60">
        <v>-0.34216136455586199</v>
      </c>
    </row>
    <row r="1618" spans="1:52" ht="15" customHeight="1">
      <c r="A1618" s="63" t="s">
        <v>450</v>
      </c>
      <c r="B1618" s="27">
        <v>2009</v>
      </c>
      <c r="C1618" s="27" t="s">
        <v>442</v>
      </c>
      <c r="D1618" s="69" t="s">
        <v>214</v>
      </c>
      <c r="E1618" s="29" t="s">
        <v>19</v>
      </c>
      <c r="F1618" s="27" t="s">
        <v>1931</v>
      </c>
      <c r="G1618" s="43"/>
      <c r="H1618" s="43"/>
      <c r="I1618" s="43"/>
      <c r="J1618" s="43"/>
      <c r="K1618" s="27"/>
      <c r="L1618" s="28"/>
      <c r="M1618" s="27"/>
      <c r="N1618" s="27"/>
      <c r="O1618" s="18"/>
      <c r="P1618" s="214"/>
      <c r="Q1618" s="214"/>
      <c r="R1618" s="29"/>
      <c r="S1618" s="27"/>
      <c r="T1618" s="18"/>
      <c r="U1618" s="27"/>
      <c r="V1618" s="29"/>
      <c r="W1618" s="30"/>
      <c r="X1618" s="27"/>
      <c r="Y1618" s="27"/>
      <c r="Z1618" s="27"/>
      <c r="AA1618" s="27"/>
      <c r="AB1618" s="27"/>
      <c r="AC1618" s="273">
        <v>2965369766.4701195</v>
      </c>
      <c r="AD1618" s="27">
        <v>121200381042.49667</v>
      </c>
      <c r="AE1618" s="228">
        <v>2.4466670326971723E-2</v>
      </c>
      <c r="AF1618" s="27">
        <v>21299754964.408367</v>
      </c>
      <c r="AG1618" s="226">
        <v>0.13922083946154387</v>
      </c>
      <c r="AH1618" s="226">
        <v>0.5227221672018223</v>
      </c>
      <c r="AI1618" s="27">
        <v>441170000</v>
      </c>
      <c r="AJ1618" s="226">
        <v>6.7216033875152874</v>
      </c>
      <c r="AK1618" s="27">
        <v>3736086215.4426045</v>
      </c>
      <c r="AL1618" s="226">
        <v>0.79371020781403989</v>
      </c>
      <c r="AM1618" s="27">
        <v>3535221194.39996</v>
      </c>
      <c r="AN1618" s="271">
        <v>0.83880741922668789</v>
      </c>
      <c r="AO1618" s="27">
        <v>28934303</v>
      </c>
      <c r="AP1618" s="27">
        <v>33.5</v>
      </c>
      <c r="AQ1618" s="27">
        <v>73.603682926829279</v>
      </c>
      <c r="AR1618" s="27">
        <v>16.2</v>
      </c>
      <c r="AS1618" s="29">
        <v>96.569890000000001</v>
      </c>
      <c r="AT1618" s="270">
        <v>38</v>
      </c>
      <c r="AU1618" s="464">
        <v>72.816286549781523</v>
      </c>
      <c r="AV1618" s="29">
        <v>4.0587288441011303E-2</v>
      </c>
      <c r="AW1618" s="29">
        <v>-1.1809401239462201</v>
      </c>
      <c r="AX1618" s="29">
        <v>-0.42240703988964201</v>
      </c>
      <c r="AY1618" s="29">
        <v>0.401355532712239</v>
      </c>
      <c r="AZ1618" s="60">
        <v>-0.34216136455586199</v>
      </c>
    </row>
    <row r="1619" spans="1:52" ht="15" customHeight="1">
      <c r="A1619" s="63" t="s">
        <v>450</v>
      </c>
      <c r="B1619" s="27">
        <v>2009</v>
      </c>
      <c r="C1619" s="27" t="s">
        <v>442</v>
      </c>
      <c r="D1619" s="69" t="s">
        <v>214</v>
      </c>
      <c r="E1619" s="29" t="s">
        <v>19</v>
      </c>
      <c r="F1619" s="27" t="s">
        <v>1125</v>
      </c>
      <c r="G1619" s="43"/>
      <c r="H1619" s="43"/>
      <c r="I1619" s="43"/>
      <c r="J1619" s="43"/>
      <c r="K1619" s="27"/>
      <c r="L1619" s="28"/>
      <c r="M1619" s="27"/>
      <c r="N1619" s="27"/>
      <c r="O1619" s="18"/>
      <c r="P1619" s="214"/>
      <c r="Q1619" s="214"/>
      <c r="R1619" s="29"/>
      <c r="S1619" s="27"/>
      <c r="T1619" s="18"/>
      <c r="U1619" s="27"/>
      <c r="V1619" s="29"/>
      <c r="W1619" s="30"/>
      <c r="X1619" s="27"/>
      <c r="Y1619" s="27"/>
      <c r="Z1619" s="27"/>
      <c r="AA1619" s="27"/>
      <c r="AB1619" s="27"/>
      <c r="AC1619" s="273">
        <v>2965369766.4701195</v>
      </c>
      <c r="AD1619" s="27">
        <v>121200381042.49667</v>
      </c>
      <c r="AE1619" s="228">
        <v>2.4466670326971723E-2</v>
      </c>
      <c r="AF1619" s="27">
        <v>21299754964.408367</v>
      </c>
      <c r="AG1619" s="226">
        <v>0.13922083946154387</v>
      </c>
      <c r="AH1619" s="226">
        <v>0.5227221672018223</v>
      </c>
      <c r="AI1619" s="27">
        <v>441170000</v>
      </c>
      <c r="AJ1619" s="226">
        <v>6.7216033875152874</v>
      </c>
      <c r="AK1619" s="27">
        <v>3736086215.4426045</v>
      </c>
      <c r="AL1619" s="226">
        <v>0.79371020781403989</v>
      </c>
      <c r="AM1619" s="27">
        <v>3535221194.39996</v>
      </c>
      <c r="AN1619" s="271">
        <v>0.83880741922668789</v>
      </c>
      <c r="AO1619" s="27">
        <v>28934303</v>
      </c>
      <c r="AP1619" s="27">
        <v>33.5</v>
      </c>
      <c r="AQ1619" s="27">
        <v>73.603682926829279</v>
      </c>
      <c r="AR1619" s="27">
        <v>16.2</v>
      </c>
      <c r="AS1619" s="29">
        <v>96.569890000000001</v>
      </c>
      <c r="AT1619" s="270">
        <v>38</v>
      </c>
      <c r="AU1619" s="464">
        <v>72.816286549781523</v>
      </c>
      <c r="AV1619" s="29">
        <v>4.0587288441011303E-2</v>
      </c>
      <c r="AW1619" s="29">
        <v>-1.1809401239462201</v>
      </c>
      <c r="AX1619" s="29">
        <v>-0.42240703988964201</v>
      </c>
      <c r="AY1619" s="29">
        <v>0.401355532712239</v>
      </c>
      <c r="AZ1619" s="60">
        <v>-0.34216136455586199</v>
      </c>
    </row>
    <row r="1620" spans="1:52" ht="15" customHeight="1">
      <c r="A1620" s="63" t="s">
        <v>450</v>
      </c>
      <c r="B1620" s="27">
        <v>2009</v>
      </c>
      <c r="C1620" s="27" t="s">
        <v>442</v>
      </c>
      <c r="D1620" s="69" t="s">
        <v>214</v>
      </c>
      <c r="E1620" s="29" t="s">
        <v>19</v>
      </c>
      <c r="F1620" s="27" t="s">
        <v>1932</v>
      </c>
      <c r="G1620" s="43"/>
      <c r="H1620" s="43"/>
      <c r="I1620" s="43"/>
      <c r="J1620" s="43"/>
      <c r="K1620" s="27"/>
      <c r="L1620" s="28"/>
      <c r="M1620" s="27"/>
      <c r="N1620" s="27"/>
      <c r="O1620" s="18"/>
      <c r="P1620" s="214"/>
      <c r="Q1620" s="214"/>
      <c r="R1620" s="29"/>
      <c r="S1620" s="27"/>
      <c r="T1620" s="18"/>
      <c r="U1620" s="27"/>
      <c r="V1620" s="29"/>
      <c r="W1620" s="30"/>
      <c r="X1620" s="27"/>
      <c r="Y1620" s="27"/>
      <c r="Z1620" s="27"/>
      <c r="AA1620" s="27"/>
      <c r="AB1620" s="27"/>
      <c r="AC1620" s="273">
        <v>2965369766.4701195</v>
      </c>
      <c r="AD1620" s="27">
        <v>121200381042.49667</v>
      </c>
      <c r="AE1620" s="228">
        <v>2.4466670326971723E-2</v>
      </c>
      <c r="AF1620" s="27">
        <v>21299754964.408367</v>
      </c>
      <c r="AG1620" s="226">
        <v>0.13922083946154387</v>
      </c>
      <c r="AH1620" s="226">
        <v>0.5227221672018223</v>
      </c>
      <c r="AI1620" s="27">
        <v>441170000</v>
      </c>
      <c r="AJ1620" s="226">
        <v>6.7216033875152874</v>
      </c>
      <c r="AK1620" s="27">
        <v>3736086215.4426045</v>
      </c>
      <c r="AL1620" s="226">
        <v>0.79371020781403989</v>
      </c>
      <c r="AM1620" s="27">
        <v>3535221194.39996</v>
      </c>
      <c r="AN1620" s="271">
        <v>0.83880741922668789</v>
      </c>
      <c r="AO1620" s="27">
        <v>28934303</v>
      </c>
      <c r="AP1620" s="27">
        <v>33.5</v>
      </c>
      <c r="AQ1620" s="27">
        <v>73.603682926829279</v>
      </c>
      <c r="AR1620" s="27">
        <v>16.2</v>
      </c>
      <c r="AS1620" s="29">
        <v>96.569890000000001</v>
      </c>
      <c r="AT1620" s="270">
        <v>38</v>
      </c>
      <c r="AU1620" s="464">
        <v>72.816286549781523</v>
      </c>
      <c r="AV1620" s="29">
        <v>4.0587288441011303E-2</v>
      </c>
      <c r="AW1620" s="29">
        <v>-1.1809401239462201</v>
      </c>
      <c r="AX1620" s="29">
        <v>-0.42240703988964201</v>
      </c>
      <c r="AY1620" s="29">
        <v>0.401355532712239</v>
      </c>
      <c r="AZ1620" s="60">
        <v>-0.34216136455586199</v>
      </c>
    </row>
    <row r="1621" spans="1:52" ht="15" customHeight="1">
      <c r="A1621" s="63" t="s">
        <v>450</v>
      </c>
      <c r="B1621" s="27">
        <v>2009</v>
      </c>
      <c r="C1621" s="27" t="s">
        <v>442</v>
      </c>
      <c r="D1621" s="69" t="s">
        <v>214</v>
      </c>
      <c r="E1621" s="29" t="s">
        <v>19</v>
      </c>
      <c r="F1621" s="27" t="s">
        <v>1933</v>
      </c>
      <c r="G1621" s="43"/>
      <c r="H1621" s="43"/>
      <c r="I1621" s="43"/>
      <c r="J1621" s="43"/>
      <c r="K1621" s="27"/>
      <c r="L1621" s="28"/>
      <c r="M1621" s="27"/>
      <c r="N1621" s="27"/>
      <c r="O1621" s="18"/>
      <c r="P1621" s="214"/>
      <c r="Q1621" s="214"/>
      <c r="R1621" s="29"/>
      <c r="S1621" s="27"/>
      <c r="T1621" s="18"/>
      <c r="U1621" s="27"/>
      <c r="V1621" s="29"/>
      <c r="W1621" s="30"/>
      <c r="X1621" s="27"/>
      <c r="Y1621" s="27"/>
      <c r="Z1621" s="27"/>
      <c r="AA1621" s="27"/>
      <c r="AB1621" s="27"/>
      <c r="AC1621" s="273">
        <v>2965369766.4701195</v>
      </c>
      <c r="AD1621" s="27">
        <v>121200381042.49667</v>
      </c>
      <c r="AE1621" s="228">
        <v>2.4466670326971723E-2</v>
      </c>
      <c r="AF1621" s="27">
        <v>21299754964.408367</v>
      </c>
      <c r="AG1621" s="226">
        <v>0.13922083946154387</v>
      </c>
      <c r="AH1621" s="226">
        <v>0.5227221672018223</v>
      </c>
      <c r="AI1621" s="27">
        <v>441170000</v>
      </c>
      <c r="AJ1621" s="226">
        <v>6.7216033875152874</v>
      </c>
      <c r="AK1621" s="27">
        <v>3736086215.4426045</v>
      </c>
      <c r="AL1621" s="226">
        <v>0.79371020781403989</v>
      </c>
      <c r="AM1621" s="27">
        <v>3535221194.39996</v>
      </c>
      <c r="AN1621" s="271">
        <v>0.83880741922668789</v>
      </c>
      <c r="AO1621" s="27">
        <v>28934303</v>
      </c>
      <c r="AP1621" s="27">
        <v>33.5</v>
      </c>
      <c r="AQ1621" s="27">
        <v>73.603682926829279</v>
      </c>
      <c r="AR1621" s="27">
        <v>16.2</v>
      </c>
      <c r="AS1621" s="29">
        <v>96.569890000000001</v>
      </c>
      <c r="AT1621" s="270">
        <v>38</v>
      </c>
      <c r="AU1621" s="464">
        <v>72.816286549781523</v>
      </c>
      <c r="AV1621" s="29">
        <v>4.0587288441011303E-2</v>
      </c>
      <c r="AW1621" s="29">
        <v>-1.1809401239462201</v>
      </c>
      <c r="AX1621" s="29">
        <v>-0.42240703988964201</v>
      </c>
      <c r="AY1621" s="29">
        <v>0.401355532712239</v>
      </c>
      <c r="AZ1621" s="60">
        <v>-0.34216136455586199</v>
      </c>
    </row>
    <row r="1622" spans="1:52" ht="15" customHeight="1">
      <c r="A1622" s="63" t="s">
        <v>450</v>
      </c>
      <c r="B1622" s="27">
        <v>2009</v>
      </c>
      <c r="C1622" s="27" t="s">
        <v>442</v>
      </c>
      <c r="D1622" s="69" t="s">
        <v>214</v>
      </c>
      <c r="E1622" s="29" t="s">
        <v>19</v>
      </c>
      <c r="F1622" s="27" t="s">
        <v>730</v>
      </c>
      <c r="G1622" s="43"/>
      <c r="H1622" s="43"/>
      <c r="I1622" s="43"/>
      <c r="J1622" s="43"/>
      <c r="K1622" s="27"/>
      <c r="L1622" s="28"/>
      <c r="M1622" s="27"/>
      <c r="N1622" s="27"/>
      <c r="O1622" s="18"/>
      <c r="P1622" s="214"/>
      <c r="Q1622" s="214"/>
      <c r="R1622" s="29"/>
      <c r="S1622" s="27"/>
      <c r="T1622" s="18"/>
      <c r="U1622" s="27"/>
      <c r="V1622" s="29"/>
      <c r="W1622" s="30"/>
      <c r="X1622" s="27"/>
      <c r="Y1622" s="27"/>
      <c r="Z1622" s="27"/>
      <c r="AA1622" s="27"/>
      <c r="AB1622" s="27"/>
      <c r="AC1622" s="273">
        <v>2965369766.4701195</v>
      </c>
      <c r="AD1622" s="27">
        <v>121200381042.49667</v>
      </c>
      <c r="AE1622" s="228">
        <v>2.4466670326971723E-2</v>
      </c>
      <c r="AF1622" s="27">
        <v>21299754964.408367</v>
      </c>
      <c r="AG1622" s="226">
        <v>0.13922083946154387</v>
      </c>
      <c r="AH1622" s="226">
        <v>0.5227221672018223</v>
      </c>
      <c r="AI1622" s="27">
        <v>441170000</v>
      </c>
      <c r="AJ1622" s="226">
        <v>6.7216033875152874</v>
      </c>
      <c r="AK1622" s="27">
        <v>3736086215.4426045</v>
      </c>
      <c r="AL1622" s="226">
        <v>0.79371020781403989</v>
      </c>
      <c r="AM1622" s="27">
        <v>3535221194.39996</v>
      </c>
      <c r="AN1622" s="271">
        <v>0.83880741922668789</v>
      </c>
      <c r="AO1622" s="27">
        <v>28934303</v>
      </c>
      <c r="AP1622" s="27">
        <v>33.5</v>
      </c>
      <c r="AQ1622" s="27">
        <v>73.603682926829279</v>
      </c>
      <c r="AR1622" s="27">
        <v>16.2</v>
      </c>
      <c r="AS1622" s="29">
        <v>96.569890000000001</v>
      </c>
      <c r="AT1622" s="270">
        <v>38</v>
      </c>
      <c r="AU1622" s="464">
        <v>72.816286549781523</v>
      </c>
      <c r="AV1622" s="29">
        <v>4.0587288441011303E-2</v>
      </c>
      <c r="AW1622" s="29">
        <v>-1.1809401239462201</v>
      </c>
      <c r="AX1622" s="29">
        <v>-0.42240703988964201</v>
      </c>
      <c r="AY1622" s="29">
        <v>0.401355532712239</v>
      </c>
      <c r="AZ1622" s="60">
        <v>-0.34216136455586199</v>
      </c>
    </row>
    <row r="1623" spans="1:52" ht="15" customHeight="1">
      <c r="A1623" s="63" t="s">
        <v>450</v>
      </c>
      <c r="B1623" s="27">
        <v>2009</v>
      </c>
      <c r="C1623" s="27" t="s">
        <v>442</v>
      </c>
      <c r="D1623" s="69" t="s">
        <v>214</v>
      </c>
      <c r="E1623" s="29" t="s">
        <v>19</v>
      </c>
      <c r="F1623" s="27" t="s">
        <v>882</v>
      </c>
      <c r="G1623" s="43"/>
      <c r="H1623" s="43"/>
      <c r="I1623" s="43"/>
      <c r="J1623" s="43"/>
      <c r="K1623" s="27"/>
      <c r="L1623" s="28"/>
      <c r="M1623" s="27"/>
      <c r="N1623" s="27"/>
      <c r="O1623" s="18"/>
      <c r="P1623" s="214"/>
      <c r="Q1623" s="214"/>
      <c r="R1623" s="71"/>
      <c r="S1623" s="27"/>
      <c r="T1623" s="18"/>
      <c r="U1623" s="27"/>
      <c r="V1623" s="18"/>
      <c r="W1623" s="30"/>
      <c r="X1623" s="27"/>
      <c r="Y1623" s="27"/>
      <c r="Z1623" s="27"/>
      <c r="AA1623" s="27"/>
      <c r="AB1623" s="27"/>
      <c r="AC1623" s="273">
        <v>2965369766.4701195</v>
      </c>
      <c r="AD1623" s="27">
        <v>121200381042.49667</v>
      </c>
      <c r="AE1623" s="228">
        <v>2.4466670326971723E-2</v>
      </c>
      <c r="AF1623" s="27">
        <v>21299754964.408367</v>
      </c>
      <c r="AG1623" s="226">
        <v>0.13922083946154387</v>
      </c>
      <c r="AH1623" s="226">
        <v>0.5227221672018223</v>
      </c>
      <c r="AI1623" s="27">
        <v>441170000</v>
      </c>
      <c r="AJ1623" s="226">
        <v>6.7216033875152874</v>
      </c>
      <c r="AK1623" s="27">
        <v>3736086215.4426045</v>
      </c>
      <c r="AL1623" s="226">
        <v>0.79371020781403989</v>
      </c>
      <c r="AM1623" s="27">
        <v>3535221194.39996</v>
      </c>
      <c r="AN1623" s="271">
        <v>0.83880741922668789</v>
      </c>
      <c r="AO1623" s="27">
        <v>28934303</v>
      </c>
      <c r="AP1623" s="27">
        <v>33.5</v>
      </c>
      <c r="AQ1623" s="27">
        <v>73.603682926829279</v>
      </c>
      <c r="AR1623" s="27">
        <v>16.2</v>
      </c>
      <c r="AS1623" s="29">
        <v>96.569890000000001</v>
      </c>
      <c r="AT1623" s="270">
        <v>38</v>
      </c>
      <c r="AU1623" s="464">
        <v>72.816286549781523</v>
      </c>
      <c r="AV1623" s="29">
        <v>4.0587288441011303E-2</v>
      </c>
      <c r="AW1623" s="29">
        <v>-1.1809401239462201</v>
      </c>
      <c r="AX1623" s="29">
        <v>-0.42240703988964201</v>
      </c>
      <c r="AY1623" s="29">
        <v>0.401355532712239</v>
      </c>
      <c r="AZ1623" s="60">
        <v>-0.34216136455586199</v>
      </c>
    </row>
    <row r="1624" spans="1:52" ht="15" customHeight="1">
      <c r="A1624" s="63" t="s">
        <v>450</v>
      </c>
      <c r="B1624" s="27">
        <v>2009</v>
      </c>
      <c r="C1624" s="27" t="s">
        <v>442</v>
      </c>
      <c r="D1624" s="69" t="s">
        <v>214</v>
      </c>
      <c r="E1624" s="29" t="s">
        <v>19</v>
      </c>
      <c r="F1624" s="27" t="s">
        <v>1131</v>
      </c>
      <c r="G1624" s="43"/>
      <c r="H1624" s="43"/>
      <c r="I1624" s="43"/>
      <c r="J1624" s="43"/>
      <c r="K1624" s="27"/>
      <c r="L1624" s="28"/>
      <c r="M1624" s="27"/>
      <c r="N1624" s="27"/>
      <c r="O1624" s="18"/>
      <c r="P1624" s="214"/>
      <c r="Q1624" s="214"/>
      <c r="R1624" s="71"/>
      <c r="S1624" s="27"/>
      <c r="T1624" s="18"/>
      <c r="U1624" s="27"/>
      <c r="V1624" s="18"/>
      <c r="W1624" s="30"/>
      <c r="X1624" s="27"/>
      <c r="Y1624" s="27"/>
      <c r="Z1624" s="27"/>
      <c r="AA1624" s="27"/>
      <c r="AB1624" s="27"/>
      <c r="AC1624" s="273">
        <v>2965369766.4701195</v>
      </c>
      <c r="AD1624" s="27">
        <v>121200381042.49667</v>
      </c>
      <c r="AE1624" s="228">
        <v>2.4466670326971723E-2</v>
      </c>
      <c r="AF1624" s="27">
        <v>21299754964.408367</v>
      </c>
      <c r="AG1624" s="226">
        <v>0.13922083946154387</v>
      </c>
      <c r="AH1624" s="226">
        <v>0.5227221672018223</v>
      </c>
      <c r="AI1624" s="27">
        <v>441170000</v>
      </c>
      <c r="AJ1624" s="226">
        <v>6.7216033875152874</v>
      </c>
      <c r="AK1624" s="27">
        <v>3736086215.4426045</v>
      </c>
      <c r="AL1624" s="226">
        <v>0.79371020781403989</v>
      </c>
      <c r="AM1624" s="27">
        <v>3535221194.39996</v>
      </c>
      <c r="AN1624" s="271">
        <v>0.83880741922668789</v>
      </c>
      <c r="AO1624" s="27">
        <v>28934303</v>
      </c>
      <c r="AP1624" s="27">
        <v>33.5</v>
      </c>
      <c r="AQ1624" s="27">
        <v>73.603682926829279</v>
      </c>
      <c r="AR1624" s="27">
        <v>16.2</v>
      </c>
      <c r="AS1624" s="29">
        <v>96.569890000000001</v>
      </c>
      <c r="AT1624" s="270">
        <v>38</v>
      </c>
      <c r="AU1624" s="464">
        <v>72.816286549781523</v>
      </c>
      <c r="AV1624" s="29">
        <v>4.0587288441011303E-2</v>
      </c>
      <c r="AW1624" s="29">
        <v>-1.1809401239462201</v>
      </c>
      <c r="AX1624" s="29">
        <v>-0.42240703988964201</v>
      </c>
      <c r="AY1624" s="29">
        <v>0.401355532712239</v>
      </c>
      <c r="AZ1624" s="60">
        <v>-0.34216136455586199</v>
      </c>
    </row>
    <row r="1625" spans="1:52" ht="15" customHeight="1">
      <c r="A1625" s="63" t="s">
        <v>450</v>
      </c>
      <c r="B1625" s="27">
        <v>2009</v>
      </c>
      <c r="C1625" s="27" t="s">
        <v>442</v>
      </c>
      <c r="D1625" s="69" t="s">
        <v>214</v>
      </c>
      <c r="E1625" s="29" t="s">
        <v>19</v>
      </c>
      <c r="F1625" s="27" t="s">
        <v>1892</v>
      </c>
      <c r="G1625" s="43"/>
      <c r="H1625" s="43"/>
      <c r="I1625" s="43"/>
      <c r="J1625" s="43"/>
      <c r="K1625" s="27"/>
      <c r="L1625" s="28"/>
      <c r="M1625" s="27"/>
      <c r="N1625" s="27"/>
      <c r="O1625" s="18"/>
      <c r="P1625" s="214"/>
      <c r="Q1625" s="214"/>
      <c r="R1625" s="71"/>
      <c r="S1625" s="27"/>
      <c r="T1625" s="18"/>
      <c r="U1625" s="27"/>
      <c r="V1625" s="18"/>
      <c r="W1625" s="30"/>
      <c r="X1625" s="27"/>
      <c r="Y1625" s="27"/>
      <c r="Z1625" s="27"/>
      <c r="AA1625" s="27"/>
      <c r="AB1625" s="27"/>
      <c r="AC1625" s="273">
        <v>2965369766.4701195</v>
      </c>
      <c r="AD1625" s="27">
        <v>121200381042.49667</v>
      </c>
      <c r="AE1625" s="228">
        <v>2.4466670326971723E-2</v>
      </c>
      <c r="AF1625" s="27">
        <v>21299754964.408367</v>
      </c>
      <c r="AG1625" s="226">
        <v>0.13922083946154387</v>
      </c>
      <c r="AH1625" s="226">
        <v>0.5227221672018223</v>
      </c>
      <c r="AI1625" s="27">
        <v>441170000</v>
      </c>
      <c r="AJ1625" s="226">
        <v>6.7216033875152874</v>
      </c>
      <c r="AK1625" s="27">
        <v>3736086215.4426045</v>
      </c>
      <c r="AL1625" s="226">
        <v>0.79371020781403989</v>
      </c>
      <c r="AM1625" s="27">
        <v>3535221194.39996</v>
      </c>
      <c r="AN1625" s="271">
        <v>0.83880741922668789</v>
      </c>
      <c r="AO1625" s="27">
        <v>28934303</v>
      </c>
      <c r="AP1625" s="27">
        <v>33.5</v>
      </c>
      <c r="AQ1625" s="27">
        <v>73.603682926829279</v>
      </c>
      <c r="AR1625" s="27">
        <v>16.2</v>
      </c>
      <c r="AS1625" s="29">
        <v>96.569890000000001</v>
      </c>
      <c r="AT1625" s="270">
        <v>38</v>
      </c>
      <c r="AU1625" s="464">
        <v>72.816286549781523</v>
      </c>
      <c r="AV1625" s="29">
        <v>4.0587288441011303E-2</v>
      </c>
      <c r="AW1625" s="29">
        <v>-1.1809401239462201</v>
      </c>
      <c r="AX1625" s="29">
        <v>-0.42240703988964201</v>
      </c>
      <c r="AY1625" s="29">
        <v>0.401355532712239</v>
      </c>
      <c r="AZ1625" s="60">
        <v>-0.34216136455586199</v>
      </c>
    </row>
    <row r="1626" spans="1:52" ht="15" customHeight="1">
      <c r="A1626" s="63" t="s">
        <v>450</v>
      </c>
      <c r="B1626" s="27">
        <v>2009</v>
      </c>
      <c r="C1626" s="27" t="s">
        <v>442</v>
      </c>
      <c r="D1626" s="69" t="s">
        <v>214</v>
      </c>
      <c r="E1626" s="29" t="s">
        <v>19</v>
      </c>
      <c r="F1626" s="27" t="s">
        <v>1133</v>
      </c>
      <c r="G1626" s="43"/>
      <c r="H1626" s="43"/>
      <c r="I1626" s="43"/>
      <c r="J1626" s="43"/>
      <c r="K1626" s="27"/>
      <c r="L1626" s="28"/>
      <c r="M1626" s="27"/>
      <c r="N1626" s="27"/>
      <c r="O1626" s="18"/>
      <c r="P1626" s="214"/>
      <c r="Q1626" s="214"/>
      <c r="R1626" s="71"/>
      <c r="S1626" s="27"/>
      <c r="T1626" s="18"/>
      <c r="U1626" s="27"/>
      <c r="V1626" s="18"/>
      <c r="W1626" s="30"/>
      <c r="X1626" s="27"/>
      <c r="Y1626" s="27"/>
      <c r="Z1626" s="27"/>
      <c r="AA1626" s="27"/>
      <c r="AB1626" s="27"/>
      <c r="AC1626" s="273">
        <v>2965369766.4701195</v>
      </c>
      <c r="AD1626" s="27">
        <v>121200381042.49667</v>
      </c>
      <c r="AE1626" s="228">
        <v>2.4466670326971723E-2</v>
      </c>
      <c r="AF1626" s="27">
        <v>21299754964.408367</v>
      </c>
      <c r="AG1626" s="226">
        <v>0.13922083946154387</v>
      </c>
      <c r="AH1626" s="226">
        <v>0.5227221672018223</v>
      </c>
      <c r="AI1626" s="27">
        <v>441170000</v>
      </c>
      <c r="AJ1626" s="226">
        <v>6.7216033875152874</v>
      </c>
      <c r="AK1626" s="27">
        <v>3736086215.4426045</v>
      </c>
      <c r="AL1626" s="226">
        <v>0.79371020781403989</v>
      </c>
      <c r="AM1626" s="27">
        <v>3535221194.39996</v>
      </c>
      <c r="AN1626" s="271">
        <v>0.83880741922668789</v>
      </c>
      <c r="AO1626" s="27">
        <v>28934303</v>
      </c>
      <c r="AP1626" s="27">
        <v>33.5</v>
      </c>
      <c r="AQ1626" s="27">
        <v>73.603682926829279</v>
      </c>
      <c r="AR1626" s="27">
        <v>16.2</v>
      </c>
      <c r="AS1626" s="29">
        <v>96.569890000000001</v>
      </c>
      <c r="AT1626" s="270">
        <v>38</v>
      </c>
      <c r="AU1626" s="464">
        <v>72.816286549781523</v>
      </c>
      <c r="AV1626" s="29">
        <v>4.0587288441011303E-2</v>
      </c>
      <c r="AW1626" s="29">
        <v>-1.1809401239462201</v>
      </c>
      <c r="AX1626" s="29">
        <v>-0.42240703988964201</v>
      </c>
      <c r="AY1626" s="29">
        <v>0.401355532712239</v>
      </c>
      <c r="AZ1626" s="60">
        <v>-0.34216136455586199</v>
      </c>
    </row>
    <row r="1627" spans="1:52" ht="15" customHeight="1">
      <c r="A1627" s="63" t="s">
        <v>450</v>
      </c>
      <c r="B1627" s="27">
        <v>2009</v>
      </c>
      <c r="C1627" s="27" t="s">
        <v>442</v>
      </c>
      <c r="D1627" s="69" t="s">
        <v>214</v>
      </c>
      <c r="E1627" s="29" t="s">
        <v>19</v>
      </c>
      <c r="F1627" s="27" t="s">
        <v>1135</v>
      </c>
      <c r="G1627" s="43"/>
      <c r="H1627" s="43"/>
      <c r="I1627" s="43"/>
      <c r="J1627" s="43"/>
      <c r="K1627" s="27"/>
      <c r="L1627" s="28"/>
      <c r="M1627" s="27"/>
      <c r="N1627" s="27"/>
      <c r="O1627" s="18"/>
      <c r="P1627" s="214"/>
      <c r="Q1627" s="214"/>
      <c r="R1627" s="71"/>
      <c r="S1627" s="27"/>
      <c r="T1627" s="18"/>
      <c r="U1627" s="27"/>
      <c r="V1627" s="18"/>
      <c r="W1627" s="30"/>
      <c r="X1627" s="27"/>
      <c r="Y1627" s="27"/>
      <c r="Z1627" s="27"/>
      <c r="AA1627" s="27"/>
      <c r="AB1627" s="27"/>
      <c r="AC1627" s="273">
        <v>2965369766.4701195</v>
      </c>
      <c r="AD1627" s="27">
        <v>121200381042.49667</v>
      </c>
      <c r="AE1627" s="228">
        <v>2.4466670326971723E-2</v>
      </c>
      <c r="AF1627" s="27">
        <v>21299754964.408367</v>
      </c>
      <c r="AG1627" s="226">
        <v>0.13922083946154387</v>
      </c>
      <c r="AH1627" s="226">
        <v>0.5227221672018223</v>
      </c>
      <c r="AI1627" s="27">
        <v>441170000</v>
      </c>
      <c r="AJ1627" s="226">
        <v>6.7216033875152874</v>
      </c>
      <c r="AK1627" s="27">
        <v>3736086215.4426045</v>
      </c>
      <c r="AL1627" s="226">
        <v>0.79371020781403989</v>
      </c>
      <c r="AM1627" s="27">
        <v>3535221194.39996</v>
      </c>
      <c r="AN1627" s="271">
        <v>0.83880741922668789</v>
      </c>
      <c r="AO1627" s="27">
        <v>28934303</v>
      </c>
      <c r="AP1627" s="27">
        <v>33.5</v>
      </c>
      <c r="AQ1627" s="27">
        <v>73.603682926829279</v>
      </c>
      <c r="AR1627" s="27">
        <v>16.2</v>
      </c>
      <c r="AS1627" s="29">
        <v>96.569890000000001</v>
      </c>
      <c r="AT1627" s="270">
        <v>38</v>
      </c>
      <c r="AU1627" s="464">
        <v>72.816286549781523</v>
      </c>
      <c r="AV1627" s="29">
        <v>4.0587288441011303E-2</v>
      </c>
      <c r="AW1627" s="29">
        <v>-1.1809401239462201</v>
      </c>
      <c r="AX1627" s="29">
        <v>-0.42240703988964201</v>
      </c>
      <c r="AY1627" s="29">
        <v>0.401355532712239</v>
      </c>
      <c r="AZ1627" s="60">
        <v>-0.34216136455586199</v>
      </c>
    </row>
    <row r="1628" spans="1:52" ht="15" customHeight="1">
      <c r="A1628" s="63" t="s">
        <v>450</v>
      </c>
      <c r="B1628" s="27">
        <v>2009</v>
      </c>
      <c r="C1628" s="27" t="s">
        <v>442</v>
      </c>
      <c r="D1628" s="69" t="s">
        <v>214</v>
      </c>
      <c r="E1628" s="29" t="s">
        <v>19</v>
      </c>
      <c r="F1628" s="27" t="s">
        <v>1360</v>
      </c>
      <c r="G1628" s="43"/>
      <c r="H1628" s="43"/>
      <c r="I1628" s="43"/>
      <c r="J1628" s="43"/>
      <c r="K1628" s="27"/>
      <c r="L1628" s="28"/>
      <c r="M1628" s="27"/>
      <c r="N1628" s="27"/>
      <c r="O1628" s="18"/>
      <c r="P1628" s="244"/>
      <c r="Q1628" s="244"/>
      <c r="R1628" s="18"/>
      <c r="S1628" s="27"/>
      <c r="T1628" s="18"/>
      <c r="U1628" s="27"/>
      <c r="V1628" s="18"/>
      <c r="W1628" s="30"/>
      <c r="X1628" s="27"/>
      <c r="Y1628" s="27"/>
      <c r="Z1628" s="27"/>
      <c r="AA1628" s="27"/>
      <c r="AB1628" s="27"/>
      <c r="AC1628" s="273">
        <v>2965369766.4701195</v>
      </c>
      <c r="AD1628" s="27">
        <v>121200381042.49667</v>
      </c>
      <c r="AE1628" s="228">
        <v>2.4466670326971723E-2</v>
      </c>
      <c r="AF1628" s="27">
        <v>21299754964.408367</v>
      </c>
      <c r="AG1628" s="226">
        <v>0.13922083946154387</v>
      </c>
      <c r="AH1628" s="226">
        <v>0.5227221672018223</v>
      </c>
      <c r="AI1628" s="27">
        <v>441170000</v>
      </c>
      <c r="AJ1628" s="226">
        <v>6.7216033875152874</v>
      </c>
      <c r="AK1628" s="27">
        <v>3736086215.4426045</v>
      </c>
      <c r="AL1628" s="226">
        <v>0.79371020781403989</v>
      </c>
      <c r="AM1628" s="27">
        <v>3535221194.39996</v>
      </c>
      <c r="AN1628" s="271">
        <v>0.83880741922668789</v>
      </c>
      <c r="AO1628" s="27">
        <v>28934303</v>
      </c>
      <c r="AP1628" s="27">
        <v>33.5</v>
      </c>
      <c r="AQ1628" s="27">
        <v>73.603682926829279</v>
      </c>
      <c r="AR1628" s="27">
        <v>16.2</v>
      </c>
      <c r="AS1628" s="29">
        <v>96.569890000000001</v>
      </c>
      <c r="AT1628" s="270">
        <v>38</v>
      </c>
      <c r="AU1628" s="464">
        <v>72.816286549781523</v>
      </c>
      <c r="AV1628" s="29">
        <v>4.0587288441011303E-2</v>
      </c>
      <c r="AW1628" s="29">
        <v>-1.1809401239462201</v>
      </c>
      <c r="AX1628" s="29">
        <v>-0.42240703988964201</v>
      </c>
      <c r="AY1628" s="29">
        <v>0.401355532712239</v>
      </c>
      <c r="AZ1628" s="60">
        <v>-0.34216136455586199</v>
      </c>
    </row>
    <row r="1629" spans="1:52" ht="15" customHeight="1">
      <c r="A1629" s="63" t="s">
        <v>450</v>
      </c>
      <c r="B1629" s="27">
        <v>2009</v>
      </c>
      <c r="C1629" s="27" t="s">
        <v>442</v>
      </c>
      <c r="D1629" s="69" t="s">
        <v>214</v>
      </c>
      <c r="E1629" s="29" t="s">
        <v>19</v>
      </c>
      <c r="F1629" s="27" t="s">
        <v>1934</v>
      </c>
      <c r="G1629" s="43"/>
      <c r="H1629" s="43"/>
      <c r="I1629" s="43"/>
      <c r="J1629" s="43"/>
      <c r="K1629" s="27"/>
      <c r="L1629" s="28"/>
      <c r="M1629" s="27"/>
      <c r="N1629" s="27"/>
      <c r="O1629" s="18"/>
      <c r="P1629" s="214"/>
      <c r="Q1629" s="214"/>
      <c r="R1629" s="29"/>
      <c r="S1629" s="27"/>
      <c r="T1629" s="18"/>
      <c r="U1629" s="27"/>
      <c r="V1629" s="29"/>
      <c r="W1629" s="30"/>
      <c r="X1629" s="27"/>
      <c r="Y1629" s="27"/>
      <c r="Z1629" s="27"/>
      <c r="AA1629" s="27"/>
      <c r="AB1629" s="27"/>
      <c r="AC1629" s="273">
        <v>2965369766.4701195</v>
      </c>
      <c r="AD1629" s="27">
        <v>121200381042.49667</v>
      </c>
      <c r="AE1629" s="228">
        <v>2.4466670326971723E-2</v>
      </c>
      <c r="AF1629" s="27">
        <v>21299754964.408367</v>
      </c>
      <c r="AG1629" s="226">
        <v>0.13922083946154387</v>
      </c>
      <c r="AH1629" s="226">
        <v>0.5227221672018223</v>
      </c>
      <c r="AI1629" s="27">
        <v>441170000</v>
      </c>
      <c r="AJ1629" s="226">
        <v>6.7216033875152874</v>
      </c>
      <c r="AK1629" s="27">
        <v>3736086215.4426045</v>
      </c>
      <c r="AL1629" s="226">
        <v>0.79371020781403989</v>
      </c>
      <c r="AM1629" s="27">
        <v>3535221194.39996</v>
      </c>
      <c r="AN1629" s="271">
        <v>0.83880741922668789</v>
      </c>
      <c r="AO1629" s="27">
        <v>28934303</v>
      </c>
      <c r="AP1629" s="27">
        <v>33.5</v>
      </c>
      <c r="AQ1629" s="27">
        <v>73.603682926829279</v>
      </c>
      <c r="AR1629" s="27">
        <v>16.2</v>
      </c>
      <c r="AS1629" s="29">
        <v>96.569890000000001</v>
      </c>
      <c r="AT1629" s="270">
        <v>38</v>
      </c>
      <c r="AU1629" s="464">
        <v>72.816286549781523</v>
      </c>
      <c r="AV1629" s="29">
        <v>4.0587288441011303E-2</v>
      </c>
      <c r="AW1629" s="29">
        <v>-1.1809401239462201</v>
      </c>
      <c r="AX1629" s="29">
        <v>-0.42240703988964201</v>
      </c>
      <c r="AY1629" s="29">
        <v>0.401355532712239</v>
      </c>
      <c r="AZ1629" s="60">
        <v>-0.34216136455586199</v>
      </c>
    </row>
    <row r="1630" spans="1:52" ht="15" customHeight="1">
      <c r="A1630" s="63" t="s">
        <v>450</v>
      </c>
      <c r="B1630" s="27">
        <v>2009</v>
      </c>
      <c r="C1630" s="27" t="s">
        <v>442</v>
      </c>
      <c r="D1630" s="69" t="s">
        <v>214</v>
      </c>
      <c r="E1630" s="29" t="s">
        <v>19</v>
      </c>
      <c r="F1630" s="27" t="s">
        <v>653</v>
      </c>
      <c r="G1630" s="43"/>
      <c r="H1630" s="43"/>
      <c r="I1630" s="43"/>
      <c r="J1630" s="43"/>
      <c r="K1630" s="27"/>
      <c r="L1630" s="28"/>
      <c r="M1630" s="27"/>
      <c r="N1630" s="27"/>
      <c r="O1630" s="18"/>
      <c r="P1630" s="214"/>
      <c r="Q1630" s="214"/>
      <c r="R1630" s="29"/>
      <c r="S1630" s="27"/>
      <c r="T1630" s="18"/>
      <c r="U1630" s="27"/>
      <c r="V1630" s="29"/>
      <c r="W1630" s="30"/>
      <c r="X1630" s="27"/>
      <c r="Y1630" s="27"/>
      <c r="Z1630" s="27"/>
      <c r="AA1630" s="27"/>
      <c r="AB1630" s="27"/>
      <c r="AC1630" s="273">
        <v>2965369766.4701195</v>
      </c>
      <c r="AD1630" s="27">
        <v>121200381042.49667</v>
      </c>
      <c r="AE1630" s="228">
        <v>2.4466670326971723E-2</v>
      </c>
      <c r="AF1630" s="27">
        <v>21299754964.408367</v>
      </c>
      <c r="AG1630" s="226">
        <v>0.13922083946154387</v>
      </c>
      <c r="AH1630" s="226">
        <v>0.5227221672018223</v>
      </c>
      <c r="AI1630" s="27">
        <v>441170000</v>
      </c>
      <c r="AJ1630" s="226">
        <v>6.7216033875152874</v>
      </c>
      <c r="AK1630" s="27">
        <v>3736086215.4426045</v>
      </c>
      <c r="AL1630" s="226">
        <v>0.79371020781403989</v>
      </c>
      <c r="AM1630" s="27">
        <v>3535221194.39996</v>
      </c>
      <c r="AN1630" s="271">
        <v>0.83880741922668789</v>
      </c>
      <c r="AO1630" s="27">
        <v>28934303</v>
      </c>
      <c r="AP1630" s="27">
        <v>33.5</v>
      </c>
      <c r="AQ1630" s="27">
        <v>73.603682926829279</v>
      </c>
      <c r="AR1630" s="27">
        <v>16.2</v>
      </c>
      <c r="AS1630" s="29">
        <v>96.569890000000001</v>
      </c>
      <c r="AT1630" s="270">
        <v>38</v>
      </c>
      <c r="AU1630" s="464">
        <v>72.816286549781523</v>
      </c>
      <c r="AV1630" s="29">
        <v>4.0587288441011303E-2</v>
      </c>
      <c r="AW1630" s="29">
        <v>-1.1809401239462201</v>
      </c>
      <c r="AX1630" s="29">
        <v>-0.42240703988964201</v>
      </c>
      <c r="AY1630" s="29">
        <v>0.401355532712239</v>
      </c>
      <c r="AZ1630" s="60">
        <v>-0.34216136455586199</v>
      </c>
    </row>
    <row r="1631" spans="1:52" ht="15" customHeight="1">
      <c r="A1631" s="63" t="s">
        <v>450</v>
      </c>
      <c r="B1631" s="27">
        <v>2009</v>
      </c>
      <c r="C1631" s="27" t="s">
        <v>442</v>
      </c>
      <c r="D1631" s="69" t="s">
        <v>214</v>
      </c>
      <c r="E1631" s="29" t="s">
        <v>19</v>
      </c>
      <c r="F1631" s="27" t="s">
        <v>784</v>
      </c>
      <c r="G1631" s="43"/>
      <c r="H1631" s="43"/>
      <c r="I1631" s="43"/>
      <c r="J1631" s="43"/>
      <c r="K1631" s="27"/>
      <c r="L1631" s="28"/>
      <c r="M1631" s="27"/>
      <c r="N1631" s="27"/>
      <c r="O1631" s="18"/>
      <c r="P1631" s="214"/>
      <c r="Q1631" s="214"/>
      <c r="R1631" s="29"/>
      <c r="S1631" s="27"/>
      <c r="T1631" s="18"/>
      <c r="U1631" s="27"/>
      <c r="V1631" s="29"/>
      <c r="W1631" s="30"/>
      <c r="X1631" s="27"/>
      <c r="Y1631" s="27"/>
      <c r="Z1631" s="27"/>
      <c r="AA1631" s="27"/>
      <c r="AB1631" s="27"/>
      <c r="AC1631" s="273">
        <v>2965369766.4701195</v>
      </c>
      <c r="AD1631" s="27">
        <v>121200381042.49667</v>
      </c>
      <c r="AE1631" s="228">
        <v>2.4466670326971723E-2</v>
      </c>
      <c r="AF1631" s="27">
        <v>21299754964.408367</v>
      </c>
      <c r="AG1631" s="226">
        <v>0.13922083946154387</v>
      </c>
      <c r="AH1631" s="226">
        <v>0.5227221672018223</v>
      </c>
      <c r="AI1631" s="27">
        <v>441170000</v>
      </c>
      <c r="AJ1631" s="226">
        <v>6.7216033875152874</v>
      </c>
      <c r="AK1631" s="27">
        <v>3736086215.4426045</v>
      </c>
      <c r="AL1631" s="226">
        <v>0.79371020781403989</v>
      </c>
      <c r="AM1631" s="27">
        <v>3535221194.39996</v>
      </c>
      <c r="AN1631" s="271">
        <v>0.83880741922668789</v>
      </c>
      <c r="AO1631" s="27">
        <v>28934303</v>
      </c>
      <c r="AP1631" s="27">
        <v>33.5</v>
      </c>
      <c r="AQ1631" s="27">
        <v>73.603682926829279</v>
      </c>
      <c r="AR1631" s="27">
        <v>16.2</v>
      </c>
      <c r="AS1631" s="29">
        <v>96.569890000000001</v>
      </c>
      <c r="AT1631" s="270">
        <v>38</v>
      </c>
      <c r="AU1631" s="464">
        <v>72.816286549781523</v>
      </c>
      <c r="AV1631" s="29">
        <v>4.0587288441011303E-2</v>
      </c>
      <c r="AW1631" s="29">
        <v>-1.1809401239462201</v>
      </c>
      <c r="AX1631" s="29">
        <v>-0.42240703988964201</v>
      </c>
      <c r="AY1631" s="29">
        <v>0.401355532712239</v>
      </c>
      <c r="AZ1631" s="60">
        <v>-0.34216136455586199</v>
      </c>
    </row>
    <row r="1632" spans="1:52" ht="15" customHeight="1">
      <c r="A1632" s="63" t="s">
        <v>450</v>
      </c>
      <c r="B1632" s="27">
        <v>2009</v>
      </c>
      <c r="C1632" s="27" t="s">
        <v>442</v>
      </c>
      <c r="D1632" s="69" t="s">
        <v>214</v>
      </c>
      <c r="E1632" s="29" t="s">
        <v>19</v>
      </c>
      <c r="F1632" s="27" t="s">
        <v>613</v>
      </c>
      <c r="G1632" s="43"/>
      <c r="H1632" s="43"/>
      <c r="I1632" s="43"/>
      <c r="J1632" s="43"/>
      <c r="K1632" s="27"/>
      <c r="L1632" s="28"/>
      <c r="M1632" s="27"/>
      <c r="N1632" s="27"/>
      <c r="O1632" s="18"/>
      <c r="P1632" s="214"/>
      <c r="Q1632" s="214"/>
      <c r="R1632" s="29"/>
      <c r="S1632" s="27"/>
      <c r="T1632" s="18"/>
      <c r="U1632" s="27"/>
      <c r="V1632" s="29"/>
      <c r="W1632" s="30"/>
      <c r="X1632" s="27"/>
      <c r="Y1632" s="27"/>
      <c r="Z1632" s="27"/>
      <c r="AA1632" s="27"/>
      <c r="AB1632" s="27"/>
      <c r="AC1632" s="273">
        <v>2965369766.4701195</v>
      </c>
      <c r="AD1632" s="27">
        <v>121200381042.49667</v>
      </c>
      <c r="AE1632" s="228">
        <v>2.4466670326971723E-2</v>
      </c>
      <c r="AF1632" s="27">
        <v>21299754964.408367</v>
      </c>
      <c r="AG1632" s="226">
        <v>0.13922083946154387</v>
      </c>
      <c r="AH1632" s="226">
        <v>0.5227221672018223</v>
      </c>
      <c r="AI1632" s="27">
        <v>441170000</v>
      </c>
      <c r="AJ1632" s="226">
        <v>6.7216033875152874</v>
      </c>
      <c r="AK1632" s="27">
        <v>3736086215.4426045</v>
      </c>
      <c r="AL1632" s="226">
        <v>0.79371020781403989</v>
      </c>
      <c r="AM1632" s="27">
        <v>3535221194.39996</v>
      </c>
      <c r="AN1632" s="271">
        <v>0.83880741922668789</v>
      </c>
      <c r="AO1632" s="27">
        <v>28934303</v>
      </c>
      <c r="AP1632" s="27">
        <v>33.5</v>
      </c>
      <c r="AQ1632" s="27">
        <v>73.603682926829279</v>
      </c>
      <c r="AR1632" s="27">
        <v>16.2</v>
      </c>
      <c r="AS1632" s="29">
        <v>96.569890000000001</v>
      </c>
      <c r="AT1632" s="270">
        <v>38</v>
      </c>
      <c r="AU1632" s="464">
        <v>72.816286549781523</v>
      </c>
      <c r="AV1632" s="29">
        <v>4.0587288441011303E-2</v>
      </c>
      <c r="AW1632" s="29">
        <v>-1.1809401239462201</v>
      </c>
      <c r="AX1632" s="29">
        <v>-0.42240703988964201</v>
      </c>
      <c r="AY1632" s="29">
        <v>0.401355532712239</v>
      </c>
      <c r="AZ1632" s="60">
        <v>-0.34216136455586199</v>
      </c>
    </row>
    <row r="1633" spans="1:52" ht="15" customHeight="1">
      <c r="A1633" s="63" t="s">
        <v>450</v>
      </c>
      <c r="B1633" s="27">
        <v>2009</v>
      </c>
      <c r="C1633" s="27" t="s">
        <v>442</v>
      </c>
      <c r="D1633" s="69" t="s">
        <v>214</v>
      </c>
      <c r="E1633" s="29" t="s">
        <v>19</v>
      </c>
      <c r="F1633" s="27" t="s">
        <v>1379</v>
      </c>
      <c r="G1633" s="43"/>
      <c r="H1633" s="43"/>
      <c r="I1633" s="43"/>
      <c r="J1633" s="43"/>
      <c r="K1633" s="27"/>
      <c r="L1633" s="28"/>
      <c r="M1633" s="27"/>
      <c r="N1633" s="27"/>
      <c r="O1633" s="18"/>
      <c r="P1633" s="214"/>
      <c r="Q1633" s="214"/>
      <c r="R1633" s="27"/>
      <c r="S1633" s="27"/>
      <c r="T1633" s="18"/>
      <c r="U1633" s="27"/>
      <c r="V1633" s="27"/>
      <c r="W1633" s="30"/>
      <c r="X1633" s="27"/>
      <c r="Y1633" s="27"/>
      <c r="Z1633" s="27"/>
      <c r="AA1633" s="27"/>
      <c r="AB1633" s="27"/>
      <c r="AC1633" s="273">
        <v>2965369766.4701195</v>
      </c>
      <c r="AD1633" s="27">
        <v>121200381042.49667</v>
      </c>
      <c r="AE1633" s="228">
        <v>2.4466670326971723E-2</v>
      </c>
      <c r="AF1633" s="27">
        <v>21299754964.408367</v>
      </c>
      <c r="AG1633" s="226">
        <v>0.13922083946154387</v>
      </c>
      <c r="AH1633" s="226">
        <v>0.5227221672018223</v>
      </c>
      <c r="AI1633" s="27">
        <v>441170000</v>
      </c>
      <c r="AJ1633" s="226">
        <v>6.7216033875152874</v>
      </c>
      <c r="AK1633" s="27">
        <v>3736086215.4426045</v>
      </c>
      <c r="AL1633" s="226">
        <v>0.79371020781403989</v>
      </c>
      <c r="AM1633" s="27">
        <v>3535221194.39996</v>
      </c>
      <c r="AN1633" s="271">
        <v>0.83880741922668789</v>
      </c>
      <c r="AO1633" s="27">
        <v>28934303</v>
      </c>
      <c r="AP1633" s="27">
        <v>33.5</v>
      </c>
      <c r="AQ1633" s="27">
        <v>73.603682926829279</v>
      </c>
      <c r="AR1633" s="27">
        <v>16.2</v>
      </c>
      <c r="AS1633" s="29">
        <v>96.569890000000001</v>
      </c>
      <c r="AT1633" s="270">
        <v>38</v>
      </c>
      <c r="AU1633" s="464">
        <v>72.816286549781523</v>
      </c>
      <c r="AV1633" s="29">
        <v>4.0587288441011303E-2</v>
      </c>
      <c r="AW1633" s="29">
        <v>-1.1809401239462201</v>
      </c>
      <c r="AX1633" s="29">
        <v>-0.42240703988964201</v>
      </c>
      <c r="AY1633" s="29">
        <v>0.401355532712239</v>
      </c>
      <c r="AZ1633" s="60">
        <v>-0.34216136455586199</v>
      </c>
    </row>
    <row r="1634" spans="1:52" ht="15" customHeight="1">
      <c r="A1634" s="63" t="s">
        <v>450</v>
      </c>
      <c r="B1634" s="27">
        <v>2009</v>
      </c>
      <c r="C1634" s="27" t="s">
        <v>442</v>
      </c>
      <c r="D1634" s="69" t="s">
        <v>214</v>
      </c>
      <c r="E1634" s="29" t="s">
        <v>19</v>
      </c>
      <c r="F1634" s="27" t="s">
        <v>1848</v>
      </c>
      <c r="G1634" s="43"/>
      <c r="H1634" s="43"/>
      <c r="I1634" s="43"/>
      <c r="J1634" s="43"/>
      <c r="K1634" s="27"/>
      <c r="L1634" s="28"/>
      <c r="M1634" s="27"/>
      <c r="N1634" s="27"/>
      <c r="O1634" s="18"/>
      <c r="P1634" s="214"/>
      <c r="Q1634" s="214"/>
      <c r="R1634" s="18"/>
      <c r="S1634" s="27"/>
      <c r="T1634" s="18"/>
      <c r="U1634" s="27"/>
      <c r="V1634" s="18"/>
      <c r="W1634" s="30"/>
      <c r="X1634" s="27"/>
      <c r="Y1634" s="27"/>
      <c r="Z1634" s="27"/>
      <c r="AA1634" s="27"/>
      <c r="AB1634" s="27"/>
      <c r="AC1634" s="273">
        <v>2965369766.4701195</v>
      </c>
      <c r="AD1634" s="27">
        <v>121200381042.49667</v>
      </c>
      <c r="AE1634" s="228">
        <v>2.4466670326971723E-2</v>
      </c>
      <c r="AF1634" s="27">
        <v>21299754964.408367</v>
      </c>
      <c r="AG1634" s="226">
        <v>0.13922083946154387</v>
      </c>
      <c r="AH1634" s="226">
        <v>0.5227221672018223</v>
      </c>
      <c r="AI1634" s="27">
        <v>441170000</v>
      </c>
      <c r="AJ1634" s="226">
        <v>6.7216033875152874</v>
      </c>
      <c r="AK1634" s="27">
        <v>3736086215.4426045</v>
      </c>
      <c r="AL1634" s="226">
        <v>0.79371020781403989</v>
      </c>
      <c r="AM1634" s="27">
        <v>3535221194.39996</v>
      </c>
      <c r="AN1634" s="271">
        <v>0.83880741922668789</v>
      </c>
      <c r="AO1634" s="27">
        <v>28934303</v>
      </c>
      <c r="AP1634" s="27">
        <v>33.5</v>
      </c>
      <c r="AQ1634" s="27">
        <v>73.603682926829279</v>
      </c>
      <c r="AR1634" s="27">
        <v>16.2</v>
      </c>
      <c r="AS1634" s="29">
        <v>96.569890000000001</v>
      </c>
      <c r="AT1634" s="270">
        <v>38</v>
      </c>
      <c r="AU1634" s="464">
        <v>72.816286549781523</v>
      </c>
      <c r="AV1634" s="29">
        <v>4.0587288441011303E-2</v>
      </c>
      <c r="AW1634" s="29">
        <v>-1.1809401239462201</v>
      </c>
      <c r="AX1634" s="29">
        <v>-0.42240703988964201</v>
      </c>
      <c r="AY1634" s="29">
        <v>0.401355532712239</v>
      </c>
      <c r="AZ1634" s="60">
        <v>-0.34216136455586199</v>
      </c>
    </row>
    <row r="1635" spans="1:52" ht="15" customHeight="1">
      <c r="A1635" s="63" t="s">
        <v>450</v>
      </c>
      <c r="B1635" s="27">
        <v>2009</v>
      </c>
      <c r="C1635" s="27" t="s">
        <v>442</v>
      </c>
      <c r="D1635" s="69" t="s">
        <v>214</v>
      </c>
      <c r="E1635" s="29" t="s">
        <v>19</v>
      </c>
      <c r="F1635" s="27" t="s">
        <v>1935</v>
      </c>
      <c r="G1635" s="43"/>
      <c r="H1635" s="43"/>
      <c r="I1635" s="43"/>
      <c r="J1635" s="43"/>
      <c r="K1635" s="27"/>
      <c r="L1635" s="28"/>
      <c r="M1635" s="27"/>
      <c r="N1635" s="27"/>
      <c r="O1635" s="18"/>
      <c r="P1635" s="214"/>
      <c r="Q1635" s="214"/>
      <c r="R1635" s="18"/>
      <c r="S1635" s="27"/>
      <c r="T1635" s="18"/>
      <c r="U1635" s="27"/>
      <c r="V1635" s="18"/>
      <c r="W1635" s="30"/>
      <c r="X1635" s="27"/>
      <c r="Y1635" s="27"/>
      <c r="Z1635" s="27"/>
      <c r="AA1635" s="27"/>
      <c r="AB1635" s="27"/>
      <c r="AC1635" s="273">
        <v>2965369766.4701195</v>
      </c>
      <c r="AD1635" s="27">
        <v>121200381042.49667</v>
      </c>
      <c r="AE1635" s="228">
        <v>2.4466670326971723E-2</v>
      </c>
      <c r="AF1635" s="27">
        <v>21299754964.408367</v>
      </c>
      <c r="AG1635" s="226">
        <v>0.13922083946154387</v>
      </c>
      <c r="AH1635" s="226">
        <v>0.5227221672018223</v>
      </c>
      <c r="AI1635" s="27">
        <v>441170000</v>
      </c>
      <c r="AJ1635" s="226">
        <v>6.7216033875152874</v>
      </c>
      <c r="AK1635" s="27">
        <v>3736086215.4426045</v>
      </c>
      <c r="AL1635" s="226">
        <v>0.79371020781403989</v>
      </c>
      <c r="AM1635" s="27">
        <v>3535221194.39996</v>
      </c>
      <c r="AN1635" s="271">
        <v>0.83880741922668789</v>
      </c>
      <c r="AO1635" s="27">
        <v>28934303</v>
      </c>
      <c r="AP1635" s="27">
        <v>33.5</v>
      </c>
      <c r="AQ1635" s="27">
        <v>73.603682926829279</v>
      </c>
      <c r="AR1635" s="27">
        <v>16.2</v>
      </c>
      <c r="AS1635" s="29">
        <v>96.569890000000001</v>
      </c>
      <c r="AT1635" s="270">
        <v>38</v>
      </c>
      <c r="AU1635" s="464">
        <v>72.816286549781523</v>
      </c>
      <c r="AV1635" s="29">
        <v>4.0587288441011303E-2</v>
      </c>
      <c r="AW1635" s="29">
        <v>-1.1809401239462201</v>
      </c>
      <c r="AX1635" s="29">
        <v>-0.42240703988964201</v>
      </c>
      <c r="AY1635" s="29">
        <v>0.401355532712239</v>
      </c>
      <c r="AZ1635" s="60">
        <v>-0.34216136455586199</v>
      </c>
    </row>
    <row r="1636" spans="1:52" ht="15" customHeight="1">
      <c r="A1636" s="63" t="s">
        <v>450</v>
      </c>
      <c r="B1636" s="27">
        <v>2009</v>
      </c>
      <c r="C1636" s="27" t="s">
        <v>442</v>
      </c>
      <c r="D1636" s="69" t="s">
        <v>214</v>
      </c>
      <c r="E1636" s="29" t="s">
        <v>19</v>
      </c>
      <c r="F1636" s="27" t="s">
        <v>1936</v>
      </c>
      <c r="G1636" s="43"/>
      <c r="H1636" s="43"/>
      <c r="I1636" s="43"/>
      <c r="J1636" s="43"/>
      <c r="K1636" s="27"/>
      <c r="L1636" s="28"/>
      <c r="M1636" s="27"/>
      <c r="N1636" s="27"/>
      <c r="O1636" s="18"/>
      <c r="P1636" s="214"/>
      <c r="Q1636" s="214"/>
      <c r="R1636" s="18"/>
      <c r="S1636" s="27"/>
      <c r="T1636" s="18"/>
      <c r="U1636" s="27"/>
      <c r="V1636" s="18"/>
      <c r="W1636" s="30"/>
      <c r="X1636" s="27"/>
      <c r="Y1636" s="27"/>
      <c r="Z1636" s="27"/>
      <c r="AA1636" s="27"/>
      <c r="AB1636" s="27"/>
      <c r="AC1636" s="273">
        <v>2965369766.4701195</v>
      </c>
      <c r="AD1636" s="27">
        <v>121200381042.49667</v>
      </c>
      <c r="AE1636" s="228">
        <v>2.4466670326971723E-2</v>
      </c>
      <c r="AF1636" s="27">
        <v>21299754964.408367</v>
      </c>
      <c r="AG1636" s="226">
        <v>0.13922083946154387</v>
      </c>
      <c r="AH1636" s="226">
        <v>0.5227221672018223</v>
      </c>
      <c r="AI1636" s="27">
        <v>441170000</v>
      </c>
      <c r="AJ1636" s="226">
        <v>6.7216033875152874</v>
      </c>
      <c r="AK1636" s="27">
        <v>3736086215.4426045</v>
      </c>
      <c r="AL1636" s="226">
        <v>0.79371020781403989</v>
      </c>
      <c r="AM1636" s="27">
        <v>3535221194.39996</v>
      </c>
      <c r="AN1636" s="271">
        <v>0.83880741922668789</v>
      </c>
      <c r="AO1636" s="27">
        <v>28934303</v>
      </c>
      <c r="AP1636" s="27">
        <v>33.5</v>
      </c>
      <c r="AQ1636" s="27">
        <v>73.603682926829279</v>
      </c>
      <c r="AR1636" s="27">
        <v>16.2</v>
      </c>
      <c r="AS1636" s="29">
        <v>96.569890000000001</v>
      </c>
      <c r="AT1636" s="270">
        <v>38</v>
      </c>
      <c r="AU1636" s="464">
        <v>72.816286549781523</v>
      </c>
      <c r="AV1636" s="29">
        <v>4.0587288441011303E-2</v>
      </c>
      <c r="AW1636" s="29">
        <v>-1.1809401239462201</v>
      </c>
      <c r="AX1636" s="29">
        <v>-0.42240703988964201</v>
      </c>
      <c r="AY1636" s="29">
        <v>0.401355532712239</v>
      </c>
      <c r="AZ1636" s="60">
        <v>-0.34216136455586199</v>
      </c>
    </row>
    <row r="1637" spans="1:52" ht="15" customHeight="1">
      <c r="A1637" s="63" t="s">
        <v>450</v>
      </c>
      <c r="B1637" s="27">
        <v>2009</v>
      </c>
      <c r="C1637" s="27" t="s">
        <v>442</v>
      </c>
      <c r="D1637" s="69" t="s">
        <v>214</v>
      </c>
      <c r="E1637" s="29" t="s">
        <v>19</v>
      </c>
      <c r="F1637" s="27" t="s">
        <v>982</v>
      </c>
      <c r="G1637" s="43"/>
      <c r="H1637" s="43"/>
      <c r="I1637" s="43"/>
      <c r="J1637" s="43"/>
      <c r="K1637" s="27"/>
      <c r="L1637" s="28"/>
      <c r="M1637" s="27"/>
      <c r="N1637" s="27"/>
      <c r="O1637" s="18"/>
      <c r="P1637" s="214"/>
      <c r="Q1637" s="214"/>
      <c r="R1637" s="18"/>
      <c r="S1637" s="27"/>
      <c r="T1637" s="18"/>
      <c r="U1637" s="27"/>
      <c r="V1637" s="18"/>
      <c r="W1637" s="30"/>
      <c r="X1637" s="27"/>
      <c r="Y1637" s="27"/>
      <c r="Z1637" s="27"/>
      <c r="AA1637" s="27"/>
      <c r="AB1637" s="27"/>
      <c r="AC1637" s="273">
        <v>2965369766.4701195</v>
      </c>
      <c r="AD1637" s="27">
        <v>121200381042.49667</v>
      </c>
      <c r="AE1637" s="228">
        <v>2.4466670326971723E-2</v>
      </c>
      <c r="AF1637" s="27">
        <v>21299754964.408367</v>
      </c>
      <c r="AG1637" s="226">
        <v>0.13922083946154387</v>
      </c>
      <c r="AH1637" s="226">
        <v>0.5227221672018223</v>
      </c>
      <c r="AI1637" s="27">
        <v>441170000</v>
      </c>
      <c r="AJ1637" s="226">
        <v>6.7216033875152874</v>
      </c>
      <c r="AK1637" s="27">
        <v>3736086215.4426045</v>
      </c>
      <c r="AL1637" s="226">
        <v>0.79371020781403989</v>
      </c>
      <c r="AM1637" s="27">
        <v>3535221194.39996</v>
      </c>
      <c r="AN1637" s="271">
        <v>0.83880741922668789</v>
      </c>
      <c r="AO1637" s="27">
        <v>28934303</v>
      </c>
      <c r="AP1637" s="27">
        <v>33.5</v>
      </c>
      <c r="AQ1637" s="27">
        <v>73.603682926829279</v>
      </c>
      <c r="AR1637" s="27">
        <v>16.2</v>
      </c>
      <c r="AS1637" s="29">
        <v>96.569890000000001</v>
      </c>
      <c r="AT1637" s="270">
        <v>38</v>
      </c>
      <c r="AU1637" s="464">
        <v>72.816286549781523</v>
      </c>
      <c r="AV1637" s="29">
        <v>4.0587288441011303E-2</v>
      </c>
      <c r="AW1637" s="29">
        <v>-1.1809401239462201</v>
      </c>
      <c r="AX1637" s="29">
        <v>-0.42240703988964201</v>
      </c>
      <c r="AY1637" s="29">
        <v>0.401355532712239</v>
      </c>
      <c r="AZ1637" s="60">
        <v>-0.34216136455586199</v>
      </c>
    </row>
    <row r="1638" spans="1:52" ht="15" customHeight="1">
      <c r="A1638" s="63" t="s">
        <v>450</v>
      </c>
      <c r="B1638" s="27">
        <v>2009</v>
      </c>
      <c r="C1638" s="27" t="s">
        <v>442</v>
      </c>
      <c r="D1638" s="69" t="s">
        <v>214</v>
      </c>
      <c r="E1638" s="29" t="s">
        <v>19</v>
      </c>
      <c r="F1638" s="27" t="s">
        <v>1944</v>
      </c>
      <c r="G1638" s="43"/>
      <c r="H1638" s="43"/>
      <c r="I1638" s="43"/>
      <c r="J1638" s="43"/>
      <c r="K1638" s="27"/>
      <c r="L1638" s="28"/>
      <c r="M1638" s="27"/>
      <c r="N1638" s="27"/>
      <c r="O1638" s="18"/>
      <c r="P1638" s="214"/>
      <c r="Q1638" s="214"/>
      <c r="R1638" s="18"/>
      <c r="S1638" s="27"/>
      <c r="T1638" s="18"/>
      <c r="U1638" s="27"/>
      <c r="V1638" s="18"/>
      <c r="W1638" s="30"/>
      <c r="X1638" s="27"/>
      <c r="Y1638" s="27"/>
      <c r="Z1638" s="27"/>
      <c r="AA1638" s="27"/>
      <c r="AB1638" s="27"/>
      <c r="AC1638" s="273">
        <v>2965369766.4701195</v>
      </c>
      <c r="AD1638" s="27">
        <v>121200381042.49667</v>
      </c>
      <c r="AE1638" s="228">
        <v>2.4466670326971723E-2</v>
      </c>
      <c r="AF1638" s="27">
        <v>21299754964.408367</v>
      </c>
      <c r="AG1638" s="226">
        <v>0.13922083946154387</v>
      </c>
      <c r="AH1638" s="226">
        <v>0.5227221672018223</v>
      </c>
      <c r="AI1638" s="27">
        <v>441170000</v>
      </c>
      <c r="AJ1638" s="226">
        <v>6.7216033875152874</v>
      </c>
      <c r="AK1638" s="27">
        <v>3736086215.4426045</v>
      </c>
      <c r="AL1638" s="226">
        <v>0.79371020781403989</v>
      </c>
      <c r="AM1638" s="27">
        <v>3535221194.39996</v>
      </c>
      <c r="AN1638" s="271">
        <v>0.83880741922668789</v>
      </c>
      <c r="AO1638" s="27">
        <v>28934303</v>
      </c>
      <c r="AP1638" s="27">
        <v>33.5</v>
      </c>
      <c r="AQ1638" s="27">
        <v>73.603682926829279</v>
      </c>
      <c r="AR1638" s="27">
        <v>16.2</v>
      </c>
      <c r="AS1638" s="29">
        <v>96.569890000000001</v>
      </c>
      <c r="AT1638" s="270">
        <v>38</v>
      </c>
      <c r="AU1638" s="464">
        <v>72.816286549781523</v>
      </c>
      <c r="AV1638" s="29">
        <v>4.0587288441011303E-2</v>
      </c>
      <c r="AW1638" s="29">
        <v>-1.1809401239462201</v>
      </c>
      <c r="AX1638" s="29">
        <v>-0.42240703988964201</v>
      </c>
      <c r="AY1638" s="29">
        <v>0.401355532712239</v>
      </c>
      <c r="AZ1638" s="60">
        <v>-0.34216136455586199</v>
      </c>
    </row>
    <row r="1639" spans="1:52" ht="15" customHeight="1">
      <c r="A1639" s="63" t="s">
        <v>450</v>
      </c>
      <c r="B1639" s="27">
        <v>2009</v>
      </c>
      <c r="C1639" s="27" t="s">
        <v>442</v>
      </c>
      <c r="D1639" s="69" t="s">
        <v>214</v>
      </c>
      <c r="E1639" s="29" t="s">
        <v>19</v>
      </c>
      <c r="F1639" s="27" t="s">
        <v>1326</v>
      </c>
      <c r="G1639" s="43"/>
      <c r="H1639" s="43"/>
      <c r="I1639" s="43"/>
      <c r="J1639" s="43"/>
      <c r="K1639" s="27"/>
      <c r="L1639" s="28"/>
      <c r="M1639" s="27"/>
      <c r="N1639" s="27"/>
      <c r="O1639" s="18"/>
      <c r="P1639" s="214"/>
      <c r="Q1639" s="214"/>
      <c r="R1639" s="18"/>
      <c r="S1639" s="27"/>
      <c r="T1639" s="18"/>
      <c r="U1639" s="27"/>
      <c r="V1639" s="18"/>
      <c r="W1639" s="30"/>
      <c r="X1639" s="27"/>
      <c r="Y1639" s="27"/>
      <c r="Z1639" s="27"/>
      <c r="AA1639" s="27"/>
      <c r="AB1639" s="27"/>
      <c r="AC1639" s="273">
        <v>2965369766.4701195</v>
      </c>
      <c r="AD1639" s="27">
        <v>121200381042.49667</v>
      </c>
      <c r="AE1639" s="228">
        <v>2.4466670326971723E-2</v>
      </c>
      <c r="AF1639" s="27">
        <v>21299754964.408367</v>
      </c>
      <c r="AG1639" s="226">
        <v>0.13922083946154387</v>
      </c>
      <c r="AH1639" s="226">
        <v>0.5227221672018223</v>
      </c>
      <c r="AI1639" s="27">
        <v>441170000</v>
      </c>
      <c r="AJ1639" s="226">
        <v>6.7216033875152874</v>
      </c>
      <c r="AK1639" s="27">
        <v>3736086215.4426045</v>
      </c>
      <c r="AL1639" s="226">
        <v>0.79371020781403989</v>
      </c>
      <c r="AM1639" s="27">
        <v>3535221194.39996</v>
      </c>
      <c r="AN1639" s="271">
        <v>0.83880741922668789</v>
      </c>
      <c r="AO1639" s="27">
        <v>28934303</v>
      </c>
      <c r="AP1639" s="27">
        <v>33.5</v>
      </c>
      <c r="AQ1639" s="27">
        <v>73.603682926829279</v>
      </c>
      <c r="AR1639" s="27">
        <v>16.2</v>
      </c>
      <c r="AS1639" s="29">
        <v>96.569890000000001</v>
      </c>
      <c r="AT1639" s="270">
        <v>38</v>
      </c>
      <c r="AU1639" s="464">
        <v>72.816286549781523</v>
      </c>
      <c r="AV1639" s="29">
        <v>4.0587288441011303E-2</v>
      </c>
      <c r="AW1639" s="29">
        <v>-1.1809401239462201</v>
      </c>
      <c r="AX1639" s="29">
        <v>-0.42240703988964201</v>
      </c>
      <c r="AY1639" s="29">
        <v>0.401355532712239</v>
      </c>
      <c r="AZ1639" s="60">
        <v>-0.34216136455586199</v>
      </c>
    </row>
    <row r="1640" spans="1:52" ht="15" customHeight="1">
      <c r="A1640" s="63" t="s">
        <v>450</v>
      </c>
      <c r="B1640" s="27">
        <v>2009</v>
      </c>
      <c r="C1640" s="27" t="s">
        <v>442</v>
      </c>
      <c r="D1640" s="69" t="s">
        <v>214</v>
      </c>
      <c r="E1640" s="29" t="s">
        <v>19</v>
      </c>
      <c r="F1640" s="27" t="s">
        <v>1937</v>
      </c>
      <c r="G1640" s="43"/>
      <c r="H1640" s="43"/>
      <c r="I1640" s="43"/>
      <c r="J1640" s="43"/>
      <c r="K1640" s="27"/>
      <c r="L1640" s="28"/>
      <c r="M1640" s="27"/>
      <c r="N1640" s="27"/>
      <c r="O1640" s="18"/>
      <c r="P1640" s="214"/>
      <c r="Q1640" s="214"/>
      <c r="R1640" s="18"/>
      <c r="S1640" s="27"/>
      <c r="T1640" s="18"/>
      <c r="U1640" s="27"/>
      <c r="V1640" s="18"/>
      <c r="W1640" s="30"/>
      <c r="X1640" s="27"/>
      <c r="Y1640" s="27"/>
      <c r="Z1640" s="27"/>
      <c r="AA1640" s="27"/>
      <c r="AB1640" s="27"/>
      <c r="AC1640" s="273">
        <v>2965369766.4701195</v>
      </c>
      <c r="AD1640" s="27">
        <v>121200381042.49667</v>
      </c>
      <c r="AE1640" s="228">
        <v>2.4466670326971723E-2</v>
      </c>
      <c r="AF1640" s="27">
        <v>21299754964.408367</v>
      </c>
      <c r="AG1640" s="226">
        <v>0.13922083946154387</v>
      </c>
      <c r="AH1640" s="226">
        <v>0.5227221672018223</v>
      </c>
      <c r="AI1640" s="27">
        <v>441170000</v>
      </c>
      <c r="AJ1640" s="226">
        <v>6.7216033875152874</v>
      </c>
      <c r="AK1640" s="27">
        <v>3736086215.4426045</v>
      </c>
      <c r="AL1640" s="226">
        <v>0.79371020781403989</v>
      </c>
      <c r="AM1640" s="27">
        <v>3535221194.39996</v>
      </c>
      <c r="AN1640" s="271">
        <v>0.83880741922668789</v>
      </c>
      <c r="AO1640" s="27">
        <v>28934303</v>
      </c>
      <c r="AP1640" s="27">
        <v>33.5</v>
      </c>
      <c r="AQ1640" s="27">
        <v>73.603682926829279</v>
      </c>
      <c r="AR1640" s="27">
        <v>16.2</v>
      </c>
      <c r="AS1640" s="29">
        <v>96.569890000000001</v>
      </c>
      <c r="AT1640" s="270">
        <v>38</v>
      </c>
      <c r="AU1640" s="464">
        <v>72.816286549781523</v>
      </c>
      <c r="AV1640" s="29">
        <v>4.0587288441011303E-2</v>
      </c>
      <c r="AW1640" s="29">
        <v>-1.1809401239462201</v>
      </c>
      <c r="AX1640" s="29">
        <v>-0.42240703988964201</v>
      </c>
      <c r="AY1640" s="29">
        <v>0.401355532712239</v>
      </c>
      <c r="AZ1640" s="60">
        <v>-0.34216136455586199</v>
      </c>
    </row>
    <row r="1641" spans="1:52" ht="15" customHeight="1">
      <c r="A1641" s="63" t="s">
        <v>450</v>
      </c>
      <c r="B1641" s="27">
        <v>2009</v>
      </c>
      <c r="C1641" s="27" t="s">
        <v>442</v>
      </c>
      <c r="D1641" s="69" t="s">
        <v>214</v>
      </c>
      <c r="E1641" s="29" t="s">
        <v>19</v>
      </c>
      <c r="F1641" s="27" t="s">
        <v>1058</v>
      </c>
      <c r="G1641" s="43"/>
      <c r="H1641" s="43"/>
      <c r="I1641" s="43"/>
      <c r="J1641" s="43"/>
      <c r="K1641" s="27"/>
      <c r="L1641" s="28"/>
      <c r="M1641" s="27"/>
      <c r="N1641" s="27"/>
      <c r="O1641" s="18"/>
      <c r="P1641" s="214"/>
      <c r="Q1641" s="214"/>
      <c r="R1641" s="18"/>
      <c r="S1641" s="27"/>
      <c r="T1641" s="18"/>
      <c r="U1641" s="27"/>
      <c r="V1641" s="18"/>
      <c r="W1641" s="30"/>
      <c r="X1641" s="27"/>
      <c r="Y1641" s="27"/>
      <c r="Z1641" s="27"/>
      <c r="AA1641" s="27"/>
      <c r="AB1641" s="27"/>
      <c r="AC1641" s="273">
        <v>2965369766.4701195</v>
      </c>
      <c r="AD1641" s="27">
        <v>121200381042.49667</v>
      </c>
      <c r="AE1641" s="228">
        <v>2.4466670326971723E-2</v>
      </c>
      <c r="AF1641" s="27">
        <v>21299754964.408367</v>
      </c>
      <c r="AG1641" s="226">
        <v>0.13922083946154387</v>
      </c>
      <c r="AH1641" s="226">
        <v>0.5227221672018223</v>
      </c>
      <c r="AI1641" s="27">
        <v>441170000</v>
      </c>
      <c r="AJ1641" s="226">
        <v>6.7216033875152874</v>
      </c>
      <c r="AK1641" s="27">
        <v>3736086215.4426045</v>
      </c>
      <c r="AL1641" s="226">
        <v>0.79371020781403989</v>
      </c>
      <c r="AM1641" s="27">
        <v>3535221194.39996</v>
      </c>
      <c r="AN1641" s="271">
        <v>0.83880741922668789</v>
      </c>
      <c r="AO1641" s="27">
        <v>28934303</v>
      </c>
      <c r="AP1641" s="27">
        <v>33.5</v>
      </c>
      <c r="AQ1641" s="27">
        <v>73.603682926829279</v>
      </c>
      <c r="AR1641" s="27">
        <v>16.2</v>
      </c>
      <c r="AS1641" s="29">
        <v>96.569890000000001</v>
      </c>
      <c r="AT1641" s="270">
        <v>38</v>
      </c>
      <c r="AU1641" s="464">
        <v>72.816286549781523</v>
      </c>
      <c r="AV1641" s="29">
        <v>4.0587288441011303E-2</v>
      </c>
      <c r="AW1641" s="29">
        <v>-1.1809401239462201</v>
      </c>
      <c r="AX1641" s="29">
        <v>-0.42240703988964201</v>
      </c>
      <c r="AY1641" s="29">
        <v>0.401355532712239</v>
      </c>
      <c r="AZ1641" s="60">
        <v>-0.34216136455586199</v>
      </c>
    </row>
    <row r="1642" spans="1:52" ht="15" customHeight="1">
      <c r="A1642" s="63" t="s">
        <v>450</v>
      </c>
      <c r="B1642" s="27">
        <v>2009</v>
      </c>
      <c r="C1642" s="27" t="s">
        <v>442</v>
      </c>
      <c r="D1642" s="69" t="s">
        <v>214</v>
      </c>
      <c r="E1642" s="29" t="s">
        <v>19</v>
      </c>
      <c r="F1642" s="27" t="s">
        <v>897</v>
      </c>
      <c r="G1642" s="43"/>
      <c r="H1642" s="43"/>
      <c r="I1642" s="43"/>
      <c r="J1642" s="43"/>
      <c r="K1642" s="27"/>
      <c r="L1642" s="28"/>
      <c r="M1642" s="27"/>
      <c r="N1642" s="27"/>
      <c r="O1642" s="18"/>
      <c r="P1642" s="214"/>
      <c r="Q1642" s="214"/>
      <c r="R1642" s="18"/>
      <c r="S1642" s="27"/>
      <c r="T1642" s="18"/>
      <c r="U1642" s="27"/>
      <c r="V1642" s="18"/>
      <c r="W1642" s="30"/>
      <c r="X1642" s="27"/>
      <c r="Y1642" s="27"/>
      <c r="Z1642" s="27"/>
      <c r="AA1642" s="27"/>
      <c r="AB1642" s="27"/>
      <c r="AC1642" s="273">
        <v>2965369766.4701195</v>
      </c>
      <c r="AD1642" s="27">
        <v>121200381042.49667</v>
      </c>
      <c r="AE1642" s="228">
        <v>2.4466670326971723E-2</v>
      </c>
      <c r="AF1642" s="27">
        <v>21299754964.408367</v>
      </c>
      <c r="AG1642" s="226">
        <v>0.13922083946154387</v>
      </c>
      <c r="AH1642" s="226">
        <v>0.5227221672018223</v>
      </c>
      <c r="AI1642" s="27">
        <v>441170000</v>
      </c>
      <c r="AJ1642" s="226">
        <v>6.7216033875152874</v>
      </c>
      <c r="AK1642" s="27">
        <v>3736086215.4426045</v>
      </c>
      <c r="AL1642" s="226">
        <v>0.79371020781403989</v>
      </c>
      <c r="AM1642" s="27">
        <v>3535221194.39996</v>
      </c>
      <c r="AN1642" s="271">
        <v>0.83880741922668789</v>
      </c>
      <c r="AO1642" s="27">
        <v>28934303</v>
      </c>
      <c r="AP1642" s="27">
        <v>33.5</v>
      </c>
      <c r="AQ1642" s="27">
        <v>73.603682926829279</v>
      </c>
      <c r="AR1642" s="27">
        <v>16.2</v>
      </c>
      <c r="AS1642" s="29">
        <v>96.569890000000001</v>
      </c>
      <c r="AT1642" s="270">
        <v>38</v>
      </c>
      <c r="AU1642" s="464">
        <v>72.816286549781523</v>
      </c>
      <c r="AV1642" s="29">
        <v>4.0587288441011303E-2</v>
      </c>
      <c r="AW1642" s="29">
        <v>-1.1809401239462201</v>
      </c>
      <c r="AX1642" s="29">
        <v>-0.42240703988964201</v>
      </c>
      <c r="AY1642" s="29">
        <v>0.401355532712239</v>
      </c>
      <c r="AZ1642" s="60">
        <v>-0.34216136455586199</v>
      </c>
    </row>
    <row r="1643" spans="1:52" ht="15" customHeight="1">
      <c r="A1643" s="63" t="s">
        <v>450</v>
      </c>
      <c r="B1643" s="27">
        <v>2009</v>
      </c>
      <c r="C1643" s="27" t="s">
        <v>442</v>
      </c>
      <c r="D1643" s="69" t="s">
        <v>214</v>
      </c>
      <c r="E1643" s="29" t="s">
        <v>19</v>
      </c>
      <c r="F1643" s="27" t="s">
        <v>1898</v>
      </c>
      <c r="G1643" s="43"/>
      <c r="H1643" s="43"/>
      <c r="I1643" s="43"/>
      <c r="J1643" s="43"/>
      <c r="K1643" s="27"/>
      <c r="L1643" s="28"/>
      <c r="M1643" s="27"/>
      <c r="N1643" s="27"/>
      <c r="O1643" s="18"/>
      <c r="P1643" s="214"/>
      <c r="Q1643" s="214"/>
      <c r="R1643" s="18"/>
      <c r="S1643" s="27"/>
      <c r="T1643" s="18"/>
      <c r="U1643" s="27"/>
      <c r="V1643" s="18"/>
      <c r="W1643" s="30"/>
      <c r="X1643" s="27"/>
      <c r="Y1643" s="27"/>
      <c r="Z1643" s="27"/>
      <c r="AA1643" s="27"/>
      <c r="AB1643" s="27"/>
      <c r="AC1643" s="273">
        <v>2965369766.4701195</v>
      </c>
      <c r="AD1643" s="27">
        <v>121200381042.49667</v>
      </c>
      <c r="AE1643" s="228">
        <v>2.4466670326971723E-2</v>
      </c>
      <c r="AF1643" s="27">
        <v>21299754964.408367</v>
      </c>
      <c r="AG1643" s="226">
        <v>0.13922083946154387</v>
      </c>
      <c r="AH1643" s="226">
        <v>0.5227221672018223</v>
      </c>
      <c r="AI1643" s="27">
        <v>441170000</v>
      </c>
      <c r="AJ1643" s="226">
        <v>6.7216033875152874</v>
      </c>
      <c r="AK1643" s="27">
        <v>3736086215.4426045</v>
      </c>
      <c r="AL1643" s="226">
        <v>0.79371020781403989</v>
      </c>
      <c r="AM1643" s="27">
        <v>3535221194.39996</v>
      </c>
      <c r="AN1643" s="271">
        <v>0.83880741922668789</v>
      </c>
      <c r="AO1643" s="27">
        <v>28934303</v>
      </c>
      <c r="AP1643" s="27">
        <v>33.5</v>
      </c>
      <c r="AQ1643" s="27">
        <v>73.603682926829279</v>
      </c>
      <c r="AR1643" s="27">
        <v>16.2</v>
      </c>
      <c r="AS1643" s="29">
        <v>96.569890000000001</v>
      </c>
      <c r="AT1643" s="270">
        <v>38</v>
      </c>
      <c r="AU1643" s="464">
        <v>72.816286549781523</v>
      </c>
      <c r="AV1643" s="29">
        <v>4.0587288441011303E-2</v>
      </c>
      <c r="AW1643" s="29">
        <v>-1.1809401239462201</v>
      </c>
      <c r="AX1643" s="29">
        <v>-0.42240703988964201</v>
      </c>
      <c r="AY1643" s="29">
        <v>0.401355532712239</v>
      </c>
      <c r="AZ1643" s="60">
        <v>-0.34216136455586199</v>
      </c>
    </row>
    <row r="1644" spans="1:52" ht="15" customHeight="1">
      <c r="A1644" s="63" t="s">
        <v>450</v>
      </c>
      <c r="B1644" s="27">
        <v>2009</v>
      </c>
      <c r="C1644" s="27" t="s">
        <v>442</v>
      </c>
      <c r="D1644" s="69" t="s">
        <v>214</v>
      </c>
      <c r="E1644" s="29" t="s">
        <v>19</v>
      </c>
      <c r="F1644" s="27" t="s">
        <v>1916</v>
      </c>
      <c r="G1644" s="43"/>
      <c r="H1644" s="43"/>
      <c r="I1644" s="43"/>
      <c r="J1644" s="43"/>
      <c r="K1644" s="27"/>
      <c r="L1644" s="28"/>
      <c r="M1644" s="27"/>
      <c r="N1644" s="27"/>
      <c r="O1644" s="18"/>
      <c r="P1644" s="214"/>
      <c r="Q1644" s="214"/>
      <c r="R1644" s="18"/>
      <c r="S1644" s="27"/>
      <c r="T1644" s="18"/>
      <c r="U1644" s="27"/>
      <c r="V1644" s="18"/>
      <c r="W1644" s="30"/>
      <c r="X1644" s="27"/>
      <c r="Y1644" s="27"/>
      <c r="Z1644" s="27"/>
      <c r="AA1644" s="27"/>
      <c r="AB1644" s="27"/>
      <c r="AC1644" s="273">
        <v>2965369766.4701195</v>
      </c>
      <c r="AD1644" s="27">
        <v>121200381042.49667</v>
      </c>
      <c r="AE1644" s="228">
        <v>2.4466670326971723E-2</v>
      </c>
      <c r="AF1644" s="27">
        <v>21299754964.408367</v>
      </c>
      <c r="AG1644" s="226">
        <v>0.13922083946154387</v>
      </c>
      <c r="AH1644" s="226">
        <v>0.5227221672018223</v>
      </c>
      <c r="AI1644" s="27">
        <v>441170000</v>
      </c>
      <c r="AJ1644" s="226">
        <v>6.7216033875152874</v>
      </c>
      <c r="AK1644" s="27">
        <v>3736086215.4426045</v>
      </c>
      <c r="AL1644" s="226">
        <v>0.79371020781403989</v>
      </c>
      <c r="AM1644" s="27">
        <v>3535221194.39996</v>
      </c>
      <c r="AN1644" s="271">
        <v>0.83880741922668789</v>
      </c>
      <c r="AO1644" s="27">
        <v>28934303</v>
      </c>
      <c r="AP1644" s="27">
        <v>33.5</v>
      </c>
      <c r="AQ1644" s="27">
        <v>73.603682926829279</v>
      </c>
      <c r="AR1644" s="27">
        <v>16.2</v>
      </c>
      <c r="AS1644" s="29">
        <v>96.569890000000001</v>
      </c>
      <c r="AT1644" s="270">
        <v>38</v>
      </c>
      <c r="AU1644" s="464">
        <v>72.816286549781523</v>
      </c>
      <c r="AV1644" s="29">
        <v>4.0587288441011303E-2</v>
      </c>
      <c r="AW1644" s="29">
        <v>-1.1809401239462201</v>
      </c>
      <c r="AX1644" s="29">
        <v>-0.42240703988964201</v>
      </c>
      <c r="AY1644" s="29">
        <v>0.401355532712239</v>
      </c>
      <c r="AZ1644" s="60">
        <v>-0.34216136455586199</v>
      </c>
    </row>
    <row r="1645" spans="1:52" ht="15" customHeight="1">
      <c r="A1645" s="63" t="s">
        <v>450</v>
      </c>
      <c r="B1645" s="27">
        <v>2009</v>
      </c>
      <c r="C1645" s="27" t="s">
        <v>442</v>
      </c>
      <c r="D1645" s="69" t="s">
        <v>214</v>
      </c>
      <c r="E1645" s="29" t="s">
        <v>19</v>
      </c>
      <c r="F1645" s="27" t="s">
        <v>735</v>
      </c>
      <c r="G1645" s="43"/>
      <c r="H1645" s="43"/>
      <c r="I1645" s="43"/>
      <c r="J1645" s="43"/>
      <c r="K1645" s="27"/>
      <c r="L1645" s="28"/>
      <c r="M1645" s="27"/>
      <c r="N1645" s="27"/>
      <c r="O1645" s="18"/>
      <c r="P1645" s="214"/>
      <c r="Q1645" s="214"/>
      <c r="R1645" s="18"/>
      <c r="S1645" s="27"/>
      <c r="T1645" s="18"/>
      <c r="U1645" s="27"/>
      <c r="V1645" s="18"/>
      <c r="W1645" s="30"/>
      <c r="X1645" s="27"/>
      <c r="Y1645" s="27"/>
      <c r="Z1645" s="27"/>
      <c r="AA1645" s="27"/>
      <c r="AB1645" s="27"/>
      <c r="AC1645" s="273">
        <v>2965369766.4701195</v>
      </c>
      <c r="AD1645" s="27">
        <v>121200381042.49667</v>
      </c>
      <c r="AE1645" s="228">
        <v>2.4466670326971723E-2</v>
      </c>
      <c r="AF1645" s="27">
        <v>21299754964.408367</v>
      </c>
      <c r="AG1645" s="226">
        <v>0.13922083946154387</v>
      </c>
      <c r="AH1645" s="226">
        <v>0.5227221672018223</v>
      </c>
      <c r="AI1645" s="27">
        <v>441170000</v>
      </c>
      <c r="AJ1645" s="226">
        <v>6.7216033875152874</v>
      </c>
      <c r="AK1645" s="27">
        <v>3736086215.4426045</v>
      </c>
      <c r="AL1645" s="226">
        <v>0.79371020781403989</v>
      </c>
      <c r="AM1645" s="27">
        <v>3535221194.39996</v>
      </c>
      <c r="AN1645" s="271">
        <v>0.83880741922668789</v>
      </c>
      <c r="AO1645" s="27">
        <v>28934303</v>
      </c>
      <c r="AP1645" s="27">
        <v>33.5</v>
      </c>
      <c r="AQ1645" s="27">
        <v>73.603682926829279</v>
      </c>
      <c r="AR1645" s="27">
        <v>16.2</v>
      </c>
      <c r="AS1645" s="29">
        <v>96.569890000000001</v>
      </c>
      <c r="AT1645" s="270">
        <v>38</v>
      </c>
      <c r="AU1645" s="464">
        <v>72.816286549781523</v>
      </c>
      <c r="AV1645" s="29">
        <v>4.0587288441011303E-2</v>
      </c>
      <c r="AW1645" s="29">
        <v>-1.1809401239462201</v>
      </c>
      <c r="AX1645" s="29">
        <v>-0.42240703988964201</v>
      </c>
      <c r="AY1645" s="29">
        <v>0.401355532712239</v>
      </c>
      <c r="AZ1645" s="60">
        <v>-0.34216136455586199</v>
      </c>
    </row>
    <row r="1646" spans="1:52" ht="15" customHeight="1">
      <c r="A1646" s="63" t="s">
        <v>450</v>
      </c>
      <c r="B1646" s="27">
        <v>2009</v>
      </c>
      <c r="C1646" s="27" t="s">
        <v>442</v>
      </c>
      <c r="D1646" s="69" t="s">
        <v>214</v>
      </c>
      <c r="E1646" s="29" t="s">
        <v>19</v>
      </c>
      <c r="F1646" s="27" t="s">
        <v>1146</v>
      </c>
      <c r="G1646" s="43"/>
      <c r="H1646" s="43"/>
      <c r="I1646" s="43"/>
      <c r="J1646" s="43"/>
      <c r="K1646" s="27"/>
      <c r="L1646" s="28"/>
      <c r="M1646" s="27"/>
      <c r="N1646" s="27"/>
      <c r="O1646" s="18"/>
      <c r="P1646" s="214"/>
      <c r="Q1646" s="214"/>
      <c r="R1646" s="18"/>
      <c r="S1646" s="27"/>
      <c r="T1646" s="18"/>
      <c r="U1646" s="29"/>
      <c r="V1646" s="18"/>
      <c r="W1646" s="30"/>
      <c r="X1646" s="27"/>
      <c r="Y1646" s="27"/>
      <c r="Z1646" s="27"/>
      <c r="AA1646" s="27"/>
      <c r="AB1646" s="27"/>
      <c r="AC1646" s="273">
        <v>2965369766.4701195</v>
      </c>
      <c r="AD1646" s="27">
        <v>121200381042.49667</v>
      </c>
      <c r="AE1646" s="228">
        <v>2.4466670326971723E-2</v>
      </c>
      <c r="AF1646" s="27">
        <v>21299754964.408367</v>
      </c>
      <c r="AG1646" s="226">
        <v>0.13922083946154387</v>
      </c>
      <c r="AH1646" s="226">
        <v>0.5227221672018223</v>
      </c>
      <c r="AI1646" s="27">
        <v>441170000</v>
      </c>
      <c r="AJ1646" s="226">
        <v>6.7216033875152874</v>
      </c>
      <c r="AK1646" s="27">
        <v>3736086215.4426045</v>
      </c>
      <c r="AL1646" s="226">
        <v>0.79371020781403989</v>
      </c>
      <c r="AM1646" s="27">
        <v>3535221194.39996</v>
      </c>
      <c r="AN1646" s="271">
        <v>0.83880741922668789</v>
      </c>
      <c r="AO1646" s="27">
        <v>28934303</v>
      </c>
      <c r="AP1646" s="27">
        <v>33.5</v>
      </c>
      <c r="AQ1646" s="27">
        <v>73.603682926829279</v>
      </c>
      <c r="AR1646" s="27">
        <v>16.2</v>
      </c>
      <c r="AS1646" s="29">
        <v>96.569890000000001</v>
      </c>
      <c r="AT1646" s="270">
        <v>38</v>
      </c>
      <c r="AU1646" s="464">
        <v>72.816286549781523</v>
      </c>
      <c r="AV1646" s="29">
        <v>4.0587288441011303E-2</v>
      </c>
      <c r="AW1646" s="29">
        <v>-1.1809401239462201</v>
      </c>
      <c r="AX1646" s="29">
        <v>-0.42240703988964201</v>
      </c>
      <c r="AY1646" s="29">
        <v>0.401355532712239</v>
      </c>
      <c r="AZ1646" s="60">
        <v>-0.34216136455586199</v>
      </c>
    </row>
    <row r="1647" spans="1:52" ht="15" customHeight="1">
      <c r="A1647" s="63" t="s">
        <v>450</v>
      </c>
      <c r="B1647" s="27">
        <v>2009</v>
      </c>
      <c r="C1647" s="27" t="s">
        <v>442</v>
      </c>
      <c r="D1647" s="69" t="s">
        <v>214</v>
      </c>
      <c r="E1647" s="29" t="s">
        <v>19</v>
      </c>
      <c r="F1647" s="27" t="s">
        <v>1938</v>
      </c>
      <c r="G1647" s="43"/>
      <c r="H1647" s="43"/>
      <c r="I1647" s="43"/>
      <c r="J1647" s="43"/>
      <c r="K1647" s="27"/>
      <c r="L1647" s="28"/>
      <c r="M1647" s="27"/>
      <c r="N1647" s="27"/>
      <c r="O1647" s="18"/>
      <c r="P1647" s="214"/>
      <c r="Q1647" s="214"/>
      <c r="R1647" s="18"/>
      <c r="S1647" s="27"/>
      <c r="T1647" s="18"/>
      <c r="U1647" s="29"/>
      <c r="V1647" s="18"/>
      <c r="W1647" s="30"/>
      <c r="X1647" s="27"/>
      <c r="Y1647" s="27"/>
      <c r="Z1647" s="27"/>
      <c r="AA1647" s="27"/>
      <c r="AB1647" s="27"/>
      <c r="AC1647" s="273">
        <v>2965369766.4701195</v>
      </c>
      <c r="AD1647" s="27">
        <v>121200381042.49667</v>
      </c>
      <c r="AE1647" s="228">
        <v>2.4466670326971723E-2</v>
      </c>
      <c r="AF1647" s="27">
        <v>21299754964.408367</v>
      </c>
      <c r="AG1647" s="226">
        <v>0.13922083946154387</v>
      </c>
      <c r="AH1647" s="226">
        <v>0.5227221672018223</v>
      </c>
      <c r="AI1647" s="27">
        <v>441170000</v>
      </c>
      <c r="AJ1647" s="226">
        <v>6.7216033875152874</v>
      </c>
      <c r="AK1647" s="27">
        <v>3736086215.4426045</v>
      </c>
      <c r="AL1647" s="226">
        <v>0.79371020781403989</v>
      </c>
      <c r="AM1647" s="27">
        <v>3535221194.39996</v>
      </c>
      <c r="AN1647" s="271">
        <v>0.83880741922668789</v>
      </c>
      <c r="AO1647" s="27">
        <v>28934303</v>
      </c>
      <c r="AP1647" s="27">
        <v>33.5</v>
      </c>
      <c r="AQ1647" s="27">
        <v>73.603682926829279</v>
      </c>
      <c r="AR1647" s="27">
        <v>16.2</v>
      </c>
      <c r="AS1647" s="29">
        <v>96.569890000000001</v>
      </c>
      <c r="AT1647" s="270">
        <v>38</v>
      </c>
      <c r="AU1647" s="464">
        <v>72.816286549781523</v>
      </c>
      <c r="AV1647" s="29">
        <v>4.0587288441011303E-2</v>
      </c>
      <c r="AW1647" s="29">
        <v>-1.1809401239462201</v>
      </c>
      <c r="AX1647" s="29">
        <v>-0.42240703988964201</v>
      </c>
      <c r="AY1647" s="29">
        <v>0.401355532712239</v>
      </c>
      <c r="AZ1647" s="60">
        <v>-0.34216136455586199</v>
      </c>
    </row>
    <row r="1648" spans="1:52" ht="15" customHeight="1">
      <c r="A1648" s="63" t="s">
        <v>450</v>
      </c>
      <c r="B1648" s="27">
        <v>2009</v>
      </c>
      <c r="C1648" s="27" t="s">
        <v>442</v>
      </c>
      <c r="D1648" s="69" t="s">
        <v>214</v>
      </c>
      <c r="E1648" s="29" t="s">
        <v>19</v>
      </c>
      <c r="F1648" s="27" t="s">
        <v>1939</v>
      </c>
      <c r="G1648" s="43"/>
      <c r="H1648" s="43"/>
      <c r="I1648" s="43"/>
      <c r="J1648" s="43"/>
      <c r="K1648" s="27"/>
      <c r="L1648" s="28"/>
      <c r="M1648" s="27"/>
      <c r="N1648" s="27"/>
      <c r="O1648" s="18"/>
      <c r="P1648" s="214"/>
      <c r="Q1648" s="214"/>
      <c r="R1648" s="18"/>
      <c r="S1648" s="27"/>
      <c r="T1648" s="18"/>
      <c r="U1648" s="29"/>
      <c r="V1648" s="18"/>
      <c r="W1648" s="30"/>
      <c r="X1648" s="27"/>
      <c r="Y1648" s="27"/>
      <c r="Z1648" s="27"/>
      <c r="AA1648" s="27"/>
      <c r="AB1648" s="27"/>
      <c r="AC1648" s="273">
        <v>2965369766.4701195</v>
      </c>
      <c r="AD1648" s="27">
        <v>121200381042.49667</v>
      </c>
      <c r="AE1648" s="228">
        <v>2.4466670326971723E-2</v>
      </c>
      <c r="AF1648" s="27">
        <v>21299754964.408367</v>
      </c>
      <c r="AG1648" s="226">
        <v>0.13922083946154387</v>
      </c>
      <c r="AH1648" s="226">
        <v>0.5227221672018223</v>
      </c>
      <c r="AI1648" s="27">
        <v>441170000</v>
      </c>
      <c r="AJ1648" s="226">
        <v>6.7216033875152874</v>
      </c>
      <c r="AK1648" s="27">
        <v>3736086215.4426045</v>
      </c>
      <c r="AL1648" s="226">
        <v>0.79371020781403989</v>
      </c>
      <c r="AM1648" s="27">
        <v>3535221194.39996</v>
      </c>
      <c r="AN1648" s="271">
        <v>0.83880741922668789</v>
      </c>
      <c r="AO1648" s="27">
        <v>28934303</v>
      </c>
      <c r="AP1648" s="27">
        <v>33.5</v>
      </c>
      <c r="AQ1648" s="27">
        <v>73.603682926829279</v>
      </c>
      <c r="AR1648" s="27">
        <v>16.2</v>
      </c>
      <c r="AS1648" s="29">
        <v>96.569890000000001</v>
      </c>
      <c r="AT1648" s="270">
        <v>38</v>
      </c>
      <c r="AU1648" s="464">
        <v>72.816286549781523</v>
      </c>
      <c r="AV1648" s="29">
        <v>4.0587288441011303E-2</v>
      </c>
      <c r="AW1648" s="29">
        <v>-1.1809401239462201</v>
      </c>
      <c r="AX1648" s="29">
        <v>-0.42240703988964201</v>
      </c>
      <c r="AY1648" s="29">
        <v>0.401355532712239</v>
      </c>
      <c r="AZ1648" s="60">
        <v>-0.34216136455586199</v>
      </c>
    </row>
    <row r="1649" spans="1:52" ht="15" customHeight="1">
      <c r="A1649" s="63" t="s">
        <v>450</v>
      </c>
      <c r="B1649" s="27">
        <v>2009</v>
      </c>
      <c r="C1649" s="27" t="s">
        <v>442</v>
      </c>
      <c r="D1649" s="69" t="s">
        <v>214</v>
      </c>
      <c r="E1649" s="29" t="s">
        <v>19</v>
      </c>
      <c r="F1649" s="27" t="s">
        <v>1940</v>
      </c>
      <c r="G1649" s="43"/>
      <c r="H1649" s="43"/>
      <c r="I1649" s="43"/>
      <c r="J1649" s="43"/>
      <c r="K1649" s="27"/>
      <c r="L1649" s="28"/>
      <c r="M1649" s="27"/>
      <c r="N1649" s="27"/>
      <c r="O1649" s="18"/>
      <c r="P1649" s="214"/>
      <c r="Q1649" s="214"/>
      <c r="R1649" s="18"/>
      <c r="S1649" s="27"/>
      <c r="T1649" s="18"/>
      <c r="U1649" s="29"/>
      <c r="V1649" s="18"/>
      <c r="W1649" s="30"/>
      <c r="X1649" s="27"/>
      <c r="Y1649" s="27"/>
      <c r="Z1649" s="27"/>
      <c r="AA1649" s="27"/>
      <c r="AB1649" s="27"/>
      <c r="AC1649" s="273">
        <v>2965369766.4701195</v>
      </c>
      <c r="AD1649" s="27">
        <v>121200381042.49667</v>
      </c>
      <c r="AE1649" s="228">
        <v>2.4466670326971723E-2</v>
      </c>
      <c r="AF1649" s="27">
        <v>21299754964.408367</v>
      </c>
      <c r="AG1649" s="226">
        <v>0.13922083946154387</v>
      </c>
      <c r="AH1649" s="226">
        <v>0.5227221672018223</v>
      </c>
      <c r="AI1649" s="27">
        <v>441170000</v>
      </c>
      <c r="AJ1649" s="226">
        <v>6.7216033875152874</v>
      </c>
      <c r="AK1649" s="27">
        <v>3736086215.4426045</v>
      </c>
      <c r="AL1649" s="226">
        <v>0.79371020781403989</v>
      </c>
      <c r="AM1649" s="27">
        <v>3535221194.39996</v>
      </c>
      <c r="AN1649" s="271">
        <v>0.83880741922668789</v>
      </c>
      <c r="AO1649" s="27">
        <v>28934303</v>
      </c>
      <c r="AP1649" s="27">
        <v>33.5</v>
      </c>
      <c r="AQ1649" s="27">
        <v>73.603682926829279</v>
      </c>
      <c r="AR1649" s="27">
        <v>16.2</v>
      </c>
      <c r="AS1649" s="29">
        <v>96.569890000000001</v>
      </c>
      <c r="AT1649" s="270">
        <v>38</v>
      </c>
      <c r="AU1649" s="464">
        <v>72.816286549781523</v>
      </c>
      <c r="AV1649" s="29">
        <v>4.0587288441011303E-2</v>
      </c>
      <c r="AW1649" s="29">
        <v>-1.1809401239462201</v>
      </c>
      <c r="AX1649" s="29">
        <v>-0.42240703988964201</v>
      </c>
      <c r="AY1649" s="29">
        <v>0.401355532712239</v>
      </c>
      <c r="AZ1649" s="60">
        <v>-0.34216136455586199</v>
      </c>
    </row>
    <row r="1650" spans="1:52" ht="15" customHeight="1">
      <c r="A1650" s="63" t="s">
        <v>450</v>
      </c>
      <c r="B1650" s="27">
        <v>2009</v>
      </c>
      <c r="C1650" s="27" t="s">
        <v>442</v>
      </c>
      <c r="D1650" s="69" t="s">
        <v>214</v>
      </c>
      <c r="E1650" s="29" t="s">
        <v>19</v>
      </c>
      <c r="F1650" s="27" t="s">
        <v>584</v>
      </c>
      <c r="G1650" s="43"/>
      <c r="H1650" s="43"/>
      <c r="I1650" s="43"/>
      <c r="J1650" s="43"/>
      <c r="K1650" s="27"/>
      <c r="L1650" s="28"/>
      <c r="M1650" s="27"/>
      <c r="N1650" s="27"/>
      <c r="O1650" s="18"/>
      <c r="P1650" s="214"/>
      <c r="Q1650" s="214"/>
      <c r="R1650" s="18"/>
      <c r="S1650" s="27"/>
      <c r="T1650" s="18"/>
      <c r="U1650" s="29"/>
      <c r="V1650" s="18"/>
      <c r="W1650" s="30"/>
      <c r="X1650" s="27"/>
      <c r="Y1650" s="27"/>
      <c r="Z1650" s="27"/>
      <c r="AA1650" s="27"/>
      <c r="AB1650" s="27"/>
      <c r="AC1650" s="273">
        <v>2965369766.4701195</v>
      </c>
      <c r="AD1650" s="27">
        <v>121200381042.49667</v>
      </c>
      <c r="AE1650" s="228">
        <v>2.4466670326971723E-2</v>
      </c>
      <c r="AF1650" s="27">
        <v>21299754964.408367</v>
      </c>
      <c r="AG1650" s="226">
        <v>0.13922083946154387</v>
      </c>
      <c r="AH1650" s="226">
        <v>0.5227221672018223</v>
      </c>
      <c r="AI1650" s="27">
        <v>441170000</v>
      </c>
      <c r="AJ1650" s="226">
        <v>6.7216033875152874</v>
      </c>
      <c r="AK1650" s="27">
        <v>3736086215.4426045</v>
      </c>
      <c r="AL1650" s="226">
        <v>0.79371020781403989</v>
      </c>
      <c r="AM1650" s="27">
        <v>3535221194.39996</v>
      </c>
      <c r="AN1650" s="271">
        <v>0.83880741922668789</v>
      </c>
      <c r="AO1650" s="27">
        <v>28934303</v>
      </c>
      <c r="AP1650" s="27">
        <v>33.5</v>
      </c>
      <c r="AQ1650" s="27">
        <v>73.603682926829279</v>
      </c>
      <c r="AR1650" s="27">
        <v>16.2</v>
      </c>
      <c r="AS1650" s="29">
        <v>96.569890000000001</v>
      </c>
      <c r="AT1650" s="270">
        <v>38</v>
      </c>
      <c r="AU1650" s="464">
        <v>72.816286549781523</v>
      </c>
      <c r="AV1650" s="29">
        <v>4.0587288441011303E-2</v>
      </c>
      <c r="AW1650" s="29">
        <v>-1.1809401239462201</v>
      </c>
      <c r="AX1650" s="29">
        <v>-0.42240703988964201</v>
      </c>
      <c r="AY1650" s="29">
        <v>0.401355532712239</v>
      </c>
      <c r="AZ1650" s="60">
        <v>-0.34216136455586199</v>
      </c>
    </row>
    <row r="1651" spans="1:52" ht="15" customHeight="1">
      <c r="A1651" s="63" t="s">
        <v>450</v>
      </c>
      <c r="B1651" s="27">
        <v>2009</v>
      </c>
      <c r="C1651" s="27" t="s">
        <v>442</v>
      </c>
      <c r="D1651" s="69" t="s">
        <v>214</v>
      </c>
      <c r="E1651" s="29" t="s">
        <v>19</v>
      </c>
      <c r="F1651" s="27" t="s">
        <v>1903</v>
      </c>
      <c r="G1651" s="43"/>
      <c r="H1651" s="43"/>
      <c r="I1651" s="43"/>
      <c r="J1651" s="43"/>
      <c r="K1651" s="27"/>
      <c r="L1651" s="28"/>
      <c r="M1651" s="27"/>
      <c r="N1651" s="27"/>
      <c r="O1651" s="18"/>
      <c r="P1651" s="214"/>
      <c r="Q1651" s="214"/>
      <c r="R1651" s="18"/>
      <c r="S1651" s="27"/>
      <c r="T1651" s="18"/>
      <c r="U1651" s="29"/>
      <c r="V1651" s="18"/>
      <c r="W1651" s="30"/>
      <c r="X1651" s="27"/>
      <c r="Y1651" s="27"/>
      <c r="Z1651" s="27"/>
      <c r="AA1651" s="27"/>
      <c r="AB1651" s="27"/>
      <c r="AC1651" s="273">
        <v>2965369766.4701195</v>
      </c>
      <c r="AD1651" s="27">
        <v>121200381042.49667</v>
      </c>
      <c r="AE1651" s="228">
        <v>2.4466670326971723E-2</v>
      </c>
      <c r="AF1651" s="27">
        <v>21299754964.408367</v>
      </c>
      <c r="AG1651" s="226">
        <v>0.13922083946154387</v>
      </c>
      <c r="AH1651" s="226">
        <v>0.5227221672018223</v>
      </c>
      <c r="AI1651" s="27">
        <v>441170000</v>
      </c>
      <c r="AJ1651" s="226">
        <v>6.7216033875152874</v>
      </c>
      <c r="AK1651" s="27">
        <v>3736086215.4426045</v>
      </c>
      <c r="AL1651" s="226">
        <v>0.79371020781403989</v>
      </c>
      <c r="AM1651" s="27">
        <v>3535221194.39996</v>
      </c>
      <c r="AN1651" s="271">
        <v>0.83880741922668789</v>
      </c>
      <c r="AO1651" s="27">
        <v>28934303</v>
      </c>
      <c r="AP1651" s="27">
        <v>33.5</v>
      </c>
      <c r="AQ1651" s="27">
        <v>73.603682926829279</v>
      </c>
      <c r="AR1651" s="27">
        <v>16.2</v>
      </c>
      <c r="AS1651" s="29">
        <v>96.569890000000001</v>
      </c>
      <c r="AT1651" s="270">
        <v>38</v>
      </c>
      <c r="AU1651" s="464">
        <v>72.816286549781523</v>
      </c>
      <c r="AV1651" s="29">
        <v>4.0587288441011303E-2</v>
      </c>
      <c r="AW1651" s="29">
        <v>-1.1809401239462201</v>
      </c>
      <c r="AX1651" s="29">
        <v>-0.42240703988964201</v>
      </c>
      <c r="AY1651" s="29">
        <v>0.401355532712239</v>
      </c>
      <c r="AZ1651" s="60">
        <v>-0.34216136455586199</v>
      </c>
    </row>
    <row r="1652" spans="1:52" ht="15" customHeight="1">
      <c r="A1652" s="63" t="s">
        <v>450</v>
      </c>
      <c r="B1652" s="27">
        <v>2009</v>
      </c>
      <c r="C1652" s="27" t="s">
        <v>442</v>
      </c>
      <c r="D1652" s="69" t="s">
        <v>214</v>
      </c>
      <c r="E1652" s="29" t="s">
        <v>19</v>
      </c>
      <c r="F1652" s="27" t="s">
        <v>1234</v>
      </c>
      <c r="G1652" s="43"/>
      <c r="H1652" s="43"/>
      <c r="I1652" s="43"/>
      <c r="J1652" s="43"/>
      <c r="K1652" s="27"/>
      <c r="L1652" s="28"/>
      <c r="M1652" s="27"/>
      <c r="N1652" s="27"/>
      <c r="O1652" s="18"/>
      <c r="P1652" s="214"/>
      <c r="Q1652" s="214"/>
      <c r="R1652" s="71"/>
      <c r="S1652" s="27"/>
      <c r="T1652" s="18"/>
      <c r="U1652" s="27"/>
      <c r="V1652" s="18"/>
      <c r="W1652" s="30"/>
      <c r="X1652" s="27"/>
      <c r="Y1652" s="27"/>
      <c r="Z1652" s="27"/>
      <c r="AA1652" s="27"/>
      <c r="AB1652" s="27"/>
      <c r="AC1652" s="273">
        <v>2965369766.4701195</v>
      </c>
      <c r="AD1652" s="27">
        <v>121200381042.49667</v>
      </c>
      <c r="AE1652" s="228">
        <v>2.4466670326971723E-2</v>
      </c>
      <c r="AF1652" s="27">
        <v>21299754964.408367</v>
      </c>
      <c r="AG1652" s="226">
        <v>0.13922083946154387</v>
      </c>
      <c r="AH1652" s="226">
        <v>0.5227221672018223</v>
      </c>
      <c r="AI1652" s="27">
        <v>441170000</v>
      </c>
      <c r="AJ1652" s="226">
        <v>6.7216033875152874</v>
      </c>
      <c r="AK1652" s="27">
        <v>3736086215.4426045</v>
      </c>
      <c r="AL1652" s="226">
        <v>0.79371020781403989</v>
      </c>
      <c r="AM1652" s="27">
        <v>3535221194.39996</v>
      </c>
      <c r="AN1652" s="271">
        <v>0.83880741922668789</v>
      </c>
      <c r="AO1652" s="27">
        <v>28934303</v>
      </c>
      <c r="AP1652" s="27">
        <v>33.5</v>
      </c>
      <c r="AQ1652" s="27">
        <v>73.603682926829279</v>
      </c>
      <c r="AR1652" s="27">
        <v>16.2</v>
      </c>
      <c r="AS1652" s="29">
        <v>96.569890000000001</v>
      </c>
      <c r="AT1652" s="270">
        <v>38</v>
      </c>
      <c r="AU1652" s="464">
        <v>72.816286549781523</v>
      </c>
      <c r="AV1652" s="29">
        <v>4.0587288441011303E-2</v>
      </c>
      <c r="AW1652" s="29">
        <v>-1.1809401239462201</v>
      </c>
      <c r="AX1652" s="29">
        <v>-0.42240703988964201</v>
      </c>
      <c r="AY1652" s="29">
        <v>0.401355532712239</v>
      </c>
      <c r="AZ1652" s="60">
        <v>-0.34216136455586199</v>
      </c>
    </row>
    <row r="1653" spans="1:52" ht="15" customHeight="1">
      <c r="A1653" s="63" t="s">
        <v>450</v>
      </c>
      <c r="B1653" s="27">
        <v>2009</v>
      </c>
      <c r="C1653" s="27" t="s">
        <v>442</v>
      </c>
      <c r="D1653" s="69" t="s">
        <v>214</v>
      </c>
      <c r="E1653" s="29" t="s">
        <v>19</v>
      </c>
      <c r="F1653" s="27" t="s">
        <v>1941</v>
      </c>
      <c r="G1653" s="43"/>
      <c r="H1653" s="43"/>
      <c r="I1653" s="43"/>
      <c r="J1653" s="43"/>
      <c r="K1653" s="27"/>
      <c r="L1653" s="28"/>
      <c r="M1653" s="27"/>
      <c r="N1653" s="27"/>
      <c r="O1653" s="18"/>
      <c r="P1653" s="214"/>
      <c r="Q1653" s="214"/>
      <c r="R1653" s="29"/>
      <c r="S1653" s="27"/>
      <c r="T1653" s="18"/>
      <c r="U1653" s="27"/>
      <c r="V1653" s="29"/>
      <c r="W1653" s="30"/>
      <c r="X1653" s="27"/>
      <c r="Y1653" s="27"/>
      <c r="Z1653" s="27"/>
      <c r="AA1653" s="27"/>
      <c r="AB1653" s="27"/>
      <c r="AC1653" s="273">
        <v>2965369766.4701195</v>
      </c>
      <c r="AD1653" s="27">
        <v>121200381042.49667</v>
      </c>
      <c r="AE1653" s="228">
        <v>2.4466670326971723E-2</v>
      </c>
      <c r="AF1653" s="27">
        <v>21299754964.408367</v>
      </c>
      <c r="AG1653" s="226">
        <v>0.13922083946154387</v>
      </c>
      <c r="AH1653" s="226">
        <v>0.5227221672018223</v>
      </c>
      <c r="AI1653" s="27">
        <v>441170000</v>
      </c>
      <c r="AJ1653" s="226">
        <v>6.7216033875152874</v>
      </c>
      <c r="AK1653" s="27">
        <v>3736086215.4426045</v>
      </c>
      <c r="AL1653" s="226">
        <v>0.79371020781403989</v>
      </c>
      <c r="AM1653" s="27">
        <v>3535221194.39996</v>
      </c>
      <c r="AN1653" s="271">
        <v>0.83880741922668789</v>
      </c>
      <c r="AO1653" s="27">
        <v>28934303</v>
      </c>
      <c r="AP1653" s="27">
        <v>33.5</v>
      </c>
      <c r="AQ1653" s="27">
        <v>73.603682926829279</v>
      </c>
      <c r="AR1653" s="27">
        <v>16.2</v>
      </c>
      <c r="AS1653" s="29">
        <v>96.569890000000001</v>
      </c>
      <c r="AT1653" s="270">
        <v>38</v>
      </c>
      <c r="AU1653" s="464">
        <v>72.816286549781523</v>
      </c>
      <c r="AV1653" s="29">
        <v>4.0587288441011303E-2</v>
      </c>
      <c r="AW1653" s="29">
        <v>-1.1809401239462201</v>
      </c>
      <c r="AX1653" s="29">
        <v>-0.42240703988964201</v>
      </c>
      <c r="AY1653" s="29">
        <v>0.401355532712239</v>
      </c>
      <c r="AZ1653" s="60">
        <v>-0.34216136455586199</v>
      </c>
    </row>
    <row r="1654" spans="1:52" ht="15" customHeight="1">
      <c r="A1654" s="63" t="s">
        <v>450</v>
      </c>
      <c r="B1654" s="27">
        <v>2009</v>
      </c>
      <c r="C1654" s="27" t="s">
        <v>442</v>
      </c>
      <c r="D1654" s="69" t="s">
        <v>214</v>
      </c>
      <c r="E1654" s="29" t="s">
        <v>19</v>
      </c>
      <c r="F1654" s="27" t="s">
        <v>1942</v>
      </c>
      <c r="G1654" s="43"/>
      <c r="H1654" s="43"/>
      <c r="I1654" s="43"/>
      <c r="J1654" s="43"/>
      <c r="K1654" s="27"/>
      <c r="L1654" s="28"/>
      <c r="M1654" s="27"/>
      <c r="N1654" s="27"/>
      <c r="O1654" s="18"/>
      <c r="P1654" s="214"/>
      <c r="Q1654" s="214"/>
      <c r="R1654" s="29"/>
      <c r="S1654" s="27"/>
      <c r="T1654" s="18"/>
      <c r="U1654" s="27"/>
      <c r="V1654" s="29"/>
      <c r="W1654" s="30"/>
      <c r="X1654" s="27"/>
      <c r="Y1654" s="27"/>
      <c r="Z1654" s="27"/>
      <c r="AA1654" s="27"/>
      <c r="AB1654" s="27"/>
      <c r="AC1654" s="273">
        <v>2965369766.4701195</v>
      </c>
      <c r="AD1654" s="27">
        <v>121200381042.49667</v>
      </c>
      <c r="AE1654" s="228">
        <v>2.4466670326971723E-2</v>
      </c>
      <c r="AF1654" s="27">
        <v>21299754964.408367</v>
      </c>
      <c r="AG1654" s="226">
        <v>0.13922083946154387</v>
      </c>
      <c r="AH1654" s="226">
        <v>0.5227221672018223</v>
      </c>
      <c r="AI1654" s="27">
        <v>441170000</v>
      </c>
      <c r="AJ1654" s="226">
        <v>6.7216033875152874</v>
      </c>
      <c r="AK1654" s="27">
        <v>3736086215.4426045</v>
      </c>
      <c r="AL1654" s="226">
        <v>0.79371020781403989</v>
      </c>
      <c r="AM1654" s="27">
        <v>3535221194.39996</v>
      </c>
      <c r="AN1654" s="271">
        <v>0.83880741922668789</v>
      </c>
      <c r="AO1654" s="27">
        <v>28934303</v>
      </c>
      <c r="AP1654" s="27">
        <v>33.5</v>
      </c>
      <c r="AQ1654" s="27">
        <v>73.603682926829279</v>
      </c>
      <c r="AR1654" s="27">
        <v>16.2</v>
      </c>
      <c r="AS1654" s="29">
        <v>96.569890000000001</v>
      </c>
      <c r="AT1654" s="270">
        <v>38</v>
      </c>
      <c r="AU1654" s="464">
        <v>72.816286549781523</v>
      </c>
      <c r="AV1654" s="29">
        <v>4.0587288441011303E-2</v>
      </c>
      <c r="AW1654" s="29">
        <v>-1.1809401239462201</v>
      </c>
      <c r="AX1654" s="29">
        <v>-0.42240703988964201</v>
      </c>
      <c r="AY1654" s="29">
        <v>0.401355532712239</v>
      </c>
      <c r="AZ1654" s="60">
        <v>-0.34216136455586199</v>
      </c>
    </row>
    <row r="1655" spans="1:52" s="287" customFormat="1" ht="15" customHeight="1">
      <c r="A1655" s="359" t="s">
        <v>450</v>
      </c>
      <c r="B1655" s="284">
        <v>2009</v>
      </c>
      <c r="C1655" s="284" t="s">
        <v>442</v>
      </c>
      <c r="D1655" s="369" t="s">
        <v>214</v>
      </c>
      <c r="E1655" s="287" t="s">
        <v>19</v>
      </c>
      <c r="F1655" s="284" t="s">
        <v>790</v>
      </c>
      <c r="G1655" s="303"/>
      <c r="H1655" s="303"/>
      <c r="I1655" s="303"/>
      <c r="J1655" s="303"/>
      <c r="K1655" s="284"/>
      <c r="L1655" s="304"/>
      <c r="M1655" s="284"/>
      <c r="N1655" s="284"/>
      <c r="O1655" s="305"/>
      <c r="P1655" s="374"/>
      <c r="Q1655" s="374"/>
      <c r="R1655" s="284"/>
      <c r="S1655" s="284"/>
      <c r="T1655" s="305"/>
      <c r="U1655" s="284"/>
      <c r="V1655" s="284"/>
      <c r="W1655" s="307"/>
      <c r="X1655" s="284"/>
      <c r="Y1655" s="284"/>
      <c r="Z1655" s="284"/>
      <c r="AA1655" s="284"/>
      <c r="AB1655" s="284"/>
      <c r="AC1655" s="308">
        <v>2965369766.4701195</v>
      </c>
      <c r="AD1655" s="284">
        <v>121200381042.49667</v>
      </c>
      <c r="AE1655" s="309">
        <v>2.4466670326971723E-2</v>
      </c>
      <c r="AF1655" s="284">
        <v>21299754964.408367</v>
      </c>
      <c r="AG1655" s="310">
        <v>0.13922083946154387</v>
      </c>
      <c r="AH1655" s="310">
        <v>0.5227221672018223</v>
      </c>
      <c r="AI1655" s="284">
        <v>441170000</v>
      </c>
      <c r="AJ1655" s="310">
        <v>6.7216033875152874</v>
      </c>
      <c r="AK1655" s="284">
        <v>3736086215.4426045</v>
      </c>
      <c r="AL1655" s="310">
        <v>0.79371020781403989</v>
      </c>
      <c r="AM1655" s="284">
        <v>3535221194.39996</v>
      </c>
      <c r="AN1655" s="311">
        <v>0.83880741922668789</v>
      </c>
      <c r="AO1655" s="284">
        <v>28934303</v>
      </c>
      <c r="AP1655" s="284">
        <v>33.5</v>
      </c>
      <c r="AQ1655" s="284">
        <v>73.603682926829279</v>
      </c>
      <c r="AR1655" s="284">
        <v>16.2</v>
      </c>
      <c r="AS1655" s="287">
        <v>96.569890000000001</v>
      </c>
      <c r="AT1655" s="312">
        <v>38</v>
      </c>
      <c r="AU1655" s="465">
        <v>72.816286549781523</v>
      </c>
      <c r="AV1655" s="287">
        <v>4.0587288441011303E-2</v>
      </c>
      <c r="AW1655" s="287">
        <v>-1.1809401239462201</v>
      </c>
      <c r="AX1655" s="287">
        <v>-0.42240703988964201</v>
      </c>
      <c r="AY1655" s="287">
        <v>0.401355532712239</v>
      </c>
      <c r="AZ1655" s="313">
        <v>-0.34216136455586199</v>
      </c>
    </row>
    <row r="1656" spans="1:52" s="29" customFormat="1" ht="15" customHeight="1">
      <c r="A1656" s="347" t="s">
        <v>451</v>
      </c>
      <c r="B1656" s="27">
        <v>2010</v>
      </c>
      <c r="C1656" s="27" t="s">
        <v>442</v>
      </c>
      <c r="D1656" s="69" t="s">
        <v>214</v>
      </c>
      <c r="E1656" s="27" t="s">
        <v>30</v>
      </c>
      <c r="F1656" s="27" t="s">
        <v>659</v>
      </c>
      <c r="G1656" s="43"/>
      <c r="H1656" s="43"/>
      <c r="I1656" s="43"/>
      <c r="J1656" s="43"/>
      <c r="K1656" s="27"/>
      <c r="L1656" s="28"/>
      <c r="M1656" s="27"/>
      <c r="N1656" s="27"/>
      <c r="O1656" s="18">
        <f>O1657+O1660</f>
        <v>29100004547.420002</v>
      </c>
      <c r="P1656" s="214">
        <v>4358147652.2724705</v>
      </c>
      <c r="Q1656" s="214">
        <v>4358224746.2937012</v>
      </c>
      <c r="R1656" s="27" t="s">
        <v>619</v>
      </c>
      <c r="S1656" s="27"/>
      <c r="T1656" s="18"/>
      <c r="U1656" s="27" t="s">
        <v>1879</v>
      </c>
      <c r="V1656" s="27" t="s">
        <v>1880</v>
      </c>
      <c r="W1656" s="30">
        <v>2.8260000000000001</v>
      </c>
      <c r="X1656" s="27">
        <v>51</v>
      </c>
      <c r="Y1656" s="27" t="s">
        <v>1919</v>
      </c>
      <c r="Z1656" s="27">
        <v>51</v>
      </c>
      <c r="AA1656" s="27" t="s">
        <v>1920</v>
      </c>
      <c r="AB1656" s="27" t="s">
        <v>1945</v>
      </c>
      <c r="AC1656" s="273">
        <v>4358147652.2724705</v>
      </c>
      <c r="AD1656" s="27">
        <v>148522810971.50192</v>
      </c>
      <c r="AE1656" s="228">
        <v>2.9343288238119179E-2</v>
      </c>
      <c r="AF1656" s="27">
        <v>27695048561.855965</v>
      </c>
      <c r="AG1656" s="226">
        <v>0.15736197907502106</v>
      </c>
      <c r="AH1656" s="226">
        <v>0.58810199491088611</v>
      </c>
      <c r="AI1656" s="27">
        <v>-255920000</v>
      </c>
      <c r="AJ1656" s="226">
        <v>-17.029335934168767</v>
      </c>
      <c r="AK1656" s="27">
        <v>4074433641.3595448</v>
      </c>
      <c r="AL1656" s="226">
        <v>1.0696327479807124</v>
      </c>
      <c r="AM1656" s="27">
        <v>3993421932.2773547</v>
      </c>
      <c r="AN1656" s="271">
        <v>1.0913316264047064</v>
      </c>
      <c r="AO1656" s="27">
        <v>29262830</v>
      </c>
      <c r="AP1656" s="27">
        <v>30.8</v>
      </c>
      <c r="AQ1656" s="27">
        <v>73.905097560975619</v>
      </c>
      <c r="AR1656" s="27">
        <v>15.2</v>
      </c>
      <c r="AS1656" s="29">
        <v>97.373459999999994</v>
      </c>
      <c r="AT1656" s="270">
        <v>38</v>
      </c>
      <c r="AU1656" s="464">
        <v>72.816286549781523</v>
      </c>
      <c r="AV1656" s="29">
        <v>6.6403653760441994E-2</v>
      </c>
      <c r="AW1656" s="29">
        <v>-0.97688567284337502</v>
      </c>
      <c r="AX1656" s="29">
        <v>-0.203136729362278</v>
      </c>
      <c r="AY1656" s="29">
        <v>0.460708707951485</v>
      </c>
      <c r="AZ1656" s="60">
        <v>-0.25042827669247397</v>
      </c>
    </row>
    <row r="1657" spans="1:52" s="29" customFormat="1" ht="15" customHeight="1">
      <c r="A1657" s="63" t="s">
        <v>451</v>
      </c>
      <c r="B1657" s="27">
        <v>2010</v>
      </c>
      <c r="C1657" s="27" t="s">
        <v>442</v>
      </c>
      <c r="D1657" s="69" t="s">
        <v>214</v>
      </c>
      <c r="E1657" s="29" t="s">
        <v>50</v>
      </c>
      <c r="F1657" s="27" t="s">
        <v>597</v>
      </c>
      <c r="G1657" s="43"/>
      <c r="H1657" s="43"/>
      <c r="I1657" s="43"/>
      <c r="J1657" s="43"/>
      <c r="K1657" s="27"/>
      <c r="L1657" s="28"/>
      <c r="M1657" s="27"/>
      <c r="N1657" s="27"/>
      <c r="O1657" s="18">
        <v>5687106187.7200003</v>
      </c>
      <c r="P1657" s="214">
        <v>1509113462.3184714</v>
      </c>
      <c r="Q1657" s="214">
        <v>1509113234.3184714</v>
      </c>
      <c r="R1657" s="27"/>
      <c r="S1657" s="27"/>
      <c r="T1657" s="18"/>
      <c r="U1657" s="27"/>
      <c r="V1657" s="27"/>
      <c r="W1657" s="30"/>
      <c r="X1657" s="27">
        <v>18</v>
      </c>
      <c r="Y1657" s="27" t="s">
        <v>1922</v>
      </c>
      <c r="Z1657" s="27">
        <v>18</v>
      </c>
      <c r="AA1657" s="27">
        <v>10</v>
      </c>
      <c r="AB1657" s="27"/>
      <c r="AC1657" s="273">
        <v>4358147652.2724705</v>
      </c>
      <c r="AD1657" s="27">
        <v>148522810971.50192</v>
      </c>
      <c r="AE1657" s="228">
        <v>2.9343288238119179E-2</v>
      </c>
      <c r="AF1657" s="27">
        <v>27695048561.855965</v>
      </c>
      <c r="AG1657" s="226">
        <v>0.15736197907502106</v>
      </c>
      <c r="AH1657" s="226">
        <v>0.58810199491088611</v>
      </c>
      <c r="AI1657" s="27">
        <v>-255920000</v>
      </c>
      <c r="AJ1657" s="226">
        <v>-17.029335934168767</v>
      </c>
      <c r="AK1657" s="27">
        <v>4074433641.3595448</v>
      </c>
      <c r="AL1657" s="226">
        <v>1.0696327479807124</v>
      </c>
      <c r="AM1657" s="27">
        <v>3993421932.2773547</v>
      </c>
      <c r="AN1657" s="271">
        <v>1.0913316264047064</v>
      </c>
      <c r="AO1657" s="27">
        <v>29262830</v>
      </c>
      <c r="AP1657" s="27">
        <v>30.8</v>
      </c>
      <c r="AQ1657" s="27">
        <v>73.905097560975619</v>
      </c>
      <c r="AR1657" s="27">
        <v>15.2</v>
      </c>
      <c r="AS1657" s="29">
        <v>97.373459999999994</v>
      </c>
      <c r="AT1657" s="270">
        <v>38</v>
      </c>
      <c r="AU1657" s="464">
        <v>72.816286549781523</v>
      </c>
      <c r="AV1657" s="29">
        <v>6.6403653760441994E-2</v>
      </c>
      <c r="AW1657" s="29">
        <v>-0.97688567284337502</v>
      </c>
      <c r="AX1657" s="29">
        <v>-0.203136729362278</v>
      </c>
      <c r="AY1657" s="29">
        <v>0.460708707951485</v>
      </c>
      <c r="AZ1657" s="60">
        <v>-0.25042827669247397</v>
      </c>
    </row>
    <row r="1658" spans="1:52" s="29" customFormat="1" ht="15" customHeight="1">
      <c r="A1658" s="63" t="s">
        <v>451</v>
      </c>
      <c r="B1658" s="27">
        <v>2010</v>
      </c>
      <c r="C1658" s="27" t="s">
        <v>442</v>
      </c>
      <c r="D1658" s="69" t="s">
        <v>214</v>
      </c>
      <c r="E1658" s="29" t="s">
        <v>552</v>
      </c>
      <c r="F1658" s="27" t="s">
        <v>552</v>
      </c>
      <c r="G1658" s="43"/>
      <c r="H1658" s="43"/>
      <c r="I1658" s="43"/>
      <c r="J1658" s="43"/>
      <c r="K1658" s="27"/>
      <c r="L1658" s="28"/>
      <c r="M1658" s="27"/>
      <c r="N1658" s="27"/>
      <c r="O1658" s="18"/>
      <c r="P1658" s="214"/>
      <c r="Q1658" s="214"/>
      <c r="R1658" s="27"/>
      <c r="S1658" s="27"/>
      <c r="T1658" s="18"/>
      <c r="U1658" s="27"/>
      <c r="V1658" s="27"/>
      <c r="W1658" s="30"/>
      <c r="X1658" s="27"/>
      <c r="Y1658" s="27" t="s">
        <v>1923</v>
      </c>
      <c r="Z1658" s="27"/>
      <c r="AA1658" s="27"/>
      <c r="AB1658" s="27"/>
      <c r="AC1658" s="273">
        <v>4358147652.2724705</v>
      </c>
      <c r="AD1658" s="27">
        <v>148522810971.50192</v>
      </c>
      <c r="AE1658" s="228">
        <v>2.9343288238119179E-2</v>
      </c>
      <c r="AF1658" s="27">
        <v>27695048561.855965</v>
      </c>
      <c r="AG1658" s="226">
        <v>0.15736197907502106</v>
      </c>
      <c r="AH1658" s="226">
        <v>0.58810199491088611</v>
      </c>
      <c r="AI1658" s="27">
        <v>-255920000</v>
      </c>
      <c r="AJ1658" s="226">
        <v>-17.029335934168767</v>
      </c>
      <c r="AK1658" s="27">
        <v>4074433641.3595448</v>
      </c>
      <c r="AL1658" s="226">
        <v>1.0696327479807124</v>
      </c>
      <c r="AM1658" s="27">
        <v>3993421932.2773547</v>
      </c>
      <c r="AN1658" s="271">
        <v>1.0913316264047064</v>
      </c>
      <c r="AO1658" s="27">
        <v>29262830</v>
      </c>
      <c r="AP1658" s="27">
        <v>30.8</v>
      </c>
      <c r="AQ1658" s="27">
        <v>73.905097560975619</v>
      </c>
      <c r="AR1658" s="27">
        <v>15.2</v>
      </c>
      <c r="AS1658" s="29">
        <v>97.373459999999994</v>
      </c>
      <c r="AT1658" s="270">
        <v>38</v>
      </c>
      <c r="AU1658" s="464">
        <v>72.816286549781523</v>
      </c>
      <c r="AV1658" s="29">
        <v>6.6403653760441994E-2</v>
      </c>
      <c r="AW1658" s="29">
        <v>-0.97688567284337502</v>
      </c>
      <c r="AX1658" s="29">
        <v>-0.203136729362278</v>
      </c>
      <c r="AY1658" s="29">
        <v>0.460708707951485</v>
      </c>
      <c r="AZ1658" s="60">
        <v>-0.25042827669247397</v>
      </c>
    </row>
    <row r="1659" spans="1:52" s="29" customFormat="1" ht="15" customHeight="1">
      <c r="A1659" s="63" t="s">
        <v>451</v>
      </c>
      <c r="B1659" s="27">
        <v>2010</v>
      </c>
      <c r="C1659" s="27" t="s">
        <v>442</v>
      </c>
      <c r="D1659" s="69" t="s">
        <v>214</v>
      </c>
      <c r="E1659" s="29" t="s">
        <v>98</v>
      </c>
      <c r="F1659" s="27" t="s">
        <v>98</v>
      </c>
      <c r="G1659" s="43"/>
      <c r="H1659" s="43"/>
      <c r="I1659" s="43"/>
      <c r="J1659" s="43"/>
      <c r="K1659" s="27"/>
      <c r="L1659" s="28"/>
      <c r="M1659" s="27"/>
      <c r="N1659" s="27"/>
      <c r="O1659" s="18"/>
      <c r="P1659" s="214"/>
      <c r="Q1659" s="214"/>
      <c r="R1659" s="27"/>
      <c r="S1659" s="27"/>
      <c r="T1659" s="18"/>
      <c r="U1659" s="27"/>
      <c r="V1659" s="27"/>
      <c r="W1659" s="30"/>
      <c r="X1659" s="27"/>
      <c r="Y1659" s="27"/>
      <c r="Z1659" s="27"/>
      <c r="AA1659" s="27"/>
      <c r="AB1659" s="27"/>
      <c r="AC1659" s="273">
        <v>4358147652.2724705</v>
      </c>
      <c r="AD1659" s="27">
        <v>148522810971.50192</v>
      </c>
      <c r="AE1659" s="228">
        <v>2.9343288238119179E-2</v>
      </c>
      <c r="AF1659" s="27">
        <v>27695048561.855965</v>
      </c>
      <c r="AG1659" s="226">
        <v>0.15736197907502106</v>
      </c>
      <c r="AH1659" s="226">
        <v>0.58810199491088611</v>
      </c>
      <c r="AI1659" s="27">
        <v>-255920000</v>
      </c>
      <c r="AJ1659" s="226">
        <v>-17.029335934168767</v>
      </c>
      <c r="AK1659" s="27">
        <v>4074433641.3595448</v>
      </c>
      <c r="AL1659" s="226">
        <v>1.0696327479807124</v>
      </c>
      <c r="AM1659" s="27">
        <v>3993421932.2773547</v>
      </c>
      <c r="AN1659" s="271">
        <v>1.0913316264047064</v>
      </c>
      <c r="AO1659" s="27">
        <v>29262830</v>
      </c>
      <c r="AP1659" s="27">
        <v>30.8</v>
      </c>
      <c r="AQ1659" s="27">
        <v>73.905097560975619</v>
      </c>
      <c r="AR1659" s="27">
        <v>15.2</v>
      </c>
      <c r="AS1659" s="29">
        <v>97.373459999999994</v>
      </c>
      <c r="AT1659" s="270">
        <v>38</v>
      </c>
      <c r="AU1659" s="464">
        <v>72.816286549781523</v>
      </c>
      <c r="AV1659" s="29">
        <v>6.6403653760441994E-2</v>
      </c>
      <c r="AW1659" s="29">
        <v>-0.97688567284337502</v>
      </c>
      <c r="AX1659" s="29">
        <v>-0.203136729362278</v>
      </c>
      <c r="AY1659" s="29">
        <v>0.460708707951485</v>
      </c>
      <c r="AZ1659" s="60">
        <v>-0.25042827669247397</v>
      </c>
    </row>
    <row r="1660" spans="1:52" s="29" customFormat="1" ht="15" customHeight="1">
      <c r="A1660" s="63" t="s">
        <v>451</v>
      </c>
      <c r="B1660" s="27">
        <v>2010</v>
      </c>
      <c r="C1660" s="27" t="s">
        <v>442</v>
      </c>
      <c r="D1660" s="69" t="s">
        <v>214</v>
      </c>
      <c r="E1660" s="29" t="s">
        <v>19</v>
      </c>
      <c r="F1660" s="27" t="s">
        <v>559</v>
      </c>
      <c r="G1660" s="43"/>
      <c r="H1660" s="43"/>
      <c r="I1660" s="43"/>
      <c r="J1660" s="43"/>
      <c r="K1660" s="27"/>
      <c r="L1660" s="28"/>
      <c r="M1660" s="27"/>
      <c r="N1660" s="27"/>
      <c r="O1660" s="18">
        <v>23412898359.700001</v>
      </c>
      <c r="P1660" s="214">
        <v>2849034189.9539986</v>
      </c>
      <c r="Q1660" s="214">
        <v>2849111511.9752302</v>
      </c>
      <c r="S1660" s="27"/>
      <c r="T1660" s="18"/>
      <c r="U1660" s="27"/>
      <c r="W1660" s="30"/>
      <c r="X1660" s="27">
        <v>33</v>
      </c>
      <c r="Y1660" s="27" t="s">
        <v>1923</v>
      </c>
      <c r="Z1660" s="27">
        <v>33</v>
      </c>
      <c r="AA1660" s="27">
        <v>10</v>
      </c>
      <c r="AB1660" s="27"/>
      <c r="AC1660" s="273">
        <v>4358147652.2724705</v>
      </c>
      <c r="AD1660" s="27">
        <v>148522810971.50192</v>
      </c>
      <c r="AE1660" s="228">
        <v>2.9343288238119179E-2</v>
      </c>
      <c r="AF1660" s="27">
        <v>27695048561.855965</v>
      </c>
      <c r="AG1660" s="226">
        <v>0.15736197907502106</v>
      </c>
      <c r="AH1660" s="226">
        <v>0.58810199491088611</v>
      </c>
      <c r="AI1660" s="27">
        <v>-255920000</v>
      </c>
      <c r="AJ1660" s="226">
        <v>-17.029335934168767</v>
      </c>
      <c r="AK1660" s="27">
        <v>4074433641.3595448</v>
      </c>
      <c r="AL1660" s="226">
        <v>1.0696327479807124</v>
      </c>
      <c r="AM1660" s="27">
        <v>3993421932.2773547</v>
      </c>
      <c r="AN1660" s="271">
        <v>1.0913316264047064</v>
      </c>
      <c r="AO1660" s="27">
        <v>29262830</v>
      </c>
      <c r="AP1660" s="27">
        <v>30.8</v>
      </c>
      <c r="AQ1660" s="27">
        <v>73.905097560975619</v>
      </c>
      <c r="AR1660" s="27">
        <v>15.2</v>
      </c>
      <c r="AS1660" s="29">
        <v>97.373459999999994</v>
      </c>
      <c r="AT1660" s="270">
        <v>38</v>
      </c>
      <c r="AU1660" s="464">
        <v>72.816286549781523</v>
      </c>
      <c r="AV1660" s="29">
        <v>6.6403653760441994E-2</v>
      </c>
      <c r="AW1660" s="29">
        <v>-0.97688567284337502</v>
      </c>
      <c r="AX1660" s="29">
        <v>-0.203136729362278</v>
      </c>
      <c r="AY1660" s="29">
        <v>0.460708707951485</v>
      </c>
      <c r="AZ1660" s="60">
        <v>-0.25042827669247397</v>
      </c>
    </row>
    <row r="1661" spans="1:52" s="29" customFormat="1" ht="15" customHeight="1">
      <c r="A1661" s="63" t="s">
        <v>451</v>
      </c>
      <c r="B1661" s="27">
        <v>2010</v>
      </c>
      <c r="C1661" s="27" t="s">
        <v>442</v>
      </c>
      <c r="D1661" s="69" t="s">
        <v>214</v>
      </c>
      <c r="E1661" s="29" t="s">
        <v>19</v>
      </c>
      <c r="F1661" s="27" t="s">
        <v>1924</v>
      </c>
      <c r="G1661" s="43"/>
      <c r="H1661" s="43"/>
      <c r="I1661" s="43"/>
      <c r="J1661" s="43"/>
      <c r="K1661" s="27"/>
      <c r="L1661" s="28"/>
      <c r="M1661" s="27"/>
      <c r="N1661" s="27"/>
      <c r="O1661" s="18"/>
      <c r="P1661" s="214"/>
      <c r="Q1661" s="214"/>
      <c r="S1661" s="27"/>
      <c r="T1661" s="18"/>
      <c r="U1661" s="27"/>
      <c r="W1661" s="30"/>
      <c r="X1661" s="27"/>
      <c r="Y1661" s="27"/>
      <c r="Z1661" s="27"/>
      <c r="AA1661" s="27"/>
      <c r="AB1661" s="27"/>
      <c r="AC1661" s="273">
        <v>4358147652.2724705</v>
      </c>
      <c r="AD1661" s="27">
        <v>148522810971.50192</v>
      </c>
      <c r="AE1661" s="228">
        <v>2.9343288238119179E-2</v>
      </c>
      <c r="AF1661" s="27">
        <v>27695048561.855965</v>
      </c>
      <c r="AG1661" s="226">
        <v>0.15736197907502106</v>
      </c>
      <c r="AH1661" s="226">
        <v>0.58810199491088611</v>
      </c>
      <c r="AI1661" s="27">
        <v>-255920000</v>
      </c>
      <c r="AJ1661" s="226">
        <v>-17.029335934168767</v>
      </c>
      <c r="AK1661" s="27">
        <v>4074433641.3595448</v>
      </c>
      <c r="AL1661" s="226">
        <v>1.0696327479807124</v>
      </c>
      <c r="AM1661" s="27">
        <v>3993421932.2773547</v>
      </c>
      <c r="AN1661" s="271">
        <v>1.0913316264047064</v>
      </c>
      <c r="AO1661" s="27">
        <v>29262830</v>
      </c>
      <c r="AP1661" s="27">
        <v>30.8</v>
      </c>
      <c r="AQ1661" s="27">
        <v>73.905097560975619</v>
      </c>
      <c r="AR1661" s="27">
        <v>15.2</v>
      </c>
      <c r="AS1661" s="29">
        <v>97.373459999999994</v>
      </c>
      <c r="AT1661" s="270">
        <v>38</v>
      </c>
      <c r="AU1661" s="464">
        <v>72.816286549781523</v>
      </c>
      <c r="AV1661" s="29">
        <v>6.6403653760441994E-2</v>
      </c>
      <c r="AW1661" s="29">
        <v>-0.97688567284337502</v>
      </c>
      <c r="AX1661" s="29">
        <v>-0.203136729362278</v>
      </c>
      <c r="AY1661" s="29">
        <v>0.460708707951485</v>
      </c>
      <c r="AZ1661" s="60">
        <v>-0.25042827669247397</v>
      </c>
    </row>
    <row r="1662" spans="1:52" s="29" customFormat="1" ht="15" customHeight="1">
      <c r="A1662" s="63" t="s">
        <v>451</v>
      </c>
      <c r="B1662" s="27">
        <v>2010</v>
      </c>
      <c r="C1662" s="27" t="s">
        <v>442</v>
      </c>
      <c r="D1662" s="69" t="s">
        <v>214</v>
      </c>
      <c r="E1662" s="29" t="s">
        <v>19</v>
      </c>
      <c r="F1662" s="27" t="s">
        <v>1925</v>
      </c>
      <c r="G1662" s="43"/>
      <c r="H1662" s="43"/>
      <c r="I1662" s="43"/>
      <c r="J1662" s="43"/>
      <c r="K1662" s="27"/>
      <c r="L1662" s="28"/>
      <c r="M1662" s="27"/>
      <c r="N1662" s="27"/>
      <c r="O1662" s="18"/>
      <c r="P1662" s="214"/>
      <c r="Q1662" s="214"/>
      <c r="S1662" s="27"/>
      <c r="T1662" s="18"/>
      <c r="U1662" s="27"/>
      <c r="W1662" s="30"/>
      <c r="X1662" s="27"/>
      <c r="Y1662" s="27"/>
      <c r="Z1662" s="27"/>
      <c r="AA1662" s="27"/>
      <c r="AB1662" s="27"/>
      <c r="AC1662" s="273">
        <v>4358147652.2724705</v>
      </c>
      <c r="AD1662" s="27">
        <v>148522810971.50192</v>
      </c>
      <c r="AE1662" s="228">
        <v>2.9343288238119179E-2</v>
      </c>
      <c r="AF1662" s="27">
        <v>27695048561.855965</v>
      </c>
      <c r="AG1662" s="226">
        <v>0.15736197907502106</v>
      </c>
      <c r="AH1662" s="226">
        <v>0.58810199491088611</v>
      </c>
      <c r="AI1662" s="27">
        <v>-255920000</v>
      </c>
      <c r="AJ1662" s="226">
        <v>-17.029335934168767</v>
      </c>
      <c r="AK1662" s="27">
        <v>4074433641.3595448</v>
      </c>
      <c r="AL1662" s="226">
        <v>1.0696327479807124</v>
      </c>
      <c r="AM1662" s="27">
        <v>3993421932.2773547</v>
      </c>
      <c r="AN1662" s="271">
        <v>1.0913316264047064</v>
      </c>
      <c r="AO1662" s="27">
        <v>29262830</v>
      </c>
      <c r="AP1662" s="27">
        <v>30.8</v>
      </c>
      <c r="AQ1662" s="27">
        <v>73.905097560975619</v>
      </c>
      <c r="AR1662" s="27">
        <v>15.2</v>
      </c>
      <c r="AS1662" s="29">
        <v>97.373459999999994</v>
      </c>
      <c r="AT1662" s="270">
        <v>38</v>
      </c>
      <c r="AU1662" s="464">
        <v>72.816286549781523</v>
      </c>
      <c r="AV1662" s="29">
        <v>6.6403653760441994E-2</v>
      </c>
      <c r="AW1662" s="29">
        <v>-0.97688567284337502</v>
      </c>
      <c r="AX1662" s="29">
        <v>-0.203136729362278</v>
      </c>
      <c r="AY1662" s="29">
        <v>0.460708707951485</v>
      </c>
      <c r="AZ1662" s="60">
        <v>-0.25042827669247397</v>
      </c>
    </row>
    <row r="1663" spans="1:52" s="29" customFormat="1" ht="15" customHeight="1">
      <c r="A1663" s="63" t="s">
        <v>451</v>
      </c>
      <c r="B1663" s="27">
        <v>2010</v>
      </c>
      <c r="C1663" s="27" t="s">
        <v>442</v>
      </c>
      <c r="D1663" s="69" t="s">
        <v>214</v>
      </c>
      <c r="E1663" s="29" t="s">
        <v>19</v>
      </c>
      <c r="F1663" s="27" t="s">
        <v>1302</v>
      </c>
      <c r="G1663" s="43"/>
      <c r="H1663" s="43"/>
      <c r="I1663" s="43"/>
      <c r="J1663" s="43"/>
      <c r="K1663" s="27"/>
      <c r="L1663" s="28"/>
      <c r="M1663" s="27"/>
      <c r="N1663" s="27"/>
      <c r="O1663" s="18"/>
      <c r="P1663" s="214"/>
      <c r="Q1663" s="214"/>
      <c r="S1663" s="27"/>
      <c r="T1663" s="18"/>
      <c r="U1663" s="27"/>
      <c r="W1663" s="30"/>
      <c r="X1663" s="27"/>
      <c r="Y1663" s="27"/>
      <c r="Z1663" s="27"/>
      <c r="AA1663" s="27"/>
      <c r="AB1663" s="27"/>
      <c r="AC1663" s="273">
        <v>4358147652.2724705</v>
      </c>
      <c r="AD1663" s="27">
        <v>148522810971.50192</v>
      </c>
      <c r="AE1663" s="228">
        <v>2.9343288238119179E-2</v>
      </c>
      <c r="AF1663" s="27">
        <v>27695048561.855965</v>
      </c>
      <c r="AG1663" s="226">
        <v>0.15736197907502106</v>
      </c>
      <c r="AH1663" s="226">
        <v>0.58810199491088611</v>
      </c>
      <c r="AI1663" s="27">
        <v>-255920000</v>
      </c>
      <c r="AJ1663" s="226">
        <v>-17.029335934168767</v>
      </c>
      <c r="AK1663" s="27">
        <v>4074433641.3595448</v>
      </c>
      <c r="AL1663" s="226">
        <v>1.0696327479807124</v>
      </c>
      <c r="AM1663" s="27">
        <v>3993421932.2773547</v>
      </c>
      <c r="AN1663" s="271">
        <v>1.0913316264047064</v>
      </c>
      <c r="AO1663" s="27">
        <v>29262830</v>
      </c>
      <c r="AP1663" s="27">
        <v>30.8</v>
      </c>
      <c r="AQ1663" s="27">
        <v>73.905097560975619</v>
      </c>
      <c r="AR1663" s="27">
        <v>15.2</v>
      </c>
      <c r="AS1663" s="29">
        <v>97.373459999999994</v>
      </c>
      <c r="AT1663" s="270">
        <v>38</v>
      </c>
      <c r="AU1663" s="464">
        <v>72.816286549781523</v>
      </c>
      <c r="AV1663" s="29">
        <v>6.6403653760441994E-2</v>
      </c>
      <c r="AW1663" s="29">
        <v>-0.97688567284337502</v>
      </c>
      <c r="AX1663" s="29">
        <v>-0.203136729362278</v>
      </c>
      <c r="AY1663" s="29">
        <v>0.460708707951485</v>
      </c>
      <c r="AZ1663" s="60">
        <v>-0.25042827669247397</v>
      </c>
    </row>
    <row r="1664" spans="1:52" s="29" customFormat="1" ht="15" customHeight="1">
      <c r="A1664" s="63" t="s">
        <v>451</v>
      </c>
      <c r="B1664" s="27">
        <v>2010</v>
      </c>
      <c r="C1664" s="27" t="s">
        <v>442</v>
      </c>
      <c r="D1664" s="69" t="s">
        <v>214</v>
      </c>
      <c r="E1664" s="29" t="s">
        <v>19</v>
      </c>
      <c r="F1664" s="27" t="s">
        <v>1120</v>
      </c>
      <c r="G1664" s="43"/>
      <c r="H1664" s="43"/>
      <c r="I1664" s="43"/>
      <c r="J1664" s="43"/>
      <c r="K1664" s="27"/>
      <c r="L1664" s="28"/>
      <c r="M1664" s="27"/>
      <c r="N1664" s="27"/>
      <c r="O1664" s="18"/>
      <c r="P1664" s="214"/>
      <c r="Q1664" s="214"/>
      <c r="S1664" s="27"/>
      <c r="T1664" s="18"/>
      <c r="U1664" s="27"/>
      <c r="W1664" s="30"/>
      <c r="X1664" s="27"/>
      <c r="Y1664" s="27"/>
      <c r="Z1664" s="27"/>
      <c r="AA1664" s="27"/>
      <c r="AB1664" s="27"/>
      <c r="AC1664" s="273">
        <v>4358147652.2724705</v>
      </c>
      <c r="AD1664" s="27">
        <v>148522810971.50192</v>
      </c>
      <c r="AE1664" s="228">
        <v>2.9343288238119179E-2</v>
      </c>
      <c r="AF1664" s="27">
        <v>27695048561.855965</v>
      </c>
      <c r="AG1664" s="226">
        <v>0.15736197907502106</v>
      </c>
      <c r="AH1664" s="226">
        <v>0.58810199491088611</v>
      </c>
      <c r="AI1664" s="27">
        <v>-255920000</v>
      </c>
      <c r="AJ1664" s="226">
        <v>-17.029335934168767</v>
      </c>
      <c r="AK1664" s="27">
        <v>4074433641.3595448</v>
      </c>
      <c r="AL1664" s="226">
        <v>1.0696327479807124</v>
      </c>
      <c r="AM1664" s="27">
        <v>3993421932.2773547</v>
      </c>
      <c r="AN1664" s="271">
        <v>1.0913316264047064</v>
      </c>
      <c r="AO1664" s="27">
        <v>29262830</v>
      </c>
      <c r="AP1664" s="27">
        <v>30.8</v>
      </c>
      <c r="AQ1664" s="27">
        <v>73.905097560975619</v>
      </c>
      <c r="AR1664" s="27">
        <v>15.2</v>
      </c>
      <c r="AS1664" s="29">
        <v>97.373459999999994</v>
      </c>
      <c r="AT1664" s="270">
        <v>38</v>
      </c>
      <c r="AU1664" s="464">
        <v>72.816286549781523</v>
      </c>
      <c r="AV1664" s="29">
        <v>6.6403653760441994E-2</v>
      </c>
      <c r="AW1664" s="29">
        <v>-0.97688567284337502</v>
      </c>
      <c r="AX1664" s="29">
        <v>-0.203136729362278</v>
      </c>
      <c r="AY1664" s="29">
        <v>0.460708707951485</v>
      </c>
      <c r="AZ1664" s="60">
        <v>-0.25042827669247397</v>
      </c>
    </row>
    <row r="1665" spans="1:52" s="29" customFormat="1" ht="15" customHeight="1">
      <c r="A1665" s="63" t="s">
        <v>451</v>
      </c>
      <c r="B1665" s="27">
        <v>2010</v>
      </c>
      <c r="C1665" s="27" t="s">
        <v>442</v>
      </c>
      <c r="D1665" s="69" t="s">
        <v>214</v>
      </c>
      <c r="E1665" s="29" t="s">
        <v>19</v>
      </c>
      <c r="F1665" s="27" t="s">
        <v>1888</v>
      </c>
      <c r="G1665" s="43"/>
      <c r="H1665" s="43"/>
      <c r="I1665" s="43"/>
      <c r="J1665" s="43"/>
      <c r="K1665" s="27"/>
      <c r="L1665" s="28"/>
      <c r="M1665" s="27"/>
      <c r="N1665" s="27"/>
      <c r="O1665" s="18"/>
      <c r="P1665" s="214"/>
      <c r="Q1665" s="214"/>
      <c r="S1665" s="27"/>
      <c r="T1665" s="18"/>
      <c r="U1665" s="27"/>
      <c r="W1665" s="30"/>
      <c r="X1665" s="27"/>
      <c r="Y1665" s="27"/>
      <c r="Z1665" s="27"/>
      <c r="AA1665" s="27"/>
      <c r="AB1665" s="27"/>
      <c r="AC1665" s="273">
        <v>4358147652.2724705</v>
      </c>
      <c r="AD1665" s="27">
        <v>148522810971.50192</v>
      </c>
      <c r="AE1665" s="228">
        <v>2.9343288238119179E-2</v>
      </c>
      <c r="AF1665" s="27">
        <v>27695048561.855965</v>
      </c>
      <c r="AG1665" s="226">
        <v>0.15736197907502106</v>
      </c>
      <c r="AH1665" s="226">
        <v>0.58810199491088611</v>
      </c>
      <c r="AI1665" s="27">
        <v>-255920000</v>
      </c>
      <c r="AJ1665" s="226">
        <v>-17.029335934168767</v>
      </c>
      <c r="AK1665" s="27">
        <v>4074433641.3595448</v>
      </c>
      <c r="AL1665" s="226">
        <v>1.0696327479807124</v>
      </c>
      <c r="AM1665" s="27">
        <v>3993421932.2773547</v>
      </c>
      <c r="AN1665" s="271">
        <v>1.0913316264047064</v>
      </c>
      <c r="AO1665" s="27">
        <v>29262830</v>
      </c>
      <c r="AP1665" s="27">
        <v>30.8</v>
      </c>
      <c r="AQ1665" s="27">
        <v>73.905097560975619</v>
      </c>
      <c r="AR1665" s="27">
        <v>15.2</v>
      </c>
      <c r="AS1665" s="29">
        <v>97.373459999999994</v>
      </c>
      <c r="AT1665" s="270">
        <v>38</v>
      </c>
      <c r="AU1665" s="464">
        <v>72.816286549781523</v>
      </c>
      <c r="AV1665" s="29">
        <v>6.6403653760441994E-2</v>
      </c>
      <c r="AW1665" s="29">
        <v>-0.97688567284337502</v>
      </c>
      <c r="AX1665" s="29">
        <v>-0.203136729362278</v>
      </c>
      <c r="AY1665" s="29">
        <v>0.460708707951485</v>
      </c>
      <c r="AZ1665" s="60">
        <v>-0.25042827669247397</v>
      </c>
    </row>
    <row r="1666" spans="1:52" s="29" customFormat="1" ht="15" customHeight="1">
      <c r="A1666" s="63" t="s">
        <v>451</v>
      </c>
      <c r="B1666" s="27">
        <v>2010</v>
      </c>
      <c r="C1666" s="27" t="s">
        <v>442</v>
      </c>
      <c r="D1666" s="69" t="s">
        <v>214</v>
      </c>
      <c r="E1666" s="29" t="s">
        <v>19</v>
      </c>
      <c r="F1666" s="27" t="s">
        <v>1926</v>
      </c>
      <c r="G1666" s="43"/>
      <c r="H1666" s="43"/>
      <c r="I1666" s="43"/>
      <c r="J1666" s="43"/>
      <c r="K1666" s="27"/>
      <c r="L1666" s="28"/>
      <c r="M1666" s="27"/>
      <c r="N1666" s="27"/>
      <c r="O1666" s="18"/>
      <c r="P1666" s="214"/>
      <c r="Q1666" s="214"/>
      <c r="S1666" s="27"/>
      <c r="T1666" s="18"/>
      <c r="U1666" s="27"/>
      <c r="W1666" s="30"/>
      <c r="X1666" s="27"/>
      <c r="Y1666" s="27"/>
      <c r="Z1666" s="27"/>
      <c r="AA1666" s="27"/>
      <c r="AB1666" s="27"/>
      <c r="AC1666" s="273">
        <v>4358147652.2724705</v>
      </c>
      <c r="AD1666" s="27">
        <v>148522810971.50192</v>
      </c>
      <c r="AE1666" s="228">
        <v>2.9343288238119179E-2</v>
      </c>
      <c r="AF1666" s="27">
        <v>27695048561.855965</v>
      </c>
      <c r="AG1666" s="226">
        <v>0.15736197907502106</v>
      </c>
      <c r="AH1666" s="226">
        <v>0.58810199491088611</v>
      </c>
      <c r="AI1666" s="27">
        <v>-255920000</v>
      </c>
      <c r="AJ1666" s="226">
        <v>-17.029335934168767</v>
      </c>
      <c r="AK1666" s="27">
        <v>4074433641.3595448</v>
      </c>
      <c r="AL1666" s="226">
        <v>1.0696327479807124</v>
      </c>
      <c r="AM1666" s="27">
        <v>3993421932.2773547</v>
      </c>
      <c r="AN1666" s="271">
        <v>1.0913316264047064</v>
      </c>
      <c r="AO1666" s="27">
        <v>29262830</v>
      </c>
      <c r="AP1666" s="27">
        <v>30.8</v>
      </c>
      <c r="AQ1666" s="27">
        <v>73.905097560975619</v>
      </c>
      <c r="AR1666" s="27">
        <v>15.2</v>
      </c>
      <c r="AS1666" s="29">
        <v>97.373459999999994</v>
      </c>
      <c r="AT1666" s="270">
        <v>38</v>
      </c>
      <c r="AU1666" s="464">
        <v>72.816286549781523</v>
      </c>
      <c r="AV1666" s="29">
        <v>6.6403653760441994E-2</v>
      </c>
      <c r="AW1666" s="29">
        <v>-0.97688567284337502</v>
      </c>
      <c r="AX1666" s="29">
        <v>-0.203136729362278</v>
      </c>
      <c r="AY1666" s="29">
        <v>0.460708707951485</v>
      </c>
      <c r="AZ1666" s="60">
        <v>-0.25042827669247397</v>
      </c>
    </row>
    <row r="1667" spans="1:52" s="29" customFormat="1" ht="15" customHeight="1">
      <c r="A1667" s="63" t="s">
        <v>451</v>
      </c>
      <c r="B1667" s="27">
        <v>2010</v>
      </c>
      <c r="C1667" s="27" t="s">
        <v>442</v>
      </c>
      <c r="D1667" s="69" t="s">
        <v>214</v>
      </c>
      <c r="E1667" s="29" t="s">
        <v>19</v>
      </c>
      <c r="F1667" s="27" t="s">
        <v>1927</v>
      </c>
      <c r="G1667" s="43"/>
      <c r="H1667" s="43"/>
      <c r="I1667" s="43"/>
      <c r="J1667" s="43"/>
      <c r="K1667" s="27"/>
      <c r="L1667" s="28"/>
      <c r="M1667" s="27"/>
      <c r="N1667" s="27"/>
      <c r="O1667" s="18"/>
      <c r="P1667" s="214"/>
      <c r="Q1667" s="214"/>
      <c r="S1667" s="27"/>
      <c r="T1667" s="18"/>
      <c r="U1667" s="27"/>
      <c r="W1667" s="30"/>
      <c r="X1667" s="27"/>
      <c r="Y1667" s="27"/>
      <c r="Z1667" s="27"/>
      <c r="AA1667" s="27"/>
      <c r="AB1667" s="27"/>
      <c r="AC1667" s="273">
        <v>4358147652.2724705</v>
      </c>
      <c r="AD1667" s="27">
        <v>148522810971.50192</v>
      </c>
      <c r="AE1667" s="228">
        <v>2.9343288238119179E-2</v>
      </c>
      <c r="AF1667" s="27">
        <v>27695048561.855965</v>
      </c>
      <c r="AG1667" s="226">
        <v>0.15736197907502106</v>
      </c>
      <c r="AH1667" s="226">
        <v>0.58810199491088611</v>
      </c>
      <c r="AI1667" s="27">
        <v>-255920000</v>
      </c>
      <c r="AJ1667" s="226">
        <v>-17.029335934168767</v>
      </c>
      <c r="AK1667" s="27">
        <v>4074433641.3595448</v>
      </c>
      <c r="AL1667" s="226">
        <v>1.0696327479807124</v>
      </c>
      <c r="AM1667" s="27">
        <v>3993421932.2773547</v>
      </c>
      <c r="AN1667" s="271">
        <v>1.0913316264047064</v>
      </c>
      <c r="AO1667" s="27">
        <v>29262830</v>
      </c>
      <c r="AP1667" s="27">
        <v>30.8</v>
      </c>
      <c r="AQ1667" s="27">
        <v>73.905097560975619</v>
      </c>
      <c r="AR1667" s="27">
        <v>15.2</v>
      </c>
      <c r="AS1667" s="29">
        <v>97.373459999999994</v>
      </c>
      <c r="AT1667" s="270">
        <v>38</v>
      </c>
      <c r="AU1667" s="464">
        <v>72.816286549781523</v>
      </c>
      <c r="AV1667" s="29">
        <v>6.6403653760441994E-2</v>
      </c>
      <c r="AW1667" s="29">
        <v>-0.97688567284337502</v>
      </c>
      <c r="AX1667" s="29">
        <v>-0.203136729362278</v>
      </c>
      <c r="AY1667" s="29">
        <v>0.460708707951485</v>
      </c>
      <c r="AZ1667" s="60">
        <v>-0.25042827669247397</v>
      </c>
    </row>
    <row r="1668" spans="1:52" s="29" customFormat="1" ht="15" customHeight="1">
      <c r="A1668" s="63" t="s">
        <v>451</v>
      </c>
      <c r="B1668" s="27">
        <v>2010</v>
      </c>
      <c r="C1668" s="27" t="s">
        <v>442</v>
      </c>
      <c r="D1668" s="69" t="s">
        <v>214</v>
      </c>
      <c r="E1668" s="29" t="s">
        <v>19</v>
      </c>
      <c r="F1668" s="27" t="s">
        <v>566</v>
      </c>
      <c r="G1668" s="43"/>
      <c r="H1668" s="43"/>
      <c r="I1668" s="43"/>
      <c r="J1668" s="43"/>
      <c r="K1668" s="27"/>
      <c r="L1668" s="28"/>
      <c r="M1668" s="27"/>
      <c r="N1668" s="27"/>
      <c r="O1668" s="18"/>
      <c r="P1668" s="214"/>
      <c r="Q1668" s="214"/>
      <c r="S1668" s="27"/>
      <c r="T1668" s="18"/>
      <c r="U1668" s="27"/>
      <c r="W1668" s="30"/>
      <c r="X1668" s="27"/>
      <c r="Y1668" s="27"/>
      <c r="Z1668" s="27"/>
      <c r="AA1668" s="27"/>
      <c r="AB1668" s="27"/>
      <c r="AC1668" s="273">
        <v>4358147652.2724705</v>
      </c>
      <c r="AD1668" s="27">
        <v>148522810971.50192</v>
      </c>
      <c r="AE1668" s="228">
        <v>2.9343288238119179E-2</v>
      </c>
      <c r="AF1668" s="27">
        <v>27695048561.855965</v>
      </c>
      <c r="AG1668" s="226">
        <v>0.15736197907502106</v>
      </c>
      <c r="AH1668" s="226">
        <v>0.58810199491088611</v>
      </c>
      <c r="AI1668" s="27">
        <v>-255920000</v>
      </c>
      <c r="AJ1668" s="226">
        <v>-17.029335934168767</v>
      </c>
      <c r="AK1668" s="27">
        <v>4074433641.3595448</v>
      </c>
      <c r="AL1668" s="226">
        <v>1.0696327479807124</v>
      </c>
      <c r="AM1668" s="27">
        <v>3993421932.2773547</v>
      </c>
      <c r="AN1668" s="271">
        <v>1.0913316264047064</v>
      </c>
      <c r="AO1668" s="27">
        <v>29262830</v>
      </c>
      <c r="AP1668" s="27">
        <v>30.8</v>
      </c>
      <c r="AQ1668" s="27">
        <v>73.905097560975619</v>
      </c>
      <c r="AR1668" s="27">
        <v>15.2</v>
      </c>
      <c r="AS1668" s="29">
        <v>97.373459999999994</v>
      </c>
      <c r="AT1668" s="270">
        <v>38</v>
      </c>
      <c r="AU1668" s="464">
        <v>72.816286549781523</v>
      </c>
      <c r="AV1668" s="29">
        <v>6.6403653760441994E-2</v>
      </c>
      <c r="AW1668" s="29">
        <v>-0.97688567284337502</v>
      </c>
      <c r="AX1668" s="29">
        <v>-0.203136729362278</v>
      </c>
      <c r="AY1668" s="29">
        <v>0.460708707951485</v>
      </c>
      <c r="AZ1668" s="60">
        <v>-0.25042827669247397</v>
      </c>
    </row>
    <row r="1669" spans="1:52" s="29" customFormat="1" ht="15" customHeight="1">
      <c r="A1669" s="63" t="s">
        <v>451</v>
      </c>
      <c r="B1669" s="27">
        <v>2010</v>
      </c>
      <c r="C1669" s="27" t="s">
        <v>442</v>
      </c>
      <c r="D1669" s="69" t="s">
        <v>214</v>
      </c>
      <c r="E1669" s="29" t="s">
        <v>19</v>
      </c>
      <c r="F1669" s="27" t="s">
        <v>1928</v>
      </c>
      <c r="G1669" s="43"/>
      <c r="H1669" s="43"/>
      <c r="I1669" s="43"/>
      <c r="J1669" s="43"/>
      <c r="K1669" s="27"/>
      <c r="L1669" s="28"/>
      <c r="M1669" s="27"/>
      <c r="N1669" s="27"/>
      <c r="O1669" s="18"/>
      <c r="P1669" s="214"/>
      <c r="Q1669" s="214"/>
      <c r="S1669" s="27"/>
      <c r="T1669" s="18"/>
      <c r="U1669" s="27"/>
      <c r="W1669" s="30"/>
      <c r="X1669" s="27"/>
      <c r="Y1669" s="27"/>
      <c r="Z1669" s="27"/>
      <c r="AA1669" s="27"/>
      <c r="AB1669" s="27"/>
      <c r="AC1669" s="273">
        <v>4358147652.2724705</v>
      </c>
      <c r="AD1669" s="27">
        <v>148522810971.50192</v>
      </c>
      <c r="AE1669" s="228">
        <v>2.9343288238119179E-2</v>
      </c>
      <c r="AF1669" s="27">
        <v>27695048561.855965</v>
      </c>
      <c r="AG1669" s="226">
        <v>0.15736197907502106</v>
      </c>
      <c r="AH1669" s="226">
        <v>0.58810199491088611</v>
      </c>
      <c r="AI1669" s="27">
        <v>-255920000</v>
      </c>
      <c r="AJ1669" s="226">
        <v>-17.029335934168767</v>
      </c>
      <c r="AK1669" s="27">
        <v>4074433641.3595448</v>
      </c>
      <c r="AL1669" s="226">
        <v>1.0696327479807124</v>
      </c>
      <c r="AM1669" s="27">
        <v>3993421932.2773547</v>
      </c>
      <c r="AN1669" s="271">
        <v>1.0913316264047064</v>
      </c>
      <c r="AO1669" s="27">
        <v>29262830</v>
      </c>
      <c r="AP1669" s="27">
        <v>30.8</v>
      </c>
      <c r="AQ1669" s="27">
        <v>73.905097560975619</v>
      </c>
      <c r="AR1669" s="27">
        <v>15.2</v>
      </c>
      <c r="AS1669" s="29">
        <v>97.373459999999994</v>
      </c>
      <c r="AT1669" s="270">
        <v>38</v>
      </c>
      <c r="AU1669" s="464">
        <v>72.816286549781523</v>
      </c>
      <c r="AV1669" s="29">
        <v>6.6403653760441994E-2</v>
      </c>
      <c r="AW1669" s="29">
        <v>-0.97688567284337502</v>
      </c>
      <c r="AX1669" s="29">
        <v>-0.203136729362278</v>
      </c>
      <c r="AY1669" s="29">
        <v>0.460708707951485</v>
      </c>
      <c r="AZ1669" s="60">
        <v>-0.25042827669247397</v>
      </c>
    </row>
    <row r="1670" spans="1:52" s="29" customFormat="1" ht="15" customHeight="1">
      <c r="A1670" s="63" t="s">
        <v>451</v>
      </c>
      <c r="B1670" s="27">
        <v>2010</v>
      </c>
      <c r="C1670" s="27" t="s">
        <v>442</v>
      </c>
      <c r="D1670" s="69" t="s">
        <v>214</v>
      </c>
      <c r="E1670" s="29" t="s">
        <v>19</v>
      </c>
      <c r="F1670" s="27" t="s">
        <v>573</v>
      </c>
      <c r="G1670" s="43"/>
      <c r="H1670" s="43"/>
      <c r="I1670" s="43"/>
      <c r="J1670" s="43"/>
      <c r="K1670" s="27"/>
      <c r="L1670" s="28"/>
      <c r="M1670" s="27"/>
      <c r="N1670" s="27"/>
      <c r="O1670" s="18"/>
      <c r="P1670" s="214"/>
      <c r="Q1670" s="214"/>
      <c r="S1670" s="27"/>
      <c r="T1670" s="18"/>
      <c r="U1670" s="27"/>
      <c r="W1670" s="30"/>
      <c r="X1670" s="27"/>
      <c r="Y1670" s="27"/>
      <c r="Z1670" s="27"/>
      <c r="AA1670" s="27"/>
      <c r="AB1670" s="27"/>
      <c r="AC1670" s="273">
        <v>4358147652.2724705</v>
      </c>
      <c r="AD1670" s="27">
        <v>148522810971.50192</v>
      </c>
      <c r="AE1670" s="228">
        <v>2.9343288238119179E-2</v>
      </c>
      <c r="AF1670" s="27">
        <v>27695048561.855965</v>
      </c>
      <c r="AG1670" s="226">
        <v>0.15736197907502106</v>
      </c>
      <c r="AH1670" s="226">
        <v>0.58810199491088611</v>
      </c>
      <c r="AI1670" s="27">
        <v>-255920000</v>
      </c>
      <c r="AJ1670" s="226">
        <v>-17.029335934168767</v>
      </c>
      <c r="AK1670" s="27">
        <v>4074433641.3595448</v>
      </c>
      <c r="AL1670" s="226">
        <v>1.0696327479807124</v>
      </c>
      <c r="AM1670" s="27">
        <v>3993421932.2773547</v>
      </c>
      <c r="AN1670" s="271">
        <v>1.0913316264047064</v>
      </c>
      <c r="AO1670" s="27">
        <v>29262830</v>
      </c>
      <c r="AP1670" s="27">
        <v>30.8</v>
      </c>
      <c r="AQ1670" s="27">
        <v>73.905097560975619</v>
      </c>
      <c r="AR1670" s="27">
        <v>15.2</v>
      </c>
      <c r="AS1670" s="29">
        <v>97.373459999999994</v>
      </c>
      <c r="AT1670" s="270">
        <v>38</v>
      </c>
      <c r="AU1670" s="464">
        <v>72.816286549781523</v>
      </c>
      <c r="AV1670" s="29">
        <v>6.6403653760441994E-2</v>
      </c>
      <c r="AW1670" s="29">
        <v>-0.97688567284337502</v>
      </c>
      <c r="AX1670" s="29">
        <v>-0.203136729362278</v>
      </c>
      <c r="AY1670" s="29">
        <v>0.460708707951485</v>
      </c>
      <c r="AZ1670" s="60">
        <v>-0.25042827669247397</v>
      </c>
    </row>
    <row r="1671" spans="1:52" s="29" customFormat="1" ht="15" customHeight="1">
      <c r="A1671" s="63" t="s">
        <v>451</v>
      </c>
      <c r="B1671" s="27">
        <v>2010</v>
      </c>
      <c r="C1671" s="27" t="s">
        <v>442</v>
      </c>
      <c r="D1671" s="69" t="s">
        <v>214</v>
      </c>
      <c r="E1671" s="29" t="s">
        <v>19</v>
      </c>
      <c r="F1671" s="27" t="s">
        <v>1929</v>
      </c>
      <c r="G1671" s="43"/>
      <c r="H1671" s="43"/>
      <c r="I1671" s="43"/>
      <c r="J1671" s="43"/>
      <c r="K1671" s="27"/>
      <c r="L1671" s="28"/>
      <c r="M1671" s="27"/>
      <c r="N1671" s="27"/>
      <c r="O1671" s="18"/>
      <c r="P1671" s="214"/>
      <c r="Q1671" s="214"/>
      <c r="S1671" s="27"/>
      <c r="T1671" s="18"/>
      <c r="U1671" s="27"/>
      <c r="W1671" s="30"/>
      <c r="X1671" s="27"/>
      <c r="Y1671" s="27"/>
      <c r="Z1671" s="27"/>
      <c r="AA1671" s="27"/>
      <c r="AB1671" s="27"/>
      <c r="AC1671" s="273">
        <v>4358147652.2724705</v>
      </c>
      <c r="AD1671" s="27">
        <v>148522810971.50192</v>
      </c>
      <c r="AE1671" s="228">
        <v>2.9343288238119179E-2</v>
      </c>
      <c r="AF1671" s="27">
        <v>27695048561.855965</v>
      </c>
      <c r="AG1671" s="226">
        <v>0.15736197907502106</v>
      </c>
      <c r="AH1671" s="226">
        <v>0.58810199491088611</v>
      </c>
      <c r="AI1671" s="27">
        <v>-255920000</v>
      </c>
      <c r="AJ1671" s="226">
        <v>-17.029335934168767</v>
      </c>
      <c r="AK1671" s="27">
        <v>4074433641.3595448</v>
      </c>
      <c r="AL1671" s="226">
        <v>1.0696327479807124</v>
      </c>
      <c r="AM1671" s="27">
        <v>3993421932.2773547</v>
      </c>
      <c r="AN1671" s="271">
        <v>1.0913316264047064</v>
      </c>
      <c r="AO1671" s="27">
        <v>29262830</v>
      </c>
      <c r="AP1671" s="27">
        <v>30.8</v>
      </c>
      <c r="AQ1671" s="27">
        <v>73.905097560975619</v>
      </c>
      <c r="AR1671" s="27">
        <v>15.2</v>
      </c>
      <c r="AS1671" s="29">
        <v>97.373459999999994</v>
      </c>
      <c r="AT1671" s="270">
        <v>38</v>
      </c>
      <c r="AU1671" s="464">
        <v>72.816286549781523</v>
      </c>
      <c r="AV1671" s="29">
        <v>6.6403653760441994E-2</v>
      </c>
      <c r="AW1671" s="29">
        <v>-0.97688567284337502</v>
      </c>
      <c r="AX1671" s="29">
        <v>-0.203136729362278</v>
      </c>
      <c r="AY1671" s="29">
        <v>0.460708707951485</v>
      </c>
      <c r="AZ1671" s="60">
        <v>-0.25042827669247397</v>
      </c>
    </row>
    <row r="1672" spans="1:52" s="29" customFormat="1" ht="15" customHeight="1">
      <c r="A1672" s="63" t="s">
        <v>451</v>
      </c>
      <c r="B1672" s="27">
        <v>2010</v>
      </c>
      <c r="C1672" s="27" t="s">
        <v>442</v>
      </c>
      <c r="D1672" s="69" t="s">
        <v>214</v>
      </c>
      <c r="E1672" s="29" t="s">
        <v>19</v>
      </c>
      <c r="F1672" s="27" t="s">
        <v>576</v>
      </c>
      <c r="G1672" s="43"/>
      <c r="H1672" s="43"/>
      <c r="I1672" s="43"/>
      <c r="J1672" s="43"/>
      <c r="K1672" s="27"/>
      <c r="L1672" s="28"/>
      <c r="M1672" s="27"/>
      <c r="N1672" s="27"/>
      <c r="O1672" s="18"/>
      <c r="P1672" s="214"/>
      <c r="Q1672" s="214"/>
      <c r="R1672" s="71"/>
      <c r="S1672" s="27"/>
      <c r="T1672" s="18"/>
      <c r="U1672" s="27"/>
      <c r="V1672" s="71"/>
      <c r="W1672" s="30"/>
      <c r="X1672" s="27"/>
      <c r="Y1672" s="27"/>
      <c r="Z1672" s="27"/>
      <c r="AA1672" s="27"/>
      <c r="AB1672" s="27"/>
      <c r="AC1672" s="273">
        <v>4358147652.2724705</v>
      </c>
      <c r="AD1672" s="27">
        <v>148522810971.50192</v>
      </c>
      <c r="AE1672" s="228">
        <v>2.9343288238119179E-2</v>
      </c>
      <c r="AF1672" s="27">
        <v>27695048561.855965</v>
      </c>
      <c r="AG1672" s="226">
        <v>0.15736197907502106</v>
      </c>
      <c r="AH1672" s="226">
        <v>0.58810199491088611</v>
      </c>
      <c r="AI1672" s="27">
        <v>-255920000</v>
      </c>
      <c r="AJ1672" s="226">
        <v>-17.029335934168767</v>
      </c>
      <c r="AK1672" s="27">
        <v>4074433641.3595448</v>
      </c>
      <c r="AL1672" s="226">
        <v>1.0696327479807124</v>
      </c>
      <c r="AM1672" s="27">
        <v>3993421932.2773547</v>
      </c>
      <c r="AN1672" s="271">
        <v>1.0913316264047064</v>
      </c>
      <c r="AO1672" s="27">
        <v>29262830</v>
      </c>
      <c r="AP1672" s="27">
        <v>30.8</v>
      </c>
      <c r="AQ1672" s="27">
        <v>73.905097560975619</v>
      </c>
      <c r="AR1672" s="27">
        <v>15.2</v>
      </c>
      <c r="AS1672" s="29">
        <v>97.373459999999994</v>
      </c>
      <c r="AT1672" s="270">
        <v>38</v>
      </c>
      <c r="AU1672" s="464">
        <v>72.816286549781523</v>
      </c>
      <c r="AV1672" s="29">
        <v>6.6403653760441994E-2</v>
      </c>
      <c r="AW1672" s="29">
        <v>-0.97688567284337502</v>
      </c>
      <c r="AX1672" s="29">
        <v>-0.203136729362278</v>
      </c>
      <c r="AY1672" s="29">
        <v>0.460708707951485</v>
      </c>
      <c r="AZ1672" s="60">
        <v>-0.25042827669247397</v>
      </c>
    </row>
    <row r="1673" spans="1:52" s="29" customFormat="1" ht="15" customHeight="1">
      <c r="A1673" s="63" t="s">
        <v>451</v>
      </c>
      <c r="B1673" s="27">
        <v>2010</v>
      </c>
      <c r="C1673" s="27" t="s">
        <v>442</v>
      </c>
      <c r="D1673" s="69" t="s">
        <v>214</v>
      </c>
      <c r="E1673" s="29" t="s">
        <v>19</v>
      </c>
      <c r="F1673" s="27" t="s">
        <v>1930</v>
      </c>
      <c r="G1673" s="43"/>
      <c r="H1673" s="43"/>
      <c r="I1673" s="43"/>
      <c r="J1673" s="43"/>
      <c r="K1673" s="27"/>
      <c r="L1673" s="28"/>
      <c r="M1673" s="27"/>
      <c r="N1673" s="27"/>
      <c r="O1673" s="18"/>
      <c r="P1673" s="214"/>
      <c r="Q1673" s="214"/>
      <c r="S1673" s="27"/>
      <c r="T1673" s="18"/>
      <c r="U1673" s="27"/>
      <c r="W1673" s="30"/>
      <c r="X1673" s="27"/>
      <c r="Y1673" s="27"/>
      <c r="Z1673" s="27"/>
      <c r="AA1673" s="27"/>
      <c r="AB1673" s="27"/>
      <c r="AC1673" s="273">
        <v>4358147652.2724705</v>
      </c>
      <c r="AD1673" s="27">
        <v>148522810971.50192</v>
      </c>
      <c r="AE1673" s="228">
        <v>2.9343288238119179E-2</v>
      </c>
      <c r="AF1673" s="27">
        <v>27695048561.855965</v>
      </c>
      <c r="AG1673" s="226">
        <v>0.15736197907502106</v>
      </c>
      <c r="AH1673" s="226">
        <v>0.58810199491088611</v>
      </c>
      <c r="AI1673" s="27">
        <v>-255920000</v>
      </c>
      <c r="AJ1673" s="226">
        <v>-17.029335934168767</v>
      </c>
      <c r="AK1673" s="27">
        <v>4074433641.3595448</v>
      </c>
      <c r="AL1673" s="226">
        <v>1.0696327479807124</v>
      </c>
      <c r="AM1673" s="27">
        <v>3993421932.2773547</v>
      </c>
      <c r="AN1673" s="271">
        <v>1.0913316264047064</v>
      </c>
      <c r="AO1673" s="27">
        <v>29262830</v>
      </c>
      <c r="AP1673" s="27">
        <v>30.8</v>
      </c>
      <c r="AQ1673" s="27">
        <v>73.905097560975619</v>
      </c>
      <c r="AR1673" s="27">
        <v>15.2</v>
      </c>
      <c r="AS1673" s="29">
        <v>97.373459999999994</v>
      </c>
      <c r="AT1673" s="270">
        <v>38</v>
      </c>
      <c r="AU1673" s="464">
        <v>72.816286549781523</v>
      </c>
      <c r="AV1673" s="29">
        <v>6.6403653760441994E-2</v>
      </c>
      <c r="AW1673" s="29">
        <v>-0.97688567284337502</v>
      </c>
      <c r="AX1673" s="29">
        <v>-0.203136729362278</v>
      </c>
      <c r="AY1673" s="29">
        <v>0.460708707951485</v>
      </c>
      <c r="AZ1673" s="60">
        <v>-0.25042827669247397</v>
      </c>
    </row>
    <row r="1674" spans="1:52" s="29" customFormat="1" ht="15" customHeight="1">
      <c r="A1674" s="63" t="s">
        <v>451</v>
      </c>
      <c r="B1674" s="27">
        <v>2010</v>
      </c>
      <c r="C1674" s="27" t="s">
        <v>442</v>
      </c>
      <c r="D1674" s="69" t="s">
        <v>214</v>
      </c>
      <c r="E1674" s="29" t="s">
        <v>19</v>
      </c>
      <c r="F1674" s="27" t="s">
        <v>1931</v>
      </c>
      <c r="G1674" s="43"/>
      <c r="H1674" s="43"/>
      <c r="I1674" s="43"/>
      <c r="J1674" s="43"/>
      <c r="K1674" s="27"/>
      <c r="L1674" s="28"/>
      <c r="M1674" s="27"/>
      <c r="N1674" s="27"/>
      <c r="O1674" s="18"/>
      <c r="P1674" s="214"/>
      <c r="Q1674" s="214"/>
      <c r="S1674" s="27"/>
      <c r="T1674" s="18"/>
      <c r="U1674" s="27"/>
      <c r="W1674" s="30"/>
      <c r="X1674" s="27"/>
      <c r="Y1674" s="27"/>
      <c r="Z1674" s="27"/>
      <c r="AA1674" s="27"/>
      <c r="AB1674" s="27"/>
      <c r="AC1674" s="273">
        <v>4358147652.2724705</v>
      </c>
      <c r="AD1674" s="27">
        <v>148522810971.50192</v>
      </c>
      <c r="AE1674" s="228">
        <v>2.9343288238119179E-2</v>
      </c>
      <c r="AF1674" s="27">
        <v>27695048561.855965</v>
      </c>
      <c r="AG1674" s="226">
        <v>0.15736197907502106</v>
      </c>
      <c r="AH1674" s="226">
        <v>0.58810199491088611</v>
      </c>
      <c r="AI1674" s="27">
        <v>-255920000</v>
      </c>
      <c r="AJ1674" s="226">
        <v>-17.029335934168767</v>
      </c>
      <c r="AK1674" s="27">
        <v>4074433641.3595448</v>
      </c>
      <c r="AL1674" s="226">
        <v>1.0696327479807124</v>
      </c>
      <c r="AM1674" s="27">
        <v>3993421932.2773547</v>
      </c>
      <c r="AN1674" s="271">
        <v>1.0913316264047064</v>
      </c>
      <c r="AO1674" s="27">
        <v>29262830</v>
      </c>
      <c r="AP1674" s="27">
        <v>30.8</v>
      </c>
      <c r="AQ1674" s="27">
        <v>73.905097560975619</v>
      </c>
      <c r="AR1674" s="27">
        <v>15.2</v>
      </c>
      <c r="AS1674" s="29">
        <v>97.373459999999994</v>
      </c>
      <c r="AT1674" s="270">
        <v>38</v>
      </c>
      <c r="AU1674" s="464">
        <v>72.816286549781523</v>
      </c>
      <c r="AV1674" s="29">
        <v>6.6403653760441994E-2</v>
      </c>
      <c r="AW1674" s="29">
        <v>-0.97688567284337502</v>
      </c>
      <c r="AX1674" s="29">
        <v>-0.203136729362278</v>
      </c>
      <c r="AY1674" s="29">
        <v>0.460708707951485</v>
      </c>
      <c r="AZ1674" s="60">
        <v>-0.25042827669247397</v>
      </c>
    </row>
    <row r="1675" spans="1:52" s="29" customFormat="1" ht="15" customHeight="1">
      <c r="A1675" s="63" t="s">
        <v>451</v>
      </c>
      <c r="B1675" s="27">
        <v>2010</v>
      </c>
      <c r="C1675" s="27" t="s">
        <v>442</v>
      </c>
      <c r="D1675" s="69" t="s">
        <v>214</v>
      </c>
      <c r="E1675" s="29" t="s">
        <v>19</v>
      </c>
      <c r="F1675" s="27" t="s">
        <v>1125</v>
      </c>
      <c r="G1675" s="43"/>
      <c r="H1675" s="43"/>
      <c r="I1675" s="43"/>
      <c r="J1675" s="43"/>
      <c r="K1675" s="27"/>
      <c r="L1675" s="28"/>
      <c r="M1675" s="27"/>
      <c r="N1675" s="27"/>
      <c r="O1675" s="18"/>
      <c r="P1675" s="214"/>
      <c r="Q1675" s="214"/>
      <c r="S1675" s="27"/>
      <c r="T1675" s="18"/>
      <c r="U1675" s="27"/>
      <c r="W1675" s="30"/>
      <c r="X1675" s="27"/>
      <c r="Y1675" s="27"/>
      <c r="Z1675" s="27"/>
      <c r="AA1675" s="27"/>
      <c r="AB1675" s="27"/>
      <c r="AC1675" s="273">
        <v>4358147652.2724705</v>
      </c>
      <c r="AD1675" s="27">
        <v>148522810971.50192</v>
      </c>
      <c r="AE1675" s="228">
        <v>2.9343288238119179E-2</v>
      </c>
      <c r="AF1675" s="27">
        <v>27695048561.855965</v>
      </c>
      <c r="AG1675" s="226">
        <v>0.15736197907502106</v>
      </c>
      <c r="AH1675" s="226">
        <v>0.58810199491088611</v>
      </c>
      <c r="AI1675" s="27">
        <v>-255920000</v>
      </c>
      <c r="AJ1675" s="226">
        <v>-17.029335934168767</v>
      </c>
      <c r="AK1675" s="27">
        <v>4074433641.3595448</v>
      </c>
      <c r="AL1675" s="226">
        <v>1.0696327479807124</v>
      </c>
      <c r="AM1675" s="27">
        <v>3993421932.2773547</v>
      </c>
      <c r="AN1675" s="271">
        <v>1.0913316264047064</v>
      </c>
      <c r="AO1675" s="27">
        <v>29262830</v>
      </c>
      <c r="AP1675" s="27">
        <v>30.8</v>
      </c>
      <c r="AQ1675" s="27">
        <v>73.905097560975619</v>
      </c>
      <c r="AR1675" s="27">
        <v>15.2</v>
      </c>
      <c r="AS1675" s="29">
        <v>97.373459999999994</v>
      </c>
      <c r="AT1675" s="270">
        <v>38</v>
      </c>
      <c r="AU1675" s="464">
        <v>72.816286549781523</v>
      </c>
      <c r="AV1675" s="29">
        <v>6.6403653760441994E-2</v>
      </c>
      <c r="AW1675" s="29">
        <v>-0.97688567284337502</v>
      </c>
      <c r="AX1675" s="29">
        <v>-0.203136729362278</v>
      </c>
      <c r="AY1675" s="29">
        <v>0.460708707951485</v>
      </c>
      <c r="AZ1675" s="60">
        <v>-0.25042827669247397</v>
      </c>
    </row>
    <row r="1676" spans="1:52" s="29" customFormat="1" ht="15" customHeight="1">
      <c r="A1676" s="63" t="s">
        <v>451</v>
      </c>
      <c r="B1676" s="27">
        <v>2010</v>
      </c>
      <c r="C1676" s="27" t="s">
        <v>442</v>
      </c>
      <c r="D1676" s="69" t="s">
        <v>214</v>
      </c>
      <c r="E1676" s="29" t="s">
        <v>19</v>
      </c>
      <c r="F1676" s="27" t="s">
        <v>1932</v>
      </c>
      <c r="G1676" s="43"/>
      <c r="H1676" s="43"/>
      <c r="I1676" s="43"/>
      <c r="J1676" s="43"/>
      <c r="K1676" s="27"/>
      <c r="L1676" s="28"/>
      <c r="M1676" s="27"/>
      <c r="N1676" s="27"/>
      <c r="O1676" s="18"/>
      <c r="P1676" s="214"/>
      <c r="Q1676" s="214"/>
      <c r="S1676" s="27"/>
      <c r="T1676" s="18"/>
      <c r="U1676" s="27"/>
      <c r="W1676" s="30"/>
      <c r="X1676" s="27"/>
      <c r="Y1676" s="27"/>
      <c r="Z1676" s="27"/>
      <c r="AA1676" s="27"/>
      <c r="AB1676" s="27"/>
      <c r="AC1676" s="273">
        <v>4358147652.2724705</v>
      </c>
      <c r="AD1676" s="27">
        <v>148522810971.50192</v>
      </c>
      <c r="AE1676" s="228">
        <v>2.9343288238119179E-2</v>
      </c>
      <c r="AF1676" s="27">
        <v>27695048561.855965</v>
      </c>
      <c r="AG1676" s="226">
        <v>0.15736197907502106</v>
      </c>
      <c r="AH1676" s="226">
        <v>0.58810199491088611</v>
      </c>
      <c r="AI1676" s="27">
        <v>-255920000</v>
      </c>
      <c r="AJ1676" s="226">
        <v>-17.029335934168767</v>
      </c>
      <c r="AK1676" s="27">
        <v>4074433641.3595448</v>
      </c>
      <c r="AL1676" s="226">
        <v>1.0696327479807124</v>
      </c>
      <c r="AM1676" s="27">
        <v>3993421932.2773547</v>
      </c>
      <c r="AN1676" s="271">
        <v>1.0913316264047064</v>
      </c>
      <c r="AO1676" s="27">
        <v>29262830</v>
      </c>
      <c r="AP1676" s="27">
        <v>30.8</v>
      </c>
      <c r="AQ1676" s="27">
        <v>73.905097560975619</v>
      </c>
      <c r="AR1676" s="27">
        <v>15.2</v>
      </c>
      <c r="AS1676" s="29">
        <v>97.373459999999994</v>
      </c>
      <c r="AT1676" s="270">
        <v>38</v>
      </c>
      <c r="AU1676" s="464">
        <v>72.816286549781523</v>
      </c>
      <c r="AV1676" s="29">
        <v>6.6403653760441994E-2</v>
      </c>
      <c r="AW1676" s="29">
        <v>-0.97688567284337502</v>
      </c>
      <c r="AX1676" s="29">
        <v>-0.203136729362278</v>
      </c>
      <c r="AY1676" s="29">
        <v>0.460708707951485</v>
      </c>
      <c r="AZ1676" s="60">
        <v>-0.25042827669247397</v>
      </c>
    </row>
    <row r="1677" spans="1:52" s="29" customFormat="1" ht="15" customHeight="1">
      <c r="A1677" s="63" t="s">
        <v>451</v>
      </c>
      <c r="B1677" s="27">
        <v>2010</v>
      </c>
      <c r="C1677" s="27" t="s">
        <v>442</v>
      </c>
      <c r="D1677" s="69" t="s">
        <v>214</v>
      </c>
      <c r="E1677" s="29" t="s">
        <v>19</v>
      </c>
      <c r="F1677" s="27" t="s">
        <v>1933</v>
      </c>
      <c r="G1677" s="43"/>
      <c r="H1677" s="43"/>
      <c r="I1677" s="43"/>
      <c r="J1677" s="43"/>
      <c r="K1677" s="27"/>
      <c r="L1677" s="28"/>
      <c r="M1677" s="27"/>
      <c r="N1677" s="27"/>
      <c r="O1677" s="18"/>
      <c r="P1677" s="214"/>
      <c r="Q1677" s="214"/>
      <c r="S1677" s="27"/>
      <c r="T1677" s="18"/>
      <c r="U1677" s="27"/>
      <c r="W1677" s="30"/>
      <c r="X1677" s="27"/>
      <c r="Y1677" s="27"/>
      <c r="Z1677" s="27"/>
      <c r="AA1677" s="27"/>
      <c r="AB1677" s="27"/>
      <c r="AC1677" s="273">
        <v>4358147652.2724705</v>
      </c>
      <c r="AD1677" s="27">
        <v>148522810971.50192</v>
      </c>
      <c r="AE1677" s="228">
        <v>2.9343288238119179E-2</v>
      </c>
      <c r="AF1677" s="27">
        <v>27695048561.855965</v>
      </c>
      <c r="AG1677" s="226">
        <v>0.15736197907502106</v>
      </c>
      <c r="AH1677" s="226">
        <v>0.58810199491088611</v>
      </c>
      <c r="AI1677" s="27">
        <v>-255920000</v>
      </c>
      <c r="AJ1677" s="226">
        <v>-17.029335934168767</v>
      </c>
      <c r="AK1677" s="27">
        <v>4074433641.3595448</v>
      </c>
      <c r="AL1677" s="226">
        <v>1.0696327479807124</v>
      </c>
      <c r="AM1677" s="27">
        <v>3993421932.2773547</v>
      </c>
      <c r="AN1677" s="271">
        <v>1.0913316264047064</v>
      </c>
      <c r="AO1677" s="27">
        <v>29262830</v>
      </c>
      <c r="AP1677" s="27">
        <v>30.8</v>
      </c>
      <c r="AQ1677" s="27">
        <v>73.905097560975619</v>
      </c>
      <c r="AR1677" s="27">
        <v>15.2</v>
      </c>
      <c r="AS1677" s="29">
        <v>97.373459999999994</v>
      </c>
      <c r="AT1677" s="270">
        <v>38</v>
      </c>
      <c r="AU1677" s="464">
        <v>72.816286549781523</v>
      </c>
      <c r="AV1677" s="29">
        <v>6.6403653760441994E-2</v>
      </c>
      <c r="AW1677" s="29">
        <v>-0.97688567284337502</v>
      </c>
      <c r="AX1677" s="29">
        <v>-0.203136729362278</v>
      </c>
      <c r="AY1677" s="29">
        <v>0.460708707951485</v>
      </c>
      <c r="AZ1677" s="60">
        <v>-0.25042827669247397</v>
      </c>
    </row>
    <row r="1678" spans="1:52" s="29" customFormat="1" ht="15" customHeight="1">
      <c r="A1678" s="63" t="s">
        <v>451</v>
      </c>
      <c r="B1678" s="27">
        <v>2010</v>
      </c>
      <c r="C1678" s="27" t="s">
        <v>442</v>
      </c>
      <c r="D1678" s="69" t="s">
        <v>214</v>
      </c>
      <c r="E1678" s="29" t="s">
        <v>19</v>
      </c>
      <c r="F1678" s="27" t="s">
        <v>730</v>
      </c>
      <c r="G1678" s="43"/>
      <c r="H1678" s="43"/>
      <c r="I1678" s="43"/>
      <c r="J1678" s="43"/>
      <c r="K1678" s="27"/>
      <c r="L1678" s="28"/>
      <c r="M1678" s="27"/>
      <c r="N1678" s="27"/>
      <c r="O1678" s="18"/>
      <c r="P1678" s="214"/>
      <c r="Q1678" s="214"/>
      <c r="S1678" s="27"/>
      <c r="T1678" s="18"/>
      <c r="U1678" s="27"/>
      <c r="W1678" s="30"/>
      <c r="X1678" s="27"/>
      <c r="Y1678" s="27"/>
      <c r="Z1678" s="27"/>
      <c r="AA1678" s="27"/>
      <c r="AB1678" s="27"/>
      <c r="AC1678" s="273">
        <v>4358147652.2724705</v>
      </c>
      <c r="AD1678" s="27">
        <v>148522810971.50192</v>
      </c>
      <c r="AE1678" s="228">
        <v>2.9343288238119179E-2</v>
      </c>
      <c r="AF1678" s="27">
        <v>27695048561.855965</v>
      </c>
      <c r="AG1678" s="226">
        <v>0.15736197907502106</v>
      </c>
      <c r="AH1678" s="226">
        <v>0.58810199491088611</v>
      </c>
      <c r="AI1678" s="27">
        <v>-255920000</v>
      </c>
      <c r="AJ1678" s="226">
        <v>-17.029335934168767</v>
      </c>
      <c r="AK1678" s="27">
        <v>4074433641.3595448</v>
      </c>
      <c r="AL1678" s="226">
        <v>1.0696327479807124</v>
      </c>
      <c r="AM1678" s="27">
        <v>3993421932.2773547</v>
      </c>
      <c r="AN1678" s="271">
        <v>1.0913316264047064</v>
      </c>
      <c r="AO1678" s="27">
        <v>29262830</v>
      </c>
      <c r="AP1678" s="27">
        <v>30.8</v>
      </c>
      <c r="AQ1678" s="27">
        <v>73.905097560975619</v>
      </c>
      <c r="AR1678" s="27">
        <v>15.2</v>
      </c>
      <c r="AS1678" s="29">
        <v>97.373459999999994</v>
      </c>
      <c r="AT1678" s="270">
        <v>38</v>
      </c>
      <c r="AU1678" s="464">
        <v>72.816286549781523</v>
      </c>
      <c r="AV1678" s="29">
        <v>6.6403653760441994E-2</v>
      </c>
      <c r="AW1678" s="29">
        <v>-0.97688567284337502</v>
      </c>
      <c r="AX1678" s="29">
        <v>-0.203136729362278</v>
      </c>
      <c r="AY1678" s="29">
        <v>0.460708707951485</v>
      </c>
      <c r="AZ1678" s="60">
        <v>-0.25042827669247397</v>
      </c>
    </row>
    <row r="1679" spans="1:52" s="29" customFormat="1" ht="15" customHeight="1">
      <c r="A1679" s="63" t="s">
        <v>451</v>
      </c>
      <c r="B1679" s="27">
        <v>2010</v>
      </c>
      <c r="C1679" s="27" t="s">
        <v>442</v>
      </c>
      <c r="D1679" s="69" t="s">
        <v>214</v>
      </c>
      <c r="E1679" s="29" t="s">
        <v>19</v>
      </c>
      <c r="F1679" s="27" t="s">
        <v>882</v>
      </c>
      <c r="G1679" s="43"/>
      <c r="H1679" s="43"/>
      <c r="I1679" s="43"/>
      <c r="J1679" s="43"/>
      <c r="K1679" s="27"/>
      <c r="L1679" s="28"/>
      <c r="M1679" s="27"/>
      <c r="N1679" s="27"/>
      <c r="O1679" s="18"/>
      <c r="P1679" s="214"/>
      <c r="Q1679" s="214"/>
      <c r="R1679" s="71"/>
      <c r="S1679" s="27"/>
      <c r="T1679" s="18"/>
      <c r="U1679" s="27"/>
      <c r="V1679" s="18"/>
      <c r="W1679" s="30"/>
      <c r="X1679" s="27"/>
      <c r="Y1679" s="27"/>
      <c r="Z1679" s="27"/>
      <c r="AA1679" s="27"/>
      <c r="AB1679" s="27"/>
      <c r="AC1679" s="273">
        <v>4358147652.2724705</v>
      </c>
      <c r="AD1679" s="27">
        <v>148522810971.50192</v>
      </c>
      <c r="AE1679" s="228">
        <v>2.9343288238119179E-2</v>
      </c>
      <c r="AF1679" s="27">
        <v>27695048561.855965</v>
      </c>
      <c r="AG1679" s="226">
        <v>0.15736197907502106</v>
      </c>
      <c r="AH1679" s="226">
        <v>0.58810199491088611</v>
      </c>
      <c r="AI1679" s="27">
        <v>-255920000</v>
      </c>
      <c r="AJ1679" s="226">
        <v>-17.029335934168767</v>
      </c>
      <c r="AK1679" s="27">
        <v>4074433641.3595448</v>
      </c>
      <c r="AL1679" s="226">
        <v>1.0696327479807124</v>
      </c>
      <c r="AM1679" s="27">
        <v>3993421932.2773547</v>
      </c>
      <c r="AN1679" s="271">
        <v>1.0913316264047064</v>
      </c>
      <c r="AO1679" s="27">
        <v>29262830</v>
      </c>
      <c r="AP1679" s="27">
        <v>30.8</v>
      </c>
      <c r="AQ1679" s="27">
        <v>73.905097560975619</v>
      </c>
      <c r="AR1679" s="27">
        <v>15.2</v>
      </c>
      <c r="AS1679" s="29">
        <v>97.373459999999994</v>
      </c>
      <c r="AT1679" s="270">
        <v>38</v>
      </c>
      <c r="AU1679" s="464">
        <v>72.816286549781523</v>
      </c>
      <c r="AV1679" s="29">
        <v>6.6403653760441994E-2</v>
      </c>
      <c r="AW1679" s="29">
        <v>-0.97688567284337502</v>
      </c>
      <c r="AX1679" s="29">
        <v>-0.203136729362278</v>
      </c>
      <c r="AY1679" s="29">
        <v>0.460708707951485</v>
      </c>
      <c r="AZ1679" s="60">
        <v>-0.25042827669247397</v>
      </c>
    </row>
    <row r="1680" spans="1:52" s="29" customFormat="1" ht="15" customHeight="1">
      <c r="A1680" s="63" t="s">
        <v>451</v>
      </c>
      <c r="B1680" s="27">
        <v>2010</v>
      </c>
      <c r="C1680" s="27" t="s">
        <v>442</v>
      </c>
      <c r="D1680" s="69" t="s">
        <v>214</v>
      </c>
      <c r="E1680" s="29" t="s">
        <v>19</v>
      </c>
      <c r="F1680" s="27" t="s">
        <v>1131</v>
      </c>
      <c r="G1680" s="43"/>
      <c r="H1680" s="43"/>
      <c r="I1680" s="43"/>
      <c r="J1680" s="43"/>
      <c r="K1680" s="27"/>
      <c r="L1680" s="28"/>
      <c r="M1680" s="27"/>
      <c r="N1680" s="27"/>
      <c r="O1680" s="18"/>
      <c r="P1680" s="214"/>
      <c r="Q1680" s="214"/>
      <c r="R1680" s="71"/>
      <c r="S1680" s="27"/>
      <c r="T1680" s="18"/>
      <c r="U1680" s="27"/>
      <c r="V1680" s="18"/>
      <c r="W1680" s="30"/>
      <c r="X1680" s="27"/>
      <c r="Y1680" s="27"/>
      <c r="Z1680" s="27"/>
      <c r="AA1680" s="27"/>
      <c r="AB1680" s="27"/>
      <c r="AC1680" s="273">
        <v>4358147652.2724705</v>
      </c>
      <c r="AD1680" s="27">
        <v>148522810971.50192</v>
      </c>
      <c r="AE1680" s="228">
        <v>2.9343288238119179E-2</v>
      </c>
      <c r="AF1680" s="27">
        <v>27695048561.855965</v>
      </c>
      <c r="AG1680" s="226">
        <v>0.15736197907502106</v>
      </c>
      <c r="AH1680" s="226">
        <v>0.58810199491088611</v>
      </c>
      <c r="AI1680" s="27">
        <v>-255920000</v>
      </c>
      <c r="AJ1680" s="226">
        <v>-17.029335934168767</v>
      </c>
      <c r="AK1680" s="27">
        <v>4074433641.3595448</v>
      </c>
      <c r="AL1680" s="226">
        <v>1.0696327479807124</v>
      </c>
      <c r="AM1680" s="27">
        <v>3993421932.2773547</v>
      </c>
      <c r="AN1680" s="271">
        <v>1.0913316264047064</v>
      </c>
      <c r="AO1680" s="27">
        <v>29262830</v>
      </c>
      <c r="AP1680" s="27">
        <v>30.8</v>
      </c>
      <c r="AQ1680" s="27">
        <v>73.905097560975619</v>
      </c>
      <c r="AR1680" s="27">
        <v>15.2</v>
      </c>
      <c r="AS1680" s="29">
        <v>97.373459999999994</v>
      </c>
      <c r="AT1680" s="270">
        <v>38</v>
      </c>
      <c r="AU1680" s="464">
        <v>72.816286549781523</v>
      </c>
      <c r="AV1680" s="29">
        <v>6.6403653760441994E-2</v>
      </c>
      <c r="AW1680" s="29">
        <v>-0.97688567284337502</v>
      </c>
      <c r="AX1680" s="29">
        <v>-0.203136729362278</v>
      </c>
      <c r="AY1680" s="29">
        <v>0.460708707951485</v>
      </c>
      <c r="AZ1680" s="60">
        <v>-0.25042827669247397</v>
      </c>
    </row>
    <row r="1681" spans="1:52" s="29" customFormat="1" ht="15" customHeight="1">
      <c r="A1681" s="63" t="s">
        <v>451</v>
      </c>
      <c r="B1681" s="27">
        <v>2010</v>
      </c>
      <c r="C1681" s="27" t="s">
        <v>442</v>
      </c>
      <c r="D1681" s="69" t="s">
        <v>214</v>
      </c>
      <c r="E1681" s="29" t="s">
        <v>19</v>
      </c>
      <c r="F1681" s="27" t="s">
        <v>1892</v>
      </c>
      <c r="G1681" s="43"/>
      <c r="H1681" s="43"/>
      <c r="I1681" s="43"/>
      <c r="J1681" s="43"/>
      <c r="K1681" s="27"/>
      <c r="L1681" s="28"/>
      <c r="M1681" s="27"/>
      <c r="N1681" s="27"/>
      <c r="O1681" s="18"/>
      <c r="P1681" s="214"/>
      <c r="Q1681" s="214"/>
      <c r="R1681" s="71"/>
      <c r="S1681" s="27"/>
      <c r="T1681" s="18"/>
      <c r="U1681" s="27"/>
      <c r="V1681" s="18"/>
      <c r="W1681" s="30"/>
      <c r="X1681" s="27"/>
      <c r="Y1681" s="27"/>
      <c r="Z1681" s="27"/>
      <c r="AA1681" s="27"/>
      <c r="AB1681" s="27"/>
      <c r="AC1681" s="273">
        <v>4358147652.2724705</v>
      </c>
      <c r="AD1681" s="27">
        <v>148522810971.50192</v>
      </c>
      <c r="AE1681" s="228">
        <v>2.9343288238119179E-2</v>
      </c>
      <c r="AF1681" s="27">
        <v>27695048561.855965</v>
      </c>
      <c r="AG1681" s="226">
        <v>0.15736197907502106</v>
      </c>
      <c r="AH1681" s="226">
        <v>0.58810199491088611</v>
      </c>
      <c r="AI1681" s="27">
        <v>-255920000</v>
      </c>
      <c r="AJ1681" s="226">
        <v>-17.029335934168767</v>
      </c>
      <c r="AK1681" s="27">
        <v>4074433641.3595448</v>
      </c>
      <c r="AL1681" s="226">
        <v>1.0696327479807124</v>
      </c>
      <c r="AM1681" s="27">
        <v>3993421932.2773547</v>
      </c>
      <c r="AN1681" s="271">
        <v>1.0913316264047064</v>
      </c>
      <c r="AO1681" s="27">
        <v>29262830</v>
      </c>
      <c r="AP1681" s="27">
        <v>30.8</v>
      </c>
      <c r="AQ1681" s="27">
        <v>73.905097560975619</v>
      </c>
      <c r="AR1681" s="27">
        <v>15.2</v>
      </c>
      <c r="AS1681" s="29">
        <v>97.373459999999994</v>
      </c>
      <c r="AT1681" s="270">
        <v>38</v>
      </c>
      <c r="AU1681" s="464">
        <v>72.816286549781523</v>
      </c>
      <c r="AV1681" s="29">
        <v>6.6403653760441994E-2</v>
      </c>
      <c r="AW1681" s="29">
        <v>-0.97688567284337502</v>
      </c>
      <c r="AX1681" s="29">
        <v>-0.203136729362278</v>
      </c>
      <c r="AY1681" s="29">
        <v>0.460708707951485</v>
      </c>
      <c r="AZ1681" s="60">
        <v>-0.25042827669247397</v>
      </c>
    </row>
    <row r="1682" spans="1:52" s="29" customFormat="1" ht="15" customHeight="1">
      <c r="A1682" s="63" t="s">
        <v>451</v>
      </c>
      <c r="B1682" s="27">
        <v>2010</v>
      </c>
      <c r="C1682" s="27" t="s">
        <v>442</v>
      </c>
      <c r="D1682" s="69" t="s">
        <v>214</v>
      </c>
      <c r="E1682" s="29" t="s">
        <v>19</v>
      </c>
      <c r="F1682" s="27" t="s">
        <v>1133</v>
      </c>
      <c r="G1682" s="43"/>
      <c r="H1682" s="43"/>
      <c r="I1682" s="43"/>
      <c r="J1682" s="43"/>
      <c r="K1682" s="27"/>
      <c r="L1682" s="28"/>
      <c r="M1682" s="27"/>
      <c r="N1682" s="27"/>
      <c r="O1682" s="18"/>
      <c r="P1682" s="214"/>
      <c r="Q1682" s="214"/>
      <c r="R1682" s="71"/>
      <c r="S1682" s="27"/>
      <c r="T1682" s="18"/>
      <c r="U1682" s="27"/>
      <c r="V1682" s="18"/>
      <c r="W1682" s="30"/>
      <c r="X1682" s="27"/>
      <c r="Y1682" s="27"/>
      <c r="Z1682" s="27"/>
      <c r="AA1682" s="27"/>
      <c r="AB1682" s="27"/>
      <c r="AC1682" s="273">
        <v>4358147652.2724705</v>
      </c>
      <c r="AD1682" s="27">
        <v>148522810971.50192</v>
      </c>
      <c r="AE1682" s="228">
        <v>2.9343288238119179E-2</v>
      </c>
      <c r="AF1682" s="27">
        <v>27695048561.855965</v>
      </c>
      <c r="AG1682" s="226">
        <v>0.15736197907502106</v>
      </c>
      <c r="AH1682" s="226">
        <v>0.58810199491088611</v>
      </c>
      <c r="AI1682" s="27">
        <v>-255920000</v>
      </c>
      <c r="AJ1682" s="226">
        <v>-17.029335934168767</v>
      </c>
      <c r="AK1682" s="27">
        <v>4074433641.3595448</v>
      </c>
      <c r="AL1682" s="226">
        <v>1.0696327479807124</v>
      </c>
      <c r="AM1682" s="27">
        <v>3993421932.2773547</v>
      </c>
      <c r="AN1682" s="271">
        <v>1.0913316264047064</v>
      </c>
      <c r="AO1682" s="27">
        <v>29262830</v>
      </c>
      <c r="AP1682" s="27">
        <v>30.8</v>
      </c>
      <c r="AQ1682" s="27">
        <v>73.905097560975619</v>
      </c>
      <c r="AR1682" s="27">
        <v>15.2</v>
      </c>
      <c r="AS1682" s="29">
        <v>97.373459999999994</v>
      </c>
      <c r="AT1682" s="270">
        <v>38</v>
      </c>
      <c r="AU1682" s="464">
        <v>72.816286549781523</v>
      </c>
      <c r="AV1682" s="29">
        <v>6.6403653760441994E-2</v>
      </c>
      <c r="AW1682" s="29">
        <v>-0.97688567284337502</v>
      </c>
      <c r="AX1682" s="29">
        <v>-0.203136729362278</v>
      </c>
      <c r="AY1682" s="29">
        <v>0.460708707951485</v>
      </c>
      <c r="AZ1682" s="60">
        <v>-0.25042827669247397</v>
      </c>
    </row>
    <row r="1683" spans="1:52" s="29" customFormat="1" ht="15" customHeight="1">
      <c r="A1683" s="63" t="s">
        <v>451</v>
      </c>
      <c r="B1683" s="27">
        <v>2010</v>
      </c>
      <c r="C1683" s="27" t="s">
        <v>442</v>
      </c>
      <c r="D1683" s="69" t="s">
        <v>214</v>
      </c>
      <c r="E1683" s="29" t="s">
        <v>19</v>
      </c>
      <c r="F1683" s="27" t="s">
        <v>1135</v>
      </c>
      <c r="G1683" s="43"/>
      <c r="H1683" s="43"/>
      <c r="I1683" s="43"/>
      <c r="J1683" s="43"/>
      <c r="K1683" s="27"/>
      <c r="L1683" s="28"/>
      <c r="M1683" s="27"/>
      <c r="N1683" s="27"/>
      <c r="O1683" s="18"/>
      <c r="P1683" s="214"/>
      <c r="Q1683" s="214"/>
      <c r="R1683" s="71"/>
      <c r="S1683" s="27"/>
      <c r="T1683" s="18"/>
      <c r="U1683" s="27"/>
      <c r="V1683" s="18"/>
      <c r="W1683" s="30"/>
      <c r="X1683" s="27"/>
      <c r="Y1683" s="27"/>
      <c r="Z1683" s="27"/>
      <c r="AA1683" s="27"/>
      <c r="AB1683" s="27"/>
      <c r="AC1683" s="273">
        <v>4358147652.2724705</v>
      </c>
      <c r="AD1683" s="27">
        <v>148522810971.50192</v>
      </c>
      <c r="AE1683" s="228">
        <v>2.9343288238119179E-2</v>
      </c>
      <c r="AF1683" s="27">
        <v>27695048561.855965</v>
      </c>
      <c r="AG1683" s="226">
        <v>0.15736197907502106</v>
      </c>
      <c r="AH1683" s="226">
        <v>0.58810199491088611</v>
      </c>
      <c r="AI1683" s="27">
        <v>-255920000</v>
      </c>
      <c r="AJ1683" s="226">
        <v>-17.029335934168767</v>
      </c>
      <c r="AK1683" s="27">
        <v>4074433641.3595448</v>
      </c>
      <c r="AL1683" s="226">
        <v>1.0696327479807124</v>
      </c>
      <c r="AM1683" s="27">
        <v>3993421932.2773547</v>
      </c>
      <c r="AN1683" s="271">
        <v>1.0913316264047064</v>
      </c>
      <c r="AO1683" s="27">
        <v>29262830</v>
      </c>
      <c r="AP1683" s="27">
        <v>30.8</v>
      </c>
      <c r="AQ1683" s="27">
        <v>73.905097560975619</v>
      </c>
      <c r="AR1683" s="27">
        <v>15.2</v>
      </c>
      <c r="AS1683" s="29">
        <v>97.373459999999994</v>
      </c>
      <c r="AT1683" s="270">
        <v>38</v>
      </c>
      <c r="AU1683" s="464">
        <v>72.816286549781523</v>
      </c>
      <c r="AV1683" s="29">
        <v>6.6403653760441994E-2</v>
      </c>
      <c r="AW1683" s="29">
        <v>-0.97688567284337502</v>
      </c>
      <c r="AX1683" s="29">
        <v>-0.203136729362278</v>
      </c>
      <c r="AY1683" s="29">
        <v>0.460708707951485</v>
      </c>
      <c r="AZ1683" s="60">
        <v>-0.25042827669247397</v>
      </c>
    </row>
    <row r="1684" spans="1:52" s="29" customFormat="1" ht="15" customHeight="1">
      <c r="A1684" s="63" t="s">
        <v>451</v>
      </c>
      <c r="B1684" s="27">
        <v>2010</v>
      </c>
      <c r="C1684" s="27" t="s">
        <v>442</v>
      </c>
      <c r="D1684" s="69" t="s">
        <v>214</v>
      </c>
      <c r="E1684" s="29" t="s">
        <v>19</v>
      </c>
      <c r="F1684" s="27" t="s">
        <v>1360</v>
      </c>
      <c r="G1684" s="43"/>
      <c r="H1684" s="43"/>
      <c r="I1684" s="43"/>
      <c r="J1684" s="43"/>
      <c r="K1684" s="27"/>
      <c r="L1684" s="28"/>
      <c r="M1684" s="27"/>
      <c r="N1684" s="27"/>
      <c r="O1684" s="18"/>
      <c r="P1684" s="244"/>
      <c r="Q1684" s="244"/>
      <c r="R1684" s="18"/>
      <c r="S1684" s="27"/>
      <c r="T1684" s="18"/>
      <c r="U1684" s="27"/>
      <c r="V1684" s="18"/>
      <c r="W1684" s="30"/>
      <c r="X1684" s="27"/>
      <c r="Y1684" s="27"/>
      <c r="Z1684" s="27"/>
      <c r="AA1684" s="27"/>
      <c r="AB1684" s="27"/>
      <c r="AC1684" s="273">
        <v>4358147652.2724705</v>
      </c>
      <c r="AD1684" s="27">
        <v>148522810971.50192</v>
      </c>
      <c r="AE1684" s="228">
        <v>2.9343288238119179E-2</v>
      </c>
      <c r="AF1684" s="27">
        <v>27695048561.855965</v>
      </c>
      <c r="AG1684" s="226">
        <v>0.15736197907502106</v>
      </c>
      <c r="AH1684" s="226">
        <v>0.58810199491088611</v>
      </c>
      <c r="AI1684" s="27">
        <v>-255920000</v>
      </c>
      <c r="AJ1684" s="226">
        <v>-17.029335934168767</v>
      </c>
      <c r="AK1684" s="27">
        <v>4074433641.3595448</v>
      </c>
      <c r="AL1684" s="226">
        <v>1.0696327479807124</v>
      </c>
      <c r="AM1684" s="27">
        <v>3993421932.2773547</v>
      </c>
      <c r="AN1684" s="271">
        <v>1.0913316264047064</v>
      </c>
      <c r="AO1684" s="27">
        <v>29262830</v>
      </c>
      <c r="AP1684" s="27">
        <v>30.8</v>
      </c>
      <c r="AQ1684" s="27">
        <v>73.905097560975619</v>
      </c>
      <c r="AR1684" s="27">
        <v>15.2</v>
      </c>
      <c r="AS1684" s="29">
        <v>97.373459999999994</v>
      </c>
      <c r="AT1684" s="270">
        <v>38</v>
      </c>
      <c r="AU1684" s="464">
        <v>72.816286549781523</v>
      </c>
      <c r="AV1684" s="29">
        <v>6.6403653760441994E-2</v>
      </c>
      <c r="AW1684" s="29">
        <v>-0.97688567284337502</v>
      </c>
      <c r="AX1684" s="29">
        <v>-0.203136729362278</v>
      </c>
      <c r="AY1684" s="29">
        <v>0.460708707951485</v>
      </c>
      <c r="AZ1684" s="60">
        <v>-0.25042827669247397</v>
      </c>
    </row>
    <row r="1685" spans="1:52" s="29" customFormat="1" ht="15" customHeight="1">
      <c r="A1685" s="63" t="s">
        <v>451</v>
      </c>
      <c r="B1685" s="27">
        <v>2010</v>
      </c>
      <c r="C1685" s="27" t="s">
        <v>442</v>
      </c>
      <c r="D1685" s="69" t="s">
        <v>214</v>
      </c>
      <c r="E1685" s="29" t="s">
        <v>19</v>
      </c>
      <c r="F1685" s="27" t="s">
        <v>1934</v>
      </c>
      <c r="G1685" s="43"/>
      <c r="H1685" s="43"/>
      <c r="I1685" s="43"/>
      <c r="J1685" s="43"/>
      <c r="K1685" s="27"/>
      <c r="L1685" s="28"/>
      <c r="M1685" s="27"/>
      <c r="N1685" s="27"/>
      <c r="O1685" s="18"/>
      <c r="P1685" s="214"/>
      <c r="Q1685" s="214"/>
      <c r="S1685" s="27"/>
      <c r="T1685" s="18"/>
      <c r="U1685" s="27"/>
      <c r="W1685" s="30"/>
      <c r="X1685" s="27"/>
      <c r="Y1685" s="27"/>
      <c r="Z1685" s="27"/>
      <c r="AA1685" s="27"/>
      <c r="AB1685" s="27"/>
      <c r="AC1685" s="273">
        <v>4358147652.2724705</v>
      </c>
      <c r="AD1685" s="27">
        <v>148522810971.50192</v>
      </c>
      <c r="AE1685" s="228">
        <v>2.9343288238119179E-2</v>
      </c>
      <c r="AF1685" s="27">
        <v>27695048561.855965</v>
      </c>
      <c r="AG1685" s="226">
        <v>0.15736197907502106</v>
      </c>
      <c r="AH1685" s="226">
        <v>0.58810199491088611</v>
      </c>
      <c r="AI1685" s="27">
        <v>-255920000</v>
      </c>
      <c r="AJ1685" s="226">
        <v>-17.029335934168767</v>
      </c>
      <c r="AK1685" s="27">
        <v>4074433641.3595448</v>
      </c>
      <c r="AL1685" s="226">
        <v>1.0696327479807124</v>
      </c>
      <c r="AM1685" s="27">
        <v>3993421932.2773547</v>
      </c>
      <c r="AN1685" s="271">
        <v>1.0913316264047064</v>
      </c>
      <c r="AO1685" s="27">
        <v>29262830</v>
      </c>
      <c r="AP1685" s="27">
        <v>30.8</v>
      </c>
      <c r="AQ1685" s="27">
        <v>73.905097560975619</v>
      </c>
      <c r="AR1685" s="27">
        <v>15.2</v>
      </c>
      <c r="AS1685" s="29">
        <v>97.373459999999994</v>
      </c>
      <c r="AT1685" s="270">
        <v>38</v>
      </c>
      <c r="AU1685" s="464">
        <v>72.816286549781523</v>
      </c>
      <c r="AV1685" s="29">
        <v>6.6403653760441994E-2</v>
      </c>
      <c r="AW1685" s="29">
        <v>-0.97688567284337502</v>
      </c>
      <c r="AX1685" s="29">
        <v>-0.203136729362278</v>
      </c>
      <c r="AY1685" s="29">
        <v>0.460708707951485</v>
      </c>
      <c r="AZ1685" s="60">
        <v>-0.25042827669247397</v>
      </c>
    </row>
    <row r="1686" spans="1:52" s="29" customFormat="1" ht="15" customHeight="1">
      <c r="A1686" s="63" t="s">
        <v>451</v>
      </c>
      <c r="B1686" s="27">
        <v>2010</v>
      </c>
      <c r="C1686" s="27" t="s">
        <v>442</v>
      </c>
      <c r="D1686" s="69" t="s">
        <v>214</v>
      </c>
      <c r="E1686" s="29" t="s">
        <v>19</v>
      </c>
      <c r="F1686" s="27" t="s">
        <v>653</v>
      </c>
      <c r="G1686" s="43"/>
      <c r="H1686" s="43"/>
      <c r="I1686" s="43"/>
      <c r="J1686" s="43"/>
      <c r="K1686" s="27"/>
      <c r="L1686" s="28"/>
      <c r="M1686" s="27"/>
      <c r="N1686" s="27"/>
      <c r="O1686" s="18"/>
      <c r="P1686" s="214"/>
      <c r="Q1686" s="214"/>
      <c r="S1686" s="27"/>
      <c r="T1686" s="18"/>
      <c r="U1686" s="27"/>
      <c r="W1686" s="30"/>
      <c r="X1686" s="27"/>
      <c r="Y1686" s="27"/>
      <c r="Z1686" s="27"/>
      <c r="AA1686" s="27"/>
      <c r="AB1686" s="27"/>
      <c r="AC1686" s="273">
        <v>4358147652.2724705</v>
      </c>
      <c r="AD1686" s="27">
        <v>148522810971.50192</v>
      </c>
      <c r="AE1686" s="228">
        <v>2.9343288238119179E-2</v>
      </c>
      <c r="AF1686" s="27">
        <v>27695048561.855965</v>
      </c>
      <c r="AG1686" s="226">
        <v>0.15736197907502106</v>
      </c>
      <c r="AH1686" s="226">
        <v>0.58810199491088611</v>
      </c>
      <c r="AI1686" s="27">
        <v>-255920000</v>
      </c>
      <c r="AJ1686" s="226">
        <v>-17.029335934168767</v>
      </c>
      <c r="AK1686" s="27">
        <v>4074433641.3595448</v>
      </c>
      <c r="AL1686" s="226">
        <v>1.0696327479807124</v>
      </c>
      <c r="AM1686" s="27">
        <v>3993421932.2773547</v>
      </c>
      <c r="AN1686" s="271">
        <v>1.0913316264047064</v>
      </c>
      <c r="AO1686" s="27">
        <v>29262830</v>
      </c>
      <c r="AP1686" s="27">
        <v>30.8</v>
      </c>
      <c r="AQ1686" s="27">
        <v>73.905097560975619</v>
      </c>
      <c r="AR1686" s="27">
        <v>15.2</v>
      </c>
      <c r="AS1686" s="29">
        <v>97.373459999999994</v>
      </c>
      <c r="AT1686" s="270">
        <v>38</v>
      </c>
      <c r="AU1686" s="464">
        <v>72.816286549781523</v>
      </c>
      <c r="AV1686" s="29">
        <v>6.6403653760441994E-2</v>
      </c>
      <c r="AW1686" s="29">
        <v>-0.97688567284337502</v>
      </c>
      <c r="AX1686" s="29">
        <v>-0.203136729362278</v>
      </c>
      <c r="AY1686" s="29">
        <v>0.460708707951485</v>
      </c>
      <c r="AZ1686" s="60">
        <v>-0.25042827669247397</v>
      </c>
    </row>
    <row r="1687" spans="1:52" s="29" customFormat="1" ht="15" customHeight="1">
      <c r="A1687" s="63" t="s">
        <v>451</v>
      </c>
      <c r="B1687" s="27">
        <v>2010</v>
      </c>
      <c r="C1687" s="27" t="s">
        <v>442</v>
      </c>
      <c r="D1687" s="69" t="s">
        <v>214</v>
      </c>
      <c r="E1687" s="29" t="s">
        <v>19</v>
      </c>
      <c r="F1687" s="27" t="s">
        <v>784</v>
      </c>
      <c r="G1687" s="43"/>
      <c r="H1687" s="43"/>
      <c r="I1687" s="43"/>
      <c r="J1687" s="43"/>
      <c r="K1687" s="27"/>
      <c r="L1687" s="28"/>
      <c r="M1687" s="27"/>
      <c r="N1687" s="27"/>
      <c r="O1687" s="18"/>
      <c r="P1687" s="214"/>
      <c r="Q1687" s="214"/>
      <c r="S1687" s="27"/>
      <c r="T1687" s="18"/>
      <c r="U1687" s="27"/>
      <c r="W1687" s="30"/>
      <c r="X1687" s="27"/>
      <c r="Y1687" s="27"/>
      <c r="Z1687" s="27"/>
      <c r="AA1687" s="27"/>
      <c r="AB1687" s="27"/>
      <c r="AC1687" s="273">
        <v>4358147652.2724705</v>
      </c>
      <c r="AD1687" s="27">
        <v>148522810971.50192</v>
      </c>
      <c r="AE1687" s="228">
        <v>2.9343288238119179E-2</v>
      </c>
      <c r="AF1687" s="27">
        <v>27695048561.855965</v>
      </c>
      <c r="AG1687" s="226">
        <v>0.15736197907502106</v>
      </c>
      <c r="AH1687" s="226">
        <v>0.58810199491088611</v>
      </c>
      <c r="AI1687" s="27">
        <v>-255920000</v>
      </c>
      <c r="AJ1687" s="226">
        <v>-17.029335934168767</v>
      </c>
      <c r="AK1687" s="27">
        <v>4074433641.3595448</v>
      </c>
      <c r="AL1687" s="226">
        <v>1.0696327479807124</v>
      </c>
      <c r="AM1687" s="27">
        <v>3993421932.2773547</v>
      </c>
      <c r="AN1687" s="271">
        <v>1.0913316264047064</v>
      </c>
      <c r="AO1687" s="27">
        <v>29262830</v>
      </c>
      <c r="AP1687" s="27">
        <v>30.8</v>
      </c>
      <c r="AQ1687" s="27">
        <v>73.905097560975619</v>
      </c>
      <c r="AR1687" s="27">
        <v>15.2</v>
      </c>
      <c r="AS1687" s="29">
        <v>97.373459999999994</v>
      </c>
      <c r="AT1687" s="270">
        <v>38</v>
      </c>
      <c r="AU1687" s="464">
        <v>72.816286549781523</v>
      </c>
      <c r="AV1687" s="29">
        <v>6.6403653760441994E-2</v>
      </c>
      <c r="AW1687" s="29">
        <v>-0.97688567284337502</v>
      </c>
      <c r="AX1687" s="29">
        <v>-0.203136729362278</v>
      </c>
      <c r="AY1687" s="29">
        <v>0.460708707951485</v>
      </c>
      <c r="AZ1687" s="60">
        <v>-0.25042827669247397</v>
      </c>
    </row>
    <row r="1688" spans="1:52" s="29" customFormat="1" ht="15" customHeight="1">
      <c r="A1688" s="63" t="s">
        <v>451</v>
      </c>
      <c r="B1688" s="27">
        <v>2010</v>
      </c>
      <c r="C1688" s="27" t="s">
        <v>442</v>
      </c>
      <c r="D1688" s="69" t="s">
        <v>214</v>
      </c>
      <c r="E1688" s="29" t="s">
        <v>19</v>
      </c>
      <c r="F1688" s="27" t="s">
        <v>613</v>
      </c>
      <c r="G1688" s="43"/>
      <c r="H1688" s="43"/>
      <c r="I1688" s="43"/>
      <c r="J1688" s="43"/>
      <c r="K1688" s="27"/>
      <c r="L1688" s="28"/>
      <c r="M1688" s="27"/>
      <c r="N1688" s="27"/>
      <c r="O1688" s="18"/>
      <c r="P1688" s="214"/>
      <c r="Q1688" s="214"/>
      <c r="S1688" s="27"/>
      <c r="T1688" s="18"/>
      <c r="U1688" s="27"/>
      <c r="W1688" s="30"/>
      <c r="X1688" s="27"/>
      <c r="Y1688" s="27"/>
      <c r="Z1688" s="27"/>
      <c r="AA1688" s="27"/>
      <c r="AB1688" s="27"/>
      <c r="AC1688" s="273">
        <v>4358147652.2724705</v>
      </c>
      <c r="AD1688" s="27">
        <v>148522810971.50192</v>
      </c>
      <c r="AE1688" s="228">
        <v>2.9343288238119179E-2</v>
      </c>
      <c r="AF1688" s="27">
        <v>27695048561.855965</v>
      </c>
      <c r="AG1688" s="226">
        <v>0.15736197907502106</v>
      </c>
      <c r="AH1688" s="226">
        <v>0.58810199491088611</v>
      </c>
      <c r="AI1688" s="27">
        <v>-255920000</v>
      </c>
      <c r="AJ1688" s="226">
        <v>-17.029335934168767</v>
      </c>
      <c r="AK1688" s="27">
        <v>4074433641.3595448</v>
      </c>
      <c r="AL1688" s="226">
        <v>1.0696327479807124</v>
      </c>
      <c r="AM1688" s="27">
        <v>3993421932.2773547</v>
      </c>
      <c r="AN1688" s="271">
        <v>1.0913316264047064</v>
      </c>
      <c r="AO1688" s="27">
        <v>29262830</v>
      </c>
      <c r="AP1688" s="27">
        <v>30.8</v>
      </c>
      <c r="AQ1688" s="27">
        <v>73.905097560975619</v>
      </c>
      <c r="AR1688" s="27">
        <v>15.2</v>
      </c>
      <c r="AS1688" s="29">
        <v>97.373459999999994</v>
      </c>
      <c r="AT1688" s="270">
        <v>38</v>
      </c>
      <c r="AU1688" s="464">
        <v>72.816286549781523</v>
      </c>
      <c r="AV1688" s="29">
        <v>6.6403653760441994E-2</v>
      </c>
      <c r="AW1688" s="29">
        <v>-0.97688567284337502</v>
      </c>
      <c r="AX1688" s="29">
        <v>-0.203136729362278</v>
      </c>
      <c r="AY1688" s="29">
        <v>0.460708707951485</v>
      </c>
      <c r="AZ1688" s="60">
        <v>-0.25042827669247397</v>
      </c>
    </row>
    <row r="1689" spans="1:52" s="29" customFormat="1" ht="15" customHeight="1">
      <c r="A1689" s="63" t="s">
        <v>451</v>
      </c>
      <c r="B1689" s="27">
        <v>2010</v>
      </c>
      <c r="C1689" s="27" t="s">
        <v>442</v>
      </c>
      <c r="D1689" s="69" t="s">
        <v>214</v>
      </c>
      <c r="E1689" s="29" t="s">
        <v>19</v>
      </c>
      <c r="F1689" s="27" t="s">
        <v>1379</v>
      </c>
      <c r="G1689" s="43"/>
      <c r="H1689" s="43"/>
      <c r="I1689" s="43"/>
      <c r="J1689" s="43"/>
      <c r="K1689" s="27"/>
      <c r="L1689" s="28"/>
      <c r="M1689" s="27"/>
      <c r="N1689" s="27"/>
      <c r="O1689" s="18"/>
      <c r="P1689" s="214"/>
      <c r="Q1689" s="214"/>
      <c r="R1689" s="27"/>
      <c r="S1689" s="27"/>
      <c r="T1689" s="18"/>
      <c r="U1689" s="27"/>
      <c r="V1689" s="27"/>
      <c r="W1689" s="30"/>
      <c r="X1689" s="27"/>
      <c r="Y1689" s="27"/>
      <c r="Z1689" s="27"/>
      <c r="AA1689" s="27"/>
      <c r="AB1689" s="27"/>
      <c r="AC1689" s="273">
        <v>4358147652.2724705</v>
      </c>
      <c r="AD1689" s="27">
        <v>148522810971.50192</v>
      </c>
      <c r="AE1689" s="228">
        <v>2.9343288238119179E-2</v>
      </c>
      <c r="AF1689" s="27">
        <v>27695048561.855965</v>
      </c>
      <c r="AG1689" s="226">
        <v>0.15736197907502106</v>
      </c>
      <c r="AH1689" s="226">
        <v>0.58810199491088611</v>
      </c>
      <c r="AI1689" s="27">
        <v>-255920000</v>
      </c>
      <c r="AJ1689" s="226">
        <v>-17.029335934168767</v>
      </c>
      <c r="AK1689" s="27">
        <v>4074433641.3595448</v>
      </c>
      <c r="AL1689" s="226">
        <v>1.0696327479807124</v>
      </c>
      <c r="AM1689" s="27">
        <v>3993421932.2773547</v>
      </c>
      <c r="AN1689" s="271">
        <v>1.0913316264047064</v>
      </c>
      <c r="AO1689" s="27">
        <v>29262830</v>
      </c>
      <c r="AP1689" s="27">
        <v>30.8</v>
      </c>
      <c r="AQ1689" s="27">
        <v>73.905097560975619</v>
      </c>
      <c r="AR1689" s="27">
        <v>15.2</v>
      </c>
      <c r="AS1689" s="29">
        <v>97.373459999999994</v>
      </c>
      <c r="AT1689" s="270">
        <v>38</v>
      </c>
      <c r="AU1689" s="464">
        <v>72.816286549781523</v>
      </c>
      <c r="AV1689" s="29">
        <v>6.6403653760441994E-2</v>
      </c>
      <c r="AW1689" s="29">
        <v>-0.97688567284337502</v>
      </c>
      <c r="AX1689" s="29">
        <v>-0.203136729362278</v>
      </c>
      <c r="AY1689" s="29">
        <v>0.460708707951485</v>
      </c>
      <c r="AZ1689" s="60">
        <v>-0.25042827669247397</v>
      </c>
    </row>
    <row r="1690" spans="1:52" s="29" customFormat="1" ht="15" customHeight="1">
      <c r="A1690" s="63" t="s">
        <v>451</v>
      </c>
      <c r="B1690" s="27">
        <v>2010</v>
      </c>
      <c r="C1690" s="27" t="s">
        <v>442</v>
      </c>
      <c r="D1690" s="69" t="s">
        <v>214</v>
      </c>
      <c r="E1690" s="29" t="s">
        <v>19</v>
      </c>
      <c r="F1690" s="27" t="s">
        <v>1848</v>
      </c>
      <c r="G1690" s="43"/>
      <c r="H1690" s="43"/>
      <c r="I1690" s="43"/>
      <c r="J1690" s="43"/>
      <c r="K1690" s="27"/>
      <c r="L1690" s="28"/>
      <c r="M1690" s="27"/>
      <c r="N1690" s="27"/>
      <c r="O1690" s="18"/>
      <c r="P1690" s="214"/>
      <c r="Q1690" s="214"/>
      <c r="R1690" s="18"/>
      <c r="S1690" s="27"/>
      <c r="T1690" s="18"/>
      <c r="U1690" s="27"/>
      <c r="V1690" s="18"/>
      <c r="W1690" s="30"/>
      <c r="X1690" s="27"/>
      <c r="Y1690" s="27"/>
      <c r="Z1690" s="27"/>
      <c r="AA1690" s="27"/>
      <c r="AB1690" s="27"/>
      <c r="AC1690" s="273">
        <v>4358147652.2724705</v>
      </c>
      <c r="AD1690" s="27">
        <v>148522810971.50192</v>
      </c>
      <c r="AE1690" s="228">
        <v>2.9343288238119179E-2</v>
      </c>
      <c r="AF1690" s="27">
        <v>27695048561.855965</v>
      </c>
      <c r="AG1690" s="226">
        <v>0.15736197907502106</v>
      </c>
      <c r="AH1690" s="226">
        <v>0.58810199491088611</v>
      </c>
      <c r="AI1690" s="27">
        <v>-255920000</v>
      </c>
      <c r="AJ1690" s="226">
        <v>-17.029335934168767</v>
      </c>
      <c r="AK1690" s="27">
        <v>4074433641.3595448</v>
      </c>
      <c r="AL1690" s="226">
        <v>1.0696327479807124</v>
      </c>
      <c r="AM1690" s="27">
        <v>3993421932.2773547</v>
      </c>
      <c r="AN1690" s="271">
        <v>1.0913316264047064</v>
      </c>
      <c r="AO1690" s="27">
        <v>29262830</v>
      </c>
      <c r="AP1690" s="27">
        <v>30.8</v>
      </c>
      <c r="AQ1690" s="27">
        <v>73.905097560975619</v>
      </c>
      <c r="AR1690" s="27">
        <v>15.2</v>
      </c>
      <c r="AS1690" s="29">
        <v>97.373459999999994</v>
      </c>
      <c r="AT1690" s="270">
        <v>38</v>
      </c>
      <c r="AU1690" s="464">
        <v>72.816286549781523</v>
      </c>
      <c r="AV1690" s="29">
        <v>6.6403653760441994E-2</v>
      </c>
      <c r="AW1690" s="29">
        <v>-0.97688567284337502</v>
      </c>
      <c r="AX1690" s="29">
        <v>-0.203136729362278</v>
      </c>
      <c r="AY1690" s="29">
        <v>0.460708707951485</v>
      </c>
      <c r="AZ1690" s="60">
        <v>-0.25042827669247397</v>
      </c>
    </row>
    <row r="1691" spans="1:52" s="29" customFormat="1" ht="15" customHeight="1">
      <c r="A1691" s="63" t="s">
        <v>451</v>
      </c>
      <c r="B1691" s="27">
        <v>2010</v>
      </c>
      <c r="C1691" s="27" t="s">
        <v>442</v>
      </c>
      <c r="D1691" s="69" t="s">
        <v>214</v>
      </c>
      <c r="E1691" s="29" t="s">
        <v>19</v>
      </c>
      <c r="F1691" s="27" t="s">
        <v>1935</v>
      </c>
      <c r="G1691" s="43"/>
      <c r="H1691" s="43"/>
      <c r="I1691" s="43"/>
      <c r="J1691" s="43"/>
      <c r="K1691" s="27"/>
      <c r="L1691" s="28"/>
      <c r="M1691" s="27"/>
      <c r="N1691" s="27"/>
      <c r="O1691" s="18"/>
      <c r="P1691" s="214"/>
      <c r="Q1691" s="214"/>
      <c r="R1691" s="18"/>
      <c r="S1691" s="27"/>
      <c r="T1691" s="18"/>
      <c r="U1691" s="27"/>
      <c r="V1691" s="18"/>
      <c r="W1691" s="30"/>
      <c r="X1691" s="27"/>
      <c r="Y1691" s="27"/>
      <c r="Z1691" s="27"/>
      <c r="AA1691" s="27"/>
      <c r="AB1691" s="27"/>
      <c r="AC1691" s="273">
        <v>4358147652.2724705</v>
      </c>
      <c r="AD1691" s="27">
        <v>148522810971.50192</v>
      </c>
      <c r="AE1691" s="228">
        <v>2.9343288238119179E-2</v>
      </c>
      <c r="AF1691" s="27">
        <v>27695048561.855965</v>
      </c>
      <c r="AG1691" s="226">
        <v>0.15736197907502106</v>
      </c>
      <c r="AH1691" s="226">
        <v>0.58810199491088611</v>
      </c>
      <c r="AI1691" s="27">
        <v>-255920000</v>
      </c>
      <c r="AJ1691" s="226">
        <v>-17.029335934168767</v>
      </c>
      <c r="AK1691" s="27">
        <v>4074433641.3595448</v>
      </c>
      <c r="AL1691" s="226">
        <v>1.0696327479807124</v>
      </c>
      <c r="AM1691" s="27">
        <v>3993421932.2773547</v>
      </c>
      <c r="AN1691" s="271">
        <v>1.0913316264047064</v>
      </c>
      <c r="AO1691" s="27">
        <v>29262830</v>
      </c>
      <c r="AP1691" s="27">
        <v>30.8</v>
      </c>
      <c r="AQ1691" s="27">
        <v>73.905097560975619</v>
      </c>
      <c r="AR1691" s="27">
        <v>15.2</v>
      </c>
      <c r="AS1691" s="29">
        <v>97.373459999999994</v>
      </c>
      <c r="AT1691" s="270">
        <v>38</v>
      </c>
      <c r="AU1691" s="464">
        <v>72.816286549781523</v>
      </c>
      <c r="AV1691" s="29">
        <v>6.6403653760441994E-2</v>
      </c>
      <c r="AW1691" s="29">
        <v>-0.97688567284337502</v>
      </c>
      <c r="AX1691" s="29">
        <v>-0.203136729362278</v>
      </c>
      <c r="AY1691" s="29">
        <v>0.460708707951485</v>
      </c>
      <c r="AZ1691" s="60">
        <v>-0.25042827669247397</v>
      </c>
    </row>
    <row r="1692" spans="1:52" s="29" customFormat="1" ht="15" customHeight="1">
      <c r="A1692" s="63" t="s">
        <v>451</v>
      </c>
      <c r="B1692" s="27">
        <v>2010</v>
      </c>
      <c r="C1692" s="27" t="s">
        <v>442</v>
      </c>
      <c r="D1692" s="69" t="s">
        <v>214</v>
      </c>
      <c r="E1692" s="29" t="s">
        <v>19</v>
      </c>
      <c r="F1692" s="27" t="s">
        <v>1936</v>
      </c>
      <c r="G1692" s="43"/>
      <c r="H1692" s="43"/>
      <c r="I1692" s="43"/>
      <c r="J1692" s="43"/>
      <c r="K1692" s="27"/>
      <c r="L1692" s="28"/>
      <c r="M1692" s="27"/>
      <c r="N1692" s="27"/>
      <c r="O1692" s="18"/>
      <c r="P1692" s="214"/>
      <c r="Q1692" s="214"/>
      <c r="R1692" s="18"/>
      <c r="S1692" s="27"/>
      <c r="T1692" s="18"/>
      <c r="U1692" s="27"/>
      <c r="V1692" s="18"/>
      <c r="W1692" s="30"/>
      <c r="X1692" s="27"/>
      <c r="Y1692" s="27"/>
      <c r="Z1692" s="27"/>
      <c r="AA1692" s="27"/>
      <c r="AB1692" s="27"/>
      <c r="AC1692" s="273">
        <v>4358147652.2724705</v>
      </c>
      <c r="AD1692" s="27">
        <v>148522810971.50192</v>
      </c>
      <c r="AE1692" s="228">
        <v>2.9343288238119179E-2</v>
      </c>
      <c r="AF1692" s="27">
        <v>27695048561.855965</v>
      </c>
      <c r="AG1692" s="226">
        <v>0.15736197907502106</v>
      </c>
      <c r="AH1692" s="226">
        <v>0.58810199491088611</v>
      </c>
      <c r="AI1692" s="27">
        <v>-255920000</v>
      </c>
      <c r="AJ1692" s="226">
        <v>-17.029335934168767</v>
      </c>
      <c r="AK1692" s="27">
        <v>4074433641.3595448</v>
      </c>
      <c r="AL1692" s="226">
        <v>1.0696327479807124</v>
      </c>
      <c r="AM1692" s="27">
        <v>3993421932.2773547</v>
      </c>
      <c r="AN1692" s="271">
        <v>1.0913316264047064</v>
      </c>
      <c r="AO1692" s="27">
        <v>29262830</v>
      </c>
      <c r="AP1692" s="27">
        <v>30.8</v>
      </c>
      <c r="AQ1692" s="27">
        <v>73.905097560975619</v>
      </c>
      <c r="AR1692" s="27">
        <v>15.2</v>
      </c>
      <c r="AS1692" s="29">
        <v>97.373459999999994</v>
      </c>
      <c r="AT1692" s="270">
        <v>38</v>
      </c>
      <c r="AU1692" s="464">
        <v>72.816286549781523</v>
      </c>
      <c r="AV1692" s="29">
        <v>6.6403653760441994E-2</v>
      </c>
      <c r="AW1692" s="29">
        <v>-0.97688567284337502</v>
      </c>
      <c r="AX1692" s="29">
        <v>-0.203136729362278</v>
      </c>
      <c r="AY1692" s="29">
        <v>0.460708707951485</v>
      </c>
      <c r="AZ1692" s="60">
        <v>-0.25042827669247397</v>
      </c>
    </row>
    <row r="1693" spans="1:52" s="29" customFormat="1" ht="15" customHeight="1">
      <c r="A1693" s="63" t="s">
        <v>451</v>
      </c>
      <c r="B1693" s="27">
        <v>2010</v>
      </c>
      <c r="C1693" s="27" t="s">
        <v>442</v>
      </c>
      <c r="D1693" s="69" t="s">
        <v>214</v>
      </c>
      <c r="E1693" s="29" t="s">
        <v>19</v>
      </c>
      <c r="F1693" s="27" t="s">
        <v>1326</v>
      </c>
      <c r="G1693" s="43"/>
      <c r="H1693" s="43"/>
      <c r="I1693" s="43"/>
      <c r="J1693" s="43"/>
      <c r="K1693" s="27"/>
      <c r="L1693" s="28"/>
      <c r="M1693" s="27"/>
      <c r="N1693" s="27"/>
      <c r="O1693" s="18"/>
      <c r="P1693" s="214"/>
      <c r="Q1693" s="214"/>
      <c r="R1693" s="18"/>
      <c r="S1693" s="27"/>
      <c r="T1693" s="18"/>
      <c r="U1693" s="27"/>
      <c r="V1693" s="18"/>
      <c r="W1693" s="30"/>
      <c r="X1693" s="27"/>
      <c r="Y1693" s="27"/>
      <c r="Z1693" s="27"/>
      <c r="AA1693" s="27"/>
      <c r="AB1693" s="27"/>
      <c r="AC1693" s="273">
        <v>4358147652.2724705</v>
      </c>
      <c r="AD1693" s="27">
        <v>148522810971.50192</v>
      </c>
      <c r="AE1693" s="228">
        <v>2.9343288238119179E-2</v>
      </c>
      <c r="AF1693" s="27">
        <v>27695048561.855965</v>
      </c>
      <c r="AG1693" s="226">
        <v>0.15736197907502106</v>
      </c>
      <c r="AH1693" s="226">
        <v>0.58810199491088611</v>
      </c>
      <c r="AI1693" s="27">
        <v>-255920000</v>
      </c>
      <c r="AJ1693" s="226">
        <v>-17.029335934168767</v>
      </c>
      <c r="AK1693" s="27">
        <v>4074433641.3595448</v>
      </c>
      <c r="AL1693" s="226">
        <v>1.0696327479807124</v>
      </c>
      <c r="AM1693" s="27">
        <v>3993421932.2773547</v>
      </c>
      <c r="AN1693" s="271">
        <v>1.0913316264047064</v>
      </c>
      <c r="AO1693" s="27">
        <v>29262830</v>
      </c>
      <c r="AP1693" s="27">
        <v>30.8</v>
      </c>
      <c r="AQ1693" s="27">
        <v>73.905097560975619</v>
      </c>
      <c r="AR1693" s="27">
        <v>15.2</v>
      </c>
      <c r="AS1693" s="29">
        <v>97.373459999999994</v>
      </c>
      <c r="AT1693" s="270">
        <v>38</v>
      </c>
      <c r="AU1693" s="464">
        <v>72.816286549781523</v>
      </c>
      <c r="AV1693" s="29">
        <v>6.6403653760441994E-2</v>
      </c>
      <c r="AW1693" s="29">
        <v>-0.97688567284337502</v>
      </c>
      <c r="AX1693" s="29">
        <v>-0.203136729362278</v>
      </c>
      <c r="AY1693" s="29">
        <v>0.460708707951485</v>
      </c>
      <c r="AZ1693" s="60">
        <v>-0.25042827669247397</v>
      </c>
    </row>
    <row r="1694" spans="1:52" s="29" customFormat="1" ht="15" customHeight="1">
      <c r="A1694" s="63" t="s">
        <v>451</v>
      </c>
      <c r="B1694" s="27">
        <v>2010</v>
      </c>
      <c r="C1694" s="27" t="s">
        <v>442</v>
      </c>
      <c r="D1694" s="69" t="s">
        <v>214</v>
      </c>
      <c r="E1694" s="29" t="s">
        <v>19</v>
      </c>
      <c r="F1694" s="27" t="s">
        <v>1937</v>
      </c>
      <c r="G1694" s="43"/>
      <c r="H1694" s="43"/>
      <c r="I1694" s="43"/>
      <c r="J1694" s="43"/>
      <c r="K1694" s="27"/>
      <c r="L1694" s="28"/>
      <c r="M1694" s="27"/>
      <c r="N1694" s="27"/>
      <c r="O1694" s="18"/>
      <c r="P1694" s="214"/>
      <c r="Q1694" s="214"/>
      <c r="R1694" s="18"/>
      <c r="S1694" s="27"/>
      <c r="T1694" s="18"/>
      <c r="U1694" s="27"/>
      <c r="V1694" s="18"/>
      <c r="W1694" s="30"/>
      <c r="X1694" s="27"/>
      <c r="Y1694" s="27"/>
      <c r="Z1694" s="27"/>
      <c r="AA1694" s="27"/>
      <c r="AB1694" s="27"/>
      <c r="AC1694" s="273">
        <v>4358147652.2724705</v>
      </c>
      <c r="AD1694" s="27">
        <v>148522810971.50192</v>
      </c>
      <c r="AE1694" s="228">
        <v>2.9343288238119179E-2</v>
      </c>
      <c r="AF1694" s="27">
        <v>27695048561.855965</v>
      </c>
      <c r="AG1694" s="226">
        <v>0.15736197907502106</v>
      </c>
      <c r="AH1694" s="226">
        <v>0.58810199491088611</v>
      </c>
      <c r="AI1694" s="27">
        <v>-255920000</v>
      </c>
      <c r="AJ1694" s="226">
        <v>-17.029335934168767</v>
      </c>
      <c r="AK1694" s="27">
        <v>4074433641.3595448</v>
      </c>
      <c r="AL1694" s="226">
        <v>1.0696327479807124</v>
      </c>
      <c r="AM1694" s="27">
        <v>3993421932.2773547</v>
      </c>
      <c r="AN1694" s="271">
        <v>1.0913316264047064</v>
      </c>
      <c r="AO1694" s="27">
        <v>29262830</v>
      </c>
      <c r="AP1694" s="27">
        <v>30.8</v>
      </c>
      <c r="AQ1694" s="27">
        <v>73.905097560975619</v>
      </c>
      <c r="AR1694" s="27">
        <v>15.2</v>
      </c>
      <c r="AS1694" s="29">
        <v>97.373459999999994</v>
      </c>
      <c r="AT1694" s="270">
        <v>38</v>
      </c>
      <c r="AU1694" s="464">
        <v>72.816286549781523</v>
      </c>
      <c r="AV1694" s="29">
        <v>6.6403653760441994E-2</v>
      </c>
      <c r="AW1694" s="29">
        <v>-0.97688567284337502</v>
      </c>
      <c r="AX1694" s="29">
        <v>-0.203136729362278</v>
      </c>
      <c r="AY1694" s="29">
        <v>0.460708707951485</v>
      </c>
      <c r="AZ1694" s="60">
        <v>-0.25042827669247397</v>
      </c>
    </row>
    <row r="1695" spans="1:52" s="29" customFormat="1" ht="15" customHeight="1">
      <c r="A1695" s="63" t="s">
        <v>451</v>
      </c>
      <c r="B1695" s="27">
        <v>2010</v>
      </c>
      <c r="C1695" s="27" t="s">
        <v>442</v>
      </c>
      <c r="D1695" s="69" t="s">
        <v>214</v>
      </c>
      <c r="E1695" s="29" t="s">
        <v>19</v>
      </c>
      <c r="F1695" s="27" t="s">
        <v>1058</v>
      </c>
      <c r="G1695" s="43"/>
      <c r="H1695" s="43"/>
      <c r="I1695" s="43"/>
      <c r="J1695" s="43"/>
      <c r="K1695" s="27"/>
      <c r="L1695" s="28"/>
      <c r="M1695" s="27"/>
      <c r="N1695" s="27"/>
      <c r="O1695" s="18"/>
      <c r="P1695" s="214"/>
      <c r="Q1695" s="214"/>
      <c r="R1695" s="18"/>
      <c r="S1695" s="27"/>
      <c r="T1695" s="18"/>
      <c r="U1695" s="27"/>
      <c r="V1695" s="18"/>
      <c r="W1695" s="30"/>
      <c r="X1695" s="27"/>
      <c r="Y1695" s="27"/>
      <c r="Z1695" s="27"/>
      <c r="AA1695" s="27"/>
      <c r="AB1695" s="27"/>
      <c r="AC1695" s="273">
        <v>4358147652.2724705</v>
      </c>
      <c r="AD1695" s="27">
        <v>148522810971.50192</v>
      </c>
      <c r="AE1695" s="228">
        <v>2.9343288238119179E-2</v>
      </c>
      <c r="AF1695" s="27">
        <v>27695048561.855965</v>
      </c>
      <c r="AG1695" s="226">
        <v>0.15736197907502106</v>
      </c>
      <c r="AH1695" s="226">
        <v>0.58810199491088611</v>
      </c>
      <c r="AI1695" s="27">
        <v>-255920000</v>
      </c>
      <c r="AJ1695" s="226">
        <v>-17.029335934168767</v>
      </c>
      <c r="AK1695" s="27">
        <v>4074433641.3595448</v>
      </c>
      <c r="AL1695" s="226">
        <v>1.0696327479807124</v>
      </c>
      <c r="AM1695" s="27">
        <v>3993421932.2773547</v>
      </c>
      <c r="AN1695" s="271">
        <v>1.0913316264047064</v>
      </c>
      <c r="AO1695" s="27">
        <v>29262830</v>
      </c>
      <c r="AP1695" s="27">
        <v>30.8</v>
      </c>
      <c r="AQ1695" s="27">
        <v>73.905097560975619</v>
      </c>
      <c r="AR1695" s="27">
        <v>15.2</v>
      </c>
      <c r="AS1695" s="29">
        <v>97.373459999999994</v>
      </c>
      <c r="AT1695" s="270">
        <v>38</v>
      </c>
      <c r="AU1695" s="464">
        <v>72.816286549781523</v>
      </c>
      <c r="AV1695" s="29">
        <v>6.6403653760441994E-2</v>
      </c>
      <c r="AW1695" s="29">
        <v>-0.97688567284337502</v>
      </c>
      <c r="AX1695" s="29">
        <v>-0.203136729362278</v>
      </c>
      <c r="AY1695" s="29">
        <v>0.460708707951485</v>
      </c>
      <c r="AZ1695" s="60">
        <v>-0.25042827669247397</v>
      </c>
    </row>
    <row r="1696" spans="1:52" s="29" customFormat="1" ht="15" customHeight="1">
      <c r="A1696" s="63" t="s">
        <v>451</v>
      </c>
      <c r="B1696" s="27">
        <v>2010</v>
      </c>
      <c r="C1696" s="27" t="s">
        <v>442</v>
      </c>
      <c r="D1696" s="69" t="s">
        <v>214</v>
      </c>
      <c r="E1696" s="29" t="s">
        <v>19</v>
      </c>
      <c r="F1696" s="27" t="s">
        <v>897</v>
      </c>
      <c r="G1696" s="43"/>
      <c r="H1696" s="43"/>
      <c r="I1696" s="43"/>
      <c r="J1696" s="43"/>
      <c r="K1696" s="27"/>
      <c r="L1696" s="28"/>
      <c r="M1696" s="27"/>
      <c r="N1696" s="27"/>
      <c r="O1696" s="18"/>
      <c r="P1696" s="214"/>
      <c r="Q1696" s="214"/>
      <c r="R1696" s="18"/>
      <c r="S1696" s="27"/>
      <c r="T1696" s="18"/>
      <c r="U1696" s="27"/>
      <c r="V1696" s="18"/>
      <c r="W1696" s="30"/>
      <c r="X1696" s="27"/>
      <c r="Y1696" s="27"/>
      <c r="Z1696" s="27"/>
      <c r="AA1696" s="27"/>
      <c r="AB1696" s="27"/>
      <c r="AC1696" s="273">
        <v>4358147652.2724705</v>
      </c>
      <c r="AD1696" s="27">
        <v>148522810971.50192</v>
      </c>
      <c r="AE1696" s="228">
        <v>2.9343288238119179E-2</v>
      </c>
      <c r="AF1696" s="27">
        <v>27695048561.855965</v>
      </c>
      <c r="AG1696" s="226">
        <v>0.15736197907502106</v>
      </c>
      <c r="AH1696" s="226">
        <v>0.58810199491088611</v>
      </c>
      <c r="AI1696" s="27">
        <v>-255920000</v>
      </c>
      <c r="AJ1696" s="226">
        <v>-17.029335934168767</v>
      </c>
      <c r="AK1696" s="27">
        <v>4074433641.3595448</v>
      </c>
      <c r="AL1696" s="226">
        <v>1.0696327479807124</v>
      </c>
      <c r="AM1696" s="27">
        <v>3993421932.2773547</v>
      </c>
      <c r="AN1696" s="271">
        <v>1.0913316264047064</v>
      </c>
      <c r="AO1696" s="27">
        <v>29262830</v>
      </c>
      <c r="AP1696" s="27">
        <v>30.8</v>
      </c>
      <c r="AQ1696" s="27">
        <v>73.905097560975619</v>
      </c>
      <c r="AR1696" s="27">
        <v>15.2</v>
      </c>
      <c r="AS1696" s="29">
        <v>97.373459999999994</v>
      </c>
      <c r="AT1696" s="270">
        <v>38</v>
      </c>
      <c r="AU1696" s="464">
        <v>72.816286549781523</v>
      </c>
      <c r="AV1696" s="29">
        <v>6.6403653760441994E-2</v>
      </c>
      <c r="AW1696" s="29">
        <v>-0.97688567284337502</v>
      </c>
      <c r="AX1696" s="29">
        <v>-0.203136729362278</v>
      </c>
      <c r="AY1696" s="29">
        <v>0.460708707951485</v>
      </c>
      <c r="AZ1696" s="60">
        <v>-0.25042827669247397</v>
      </c>
    </row>
    <row r="1697" spans="1:52" s="29" customFormat="1" ht="15" customHeight="1">
      <c r="A1697" s="63" t="s">
        <v>451</v>
      </c>
      <c r="B1697" s="27">
        <v>2010</v>
      </c>
      <c r="C1697" s="27" t="s">
        <v>442</v>
      </c>
      <c r="D1697" s="69" t="s">
        <v>214</v>
      </c>
      <c r="E1697" s="29" t="s">
        <v>19</v>
      </c>
      <c r="F1697" s="27" t="s">
        <v>1898</v>
      </c>
      <c r="G1697" s="43"/>
      <c r="H1697" s="43"/>
      <c r="I1697" s="43"/>
      <c r="J1697" s="43"/>
      <c r="K1697" s="27"/>
      <c r="L1697" s="28"/>
      <c r="M1697" s="27"/>
      <c r="N1697" s="27"/>
      <c r="O1697" s="18"/>
      <c r="P1697" s="214"/>
      <c r="Q1697" s="214"/>
      <c r="R1697" s="18"/>
      <c r="S1697" s="27"/>
      <c r="T1697" s="18"/>
      <c r="U1697" s="27"/>
      <c r="V1697" s="18"/>
      <c r="W1697" s="30"/>
      <c r="X1697" s="27"/>
      <c r="Y1697" s="27"/>
      <c r="Z1697" s="27"/>
      <c r="AA1697" s="27"/>
      <c r="AB1697" s="27"/>
      <c r="AC1697" s="273">
        <v>4358147652.2724705</v>
      </c>
      <c r="AD1697" s="27">
        <v>148522810971.50192</v>
      </c>
      <c r="AE1697" s="228">
        <v>2.9343288238119179E-2</v>
      </c>
      <c r="AF1697" s="27">
        <v>27695048561.855965</v>
      </c>
      <c r="AG1697" s="226">
        <v>0.15736197907502106</v>
      </c>
      <c r="AH1697" s="226">
        <v>0.58810199491088611</v>
      </c>
      <c r="AI1697" s="27">
        <v>-255920000</v>
      </c>
      <c r="AJ1697" s="226">
        <v>-17.029335934168767</v>
      </c>
      <c r="AK1697" s="27">
        <v>4074433641.3595448</v>
      </c>
      <c r="AL1697" s="226">
        <v>1.0696327479807124</v>
      </c>
      <c r="AM1697" s="27">
        <v>3993421932.2773547</v>
      </c>
      <c r="AN1697" s="271">
        <v>1.0913316264047064</v>
      </c>
      <c r="AO1697" s="27">
        <v>29262830</v>
      </c>
      <c r="AP1697" s="27">
        <v>30.8</v>
      </c>
      <c r="AQ1697" s="27">
        <v>73.905097560975619</v>
      </c>
      <c r="AR1697" s="27">
        <v>15.2</v>
      </c>
      <c r="AS1697" s="29">
        <v>97.373459999999994</v>
      </c>
      <c r="AT1697" s="270">
        <v>38</v>
      </c>
      <c r="AU1697" s="464">
        <v>72.816286549781523</v>
      </c>
      <c r="AV1697" s="29">
        <v>6.6403653760441994E-2</v>
      </c>
      <c r="AW1697" s="29">
        <v>-0.97688567284337502</v>
      </c>
      <c r="AX1697" s="29">
        <v>-0.203136729362278</v>
      </c>
      <c r="AY1697" s="29">
        <v>0.460708707951485</v>
      </c>
      <c r="AZ1697" s="60">
        <v>-0.25042827669247397</v>
      </c>
    </row>
    <row r="1698" spans="1:52" s="29" customFormat="1" ht="15" customHeight="1">
      <c r="A1698" s="63" t="s">
        <v>451</v>
      </c>
      <c r="B1698" s="27">
        <v>2010</v>
      </c>
      <c r="C1698" s="27" t="s">
        <v>442</v>
      </c>
      <c r="D1698" s="69" t="s">
        <v>214</v>
      </c>
      <c r="E1698" s="29" t="s">
        <v>19</v>
      </c>
      <c r="F1698" s="27" t="s">
        <v>1916</v>
      </c>
      <c r="G1698" s="43"/>
      <c r="H1698" s="43"/>
      <c r="I1698" s="43"/>
      <c r="J1698" s="43"/>
      <c r="K1698" s="27"/>
      <c r="L1698" s="28"/>
      <c r="M1698" s="27"/>
      <c r="N1698" s="27"/>
      <c r="O1698" s="18"/>
      <c r="P1698" s="214"/>
      <c r="Q1698" s="214"/>
      <c r="R1698" s="18"/>
      <c r="S1698" s="27"/>
      <c r="T1698" s="18"/>
      <c r="U1698" s="27"/>
      <c r="V1698" s="18"/>
      <c r="W1698" s="30"/>
      <c r="X1698" s="27"/>
      <c r="Y1698" s="27"/>
      <c r="Z1698" s="27"/>
      <c r="AA1698" s="27"/>
      <c r="AB1698" s="27"/>
      <c r="AC1698" s="273">
        <v>4358147652.2724705</v>
      </c>
      <c r="AD1698" s="27">
        <v>148522810971.50192</v>
      </c>
      <c r="AE1698" s="228">
        <v>2.9343288238119179E-2</v>
      </c>
      <c r="AF1698" s="27">
        <v>27695048561.855965</v>
      </c>
      <c r="AG1698" s="226">
        <v>0.15736197907502106</v>
      </c>
      <c r="AH1698" s="226">
        <v>0.58810199491088611</v>
      </c>
      <c r="AI1698" s="27">
        <v>-255920000</v>
      </c>
      <c r="AJ1698" s="226">
        <v>-17.029335934168767</v>
      </c>
      <c r="AK1698" s="27">
        <v>4074433641.3595448</v>
      </c>
      <c r="AL1698" s="226">
        <v>1.0696327479807124</v>
      </c>
      <c r="AM1698" s="27">
        <v>3993421932.2773547</v>
      </c>
      <c r="AN1698" s="271">
        <v>1.0913316264047064</v>
      </c>
      <c r="AO1698" s="27">
        <v>29262830</v>
      </c>
      <c r="AP1698" s="27">
        <v>30.8</v>
      </c>
      <c r="AQ1698" s="27">
        <v>73.905097560975619</v>
      </c>
      <c r="AR1698" s="27">
        <v>15.2</v>
      </c>
      <c r="AS1698" s="29">
        <v>97.373459999999994</v>
      </c>
      <c r="AT1698" s="270">
        <v>38</v>
      </c>
      <c r="AU1698" s="464">
        <v>72.816286549781523</v>
      </c>
      <c r="AV1698" s="29">
        <v>6.6403653760441994E-2</v>
      </c>
      <c r="AW1698" s="29">
        <v>-0.97688567284337502</v>
      </c>
      <c r="AX1698" s="29">
        <v>-0.203136729362278</v>
      </c>
      <c r="AY1698" s="29">
        <v>0.460708707951485</v>
      </c>
      <c r="AZ1698" s="60">
        <v>-0.25042827669247397</v>
      </c>
    </row>
    <row r="1699" spans="1:52" s="29" customFormat="1" ht="15" customHeight="1">
      <c r="A1699" s="63" t="s">
        <v>451</v>
      </c>
      <c r="B1699" s="27">
        <v>2010</v>
      </c>
      <c r="C1699" s="27" t="s">
        <v>442</v>
      </c>
      <c r="D1699" s="69" t="s">
        <v>214</v>
      </c>
      <c r="E1699" s="29" t="s">
        <v>19</v>
      </c>
      <c r="F1699" s="27" t="s">
        <v>735</v>
      </c>
      <c r="G1699" s="43"/>
      <c r="H1699" s="43"/>
      <c r="I1699" s="43"/>
      <c r="J1699" s="43"/>
      <c r="K1699" s="27"/>
      <c r="L1699" s="28"/>
      <c r="M1699" s="27"/>
      <c r="N1699" s="27"/>
      <c r="O1699" s="18"/>
      <c r="P1699" s="214"/>
      <c r="Q1699" s="214"/>
      <c r="R1699" s="18"/>
      <c r="S1699" s="27"/>
      <c r="T1699" s="18"/>
      <c r="U1699" s="27"/>
      <c r="V1699" s="18"/>
      <c r="W1699" s="30"/>
      <c r="X1699" s="27"/>
      <c r="Y1699" s="27"/>
      <c r="Z1699" s="27"/>
      <c r="AA1699" s="27"/>
      <c r="AB1699" s="27"/>
      <c r="AC1699" s="273">
        <v>4358147652.2724705</v>
      </c>
      <c r="AD1699" s="27">
        <v>148522810971.50192</v>
      </c>
      <c r="AE1699" s="228">
        <v>2.9343288238119179E-2</v>
      </c>
      <c r="AF1699" s="27">
        <v>27695048561.855965</v>
      </c>
      <c r="AG1699" s="226">
        <v>0.15736197907502106</v>
      </c>
      <c r="AH1699" s="226">
        <v>0.58810199491088611</v>
      </c>
      <c r="AI1699" s="27">
        <v>-255920000</v>
      </c>
      <c r="AJ1699" s="226">
        <v>-17.029335934168767</v>
      </c>
      <c r="AK1699" s="27">
        <v>4074433641.3595448</v>
      </c>
      <c r="AL1699" s="226">
        <v>1.0696327479807124</v>
      </c>
      <c r="AM1699" s="27">
        <v>3993421932.2773547</v>
      </c>
      <c r="AN1699" s="271">
        <v>1.0913316264047064</v>
      </c>
      <c r="AO1699" s="27">
        <v>29262830</v>
      </c>
      <c r="AP1699" s="27">
        <v>30.8</v>
      </c>
      <c r="AQ1699" s="27">
        <v>73.905097560975619</v>
      </c>
      <c r="AR1699" s="27">
        <v>15.2</v>
      </c>
      <c r="AS1699" s="29">
        <v>97.373459999999994</v>
      </c>
      <c r="AT1699" s="270">
        <v>38</v>
      </c>
      <c r="AU1699" s="464">
        <v>72.816286549781523</v>
      </c>
      <c r="AV1699" s="29">
        <v>6.6403653760441994E-2</v>
      </c>
      <c r="AW1699" s="29">
        <v>-0.97688567284337502</v>
      </c>
      <c r="AX1699" s="29">
        <v>-0.203136729362278</v>
      </c>
      <c r="AY1699" s="29">
        <v>0.460708707951485</v>
      </c>
      <c r="AZ1699" s="60">
        <v>-0.25042827669247397</v>
      </c>
    </row>
    <row r="1700" spans="1:52" s="29" customFormat="1" ht="15" customHeight="1">
      <c r="A1700" s="63" t="s">
        <v>451</v>
      </c>
      <c r="B1700" s="27">
        <v>2010</v>
      </c>
      <c r="C1700" s="27" t="s">
        <v>442</v>
      </c>
      <c r="D1700" s="69" t="s">
        <v>214</v>
      </c>
      <c r="E1700" s="29" t="s">
        <v>19</v>
      </c>
      <c r="F1700" s="27" t="s">
        <v>1146</v>
      </c>
      <c r="G1700" s="43"/>
      <c r="H1700" s="43"/>
      <c r="I1700" s="43"/>
      <c r="J1700" s="43"/>
      <c r="K1700" s="27"/>
      <c r="L1700" s="28"/>
      <c r="M1700" s="27"/>
      <c r="N1700" s="27"/>
      <c r="O1700" s="18"/>
      <c r="P1700" s="214"/>
      <c r="Q1700" s="214"/>
      <c r="R1700" s="18"/>
      <c r="S1700" s="27"/>
      <c r="T1700" s="18"/>
      <c r="V1700" s="18"/>
      <c r="W1700" s="30"/>
      <c r="X1700" s="27"/>
      <c r="Y1700" s="27"/>
      <c r="Z1700" s="27"/>
      <c r="AA1700" s="27"/>
      <c r="AB1700" s="27"/>
      <c r="AC1700" s="273">
        <v>4358147652.2724705</v>
      </c>
      <c r="AD1700" s="27">
        <v>148522810971.50192</v>
      </c>
      <c r="AE1700" s="228">
        <v>2.9343288238119179E-2</v>
      </c>
      <c r="AF1700" s="27">
        <v>27695048561.855965</v>
      </c>
      <c r="AG1700" s="226">
        <v>0.15736197907502106</v>
      </c>
      <c r="AH1700" s="226">
        <v>0.58810199491088611</v>
      </c>
      <c r="AI1700" s="27">
        <v>-255920000</v>
      </c>
      <c r="AJ1700" s="226">
        <v>-17.029335934168767</v>
      </c>
      <c r="AK1700" s="27">
        <v>4074433641.3595448</v>
      </c>
      <c r="AL1700" s="226">
        <v>1.0696327479807124</v>
      </c>
      <c r="AM1700" s="27">
        <v>3993421932.2773547</v>
      </c>
      <c r="AN1700" s="271">
        <v>1.0913316264047064</v>
      </c>
      <c r="AO1700" s="27">
        <v>29262830</v>
      </c>
      <c r="AP1700" s="27">
        <v>30.8</v>
      </c>
      <c r="AQ1700" s="27">
        <v>73.905097560975619</v>
      </c>
      <c r="AR1700" s="27">
        <v>15.2</v>
      </c>
      <c r="AS1700" s="29">
        <v>97.373459999999994</v>
      </c>
      <c r="AT1700" s="270">
        <v>38</v>
      </c>
      <c r="AU1700" s="464">
        <v>72.816286549781523</v>
      </c>
      <c r="AV1700" s="29">
        <v>6.6403653760441994E-2</v>
      </c>
      <c r="AW1700" s="29">
        <v>-0.97688567284337502</v>
      </c>
      <c r="AX1700" s="29">
        <v>-0.203136729362278</v>
      </c>
      <c r="AY1700" s="29">
        <v>0.460708707951485</v>
      </c>
      <c r="AZ1700" s="60">
        <v>-0.25042827669247397</v>
      </c>
    </row>
    <row r="1701" spans="1:52" s="29" customFormat="1" ht="15" customHeight="1">
      <c r="A1701" s="63" t="s">
        <v>451</v>
      </c>
      <c r="B1701" s="27">
        <v>2010</v>
      </c>
      <c r="C1701" s="27" t="s">
        <v>442</v>
      </c>
      <c r="D1701" s="69" t="s">
        <v>214</v>
      </c>
      <c r="E1701" s="29" t="s">
        <v>19</v>
      </c>
      <c r="F1701" s="27" t="s">
        <v>1938</v>
      </c>
      <c r="G1701" s="43"/>
      <c r="H1701" s="43"/>
      <c r="I1701" s="43"/>
      <c r="J1701" s="43"/>
      <c r="K1701" s="27"/>
      <c r="L1701" s="28"/>
      <c r="M1701" s="27"/>
      <c r="N1701" s="27"/>
      <c r="O1701" s="18"/>
      <c r="P1701" s="214"/>
      <c r="Q1701" s="214"/>
      <c r="R1701" s="18"/>
      <c r="S1701" s="27"/>
      <c r="T1701" s="18"/>
      <c r="V1701" s="18"/>
      <c r="W1701" s="30"/>
      <c r="X1701" s="27"/>
      <c r="Y1701" s="27"/>
      <c r="Z1701" s="27"/>
      <c r="AA1701" s="27"/>
      <c r="AB1701" s="27"/>
      <c r="AC1701" s="273">
        <v>4358147652.2724705</v>
      </c>
      <c r="AD1701" s="27">
        <v>148522810971.50192</v>
      </c>
      <c r="AE1701" s="228">
        <v>2.9343288238119179E-2</v>
      </c>
      <c r="AF1701" s="27">
        <v>27695048561.855965</v>
      </c>
      <c r="AG1701" s="226">
        <v>0.15736197907502106</v>
      </c>
      <c r="AH1701" s="226">
        <v>0.58810199491088611</v>
      </c>
      <c r="AI1701" s="27">
        <v>-255920000</v>
      </c>
      <c r="AJ1701" s="226">
        <v>-17.029335934168767</v>
      </c>
      <c r="AK1701" s="27">
        <v>4074433641.3595448</v>
      </c>
      <c r="AL1701" s="226">
        <v>1.0696327479807124</v>
      </c>
      <c r="AM1701" s="27">
        <v>3993421932.2773547</v>
      </c>
      <c r="AN1701" s="271">
        <v>1.0913316264047064</v>
      </c>
      <c r="AO1701" s="27">
        <v>29262830</v>
      </c>
      <c r="AP1701" s="27">
        <v>30.8</v>
      </c>
      <c r="AQ1701" s="27">
        <v>73.905097560975619</v>
      </c>
      <c r="AR1701" s="27">
        <v>15.2</v>
      </c>
      <c r="AS1701" s="29">
        <v>97.373459999999994</v>
      </c>
      <c r="AT1701" s="270">
        <v>38</v>
      </c>
      <c r="AU1701" s="464">
        <v>72.816286549781523</v>
      </c>
      <c r="AV1701" s="29">
        <v>6.6403653760441994E-2</v>
      </c>
      <c r="AW1701" s="29">
        <v>-0.97688567284337502</v>
      </c>
      <c r="AX1701" s="29">
        <v>-0.203136729362278</v>
      </c>
      <c r="AY1701" s="29">
        <v>0.460708707951485</v>
      </c>
      <c r="AZ1701" s="60">
        <v>-0.25042827669247397</v>
      </c>
    </row>
    <row r="1702" spans="1:52" s="29" customFormat="1" ht="15" customHeight="1">
      <c r="A1702" s="63" t="s">
        <v>451</v>
      </c>
      <c r="B1702" s="27">
        <v>2010</v>
      </c>
      <c r="C1702" s="27" t="s">
        <v>442</v>
      </c>
      <c r="D1702" s="69" t="s">
        <v>214</v>
      </c>
      <c r="E1702" s="29" t="s">
        <v>19</v>
      </c>
      <c r="F1702" s="27" t="s">
        <v>1939</v>
      </c>
      <c r="G1702" s="43"/>
      <c r="H1702" s="43"/>
      <c r="I1702" s="43"/>
      <c r="J1702" s="43"/>
      <c r="K1702" s="27"/>
      <c r="L1702" s="28"/>
      <c r="M1702" s="27"/>
      <c r="N1702" s="27"/>
      <c r="O1702" s="18"/>
      <c r="P1702" s="214"/>
      <c r="Q1702" s="214"/>
      <c r="R1702" s="18"/>
      <c r="S1702" s="27"/>
      <c r="T1702" s="18"/>
      <c r="V1702" s="18"/>
      <c r="W1702" s="30"/>
      <c r="X1702" s="27"/>
      <c r="Y1702" s="27"/>
      <c r="Z1702" s="27"/>
      <c r="AA1702" s="27"/>
      <c r="AB1702" s="27"/>
      <c r="AC1702" s="273">
        <v>4358147652.2724705</v>
      </c>
      <c r="AD1702" s="27">
        <v>148522810971.50192</v>
      </c>
      <c r="AE1702" s="228">
        <v>2.9343288238119179E-2</v>
      </c>
      <c r="AF1702" s="27">
        <v>27695048561.855965</v>
      </c>
      <c r="AG1702" s="226">
        <v>0.15736197907502106</v>
      </c>
      <c r="AH1702" s="226">
        <v>0.58810199491088611</v>
      </c>
      <c r="AI1702" s="27">
        <v>-255920000</v>
      </c>
      <c r="AJ1702" s="226">
        <v>-17.029335934168767</v>
      </c>
      <c r="AK1702" s="27">
        <v>4074433641.3595448</v>
      </c>
      <c r="AL1702" s="226">
        <v>1.0696327479807124</v>
      </c>
      <c r="AM1702" s="27">
        <v>3993421932.2773547</v>
      </c>
      <c r="AN1702" s="271">
        <v>1.0913316264047064</v>
      </c>
      <c r="AO1702" s="27">
        <v>29262830</v>
      </c>
      <c r="AP1702" s="27">
        <v>30.8</v>
      </c>
      <c r="AQ1702" s="27">
        <v>73.905097560975619</v>
      </c>
      <c r="AR1702" s="27">
        <v>15.2</v>
      </c>
      <c r="AS1702" s="29">
        <v>97.373459999999994</v>
      </c>
      <c r="AT1702" s="270">
        <v>38</v>
      </c>
      <c r="AU1702" s="464">
        <v>72.816286549781523</v>
      </c>
      <c r="AV1702" s="29">
        <v>6.6403653760441994E-2</v>
      </c>
      <c r="AW1702" s="29">
        <v>-0.97688567284337502</v>
      </c>
      <c r="AX1702" s="29">
        <v>-0.203136729362278</v>
      </c>
      <c r="AY1702" s="29">
        <v>0.460708707951485</v>
      </c>
      <c r="AZ1702" s="60">
        <v>-0.25042827669247397</v>
      </c>
    </row>
    <row r="1703" spans="1:52" s="29" customFormat="1" ht="15" customHeight="1">
      <c r="A1703" s="63" t="s">
        <v>451</v>
      </c>
      <c r="B1703" s="27">
        <v>2010</v>
      </c>
      <c r="C1703" s="27" t="s">
        <v>442</v>
      </c>
      <c r="D1703" s="69" t="s">
        <v>214</v>
      </c>
      <c r="E1703" s="29" t="s">
        <v>19</v>
      </c>
      <c r="F1703" s="27" t="s">
        <v>1940</v>
      </c>
      <c r="G1703" s="43"/>
      <c r="H1703" s="43"/>
      <c r="I1703" s="43"/>
      <c r="J1703" s="43"/>
      <c r="K1703" s="27"/>
      <c r="L1703" s="28"/>
      <c r="M1703" s="27"/>
      <c r="N1703" s="27"/>
      <c r="O1703" s="18"/>
      <c r="P1703" s="214"/>
      <c r="Q1703" s="214"/>
      <c r="R1703" s="18"/>
      <c r="S1703" s="27"/>
      <c r="T1703" s="18"/>
      <c r="V1703" s="18"/>
      <c r="W1703" s="30"/>
      <c r="X1703" s="27"/>
      <c r="Y1703" s="27"/>
      <c r="Z1703" s="27"/>
      <c r="AA1703" s="27"/>
      <c r="AB1703" s="27"/>
      <c r="AC1703" s="273">
        <v>4358147652.2724705</v>
      </c>
      <c r="AD1703" s="27">
        <v>148522810971.50192</v>
      </c>
      <c r="AE1703" s="228">
        <v>2.9343288238119179E-2</v>
      </c>
      <c r="AF1703" s="27">
        <v>27695048561.855965</v>
      </c>
      <c r="AG1703" s="226">
        <v>0.15736197907502106</v>
      </c>
      <c r="AH1703" s="226">
        <v>0.58810199491088611</v>
      </c>
      <c r="AI1703" s="27">
        <v>-255920000</v>
      </c>
      <c r="AJ1703" s="226">
        <v>-17.029335934168767</v>
      </c>
      <c r="AK1703" s="27">
        <v>4074433641.3595448</v>
      </c>
      <c r="AL1703" s="226">
        <v>1.0696327479807124</v>
      </c>
      <c r="AM1703" s="27">
        <v>3993421932.2773547</v>
      </c>
      <c r="AN1703" s="271">
        <v>1.0913316264047064</v>
      </c>
      <c r="AO1703" s="27">
        <v>29262830</v>
      </c>
      <c r="AP1703" s="27">
        <v>30.8</v>
      </c>
      <c r="AQ1703" s="27">
        <v>73.905097560975619</v>
      </c>
      <c r="AR1703" s="27">
        <v>15.2</v>
      </c>
      <c r="AS1703" s="29">
        <v>97.373459999999994</v>
      </c>
      <c r="AT1703" s="270">
        <v>38</v>
      </c>
      <c r="AU1703" s="464">
        <v>72.816286549781523</v>
      </c>
      <c r="AV1703" s="29">
        <v>6.6403653760441994E-2</v>
      </c>
      <c r="AW1703" s="29">
        <v>-0.97688567284337502</v>
      </c>
      <c r="AX1703" s="29">
        <v>-0.203136729362278</v>
      </c>
      <c r="AY1703" s="29">
        <v>0.460708707951485</v>
      </c>
      <c r="AZ1703" s="60">
        <v>-0.25042827669247397</v>
      </c>
    </row>
    <row r="1704" spans="1:52" s="29" customFormat="1" ht="15" customHeight="1">
      <c r="A1704" s="63" t="s">
        <v>451</v>
      </c>
      <c r="B1704" s="27">
        <v>2010</v>
      </c>
      <c r="C1704" s="27" t="s">
        <v>442</v>
      </c>
      <c r="D1704" s="69" t="s">
        <v>214</v>
      </c>
      <c r="E1704" s="29" t="s">
        <v>19</v>
      </c>
      <c r="F1704" s="27" t="s">
        <v>584</v>
      </c>
      <c r="G1704" s="43"/>
      <c r="H1704" s="43"/>
      <c r="I1704" s="43"/>
      <c r="J1704" s="43"/>
      <c r="K1704" s="27"/>
      <c r="L1704" s="28"/>
      <c r="M1704" s="27"/>
      <c r="N1704" s="27"/>
      <c r="O1704" s="18"/>
      <c r="P1704" s="214"/>
      <c r="Q1704" s="214"/>
      <c r="R1704" s="18"/>
      <c r="S1704" s="27"/>
      <c r="T1704" s="18"/>
      <c r="V1704" s="18"/>
      <c r="W1704" s="30"/>
      <c r="X1704" s="27"/>
      <c r="Y1704" s="27"/>
      <c r="Z1704" s="27"/>
      <c r="AA1704" s="27"/>
      <c r="AB1704" s="27"/>
      <c r="AC1704" s="273">
        <v>4358147652.2724705</v>
      </c>
      <c r="AD1704" s="27">
        <v>148522810971.50192</v>
      </c>
      <c r="AE1704" s="228">
        <v>2.9343288238119179E-2</v>
      </c>
      <c r="AF1704" s="27">
        <v>27695048561.855965</v>
      </c>
      <c r="AG1704" s="226">
        <v>0.15736197907502106</v>
      </c>
      <c r="AH1704" s="226">
        <v>0.58810199491088611</v>
      </c>
      <c r="AI1704" s="27">
        <v>-255920000</v>
      </c>
      <c r="AJ1704" s="226">
        <v>-17.029335934168767</v>
      </c>
      <c r="AK1704" s="27">
        <v>4074433641.3595448</v>
      </c>
      <c r="AL1704" s="226">
        <v>1.0696327479807124</v>
      </c>
      <c r="AM1704" s="27">
        <v>3993421932.2773547</v>
      </c>
      <c r="AN1704" s="271">
        <v>1.0913316264047064</v>
      </c>
      <c r="AO1704" s="27">
        <v>29262830</v>
      </c>
      <c r="AP1704" s="27">
        <v>30.8</v>
      </c>
      <c r="AQ1704" s="27">
        <v>73.905097560975619</v>
      </c>
      <c r="AR1704" s="27">
        <v>15.2</v>
      </c>
      <c r="AS1704" s="29">
        <v>97.373459999999994</v>
      </c>
      <c r="AT1704" s="270">
        <v>38</v>
      </c>
      <c r="AU1704" s="464">
        <v>72.816286549781523</v>
      </c>
      <c r="AV1704" s="29">
        <v>6.6403653760441994E-2</v>
      </c>
      <c r="AW1704" s="29">
        <v>-0.97688567284337502</v>
      </c>
      <c r="AX1704" s="29">
        <v>-0.203136729362278</v>
      </c>
      <c r="AY1704" s="29">
        <v>0.460708707951485</v>
      </c>
      <c r="AZ1704" s="60">
        <v>-0.25042827669247397</v>
      </c>
    </row>
    <row r="1705" spans="1:52" s="29" customFormat="1" ht="15" customHeight="1">
      <c r="A1705" s="63" t="s">
        <v>451</v>
      </c>
      <c r="B1705" s="27">
        <v>2010</v>
      </c>
      <c r="C1705" s="27" t="s">
        <v>442</v>
      </c>
      <c r="D1705" s="69" t="s">
        <v>214</v>
      </c>
      <c r="E1705" s="29" t="s">
        <v>19</v>
      </c>
      <c r="F1705" s="27" t="s">
        <v>1903</v>
      </c>
      <c r="G1705" s="43"/>
      <c r="H1705" s="43"/>
      <c r="I1705" s="43"/>
      <c r="J1705" s="43"/>
      <c r="K1705" s="27"/>
      <c r="L1705" s="28"/>
      <c r="M1705" s="27"/>
      <c r="N1705" s="27"/>
      <c r="O1705" s="18"/>
      <c r="P1705" s="214"/>
      <c r="Q1705" s="214"/>
      <c r="R1705" s="18"/>
      <c r="S1705" s="27"/>
      <c r="T1705" s="18"/>
      <c r="V1705" s="18"/>
      <c r="W1705" s="30"/>
      <c r="X1705" s="27"/>
      <c r="Y1705" s="27"/>
      <c r="Z1705" s="27"/>
      <c r="AA1705" s="27"/>
      <c r="AB1705" s="27"/>
      <c r="AC1705" s="273">
        <v>4358147652.2724705</v>
      </c>
      <c r="AD1705" s="27">
        <v>148522810971.50192</v>
      </c>
      <c r="AE1705" s="228">
        <v>2.9343288238119179E-2</v>
      </c>
      <c r="AF1705" s="27">
        <v>27695048561.855965</v>
      </c>
      <c r="AG1705" s="226">
        <v>0.15736197907502106</v>
      </c>
      <c r="AH1705" s="226">
        <v>0.58810199491088611</v>
      </c>
      <c r="AI1705" s="27">
        <v>-255920000</v>
      </c>
      <c r="AJ1705" s="226">
        <v>-17.029335934168767</v>
      </c>
      <c r="AK1705" s="27">
        <v>4074433641.3595448</v>
      </c>
      <c r="AL1705" s="226">
        <v>1.0696327479807124</v>
      </c>
      <c r="AM1705" s="27">
        <v>3993421932.2773547</v>
      </c>
      <c r="AN1705" s="271">
        <v>1.0913316264047064</v>
      </c>
      <c r="AO1705" s="27">
        <v>29262830</v>
      </c>
      <c r="AP1705" s="27">
        <v>30.8</v>
      </c>
      <c r="AQ1705" s="27">
        <v>73.905097560975619</v>
      </c>
      <c r="AR1705" s="27">
        <v>15.2</v>
      </c>
      <c r="AS1705" s="29">
        <v>97.373459999999994</v>
      </c>
      <c r="AT1705" s="270">
        <v>38</v>
      </c>
      <c r="AU1705" s="464">
        <v>72.816286549781523</v>
      </c>
      <c r="AV1705" s="29">
        <v>6.6403653760441994E-2</v>
      </c>
      <c r="AW1705" s="29">
        <v>-0.97688567284337502</v>
      </c>
      <c r="AX1705" s="29">
        <v>-0.203136729362278</v>
      </c>
      <c r="AY1705" s="29">
        <v>0.460708707951485</v>
      </c>
      <c r="AZ1705" s="60">
        <v>-0.25042827669247397</v>
      </c>
    </row>
    <row r="1706" spans="1:52" s="29" customFormat="1" ht="15" customHeight="1">
      <c r="A1706" s="63" t="s">
        <v>451</v>
      </c>
      <c r="B1706" s="27">
        <v>2010</v>
      </c>
      <c r="C1706" s="27" t="s">
        <v>442</v>
      </c>
      <c r="D1706" s="69" t="s">
        <v>214</v>
      </c>
      <c r="E1706" s="29" t="s">
        <v>19</v>
      </c>
      <c r="F1706" s="27" t="s">
        <v>1234</v>
      </c>
      <c r="G1706" s="43"/>
      <c r="H1706" s="43"/>
      <c r="I1706" s="43"/>
      <c r="J1706" s="43"/>
      <c r="K1706" s="27"/>
      <c r="L1706" s="28"/>
      <c r="M1706" s="27"/>
      <c r="N1706" s="27"/>
      <c r="O1706" s="18"/>
      <c r="P1706" s="214"/>
      <c r="Q1706" s="214"/>
      <c r="R1706" s="71"/>
      <c r="S1706" s="27"/>
      <c r="T1706" s="18"/>
      <c r="U1706" s="27"/>
      <c r="V1706" s="18"/>
      <c r="W1706" s="30"/>
      <c r="X1706" s="27"/>
      <c r="Y1706" s="27"/>
      <c r="Z1706" s="27"/>
      <c r="AA1706" s="27"/>
      <c r="AB1706" s="27"/>
      <c r="AC1706" s="273">
        <v>4358147652.2724705</v>
      </c>
      <c r="AD1706" s="27">
        <v>148522810971.50192</v>
      </c>
      <c r="AE1706" s="228">
        <v>2.9343288238119179E-2</v>
      </c>
      <c r="AF1706" s="27">
        <v>27695048561.855965</v>
      </c>
      <c r="AG1706" s="226">
        <v>0.15736197907502106</v>
      </c>
      <c r="AH1706" s="226">
        <v>0.58810199491088611</v>
      </c>
      <c r="AI1706" s="27">
        <v>-255920000</v>
      </c>
      <c r="AJ1706" s="226">
        <v>-17.029335934168767</v>
      </c>
      <c r="AK1706" s="27">
        <v>4074433641.3595448</v>
      </c>
      <c r="AL1706" s="226">
        <v>1.0696327479807124</v>
      </c>
      <c r="AM1706" s="27">
        <v>3993421932.2773547</v>
      </c>
      <c r="AN1706" s="271">
        <v>1.0913316264047064</v>
      </c>
      <c r="AO1706" s="27">
        <v>29262830</v>
      </c>
      <c r="AP1706" s="27">
        <v>30.8</v>
      </c>
      <c r="AQ1706" s="27">
        <v>73.905097560975619</v>
      </c>
      <c r="AR1706" s="27">
        <v>15.2</v>
      </c>
      <c r="AS1706" s="29">
        <v>97.373459999999994</v>
      </c>
      <c r="AT1706" s="270">
        <v>38</v>
      </c>
      <c r="AU1706" s="464">
        <v>72.816286549781523</v>
      </c>
      <c r="AV1706" s="29">
        <v>6.6403653760441994E-2</v>
      </c>
      <c r="AW1706" s="29">
        <v>-0.97688567284337502</v>
      </c>
      <c r="AX1706" s="29">
        <v>-0.203136729362278</v>
      </c>
      <c r="AY1706" s="29">
        <v>0.460708707951485</v>
      </c>
      <c r="AZ1706" s="60">
        <v>-0.25042827669247397</v>
      </c>
    </row>
    <row r="1707" spans="1:52" s="29" customFormat="1" ht="15" customHeight="1">
      <c r="A1707" s="63" t="s">
        <v>451</v>
      </c>
      <c r="B1707" s="27">
        <v>2010</v>
      </c>
      <c r="C1707" s="27" t="s">
        <v>442</v>
      </c>
      <c r="D1707" s="69" t="s">
        <v>214</v>
      </c>
      <c r="E1707" s="29" t="s">
        <v>19</v>
      </c>
      <c r="F1707" s="27" t="s">
        <v>1941</v>
      </c>
      <c r="G1707" s="43"/>
      <c r="H1707" s="43"/>
      <c r="I1707" s="43"/>
      <c r="J1707" s="43"/>
      <c r="K1707" s="27"/>
      <c r="L1707" s="28"/>
      <c r="M1707" s="27"/>
      <c r="N1707" s="27"/>
      <c r="O1707" s="18"/>
      <c r="P1707" s="214"/>
      <c r="Q1707" s="214"/>
      <c r="S1707" s="27"/>
      <c r="T1707" s="18"/>
      <c r="U1707" s="27"/>
      <c r="W1707" s="30"/>
      <c r="X1707" s="27"/>
      <c r="Y1707" s="27"/>
      <c r="Z1707" s="27"/>
      <c r="AA1707" s="27"/>
      <c r="AB1707" s="27"/>
      <c r="AC1707" s="273">
        <v>4358147652.2724705</v>
      </c>
      <c r="AD1707" s="27">
        <v>148522810971.50192</v>
      </c>
      <c r="AE1707" s="228">
        <v>2.9343288238119179E-2</v>
      </c>
      <c r="AF1707" s="27">
        <v>27695048561.855965</v>
      </c>
      <c r="AG1707" s="226">
        <v>0.15736197907502106</v>
      </c>
      <c r="AH1707" s="226">
        <v>0.58810199491088611</v>
      </c>
      <c r="AI1707" s="27">
        <v>-255920000</v>
      </c>
      <c r="AJ1707" s="226">
        <v>-17.029335934168767</v>
      </c>
      <c r="AK1707" s="27">
        <v>4074433641.3595448</v>
      </c>
      <c r="AL1707" s="226">
        <v>1.0696327479807124</v>
      </c>
      <c r="AM1707" s="27">
        <v>3993421932.2773547</v>
      </c>
      <c r="AN1707" s="271">
        <v>1.0913316264047064</v>
      </c>
      <c r="AO1707" s="27">
        <v>29262830</v>
      </c>
      <c r="AP1707" s="27">
        <v>30.8</v>
      </c>
      <c r="AQ1707" s="27">
        <v>73.905097560975619</v>
      </c>
      <c r="AR1707" s="27">
        <v>15.2</v>
      </c>
      <c r="AS1707" s="29">
        <v>97.373459999999994</v>
      </c>
      <c r="AT1707" s="270">
        <v>38</v>
      </c>
      <c r="AU1707" s="464">
        <v>72.816286549781523</v>
      </c>
      <c r="AV1707" s="29">
        <v>6.6403653760441994E-2</v>
      </c>
      <c r="AW1707" s="29">
        <v>-0.97688567284337502</v>
      </c>
      <c r="AX1707" s="29">
        <v>-0.203136729362278</v>
      </c>
      <c r="AY1707" s="29">
        <v>0.460708707951485</v>
      </c>
      <c r="AZ1707" s="60">
        <v>-0.25042827669247397</v>
      </c>
    </row>
    <row r="1708" spans="1:52" s="29" customFormat="1" ht="15" customHeight="1">
      <c r="A1708" s="63" t="s">
        <v>451</v>
      </c>
      <c r="B1708" s="27">
        <v>2010</v>
      </c>
      <c r="C1708" s="27" t="s">
        <v>442</v>
      </c>
      <c r="D1708" s="69" t="s">
        <v>214</v>
      </c>
      <c r="E1708" s="29" t="s">
        <v>19</v>
      </c>
      <c r="F1708" s="27" t="s">
        <v>1942</v>
      </c>
      <c r="G1708" s="43"/>
      <c r="H1708" s="43"/>
      <c r="I1708" s="43"/>
      <c r="J1708" s="43"/>
      <c r="K1708" s="27"/>
      <c r="L1708" s="28"/>
      <c r="M1708" s="27"/>
      <c r="N1708" s="27"/>
      <c r="O1708" s="18"/>
      <c r="P1708" s="214"/>
      <c r="Q1708" s="214"/>
      <c r="S1708" s="27"/>
      <c r="T1708" s="18"/>
      <c r="U1708" s="27"/>
      <c r="W1708" s="30"/>
      <c r="X1708" s="27"/>
      <c r="Y1708" s="27"/>
      <c r="Z1708" s="27"/>
      <c r="AA1708" s="27"/>
      <c r="AB1708" s="27"/>
      <c r="AC1708" s="273">
        <v>4358147652.2724705</v>
      </c>
      <c r="AD1708" s="27">
        <v>148522810971.50192</v>
      </c>
      <c r="AE1708" s="228">
        <v>2.9343288238119179E-2</v>
      </c>
      <c r="AF1708" s="27">
        <v>27695048561.855965</v>
      </c>
      <c r="AG1708" s="226">
        <v>0.15736197907502106</v>
      </c>
      <c r="AH1708" s="226">
        <v>0.58810199491088611</v>
      </c>
      <c r="AI1708" s="27">
        <v>-255920000</v>
      </c>
      <c r="AJ1708" s="226">
        <v>-17.029335934168767</v>
      </c>
      <c r="AK1708" s="27">
        <v>4074433641.3595448</v>
      </c>
      <c r="AL1708" s="226">
        <v>1.0696327479807124</v>
      </c>
      <c r="AM1708" s="27">
        <v>3993421932.2773547</v>
      </c>
      <c r="AN1708" s="271">
        <v>1.0913316264047064</v>
      </c>
      <c r="AO1708" s="27">
        <v>29262830</v>
      </c>
      <c r="AP1708" s="27">
        <v>30.8</v>
      </c>
      <c r="AQ1708" s="27">
        <v>73.905097560975619</v>
      </c>
      <c r="AR1708" s="27">
        <v>15.2</v>
      </c>
      <c r="AS1708" s="29">
        <v>97.373459999999994</v>
      </c>
      <c r="AT1708" s="270">
        <v>38</v>
      </c>
      <c r="AU1708" s="464">
        <v>72.816286549781523</v>
      </c>
      <c r="AV1708" s="29">
        <v>6.6403653760441994E-2</v>
      </c>
      <c r="AW1708" s="29">
        <v>-0.97688567284337502</v>
      </c>
      <c r="AX1708" s="29">
        <v>-0.203136729362278</v>
      </c>
      <c r="AY1708" s="29">
        <v>0.460708707951485</v>
      </c>
      <c r="AZ1708" s="60">
        <v>-0.25042827669247397</v>
      </c>
    </row>
    <row r="1709" spans="1:52" s="287" customFormat="1" ht="15" customHeight="1">
      <c r="A1709" s="359" t="s">
        <v>451</v>
      </c>
      <c r="B1709" s="284">
        <v>2010</v>
      </c>
      <c r="C1709" s="284" t="s">
        <v>442</v>
      </c>
      <c r="D1709" s="369" t="s">
        <v>214</v>
      </c>
      <c r="E1709" s="287" t="s">
        <v>19</v>
      </c>
      <c r="F1709" s="284" t="s">
        <v>790</v>
      </c>
      <c r="G1709" s="303"/>
      <c r="H1709" s="303"/>
      <c r="I1709" s="303"/>
      <c r="J1709" s="303"/>
      <c r="K1709" s="284"/>
      <c r="L1709" s="304"/>
      <c r="M1709" s="284"/>
      <c r="N1709" s="284"/>
      <c r="O1709" s="305"/>
      <c r="P1709" s="374"/>
      <c r="Q1709" s="374"/>
      <c r="R1709" s="284"/>
      <c r="S1709" s="284"/>
      <c r="T1709" s="305"/>
      <c r="U1709" s="284"/>
      <c r="V1709" s="284"/>
      <c r="W1709" s="307"/>
      <c r="X1709" s="284"/>
      <c r="Y1709" s="284"/>
      <c r="Z1709" s="284"/>
      <c r="AA1709" s="284"/>
      <c r="AB1709" s="284"/>
      <c r="AC1709" s="308">
        <v>4358147652.2724705</v>
      </c>
      <c r="AD1709" s="284">
        <v>148522810971.50192</v>
      </c>
      <c r="AE1709" s="309">
        <v>2.9343288238119179E-2</v>
      </c>
      <c r="AF1709" s="284">
        <v>27695048561.855965</v>
      </c>
      <c r="AG1709" s="310">
        <v>0.15736197907502106</v>
      </c>
      <c r="AH1709" s="310">
        <v>0.58810199491088611</v>
      </c>
      <c r="AI1709" s="284">
        <v>-255920000</v>
      </c>
      <c r="AJ1709" s="310">
        <v>-17.029335934168767</v>
      </c>
      <c r="AK1709" s="284">
        <v>4074433641.3595448</v>
      </c>
      <c r="AL1709" s="310">
        <v>1.0696327479807124</v>
      </c>
      <c r="AM1709" s="284">
        <v>3993421932.2773547</v>
      </c>
      <c r="AN1709" s="311">
        <v>1.0913316264047064</v>
      </c>
      <c r="AO1709" s="284">
        <v>29262830</v>
      </c>
      <c r="AP1709" s="284">
        <v>30.8</v>
      </c>
      <c r="AQ1709" s="284">
        <v>73.905097560975619</v>
      </c>
      <c r="AR1709" s="284">
        <v>15.2</v>
      </c>
      <c r="AS1709" s="287">
        <v>97.373459999999994</v>
      </c>
      <c r="AT1709" s="312">
        <v>38</v>
      </c>
      <c r="AU1709" s="465">
        <v>72.816286549781523</v>
      </c>
      <c r="AV1709" s="287">
        <v>6.6403653760441994E-2</v>
      </c>
      <c r="AW1709" s="287">
        <v>-0.97688567284337502</v>
      </c>
      <c r="AX1709" s="287">
        <v>-0.203136729362278</v>
      </c>
      <c r="AY1709" s="287">
        <v>0.460708707951485</v>
      </c>
      <c r="AZ1709" s="313">
        <v>-0.25042827669247397</v>
      </c>
    </row>
    <row r="1710" spans="1:52" ht="15" customHeight="1">
      <c r="A1710" s="347" t="s">
        <v>452</v>
      </c>
      <c r="B1710" s="53">
        <v>2011</v>
      </c>
      <c r="C1710" s="146" t="s">
        <v>442</v>
      </c>
      <c r="D1710" s="69" t="s">
        <v>214</v>
      </c>
      <c r="E1710" s="27" t="s">
        <v>30</v>
      </c>
      <c r="F1710" s="27" t="s">
        <v>659</v>
      </c>
      <c r="G1710" s="43"/>
      <c r="H1710" s="43"/>
      <c r="I1710" s="43"/>
      <c r="J1710" s="43"/>
      <c r="K1710" s="27"/>
      <c r="L1710" s="28"/>
      <c r="M1710" s="27"/>
      <c r="N1710" s="27"/>
      <c r="O1710" s="18">
        <f>O1711+O1714</f>
        <v>38441848535.731789</v>
      </c>
      <c r="P1710" s="214">
        <v>5884323617</v>
      </c>
      <c r="Q1710" s="214">
        <v>5881394469</v>
      </c>
      <c r="R1710" s="27" t="s">
        <v>619</v>
      </c>
      <c r="S1710" s="27"/>
      <c r="T1710" s="18"/>
      <c r="U1710" s="27" t="s">
        <v>917</v>
      </c>
      <c r="V1710" s="27"/>
      <c r="W1710" s="30">
        <v>2.7</v>
      </c>
      <c r="X1710" s="27"/>
      <c r="Y1710" s="27"/>
      <c r="Z1710" s="27">
        <v>59</v>
      </c>
      <c r="AA1710" s="27"/>
      <c r="AB1710" s="27" t="s">
        <v>1946</v>
      </c>
      <c r="AC1710" s="273">
        <v>5884323617</v>
      </c>
      <c r="AD1710" s="27">
        <v>170564249004.95398</v>
      </c>
      <c r="AE1710" s="228">
        <v>3.4499161760616619E-2</v>
      </c>
      <c r="AF1710" s="27">
        <v>34239067345.254463</v>
      </c>
      <c r="AG1710" s="226">
        <v>0.17185992707291331</v>
      </c>
      <c r="AH1710" s="226">
        <v>0.58802189429208407</v>
      </c>
      <c r="AI1710" s="27">
        <v>604820000</v>
      </c>
      <c r="AJ1710" s="226">
        <v>9.7290493320326714</v>
      </c>
      <c r="AK1710" s="27">
        <v>4603592064.7845087</v>
      </c>
      <c r="AL1710" s="226">
        <v>1.2782026587482707</v>
      </c>
      <c r="AM1710" s="27">
        <v>4317271101.5386934</v>
      </c>
      <c r="AN1710" s="271">
        <v>1.3629729240081316</v>
      </c>
      <c r="AO1710" s="27">
        <v>29614887</v>
      </c>
      <c r="AP1710" s="27">
        <v>27.8</v>
      </c>
      <c r="AQ1710" s="27">
        <v>74.210536585365858</v>
      </c>
      <c r="AR1710" s="27">
        <v>14.3</v>
      </c>
      <c r="AS1710" s="29">
        <v>96.327079999999995</v>
      </c>
      <c r="AT1710" s="270">
        <v>38</v>
      </c>
      <c r="AU1710" s="464">
        <v>72.816286549781523</v>
      </c>
      <c r="AV1710" s="29">
        <v>9.0719139218499306E-2</v>
      </c>
      <c r="AW1710" s="29">
        <v>-0.738042232413051</v>
      </c>
      <c r="AX1710" s="29">
        <v>-0.145710327623474</v>
      </c>
      <c r="AY1710" s="29">
        <v>0.476881348098389</v>
      </c>
      <c r="AZ1710" s="60">
        <v>-0.248937037637317</v>
      </c>
    </row>
    <row r="1711" spans="1:52" ht="15" customHeight="1">
      <c r="A1711" s="63" t="s">
        <v>452</v>
      </c>
      <c r="B1711" s="53">
        <v>2011</v>
      </c>
      <c r="C1711" s="146" t="s">
        <v>442</v>
      </c>
      <c r="D1711" s="69" t="s">
        <v>214</v>
      </c>
      <c r="E1711" s="27" t="s">
        <v>50</v>
      </c>
      <c r="F1711" s="27" t="s">
        <v>597</v>
      </c>
      <c r="G1711" s="43"/>
      <c r="H1711" s="43"/>
      <c r="I1711" s="43"/>
      <c r="J1711" s="43"/>
      <c r="K1711" s="27"/>
      <c r="L1711" s="28"/>
      <c r="M1711" s="27"/>
      <c r="N1711" s="27"/>
      <c r="O1711" s="18">
        <f>SUM(O1712:O1713)</f>
        <v>6499468689.8278608</v>
      </c>
      <c r="P1711" s="214"/>
      <c r="Q1711" s="214"/>
      <c r="R1711" s="27"/>
      <c r="S1711" s="27"/>
      <c r="T1711" s="18"/>
      <c r="U1711" s="27"/>
      <c r="V1711" s="27"/>
      <c r="W1711" s="30"/>
      <c r="X1711" s="27"/>
      <c r="Y1711" s="27"/>
      <c r="Z1711" s="27"/>
      <c r="AA1711" s="27"/>
      <c r="AB1711" s="27"/>
      <c r="AC1711" s="273">
        <v>5884323617</v>
      </c>
      <c r="AD1711" s="27">
        <v>170564249004.95398</v>
      </c>
      <c r="AE1711" s="228">
        <v>3.4499161760616619E-2</v>
      </c>
      <c r="AF1711" s="27">
        <v>34239067345.254463</v>
      </c>
      <c r="AG1711" s="226">
        <v>0.17185992707291331</v>
      </c>
      <c r="AH1711" s="226">
        <v>0.58802189429208407</v>
      </c>
      <c r="AI1711" s="27">
        <v>604820000</v>
      </c>
      <c r="AJ1711" s="226">
        <v>9.7290493320326714</v>
      </c>
      <c r="AK1711" s="27">
        <v>4603592064.7845087</v>
      </c>
      <c r="AL1711" s="226">
        <v>1.2782026587482707</v>
      </c>
      <c r="AM1711" s="27">
        <v>4317271101.5386934</v>
      </c>
      <c r="AN1711" s="271">
        <v>1.3629729240081316</v>
      </c>
      <c r="AO1711" s="27">
        <v>29614887</v>
      </c>
      <c r="AP1711" s="27">
        <v>27.8</v>
      </c>
      <c r="AQ1711" s="27">
        <v>74.210536585365858</v>
      </c>
      <c r="AR1711" s="27">
        <v>14.3</v>
      </c>
      <c r="AS1711" s="29">
        <v>96.327079999999995</v>
      </c>
      <c r="AT1711" s="270">
        <v>38</v>
      </c>
      <c r="AU1711" s="464">
        <v>72.816286549781523</v>
      </c>
      <c r="AV1711" s="29">
        <v>9.0719139218499306E-2</v>
      </c>
      <c r="AW1711" s="29">
        <v>-0.738042232413051</v>
      </c>
      <c r="AX1711" s="29">
        <v>-0.145710327623474</v>
      </c>
      <c r="AY1711" s="29">
        <v>0.476881348098389</v>
      </c>
      <c r="AZ1711" s="60">
        <v>-0.248937037637317</v>
      </c>
    </row>
    <row r="1712" spans="1:52" ht="15" customHeight="1">
      <c r="A1712" s="63" t="s">
        <v>452</v>
      </c>
      <c r="B1712" s="53">
        <v>2011</v>
      </c>
      <c r="C1712" s="146" t="s">
        <v>442</v>
      </c>
      <c r="D1712" s="69" t="s">
        <v>214</v>
      </c>
      <c r="E1712" s="29" t="s">
        <v>552</v>
      </c>
      <c r="F1712" s="27" t="s">
        <v>552</v>
      </c>
      <c r="G1712" s="43">
        <v>11300000000</v>
      </c>
      <c r="H1712" s="43"/>
      <c r="I1712" s="43"/>
      <c r="J1712" s="43"/>
      <c r="K1712" s="27" t="s">
        <v>599</v>
      </c>
      <c r="L1712" s="28">
        <v>0.19666043794616025</v>
      </c>
      <c r="M1712" s="27" t="s">
        <v>600</v>
      </c>
      <c r="N1712" s="27" t="s">
        <v>685</v>
      </c>
      <c r="O1712" s="18">
        <f>G1712*L1712</f>
        <v>2222262948.7916107</v>
      </c>
      <c r="P1712" s="214"/>
      <c r="Q1712" s="214"/>
      <c r="R1712" s="27"/>
      <c r="S1712" s="27"/>
      <c r="T1712" s="18"/>
      <c r="U1712" s="27"/>
      <c r="V1712" s="27"/>
      <c r="W1712" s="30"/>
      <c r="X1712" s="27"/>
      <c r="Y1712" s="27"/>
      <c r="Z1712" s="27"/>
      <c r="AA1712" s="27"/>
      <c r="AB1712" s="27"/>
      <c r="AC1712" s="273">
        <v>5884323617</v>
      </c>
      <c r="AD1712" s="27">
        <v>170564249004.95398</v>
      </c>
      <c r="AE1712" s="228">
        <v>3.4499161760616619E-2</v>
      </c>
      <c r="AF1712" s="27">
        <v>34239067345.254463</v>
      </c>
      <c r="AG1712" s="226">
        <v>0.17185992707291331</v>
      </c>
      <c r="AH1712" s="226">
        <v>0.58802189429208407</v>
      </c>
      <c r="AI1712" s="27">
        <v>604820000</v>
      </c>
      <c r="AJ1712" s="226">
        <v>9.7290493320326714</v>
      </c>
      <c r="AK1712" s="27">
        <v>4603592064.7845087</v>
      </c>
      <c r="AL1712" s="226">
        <v>1.2782026587482707</v>
      </c>
      <c r="AM1712" s="27">
        <v>4317271101.5386934</v>
      </c>
      <c r="AN1712" s="271">
        <v>1.3629729240081316</v>
      </c>
      <c r="AO1712" s="27">
        <v>29614887</v>
      </c>
      <c r="AP1712" s="27">
        <v>27.8</v>
      </c>
      <c r="AQ1712" s="27">
        <v>74.210536585365858</v>
      </c>
      <c r="AR1712" s="27">
        <v>14.3</v>
      </c>
      <c r="AS1712" s="29">
        <v>96.327079999999995</v>
      </c>
      <c r="AT1712" s="270">
        <v>38</v>
      </c>
      <c r="AU1712" s="464">
        <v>72.816286549781523</v>
      </c>
      <c r="AV1712" s="29">
        <v>9.0719139218499306E-2</v>
      </c>
      <c r="AW1712" s="29">
        <v>-0.738042232413051</v>
      </c>
      <c r="AX1712" s="29">
        <v>-0.145710327623474</v>
      </c>
      <c r="AY1712" s="29">
        <v>0.476881348098389</v>
      </c>
      <c r="AZ1712" s="60">
        <v>-0.248937037637317</v>
      </c>
    </row>
    <row r="1713" spans="1:52" ht="15" customHeight="1">
      <c r="A1713" s="63" t="s">
        <v>452</v>
      </c>
      <c r="B1713" s="53">
        <v>2011</v>
      </c>
      <c r="C1713" s="146" t="s">
        <v>442</v>
      </c>
      <c r="D1713" s="69" t="s">
        <v>214</v>
      </c>
      <c r="E1713" s="29" t="s">
        <v>98</v>
      </c>
      <c r="F1713" s="27" t="s">
        <v>98</v>
      </c>
      <c r="G1713" s="43">
        <v>40150000</v>
      </c>
      <c r="H1713" s="43"/>
      <c r="I1713" s="43"/>
      <c r="J1713" s="43"/>
      <c r="K1713" s="27" t="s">
        <v>603</v>
      </c>
      <c r="L1713" s="28">
        <v>106.530653575</v>
      </c>
      <c r="M1713" s="27" t="s">
        <v>626</v>
      </c>
      <c r="N1713" s="27" t="s">
        <v>687</v>
      </c>
      <c r="O1713" s="18">
        <f>G1713*L1713</f>
        <v>4277205741.0362501</v>
      </c>
      <c r="P1713" s="214"/>
      <c r="Q1713" s="214"/>
      <c r="R1713" s="27"/>
      <c r="S1713" s="27"/>
      <c r="T1713" s="18"/>
      <c r="U1713" s="27"/>
      <c r="V1713" s="27"/>
      <c r="W1713" s="30"/>
      <c r="X1713" s="27"/>
      <c r="Y1713" s="27"/>
      <c r="Z1713" s="27"/>
      <c r="AA1713" s="27"/>
      <c r="AB1713" s="27"/>
      <c r="AC1713" s="273">
        <v>5884323617</v>
      </c>
      <c r="AD1713" s="27">
        <v>170564249004.95398</v>
      </c>
      <c r="AE1713" s="228">
        <v>3.4499161760616619E-2</v>
      </c>
      <c r="AF1713" s="27">
        <v>34239067345.254463</v>
      </c>
      <c r="AG1713" s="226">
        <v>0.17185992707291331</v>
      </c>
      <c r="AH1713" s="226">
        <v>0.58802189429208407</v>
      </c>
      <c r="AI1713" s="27">
        <v>604820000</v>
      </c>
      <c r="AJ1713" s="226">
        <v>9.7290493320326714</v>
      </c>
      <c r="AK1713" s="27">
        <v>4603592064.7845087</v>
      </c>
      <c r="AL1713" s="226">
        <v>1.2782026587482707</v>
      </c>
      <c r="AM1713" s="27">
        <v>4317271101.5386934</v>
      </c>
      <c r="AN1713" s="271">
        <v>1.3629729240081316</v>
      </c>
      <c r="AO1713" s="27">
        <v>29614887</v>
      </c>
      <c r="AP1713" s="27">
        <v>27.8</v>
      </c>
      <c r="AQ1713" s="27">
        <v>74.210536585365858</v>
      </c>
      <c r="AR1713" s="27">
        <v>14.3</v>
      </c>
      <c r="AS1713" s="29">
        <v>96.327079999999995</v>
      </c>
      <c r="AT1713" s="270">
        <v>38</v>
      </c>
      <c r="AU1713" s="464">
        <v>72.816286549781523</v>
      </c>
      <c r="AV1713" s="29">
        <v>9.0719139218499306E-2</v>
      </c>
      <c r="AW1713" s="29">
        <v>-0.738042232413051</v>
      </c>
      <c r="AX1713" s="29">
        <v>-0.145710327623474</v>
      </c>
      <c r="AY1713" s="29">
        <v>0.476881348098389</v>
      </c>
      <c r="AZ1713" s="60">
        <v>-0.248937037637317</v>
      </c>
    </row>
    <row r="1714" spans="1:52" ht="15" customHeight="1">
      <c r="A1714" s="63" t="s">
        <v>452</v>
      </c>
      <c r="B1714" s="53">
        <v>2011</v>
      </c>
      <c r="C1714" s="146" t="s">
        <v>442</v>
      </c>
      <c r="D1714" s="69" t="s">
        <v>214</v>
      </c>
      <c r="E1714" s="29" t="s">
        <v>19</v>
      </c>
      <c r="F1714" s="27" t="s">
        <v>559</v>
      </c>
      <c r="G1714" s="43"/>
      <c r="H1714" s="43"/>
      <c r="I1714" s="43"/>
      <c r="J1714" s="43"/>
      <c r="K1714" s="27"/>
      <c r="L1714" s="28"/>
      <c r="M1714" s="27"/>
      <c r="N1714" s="27"/>
      <c r="O1714" s="18">
        <f>SUM(O1715:O1774)</f>
        <v>31942379845.903927</v>
      </c>
      <c r="P1714" s="214"/>
      <c r="Q1714" s="214"/>
      <c r="R1714" s="29"/>
      <c r="S1714" s="27"/>
      <c r="T1714" s="18"/>
      <c r="U1714" s="27"/>
      <c r="V1714" s="29"/>
      <c r="W1714" s="30"/>
      <c r="X1714" s="27"/>
      <c r="Y1714" s="27"/>
      <c r="Z1714" s="27"/>
      <c r="AA1714" s="27"/>
      <c r="AB1714" s="27"/>
      <c r="AC1714" s="273">
        <v>5884323617</v>
      </c>
      <c r="AD1714" s="27">
        <v>170564249004.95398</v>
      </c>
      <c r="AE1714" s="228">
        <v>3.4499161760616619E-2</v>
      </c>
      <c r="AF1714" s="27">
        <v>34239067345.254463</v>
      </c>
      <c r="AG1714" s="226">
        <v>0.17185992707291331</v>
      </c>
      <c r="AH1714" s="226">
        <v>0.58802189429208407</v>
      </c>
      <c r="AI1714" s="27">
        <v>604820000</v>
      </c>
      <c r="AJ1714" s="226">
        <v>9.7290493320326714</v>
      </c>
      <c r="AK1714" s="27">
        <v>4603592064.7845087</v>
      </c>
      <c r="AL1714" s="226">
        <v>1.2782026587482707</v>
      </c>
      <c r="AM1714" s="27">
        <v>4317271101.5386934</v>
      </c>
      <c r="AN1714" s="271">
        <v>1.3629729240081316</v>
      </c>
      <c r="AO1714" s="27">
        <v>29614887</v>
      </c>
      <c r="AP1714" s="27">
        <v>27.8</v>
      </c>
      <c r="AQ1714" s="27">
        <v>74.210536585365858</v>
      </c>
      <c r="AR1714" s="27">
        <v>14.3</v>
      </c>
      <c r="AS1714" s="29">
        <v>96.327079999999995</v>
      </c>
      <c r="AT1714" s="270">
        <v>38</v>
      </c>
      <c r="AU1714" s="464">
        <v>72.816286549781523</v>
      </c>
      <c r="AV1714" s="29">
        <v>9.0719139218499306E-2</v>
      </c>
      <c r="AW1714" s="29">
        <v>-0.738042232413051</v>
      </c>
      <c r="AX1714" s="29">
        <v>-0.145710327623474</v>
      </c>
      <c r="AY1714" s="29">
        <v>0.476881348098389</v>
      </c>
      <c r="AZ1714" s="60">
        <v>-0.248937037637317</v>
      </c>
    </row>
    <row r="1715" spans="1:52" ht="15" customHeight="1">
      <c r="A1715" s="63" t="s">
        <v>452</v>
      </c>
      <c r="B1715" s="53">
        <v>2011</v>
      </c>
      <c r="C1715" s="146" t="s">
        <v>442</v>
      </c>
      <c r="D1715" s="69" t="s">
        <v>214</v>
      </c>
      <c r="E1715" s="29" t="s">
        <v>19</v>
      </c>
      <c r="F1715" s="27" t="s">
        <v>1924</v>
      </c>
      <c r="G1715" s="43">
        <v>0</v>
      </c>
      <c r="H1715" s="43"/>
      <c r="I1715" s="43"/>
      <c r="J1715" s="43"/>
      <c r="K1715" s="27" t="s">
        <v>567</v>
      </c>
      <c r="L1715" s="28"/>
      <c r="M1715" s="27"/>
      <c r="N1715" s="27" t="s">
        <v>788</v>
      </c>
      <c r="O1715" s="18">
        <f t="shared" ref="O1715:O1725" si="24">G1715*L1715</f>
        <v>0</v>
      </c>
      <c r="P1715" s="214"/>
      <c r="Q1715" s="214"/>
      <c r="R1715" s="29"/>
      <c r="S1715" s="27"/>
      <c r="T1715" s="18"/>
      <c r="U1715" s="27"/>
      <c r="V1715" s="29"/>
      <c r="W1715" s="30"/>
      <c r="X1715" s="27"/>
      <c r="Y1715" s="27"/>
      <c r="Z1715" s="27"/>
      <c r="AA1715" s="27"/>
      <c r="AB1715" s="27"/>
      <c r="AC1715" s="273">
        <v>5884323617</v>
      </c>
      <c r="AD1715" s="27">
        <v>170564249004.95398</v>
      </c>
      <c r="AE1715" s="228">
        <v>3.4499161760616619E-2</v>
      </c>
      <c r="AF1715" s="27">
        <v>34239067345.254463</v>
      </c>
      <c r="AG1715" s="226">
        <v>0.17185992707291331</v>
      </c>
      <c r="AH1715" s="226">
        <v>0.58802189429208407</v>
      </c>
      <c r="AI1715" s="27">
        <v>604820000</v>
      </c>
      <c r="AJ1715" s="226">
        <v>9.7290493320326714</v>
      </c>
      <c r="AK1715" s="27">
        <v>4603592064.7845087</v>
      </c>
      <c r="AL1715" s="226">
        <v>1.2782026587482707</v>
      </c>
      <c r="AM1715" s="27">
        <v>4317271101.5386934</v>
      </c>
      <c r="AN1715" s="271">
        <v>1.3629729240081316</v>
      </c>
      <c r="AO1715" s="27">
        <v>29614887</v>
      </c>
      <c r="AP1715" s="27">
        <v>27.8</v>
      </c>
      <c r="AQ1715" s="27">
        <v>74.210536585365858</v>
      </c>
      <c r="AR1715" s="27">
        <v>14.3</v>
      </c>
      <c r="AS1715" s="29">
        <v>96.327079999999995</v>
      </c>
      <c r="AT1715" s="270">
        <v>38</v>
      </c>
      <c r="AU1715" s="464">
        <v>72.816286549781523</v>
      </c>
      <c r="AV1715" s="29">
        <v>9.0719139218499306E-2</v>
      </c>
      <c r="AW1715" s="29">
        <v>-0.738042232413051</v>
      </c>
      <c r="AX1715" s="29">
        <v>-0.145710327623474</v>
      </c>
      <c r="AY1715" s="29">
        <v>0.476881348098389</v>
      </c>
      <c r="AZ1715" s="60">
        <v>-0.248937037637317</v>
      </c>
    </row>
    <row r="1716" spans="1:52" ht="15" customHeight="1">
      <c r="A1716" s="63" t="s">
        <v>452</v>
      </c>
      <c r="B1716" s="53">
        <v>2011</v>
      </c>
      <c r="C1716" s="146" t="s">
        <v>442</v>
      </c>
      <c r="D1716" s="69" t="s">
        <v>214</v>
      </c>
      <c r="E1716" s="29" t="s">
        <v>19</v>
      </c>
      <c r="F1716" s="27" t="s">
        <v>1925</v>
      </c>
      <c r="G1716" s="43">
        <v>0</v>
      </c>
      <c r="H1716" s="43"/>
      <c r="I1716" s="43"/>
      <c r="J1716" s="43"/>
      <c r="K1716" s="27" t="s">
        <v>567</v>
      </c>
      <c r="L1716" s="28"/>
      <c r="M1716" s="27"/>
      <c r="N1716" s="27" t="s">
        <v>788</v>
      </c>
      <c r="O1716" s="18">
        <f t="shared" si="24"/>
        <v>0</v>
      </c>
      <c r="P1716" s="214"/>
      <c r="Q1716" s="214"/>
      <c r="R1716" s="29"/>
      <c r="S1716" s="27"/>
      <c r="T1716" s="18"/>
      <c r="U1716" s="27"/>
      <c r="V1716" s="29"/>
      <c r="W1716" s="30"/>
      <c r="X1716" s="27"/>
      <c r="Y1716" s="27"/>
      <c r="Z1716" s="27"/>
      <c r="AA1716" s="27"/>
      <c r="AB1716" s="27"/>
      <c r="AC1716" s="273">
        <v>5884323617</v>
      </c>
      <c r="AD1716" s="27">
        <v>170564249004.95398</v>
      </c>
      <c r="AE1716" s="228">
        <v>3.4499161760616619E-2</v>
      </c>
      <c r="AF1716" s="27">
        <v>34239067345.254463</v>
      </c>
      <c r="AG1716" s="226">
        <v>0.17185992707291331</v>
      </c>
      <c r="AH1716" s="226">
        <v>0.58802189429208407</v>
      </c>
      <c r="AI1716" s="27">
        <v>604820000</v>
      </c>
      <c r="AJ1716" s="226">
        <v>9.7290493320326714</v>
      </c>
      <c r="AK1716" s="27">
        <v>4603592064.7845087</v>
      </c>
      <c r="AL1716" s="226">
        <v>1.2782026587482707</v>
      </c>
      <c r="AM1716" s="27">
        <v>4317271101.5386934</v>
      </c>
      <c r="AN1716" s="271">
        <v>1.3629729240081316</v>
      </c>
      <c r="AO1716" s="27">
        <v>29614887</v>
      </c>
      <c r="AP1716" s="27">
        <v>27.8</v>
      </c>
      <c r="AQ1716" s="27">
        <v>74.210536585365858</v>
      </c>
      <c r="AR1716" s="27">
        <v>14.3</v>
      </c>
      <c r="AS1716" s="29">
        <v>96.327079999999995</v>
      </c>
      <c r="AT1716" s="270">
        <v>38</v>
      </c>
      <c r="AU1716" s="464">
        <v>72.816286549781523</v>
      </c>
      <c r="AV1716" s="29">
        <v>9.0719139218499306E-2</v>
      </c>
      <c r="AW1716" s="29">
        <v>-0.738042232413051</v>
      </c>
      <c r="AX1716" s="29">
        <v>-0.145710327623474</v>
      </c>
      <c r="AY1716" s="29">
        <v>0.476881348098389</v>
      </c>
      <c r="AZ1716" s="60">
        <v>-0.248937037637317</v>
      </c>
    </row>
    <row r="1717" spans="1:52" ht="15" customHeight="1">
      <c r="A1717" s="63" t="s">
        <v>452</v>
      </c>
      <c r="B1717" s="53">
        <v>2011</v>
      </c>
      <c r="C1717" s="146" t="s">
        <v>442</v>
      </c>
      <c r="D1717" s="69" t="s">
        <v>214</v>
      </c>
      <c r="E1717" s="29" t="s">
        <v>19</v>
      </c>
      <c r="F1717" s="27" t="s">
        <v>1302</v>
      </c>
      <c r="G1717" s="43">
        <v>86790</v>
      </c>
      <c r="H1717" s="43"/>
      <c r="I1717" s="43"/>
      <c r="J1717" s="43"/>
      <c r="K1717" s="27" t="s">
        <v>567</v>
      </c>
      <c r="L1717" s="28">
        <v>86</v>
      </c>
      <c r="M1717" s="27" t="s">
        <v>568</v>
      </c>
      <c r="N1717" s="27" t="s">
        <v>1947</v>
      </c>
      <c r="O1717" s="18">
        <f t="shared" si="24"/>
        <v>7463940</v>
      </c>
      <c r="P1717" s="214"/>
      <c r="Q1717" s="214"/>
      <c r="R1717" s="29"/>
      <c r="S1717" s="27"/>
      <c r="T1717" s="18"/>
      <c r="U1717" s="27"/>
      <c r="V1717" s="29"/>
      <c r="W1717" s="30"/>
      <c r="X1717" s="27"/>
      <c r="Y1717" s="27"/>
      <c r="Z1717" s="27"/>
      <c r="AA1717" s="27"/>
      <c r="AB1717" s="27"/>
      <c r="AC1717" s="273">
        <v>5884323617</v>
      </c>
      <c r="AD1717" s="27">
        <v>170564249004.95398</v>
      </c>
      <c r="AE1717" s="228">
        <v>3.4499161760616619E-2</v>
      </c>
      <c r="AF1717" s="27">
        <v>34239067345.254463</v>
      </c>
      <c r="AG1717" s="226">
        <v>0.17185992707291331</v>
      </c>
      <c r="AH1717" s="226">
        <v>0.58802189429208407</v>
      </c>
      <c r="AI1717" s="27">
        <v>604820000</v>
      </c>
      <c r="AJ1717" s="226">
        <v>9.7290493320326714</v>
      </c>
      <c r="AK1717" s="27">
        <v>4603592064.7845087</v>
      </c>
      <c r="AL1717" s="226">
        <v>1.2782026587482707</v>
      </c>
      <c r="AM1717" s="27">
        <v>4317271101.5386934</v>
      </c>
      <c r="AN1717" s="271">
        <v>1.3629729240081316</v>
      </c>
      <c r="AO1717" s="27">
        <v>29614887</v>
      </c>
      <c r="AP1717" s="27">
        <v>27.8</v>
      </c>
      <c r="AQ1717" s="27">
        <v>74.210536585365858</v>
      </c>
      <c r="AR1717" s="27">
        <v>14.3</v>
      </c>
      <c r="AS1717" s="29">
        <v>96.327079999999995</v>
      </c>
      <c r="AT1717" s="270">
        <v>38</v>
      </c>
      <c r="AU1717" s="464">
        <v>72.816286549781523</v>
      </c>
      <c r="AV1717" s="29">
        <v>9.0719139218499306E-2</v>
      </c>
      <c r="AW1717" s="29">
        <v>-0.738042232413051</v>
      </c>
      <c r="AX1717" s="29">
        <v>-0.145710327623474</v>
      </c>
      <c r="AY1717" s="29">
        <v>0.476881348098389</v>
      </c>
      <c r="AZ1717" s="60">
        <v>-0.248937037637317</v>
      </c>
    </row>
    <row r="1718" spans="1:52" ht="15" customHeight="1">
      <c r="A1718" s="63" t="s">
        <v>452</v>
      </c>
      <c r="B1718" s="53">
        <v>2011</v>
      </c>
      <c r="C1718" s="146" t="s">
        <v>442</v>
      </c>
      <c r="D1718" s="69" t="s">
        <v>214</v>
      </c>
      <c r="E1718" s="29" t="s">
        <v>19</v>
      </c>
      <c r="F1718" s="27" t="s">
        <v>1120</v>
      </c>
      <c r="G1718" s="43">
        <v>27534</v>
      </c>
      <c r="H1718" s="43"/>
      <c r="I1718" s="43"/>
      <c r="J1718" s="43"/>
      <c r="K1718" s="27" t="s">
        <v>567</v>
      </c>
      <c r="L1718" s="28">
        <v>61</v>
      </c>
      <c r="M1718" s="27" t="s">
        <v>568</v>
      </c>
      <c r="N1718" s="27" t="s">
        <v>1948</v>
      </c>
      <c r="O1718" s="18">
        <f t="shared" si="24"/>
        <v>1679574</v>
      </c>
      <c r="P1718" s="214"/>
      <c r="Q1718" s="214"/>
      <c r="R1718" s="29"/>
      <c r="S1718" s="27"/>
      <c r="T1718" s="18"/>
      <c r="U1718" s="27"/>
      <c r="V1718" s="29"/>
      <c r="W1718" s="30"/>
      <c r="X1718" s="27"/>
      <c r="Y1718" s="27"/>
      <c r="Z1718" s="27"/>
      <c r="AA1718" s="27"/>
      <c r="AB1718" s="27"/>
      <c r="AC1718" s="273">
        <v>5884323617</v>
      </c>
      <c r="AD1718" s="27">
        <v>170564249004.95398</v>
      </c>
      <c r="AE1718" s="228">
        <v>3.4499161760616619E-2</v>
      </c>
      <c r="AF1718" s="27">
        <v>34239067345.254463</v>
      </c>
      <c r="AG1718" s="226">
        <v>0.17185992707291331</v>
      </c>
      <c r="AH1718" s="226">
        <v>0.58802189429208407</v>
      </c>
      <c r="AI1718" s="27">
        <v>604820000</v>
      </c>
      <c r="AJ1718" s="226">
        <v>9.7290493320326714</v>
      </c>
      <c r="AK1718" s="27">
        <v>4603592064.7845087</v>
      </c>
      <c r="AL1718" s="226">
        <v>1.2782026587482707</v>
      </c>
      <c r="AM1718" s="27">
        <v>4317271101.5386934</v>
      </c>
      <c r="AN1718" s="271">
        <v>1.3629729240081316</v>
      </c>
      <c r="AO1718" s="27">
        <v>29614887</v>
      </c>
      <c r="AP1718" s="27">
        <v>27.8</v>
      </c>
      <c r="AQ1718" s="27">
        <v>74.210536585365858</v>
      </c>
      <c r="AR1718" s="27">
        <v>14.3</v>
      </c>
      <c r="AS1718" s="29">
        <v>96.327079999999995</v>
      </c>
      <c r="AT1718" s="270">
        <v>38</v>
      </c>
      <c r="AU1718" s="464">
        <v>72.816286549781523</v>
      </c>
      <c r="AV1718" s="29">
        <v>9.0719139218499306E-2</v>
      </c>
      <c r="AW1718" s="29">
        <v>-0.738042232413051</v>
      </c>
      <c r="AX1718" s="29">
        <v>-0.145710327623474</v>
      </c>
      <c r="AY1718" s="29">
        <v>0.476881348098389</v>
      </c>
      <c r="AZ1718" s="60">
        <v>-0.248937037637317</v>
      </c>
    </row>
    <row r="1719" spans="1:52" ht="15" customHeight="1">
      <c r="A1719" s="63" t="s">
        <v>452</v>
      </c>
      <c r="B1719" s="53">
        <v>2011</v>
      </c>
      <c r="C1719" s="146" t="s">
        <v>442</v>
      </c>
      <c r="D1719" s="69" t="s">
        <v>214</v>
      </c>
      <c r="E1719" s="29" t="s">
        <v>19</v>
      </c>
      <c r="F1719" s="27" t="s">
        <v>1888</v>
      </c>
      <c r="G1719" s="43">
        <v>0</v>
      </c>
      <c r="H1719" s="43"/>
      <c r="I1719" s="43"/>
      <c r="J1719" s="43"/>
      <c r="K1719" s="27" t="s">
        <v>567</v>
      </c>
      <c r="L1719" s="28"/>
      <c r="M1719" s="27"/>
      <c r="N1719" s="27" t="s">
        <v>788</v>
      </c>
      <c r="O1719" s="18">
        <f t="shared" si="24"/>
        <v>0</v>
      </c>
      <c r="P1719" s="214"/>
      <c r="Q1719" s="214"/>
      <c r="R1719" s="29"/>
      <c r="S1719" s="27"/>
      <c r="T1719" s="18"/>
      <c r="U1719" s="27"/>
      <c r="V1719" s="29"/>
      <c r="W1719" s="30"/>
      <c r="X1719" s="27"/>
      <c r="Y1719" s="27"/>
      <c r="Z1719" s="27"/>
      <c r="AA1719" s="27"/>
      <c r="AB1719" s="27"/>
      <c r="AC1719" s="273">
        <v>5884323617</v>
      </c>
      <c r="AD1719" s="27">
        <v>170564249004.95398</v>
      </c>
      <c r="AE1719" s="228">
        <v>3.4499161760616619E-2</v>
      </c>
      <c r="AF1719" s="27">
        <v>34239067345.254463</v>
      </c>
      <c r="AG1719" s="226">
        <v>0.17185992707291331</v>
      </c>
      <c r="AH1719" s="226">
        <v>0.58802189429208407</v>
      </c>
      <c r="AI1719" s="27">
        <v>604820000</v>
      </c>
      <c r="AJ1719" s="226">
        <v>9.7290493320326714</v>
      </c>
      <c r="AK1719" s="27">
        <v>4603592064.7845087</v>
      </c>
      <c r="AL1719" s="226">
        <v>1.2782026587482707</v>
      </c>
      <c r="AM1719" s="27">
        <v>4317271101.5386934</v>
      </c>
      <c r="AN1719" s="271">
        <v>1.3629729240081316</v>
      </c>
      <c r="AO1719" s="27">
        <v>29614887</v>
      </c>
      <c r="AP1719" s="27">
        <v>27.8</v>
      </c>
      <c r="AQ1719" s="27">
        <v>74.210536585365858</v>
      </c>
      <c r="AR1719" s="27">
        <v>14.3</v>
      </c>
      <c r="AS1719" s="29">
        <v>96.327079999999995</v>
      </c>
      <c r="AT1719" s="270">
        <v>38</v>
      </c>
      <c r="AU1719" s="464">
        <v>72.816286549781523</v>
      </c>
      <c r="AV1719" s="29">
        <v>9.0719139218499306E-2</v>
      </c>
      <c r="AW1719" s="29">
        <v>-0.738042232413051</v>
      </c>
      <c r="AX1719" s="29">
        <v>-0.145710327623474</v>
      </c>
      <c r="AY1719" s="29">
        <v>0.476881348098389</v>
      </c>
      <c r="AZ1719" s="60">
        <v>-0.248937037637317</v>
      </c>
    </row>
    <row r="1720" spans="1:52" ht="15" customHeight="1">
      <c r="A1720" s="63" t="s">
        <v>452</v>
      </c>
      <c r="B1720" s="53">
        <v>2011</v>
      </c>
      <c r="C1720" s="146" t="s">
        <v>442</v>
      </c>
      <c r="D1720" s="69" t="s">
        <v>214</v>
      </c>
      <c r="E1720" s="29" t="s">
        <v>19</v>
      </c>
      <c r="F1720" s="27" t="s">
        <v>1926</v>
      </c>
      <c r="G1720" s="43">
        <v>0</v>
      </c>
      <c r="H1720" s="43"/>
      <c r="I1720" s="43"/>
      <c r="J1720" s="43"/>
      <c r="K1720" s="27" t="s">
        <v>567</v>
      </c>
      <c r="L1720" s="28"/>
      <c r="M1720" s="27"/>
      <c r="N1720" s="27" t="s">
        <v>788</v>
      </c>
      <c r="O1720" s="18">
        <f t="shared" si="24"/>
        <v>0</v>
      </c>
      <c r="P1720" s="214"/>
      <c r="Q1720" s="214"/>
      <c r="R1720" s="29"/>
      <c r="S1720" s="27"/>
      <c r="T1720" s="18"/>
      <c r="U1720" s="27"/>
      <c r="V1720" s="29"/>
      <c r="W1720" s="30"/>
      <c r="X1720" s="27"/>
      <c r="Y1720" s="27"/>
      <c r="Z1720" s="27"/>
      <c r="AA1720" s="27"/>
      <c r="AB1720" s="27"/>
      <c r="AC1720" s="273">
        <v>5884323617</v>
      </c>
      <c r="AD1720" s="27">
        <v>170564249004.95398</v>
      </c>
      <c r="AE1720" s="228">
        <v>3.4499161760616619E-2</v>
      </c>
      <c r="AF1720" s="27">
        <v>34239067345.254463</v>
      </c>
      <c r="AG1720" s="226">
        <v>0.17185992707291331</v>
      </c>
      <c r="AH1720" s="226">
        <v>0.58802189429208407</v>
      </c>
      <c r="AI1720" s="27">
        <v>604820000</v>
      </c>
      <c r="AJ1720" s="226">
        <v>9.7290493320326714</v>
      </c>
      <c r="AK1720" s="27">
        <v>4603592064.7845087</v>
      </c>
      <c r="AL1720" s="226">
        <v>1.2782026587482707</v>
      </c>
      <c r="AM1720" s="27">
        <v>4317271101.5386934</v>
      </c>
      <c r="AN1720" s="271">
        <v>1.3629729240081316</v>
      </c>
      <c r="AO1720" s="27">
        <v>29614887</v>
      </c>
      <c r="AP1720" s="27">
        <v>27.8</v>
      </c>
      <c r="AQ1720" s="27">
        <v>74.210536585365858</v>
      </c>
      <c r="AR1720" s="27">
        <v>14.3</v>
      </c>
      <c r="AS1720" s="29">
        <v>96.327079999999995</v>
      </c>
      <c r="AT1720" s="270">
        <v>38</v>
      </c>
      <c r="AU1720" s="464">
        <v>72.816286549781523</v>
      </c>
      <c r="AV1720" s="29">
        <v>9.0719139218499306E-2</v>
      </c>
      <c r="AW1720" s="29">
        <v>-0.738042232413051</v>
      </c>
      <c r="AX1720" s="29">
        <v>-0.145710327623474</v>
      </c>
      <c r="AY1720" s="29">
        <v>0.476881348098389</v>
      </c>
      <c r="AZ1720" s="60">
        <v>-0.248937037637317</v>
      </c>
    </row>
    <row r="1721" spans="1:52" ht="15" customHeight="1">
      <c r="A1721" s="63" t="s">
        <v>452</v>
      </c>
      <c r="B1721" s="53">
        <v>2011</v>
      </c>
      <c r="C1721" s="146" t="s">
        <v>442</v>
      </c>
      <c r="D1721" s="69" t="s">
        <v>214</v>
      </c>
      <c r="E1721" s="29" t="s">
        <v>19</v>
      </c>
      <c r="F1721" s="27" t="s">
        <v>1927</v>
      </c>
      <c r="G1721" s="43">
        <v>572</v>
      </c>
      <c r="H1721" s="43"/>
      <c r="I1721" s="43"/>
      <c r="J1721" s="43"/>
      <c r="K1721" s="27" t="s">
        <v>567</v>
      </c>
      <c r="L1721" s="28">
        <f>1.25/0.000453592</f>
        <v>2755.7805252297217</v>
      </c>
      <c r="M1721" s="29" t="s">
        <v>568</v>
      </c>
      <c r="N1721" s="27" t="s">
        <v>1949</v>
      </c>
      <c r="O1721" s="18">
        <f t="shared" si="24"/>
        <v>1576306.4604314007</v>
      </c>
      <c r="P1721" s="214"/>
      <c r="Q1721" s="214"/>
      <c r="R1721" s="29"/>
      <c r="S1721" s="27"/>
      <c r="T1721" s="18"/>
      <c r="U1721" s="27"/>
      <c r="V1721" s="29"/>
      <c r="W1721" s="30"/>
      <c r="X1721" s="27"/>
      <c r="Y1721" s="27"/>
      <c r="Z1721" s="27"/>
      <c r="AA1721" s="27"/>
      <c r="AB1721" s="27"/>
      <c r="AC1721" s="273">
        <v>5884323617</v>
      </c>
      <c r="AD1721" s="27">
        <v>170564249004.95398</v>
      </c>
      <c r="AE1721" s="228">
        <v>3.4499161760616619E-2</v>
      </c>
      <c r="AF1721" s="27">
        <v>34239067345.254463</v>
      </c>
      <c r="AG1721" s="226">
        <v>0.17185992707291331</v>
      </c>
      <c r="AH1721" s="226">
        <v>0.58802189429208407</v>
      </c>
      <c r="AI1721" s="27">
        <v>604820000</v>
      </c>
      <c r="AJ1721" s="226">
        <v>9.7290493320326714</v>
      </c>
      <c r="AK1721" s="27">
        <v>4603592064.7845087</v>
      </c>
      <c r="AL1721" s="226">
        <v>1.2782026587482707</v>
      </c>
      <c r="AM1721" s="27">
        <v>4317271101.5386934</v>
      </c>
      <c r="AN1721" s="271">
        <v>1.3629729240081316</v>
      </c>
      <c r="AO1721" s="27">
        <v>29614887</v>
      </c>
      <c r="AP1721" s="27">
        <v>27.8</v>
      </c>
      <c r="AQ1721" s="27">
        <v>74.210536585365858</v>
      </c>
      <c r="AR1721" s="27">
        <v>14.3</v>
      </c>
      <c r="AS1721" s="29">
        <v>96.327079999999995</v>
      </c>
      <c r="AT1721" s="270">
        <v>38</v>
      </c>
      <c r="AU1721" s="464">
        <v>72.816286549781523</v>
      </c>
      <c r="AV1721" s="29">
        <v>9.0719139218499306E-2</v>
      </c>
      <c r="AW1721" s="29">
        <v>-0.738042232413051</v>
      </c>
      <c r="AX1721" s="29">
        <v>-0.145710327623474</v>
      </c>
      <c r="AY1721" s="29">
        <v>0.476881348098389</v>
      </c>
      <c r="AZ1721" s="60">
        <v>-0.248937037637317</v>
      </c>
    </row>
    <row r="1722" spans="1:52" ht="15" customHeight="1">
      <c r="A1722" s="63" t="s">
        <v>452</v>
      </c>
      <c r="B1722" s="53">
        <v>2011</v>
      </c>
      <c r="C1722" s="146" t="s">
        <v>442</v>
      </c>
      <c r="D1722" s="69" t="s">
        <v>214</v>
      </c>
      <c r="E1722" s="29" t="s">
        <v>19</v>
      </c>
      <c r="F1722" s="27" t="s">
        <v>566</v>
      </c>
      <c r="G1722" s="43">
        <v>8100000</v>
      </c>
      <c r="H1722" s="43"/>
      <c r="I1722" s="43"/>
      <c r="J1722" s="43"/>
      <c r="K1722" s="27" t="s">
        <v>567</v>
      </c>
      <c r="L1722" s="28">
        <v>89.5</v>
      </c>
      <c r="M1722" s="27" t="s">
        <v>568</v>
      </c>
      <c r="N1722" s="27" t="s">
        <v>1604</v>
      </c>
      <c r="O1722" s="18">
        <f t="shared" si="24"/>
        <v>724950000</v>
      </c>
      <c r="P1722" s="214"/>
      <c r="Q1722" s="214"/>
      <c r="R1722" s="29"/>
      <c r="S1722" s="27"/>
      <c r="T1722" s="18"/>
      <c r="U1722" s="27"/>
      <c r="V1722" s="29"/>
      <c r="W1722" s="30"/>
      <c r="X1722" s="27"/>
      <c r="Y1722" s="27"/>
      <c r="Z1722" s="27"/>
      <c r="AA1722" s="27"/>
      <c r="AB1722" s="27"/>
      <c r="AC1722" s="273">
        <v>5884323617</v>
      </c>
      <c r="AD1722" s="27">
        <v>170564249004.95398</v>
      </c>
      <c r="AE1722" s="228">
        <v>3.4499161760616619E-2</v>
      </c>
      <c r="AF1722" s="27">
        <v>34239067345.254463</v>
      </c>
      <c r="AG1722" s="226">
        <v>0.17185992707291331</v>
      </c>
      <c r="AH1722" s="226">
        <v>0.58802189429208407</v>
      </c>
      <c r="AI1722" s="27">
        <v>604820000</v>
      </c>
      <c r="AJ1722" s="226">
        <v>9.7290493320326714</v>
      </c>
      <c r="AK1722" s="27">
        <v>4603592064.7845087</v>
      </c>
      <c r="AL1722" s="226">
        <v>1.2782026587482707</v>
      </c>
      <c r="AM1722" s="27">
        <v>4317271101.5386934</v>
      </c>
      <c r="AN1722" s="271">
        <v>1.3629729240081316</v>
      </c>
      <c r="AO1722" s="27">
        <v>29614887</v>
      </c>
      <c r="AP1722" s="27">
        <v>27.8</v>
      </c>
      <c r="AQ1722" s="27">
        <v>74.210536585365858</v>
      </c>
      <c r="AR1722" s="27">
        <v>14.3</v>
      </c>
      <c r="AS1722" s="29">
        <v>96.327079999999995</v>
      </c>
      <c r="AT1722" s="270">
        <v>38</v>
      </c>
      <c r="AU1722" s="464">
        <v>72.816286549781523</v>
      </c>
      <c r="AV1722" s="29">
        <v>9.0719139218499306E-2</v>
      </c>
      <c r="AW1722" s="29">
        <v>-0.738042232413051</v>
      </c>
      <c r="AX1722" s="29">
        <v>-0.145710327623474</v>
      </c>
      <c r="AY1722" s="29">
        <v>0.476881348098389</v>
      </c>
      <c r="AZ1722" s="60">
        <v>-0.248937037637317</v>
      </c>
    </row>
    <row r="1723" spans="1:52" ht="15" customHeight="1">
      <c r="A1723" s="63" t="s">
        <v>452</v>
      </c>
      <c r="B1723" s="53">
        <v>2011</v>
      </c>
      <c r="C1723" s="146" t="s">
        <v>442</v>
      </c>
      <c r="D1723" s="69" t="s">
        <v>214</v>
      </c>
      <c r="E1723" s="29" t="s">
        <v>19</v>
      </c>
      <c r="F1723" s="27" t="s">
        <v>1928</v>
      </c>
      <c r="G1723" s="43">
        <v>322000</v>
      </c>
      <c r="H1723" s="43"/>
      <c r="I1723" s="43"/>
      <c r="J1723" s="43"/>
      <c r="K1723" s="27" t="s">
        <v>567</v>
      </c>
      <c r="L1723" s="28"/>
      <c r="M1723" s="27"/>
      <c r="N1723" s="27" t="s">
        <v>788</v>
      </c>
      <c r="O1723" s="18">
        <f t="shared" si="24"/>
        <v>0</v>
      </c>
      <c r="P1723" s="214"/>
      <c r="Q1723" s="214"/>
      <c r="R1723" s="29"/>
      <c r="S1723" s="27"/>
      <c r="T1723" s="18"/>
      <c r="U1723" s="27"/>
      <c r="V1723" s="29"/>
      <c r="W1723" s="30"/>
      <c r="X1723" s="27"/>
      <c r="Y1723" s="27"/>
      <c r="Z1723" s="27"/>
      <c r="AA1723" s="27"/>
      <c r="AB1723" s="27"/>
      <c r="AC1723" s="273">
        <v>5884323617</v>
      </c>
      <c r="AD1723" s="27">
        <v>170564249004.95398</v>
      </c>
      <c r="AE1723" s="228">
        <v>3.4499161760616619E-2</v>
      </c>
      <c r="AF1723" s="27">
        <v>34239067345.254463</v>
      </c>
      <c r="AG1723" s="226">
        <v>0.17185992707291331</v>
      </c>
      <c r="AH1723" s="226">
        <v>0.58802189429208407</v>
      </c>
      <c r="AI1723" s="27">
        <v>604820000</v>
      </c>
      <c r="AJ1723" s="226">
        <v>9.7290493320326714</v>
      </c>
      <c r="AK1723" s="27">
        <v>4603592064.7845087</v>
      </c>
      <c r="AL1723" s="226">
        <v>1.2782026587482707</v>
      </c>
      <c r="AM1723" s="27">
        <v>4317271101.5386934</v>
      </c>
      <c r="AN1723" s="271">
        <v>1.3629729240081316</v>
      </c>
      <c r="AO1723" s="27">
        <v>29614887</v>
      </c>
      <c r="AP1723" s="27">
        <v>27.8</v>
      </c>
      <c r="AQ1723" s="27">
        <v>74.210536585365858</v>
      </c>
      <c r="AR1723" s="27">
        <v>14.3</v>
      </c>
      <c r="AS1723" s="29">
        <v>96.327079999999995</v>
      </c>
      <c r="AT1723" s="270">
        <v>38</v>
      </c>
      <c r="AU1723" s="464">
        <v>72.816286549781523</v>
      </c>
      <c r="AV1723" s="29">
        <v>9.0719139218499306E-2</v>
      </c>
      <c r="AW1723" s="29">
        <v>-0.738042232413051</v>
      </c>
      <c r="AX1723" s="29">
        <v>-0.145710327623474</v>
      </c>
      <c r="AY1723" s="29">
        <v>0.476881348098389</v>
      </c>
      <c r="AZ1723" s="60">
        <v>-0.248937037637317</v>
      </c>
    </row>
    <row r="1724" spans="1:52" ht="15" customHeight="1">
      <c r="A1724" s="63" t="s">
        <v>452</v>
      </c>
      <c r="B1724" s="53">
        <v>2011</v>
      </c>
      <c r="C1724" s="146" t="s">
        <v>442</v>
      </c>
      <c r="D1724" s="69" t="s">
        <v>214</v>
      </c>
      <c r="E1724" s="29" t="s">
        <v>19</v>
      </c>
      <c r="F1724" s="27" t="s">
        <v>573</v>
      </c>
      <c r="G1724" s="43">
        <v>182481</v>
      </c>
      <c r="H1724" s="43"/>
      <c r="I1724" s="43"/>
      <c r="J1724" s="43"/>
      <c r="K1724" s="27" t="s">
        <v>567</v>
      </c>
      <c r="L1724" s="28">
        <v>111.54662184722224</v>
      </c>
      <c r="M1724" s="27" t="s">
        <v>568</v>
      </c>
      <c r="N1724" s="27" t="s">
        <v>1950</v>
      </c>
      <c r="O1724" s="18">
        <f t="shared" si="24"/>
        <v>20355139.101302963</v>
      </c>
      <c r="P1724" s="214"/>
      <c r="Q1724" s="214"/>
      <c r="R1724" s="29"/>
      <c r="S1724" s="27"/>
      <c r="T1724" s="18"/>
      <c r="U1724" s="27"/>
      <c r="V1724" s="29"/>
      <c r="W1724" s="30"/>
      <c r="X1724" s="27"/>
      <c r="Y1724" s="27"/>
      <c r="Z1724" s="27"/>
      <c r="AA1724" s="27"/>
      <c r="AB1724" s="27"/>
      <c r="AC1724" s="273">
        <v>5884323617</v>
      </c>
      <c r="AD1724" s="27">
        <v>170564249004.95398</v>
      </c>
      <c r="AE1724" s="228">
        <v>3.4499161760616619E-2</v>
      </c>
      <c r="AF1724" s="27">
        <v>34239067345.254463</v>
      </c>
      <c r="AG1724" s="226">
        <v>0.17185992707291331</v>
      </c>
      <c r="AH1724" s="226">
        <v>0.58802189429208407</v>
      </c>
      <c r="AI1724" s="27">
        <v>604820000</v>
      </c>
      <c r="AJ1724" s="226">
        <v>9.7290493320326714</v>
      </c>
      <c r="AK1724" s="27">
        <v>4603592064.7845087</v>
      </c>
      <c r="AL1724" s="226">
        <v>1.2782026587482707</v>
      </c>
      <c r="AM1724" s="27">
        <v>4317271101.5386934</v>
      </c>
      <c r="AN1724" s="271">
        <v>1.3629729240081316</v>
      </c>
      <c r="AO1724" s="27">
        <v>29614887</v>
      </c>
      <c r="AP1724" s="27">
        <v>27.8</v>
      </c>
      <c r="AQ1724" s="27">
        <v>74.210536585365858</v>
      </c>
      <c r="AR1724" s="27">
        <v>14.3</v>
      </c>
      <c r="AS1724" s="29">
        <v>96.327079999999995</v>
      </c>
      <c r="AT1724" s="270">
        <v>38</v>
      </c>
      <c r="AU1724" s="464">
        <v>72.816286549781523</v>
      </c>
      <c r="AV1724" s="29">
        <v>9.0719139218499306E-2</v>
      </c>
      <c r="AW1724" s="29">
        <v>-0.738042232413051</v>
      </c>
      <c r="AX1724" s="29">
        <v>-0.145710327623474</v>
      </c>
      <c r="AY1724" s="29">
        <v>0.476881348098389</v>
      </c>
      <c r="AZ1724" s="60">
        <v>-0.248937037637317</v>
      </c>
    </row>
    <row r="1725" spans="1:52" ht="15" customHeight="1">
      <c r="A1725" s="63" t="s">
        <v>452</v>
      </c>
      <c r="B1725" s="53">
        <v>2011</v>
      </c>
      <c r="C1725" s="146" t="s">
        <v>442</v>
      </c>
      <c r="D1725" s="69" t="s">
        <v>214</v>
      </c>
      <c r="E1725" s="29" t="s">
        <v>19</v>
      </c>
      <c r="F1725" s="27" t="s">
        <v>1929</v>
      </c>
      <c r="G1725" s="43">
        <v>1021502</v>
      </c>
      <c r="H1725" s="43"/>
      <c r="I1725" s="43"/>
      <c r="J1725" s="43"/>
      <c r="K1725" s="27" t="s">
        <v>567</v>
      </c>
      <c r="L1725" s="28">
        <v>12</v>
      </c>
      <c r="M1725" s="27" t="s">
        <v>568</v>
      </c>
      <c r="N1725" s="27" t="s">
        <v>1951</v>
      </c>
      <c r="O1725" s="18">
        <f t="shared" si="24"/>
        <v>12258024</v>
      </c>
      <c r="P1725" s="214"/>
      <c r="Q1725" s="214"/>
      <c r="R1725" s="29"/>
      <c r="S1725" s="27"/>
      <c r="T1725" s="18"/>
      <c r="U1725" s="27"/>
      <c r="V1725" s="29"/>
      <c r="W1725" s="30"/>
      <c r="X1725" s="27"/>
      <c r="Y1725" s="27"/>
      <c r="Z1725" s="27"/>
      <c r="AA1725" s="27"/>
      <c r="AB1725" s="27"/>
      <c r="AC1725" s="273">
        <v>5884323617</v>
      </c>
      <c r="AD1725" s="27">
        <v>170564249004.95398</v>
      </c>
      <c r="AE1725" s="228">
        <v>3.4499161760616619E-2</v>
      </c>
      <c r="AF1725" s="27">
        <v>34239067345.254463</v>
      </c>
      <c r="AG1725" s="226">
        <v>0.17185992707291331</v>
      </c>
      <c r="AH1725" s="226">
        <v>0.58802189429208407</v>
      </c>
      <c r="AI1725" s="27">
        <v>604820000</v>
      </c>
      <c r="AJ1725" s="226">
        <v>9.7290493320326714</v>
      </c>
      <c r="AK1725" s="27">
        <v>4603592064.7845087</v>
      </c>
      <c r="AL1725" s="226">
        <v>1.2782026587482707</v>
      </c>
      <c r="AM1725" s="27">
        <v>4317271101.5386934</v>
      </c>
      <c r="AN1725" s="271">
        <v>1.3629729240081316</v>
      </c>
      <c r="AO1725" s="27">
        <v>29614887</v>
      </c>
      <c r="AP1725" s="27">
        <v>27.8</v>
      </c>
      <c r="AQ1725" s="27">
        <v>74.210536585365858</v>
      </c>
      <c r="AR1725" s="27">
        <v>14.3</v>
      </c>
      <c r="AS1725" s="29">
        <v>96.327079999999995</v>
      </c>
      <c r="AT1725" s="270">
        <v>38</v>
      </c>
      <c r="AU1725" s="464">
        <v>72.816286549781523</v>
      </c>
      <c r="AV1725" s="29">
        <v>9.0719139218499306E-2</v>
      </c>
      <c r="AW1725" s="29">
        <v>-0.738042232413051</v>
      </c>
      <c r="AX1725" s="29">
        <v>-0.145710327623474</v>
      </c>
      <c r="AY1725" s="29">
        <v>0.476881348098389</v>
      </c>
      <c r="AZ1725" s="60">
        <v>-0.248937037637317</v>
      </c>
    </row>
    <row r="1726" spans="1:52" ht="15" customHeight="1">
      <c r="A1726" s="63" t="s">
        <v>452</v>
      </c>
      <c r="B1726" s="53">
        <v>2011</v>
      </c>
      <c r="C1726" s="146" t="s">
        <v>442</v>
      </c>
      <c r="D1726" s="69" t="s">
        <v>214</v>
      </c>
      <c r="E1726" s="29" t="s">
        <v>19</v>
      </c>
      <c r="F1726" s="27" t="s">
        <v>576</v>
      </c>
      <c r="G1726" s="43"/>
      <c r="H1726" s="43"/>
      <c r="I1726" s="43"/>
      <c r="J1726" s="43"/>
      <c r="K1726" s="27"/>
      <c r="L1726" s="44">
        <v>8828.1875</v>
      </c>
      <c r="M1726" s="27" t="s">
        <v>568</v>
      </c>
      <c r="N1726" s="27" t="s">
        <v>633</v>
      </c>
      <c r="O1726" s="18">
        <f>SUM(G1728:G1729)*L1726</f>
        <v>5885443619.6875</v>
      </c>
      <c r="P1726" s="214"/>
      <c r="Q1726" s="214"/>
      <c r="R1726" s="71"/>
      <c r="S1726" s="27"/>
      <c r="T1726" s="18"/>
      <c r="U1726" s="27"/>
      <c r="V1726" s="71"/>
      <c r="W1726" s="30"/>
      <c r="X1726" s="27"/>
      <c r="Y1726" s="27"/>
      <c r="Z1726" s="27"/>
      <c r="AA1726" s="27"/>
      <c r="AB1726" s="27"/>
      <c r="AC1726" s="273">
        <v>5884323617</v>
      </c>
      <c r="AD1726" s="27">
        <v>170564249004.95398</v>
      </c>
      <c r="AE1726" s="228">
        <v>3.4499161760616619E-2</v>
      </c>
      <c r="AF1726" s="27">
        <v>34239067345.254463</v>
      </c>
      <c r="AG1726" s="226">
        <v>0.17185992707291331</v>
      </c>
      <c r="AH1726" s="226">
        <v>0.58802189429208407</v>
      </c>
      <c r="AI1726" s="27">
        <v>604820000</v>
      </c>
      <c r="AJ1726" s="226">
        <v>9.7290493320326714</v>
      </c>
      <c r="AK1726" s="27">
        <v>4603592064.7845087</v>
      </c>
      <c r="AL1726" s="226">
        <v>1.2782026587482707</v>
      </c>
      <c r="AM1726" s="27">
        <v>4317271101.5386934</v>
      </c>
      <c r="AN1726" s="271">
        <v>1.3629729240081316</v>
      </c>
      <c r="AO1726" s="27">
        <v>29614887</v>
      </c>
      <c r="AP1726" s="27">
        <v>27.8</v>
      </c>
      <c r="AQ1726" s="27">
        <v>74.210536585365858</v>
      </c>
      <c r="AR1726" s="27">
        <v>14.3</v>
      </c>
      <c r="AS1726" s="29">
        <v>96.327079999999995</v>
      </c>
      <c r="AT1726" s="270">
        <v>38</v>
      </c>
      <c r="AU1726" s="464">
        <v>72.816286549781523</v>
      </c>
      <c r="AV1726" s="29">
        <v>9.0719139218499306E-2</v>
      </c>
      <c r="AW1726" s="29">
        <v>-0.738042232413051</v>
      </c>
      <c r="AX1726" s="29">
        <v>-0.145710327623474</v>
      </c>
      <c r="AY1726" s="29">
        <v>0.476881348098389</v>
      </c>
      <c r="AZ1726" s="60">
        <v>-0.248937037637317</v>
      </c>
    </row>
    <row r="1727" spans="1:52" ht="15" customHeight="1">
      <c r="A1727" s="63" t="s">
        <v>452</v>
      </c>
      <c r="B1727" s="53">
        <v>2011</v>
      </c>
      <c r="C1727" s="146" t="s">
        <v>442</v>
      </c>
      <c r="D1727" s="69" t="s">
        <v>214</v>
      </c>
      <c r="E1727" s="29" t="s">
        <v>19</v>
      </c>
      <c r="F1727" s="27" t="s">
        <v>1226</v>
      </c>
      <c r="G1727" s="43">
        <v>1094971</v>
      </c>
      <c r="H1727" s="43"/>
      <c r="I1727" s="43"/>
      <c r="J1727" s="43"/>
      <c r="K1727" s="27" t="s">
        <v>567</v>
      </c>
      <c r="L1727" s="28"/>
      <c r="M1727" s="27"/>
      <c r="N1727" s="27" t="s">
        <v>788</v>
      </c>
      <c r="O1727" s="18"/>
      <c r="P1727" s="214"/>
      <c r="Q1727" s="214"/>
      <c r="R1727" s="29"/>
      <c r="S1727" s="27"/>
      <c r="T1727" s="18"/>
      <c r="U1727" s="27"/>
      <c r="V1727" s="29"/>
      <c r="W1727" s="30"/>
      <c r="X1727" s="27"/>
      <c r="Y1727" s="27"/>
      <c r="Z1727" s="27"/>
      <c r="AA1727" s="27"/>
      <c r="AB1727" s="27"/>
      <c r="AC1727" s="273">
        <v>5884323617</v>
      </c>
      <c r="AD1727" s="27">
        <v>170564249004.95398</v>
      </c>
      <c r="AE1727" s="228">
        <v>3.4499161760616619E-2</v>
      </c>
      <c r="AF1727" s="27">
        <v>34239067345.254463</v>
      </c>
      <c r="AG1727" s="226">
        <v>0.17185992707291331</v>
      </c>
      <c r="AH1727" s="226">
        <v>0.58802189429208407</v>
      </c>
      <c r="AI1727" s="27">
        <v>604820000</v>
      </c>
      <c r="AJ1727" s="226">
        <v>9.7290493320326714</v>
      </c>
      <c r="AK1727" s="27">
        <v>4603592064.7845087</v>
      </c>
      <c r="AL1727" s="226">
        <v>1.2782026587482707</v>
      </c>
      <c r="AM1727" s="27">
        <v>4317271101.5386934</v>
      </c>
      <c r="AN1727" s="271">
        <v>1.3629729240081316</v>
      </c>
      <c r="AO1727" s="27">
        <v>29614887</v>
      </c>
      <c r="AP1727" s="27">
        <v>27.8</v>
      </c>
      <c r="AQ1727" s="27">
        <v>74.210536585365858</v>
      </c>
      <c r="AR1727" s="27">
        <v>14.3</v>
      </c>
      <c r="AS1727" s="29">
        <v>96.327079999999995</v>
      </c>
      <c r="AT1727" s="270">
        <v>38</v>
      </c>
      <c r="AU1727" s="464">
        <v>72.816286549781523</v>
      </c>
      <c r="AV1727" s="29">
        <v>9.0719139218499306E-2</v>
      </c>
      <c r="AW1727" s="29">
        <v>-0.738042232413051</v>
      </c>
      <c r="AX1727" s="29">
        <v>-0.145710327623474</v>
      </c>
      <c r="AY1727" s="29">
        <v>0.476881348098389</v>
      </c>
      <c r="AZ1727" s="60">
        <v>-0.248937037637317</v>
      </c>
    </row>
    <row r="1728" spans="1:52" ht="15" customHeight="1">
      <c r="A1728" s="63" t="s">
        <v>452</v>
      </c>
      <c r="B1728" s="53">
        <v>2011</v>
      </c>
      <c r="C1728" s="146" t="s">
        <v>442</v>
      </c>
      <c r="D1728" s="69" t="s">
        <v>214</v>
      </c>
      <c r="E1728" s="29" t="s">
        <v>19</v>
      </c>
      <c r="F1728" s="27" t="s">
        <v>1310</v>
      </c>
      <c r="G1728" s="43">
        <v>299004</v>
      </c>
      <c r="H1728" s="43"/>
      <c r="I1728" s="43"/>
      <c r="J1728" s="43"/>
      <c r="K1728" s="27" t="s">
        <v>567</v>
      </c>
      <c r="L1728" s="28"/>
      <c r="M1728" s="27"/>
      <c r="N1728" s="27" t="s">
        <v>788</v>
      </c>
      <c r="O1728" s="18"/>
      <c r="P1728" s="214"/>
      <c r="Q1728" s="214"/>
      <c r="R1728" s="29"/>
      <c r="S1728" s="27"/>
      <c r="T1728" s="18"/>
      <c r="U1728" s="27"/>
      <c r="V1728" s="29"/>
      <c r="W1728" s="30"/>
      <c r="X1728" s="27"/>
      <c r="Y1728" s="27"/>
      <c r="Z1728" s="27"/>
      <c r="AA1728" s="27"/>
      <c r="AB1728" s="27"/>
      <c r="AC1728" s="273">
        <v>5884323617</v>
      </c>
      <c r="AD1728" s="27">
        <v>170564249004.95398</v>
      </c>
      <c r="AE1728" s="228">
        <v>3.4499161760616619E-2</v>
      </c>
      <c r="AF1728" s="27">
        <v>34239067345.254463</v>
      </c>
      <c r="AG1728" s="226">
        <v>0.17185992707291331</v>
      </c>
      <c r="AH1728" s="226">
        <v>0.58802189429208407</v>
      </c>
      <c r="AI1728" s="27">
        <v>604820000</v>
      </c>
      <c r="AJ1728" s="226">
        <v>9.7290493320326714</v>
      </c>
      <c r="AK1728" s="27">
        <v>4603592064.7845087</v>
      </c>
      <c r="AL1728" s="226">
        <v>1.2782026587482707</v>
      </c>
      <c r="AM1728" s="27">
        <v>4317271101.5386934</v>
      </c>
      <c r="AN1728" s="271">
        <v>1.3629729240081316</v>
      </c>
      <c r="AO1728" s="27">
        <v>29614887</v>
      </c>
      <c r="AP1728" s="27">
        <v>27.8</v>
      </c>
      <c r="AQ1728" s="27">
        <v>74.210536585365858</v>
      </c>
      <c r="AR1728" s="27">
        <v>14.3</v>
      </c>
      <c r="AS1728" s="29">
        <v>96.327079999999995</v>
      </c>
      <c r="AT1728" s="270">
        <v>38</v>
      </c>
      <c r="AU1728" s="464">
        <v>72.816286549781523</v>
      </c>
      <c r="AV1728" s="29">
        <v>9.0719139218499306E-2</v>
      </c>
      <c r="AW1728" s="29">
        <v>-0.738042232413051</v>
      </c>
      <c r="AX1728" s="29">
        <v>-0.145710327623474</v>
      </c>
      <c r="AY1728" s="29">
        <v>0.476881348098389</v>
      </c>
      <c r="AZ1728" s="60">
        <v>-0.248937037637317</v>
      </c>
    </row>
    <row r="1729" spans="1:52" ht="15" customHeight="1">
      <c r="A1729" s="63" t="s">
        <v>452</v>
      </c>
      <c r="B1729" s="53">
        <v>2011</v>
      </c>
      <c r="C1729" s="146" t="s">
        <v>442</v>
      </c>
      <c r="D1729" s="69" t="s">
        <v>214</v>
      </c>
      <c r="E1729" s="29" t="s">
        <v>19</v>
      </c>
      <c r="F1729" s="27" t="s">
        <v>1311</v>
      </c>
      <c r="G1729" s="43">
        <v>367661</v>
      </c>
      <c r="H1729" s="43"/>
      <c r="I1729" s="43"/>
      <c r="J1729" s="43"/>
      <c r="K1729" s="27" t="s">
        <v>567</v>
      </c>
      <c r="L1729" s="28"/>
      <c r="M1729" s="27"/>
      <c r="N1729" s="27" t="s">
        <v>788</v>
      </c>
      <c r="O1729" s="18"/>
      <c r="P1729" s="214"/>
      <c r="Q1729" s="214"/>
      <c r="R1729" s="29"/>
      <c r="S1729" s="27"/>
      <c r="T1729" s="18"/>
      <c r="U1729" s="27"/>
      <c r="V1729" s="29"/>
      <c r="W1729" s="30"/>
      <c r="X1729" s="27"/>
      <c r="Y1729" s="27"/>
      <c r="Z1729" s="27"/>
      <c r="AA1729" s="27"/>
      <c r="AB1729" s="27"/>
      <c r="AC1729" s="273">
        <v>5884323617</v>
      </c>
      <c r="AD1729" s="27">
        <v>170564249004.95398</v>
      </c>
      <c r="AE1729" s="228">
        <v>3.4499161760616619E-2</v>
      </c>
      <c r="AF1729" s="27">
        <v>34239067345.254463</v>
      </c>
      <c r="AG1729" s="226">
        <v>0.17185992707291331</v>
      </c>
      <c r="AH1729" s="226">
        <v>0.58802189429208407</v>
      </c>
      <c r="AI1729" s="27">
        <v>604820000</v>
      </c>
      <c r="AJ1729" s="226">
        <v>9.7290493320326714</v>
      </c>
      <c r="AK1729" s="27">
        <v>4603592064.7845087</v>
      </c>
      <c r="AL1729" s="226">
        <v>1.2782026587482707</v>
      </c>
      <c r="AM1729" s="27">
        <v>4317271101.5386934</v>
      </c>
      <c r="AN1729" s="271">
        <v>1.3629729240081316</v>
      </c>
      <c r="AO1729" s="27">
        <v>29614887</v>
      </c>
      <c r="AP1729" s="27">
        <v>27.8</v>
      </c>
      <c r="AQ1729" s="27">
        <v>74.210536585365858</v>
      </c>
      <c r="AR1729" s="27">
        <v>14.3</v>
      </c>
      <c r="AS1729" s="29">
        <v>96.327079999999995</v>
      </c>
      <c r="AT1729" s="270">
        <v>38</v>
      </c>
      <c r="AU1729" s="464">
        <v>72.816286549781523</v>
      </c>
      <c r="AV1729" s="29">
        <v>9.0719139218499306E-2</v>
      </c>
      <c r="AW1729" s="29">
        <v>-0.738042232413051</v>
      </c>
      <c r="AX1729" s="29">
        <v>-0.145710327623474</v>
      </c>
      <c r="AY1729" s="29">
        <v>0.476881348098389</v>
      </c>
      <c r="AZ1729" s="60">
        <v>-0.248937037637317</v>
      </c>
    </row>
    <row r="1730" spans="1:52" ht="15" customHeight="1">
      <c r="A1730" s="63" t="s">
        <v>452</v>
      </c>
      <c r="B1730" s="53">
        <v>2011</v>
      </c>
      <c r="C1730" s="146" t="s">
        <v>442</v>
      </c>
      <c r="D1730" s="69" t="s">
        <v>214</v>
      </c>
      <c r="E1730" s="29" t="s">
        <v>19</v>
      </c>
      <c r="F1730" s="27" t="s">
        <v>1930</v>
      </c>
      <c r="G1730" s="43">
        <v>10100</v>
      </c>
      <c r="H1730" s="43"/>
      <c r="I1730" s="43"/>
      <c r="J1730" s="43"/>
      <c r="K1730" s="27" t="s">
        <v>567</v>
      </c>
      <c r="L1730" s="28">
        <v>269</v>
      </c>
      <c r="M1730" s="27" t="s">
        <v>568</v>
      </c>
      <c r="N1730" s="27" t="s">
        <v>1952</v>
      </c>
      <c r="O1730" s="18">
        <f>G1730*L1730</f>
        <v>2716900</v>
      </c>
      <c r="P1730" s="214"/>
      <c r="Q1730" s="214"/>
      <c r="R1730" s="29"/>
      <c r="S1730" s="27"/>
      <c r="T1730" s="18"/>
      <c r="U1730" s="27"/>
      <c r="V1730" s="29"/>
      <c r="W1730" s="30"/>
      <c r="X1730" s="27"/>
      <c r="Y1730" s="27"/>
      <c r="Z1730" s="27"/>
      <c r="AA1730" s="27"/>
      <c r="AB1730" s="27"/>
      <c r="AC1730" s="273">
        <v>5884323617</v>
      </c>
      <c r="AD1730" s="27">
        <v>170564249004.95398</v>
      </c>
      <c r="AE1730" s="228">
        <v>3.4499161760616619E-2</v>
      </c>
      <c r="AF1730" s="27">
        <v>34239067345.254463</v>
      </c>
      <c r="AG1730" s="226">
        <v>0.17185992707291331</v>
      </c>
      <c r="AH1730" s="226">
        <v>0.58802189429208407</v>
      </c>
      <c r="AI1730" s="27">
        <v>604820000</v>
      </c>
      <c r="AJ1730" s="226">
        <v>9.7290493320326714</v>
      </c>
      <c r="AK1730" s="27">
        <v>4603592064.7845087</v>
      </c>
      <c r="AL1730" s="226">
        <v>1.2782026587482707</v>
      </c>
      <c r="AM1730" s="27">
        <v>4317271101.5386934</v>
      </c>
      <c r="AN1730" s="271">
        <v>1.3629729240081316</v>
      </c>
      <c r="AO1730" s="27">
        <v>29614887</v>
      </c>
      <c r="AP1730" s="27">
        <v>27.8</v>
      </c>
      <c r="AQ1730" s="27">
        <v>74.210536585365858</v>
      </c>
      <c r="AR1730" s="27">
        <v>14.3</v>
      </c>
      <c r="AS1730" s="29">
        <v>96.327079999999995</v>
      </c>
      <c r="AT1730" s="270">
        <v>38</v>
      </c>
      <c r="AU1730" s="464">
        <v>72.816286549781523</v>
      </c>
      <c r="AV1730" s="29">
        <v>9.0719139218499306E-2</v>
      </c>
      <c r="AW1730" s="29">
        <v>-0.738042232413051</v>
      </c>
      <c r="AX1730" s="29">
        <v>-0.145710327623474</v>
      </c>
      <c r="AY1730" s="29">
        <v>0.476881348098389</v>
      </c>
      <c r="AZ1730" s="60">
        <v>-0.248937037637317</v>
      </c>
    </row>
    <row r="1731" spans="1:52" ht="15" customHeight="1">
      <c r="A1731" s="63" t="s">
        <v>452</v>
      </c>
      <c r="B1731" s="53">
        <v>2011</v>
      </c>
      <c r="C1731" s="146" t="s">
        <v>442</v>
      </c>
      <c r="D1731" s="69" t="s">
        <v>214</v>
      </c>
      <c r="E1731" s="29" t="s">
        <v>19</v>
      </c>
      <c r="F1731" s="27" t="s">
        <v>1931</v>
      </c>
      <c r="G1731" s="43">
        <v>645</v>
      </c>
      <c r="H1731" s="43"/>
      <c r="I1731" s="43"/>
      <c r="J1731" s="43"/>
      <c r="K1731" s="27" t="s">
        <v>567</v>
      </c>
      <c r="L1731" s="28">
        <v>9.9700000000000006</v>
      </c>
      <c r="M1731" s="27" t="s">
        <v>568</v>
      </c>
      <c r="N1731" s="27" t="s">
        <v>1953</v>
      </c>
      <c r="O1731" s="18">
        <f>G1731*L1731</f>
        <v>6430.6500000000005</v>
      </c>
      <c r="P1731" s="214"/>
      <c r="Q1731" s="214"/>
      <c r="R1731" s="29"/>
      <c r="S1731" s="27"/>
      <c r="T1731" s="18"/>
      <c r="U1731" s="27"/>
      <c r="V1731" s="29"/>
      <c r="W1731" s="30"/>
      <c r="X1731" s="27"/>
      <c r="Y1731" s="27"/>
      <c r="Z1731" s="27"/>
      <c r="AA1731" s="27"/>
      <c r="AB1731" s="27"/>
      <c r="AC1731" s="273">
        <v>5884323617</v>
      </c>
      <c r="AD1731" s="27">
        <v>170564249004.95398</v>
      </c>
      <c r="AE1731" s="228">
        <v>3.4499161760616619E-2</v>
      </c>
      <c r="AF1731" s="27">
        <v>34239067345.254463</v>
      </c>
      <c r="AG1731" s="226">
        <v>0.17185992707291331</v>
      </c>
      <c r="AH1731" s="226">
        <v>0.58802189429208407</v>
      </c>
      <c r="AI1731" s="27">
        <v>604820000</v>
      </c>
      <c r="AJ1731" s="226">
        <v>9.7290493320326714</v>
      </c>
      <c r="AK1731" s="27">
        <v>4603592064.7845087</v>
      </c>
      <c r="AL1731" s="226">
        <v>1.2782026587482707</v>
      </c>
      <c r="AM1731" s="27">
        <v>4317271101.5386934</v>
      </c>
      <c r="AN1731" s="271">
        <v>1.3629729240081316</v>
      </c>
      <c r="AO1731" s="27">
        <v>29614887</v>
      </c>
      <c r="AP1731" s="27">
        <v>27.8</v>
      </c>
      <c r="AQ1731" s="27">
        <v>74.210536585365858</v>
      </c>
      <c r="AR1731" s="27">
        <v>14.3</v>
      </c>
      <c r="AS1731" s="29">
        <v>96.327079999999995</v>
      </c>
      <c r="AT1731" s="270">
        <v>38</v>
      </c>
      <c r="AU1731" s="464">
        <v>72.816286549781523</v>
      </c>
      <c r="AV1731" s="29">
        <v>9.0719139218499306E-2</v>
      </c>
      <c r="AW1731" s="29">
        <v>-0.738042232413051</v>
      </c>
      <c r="AX1731" s="29">
        <v>-0.145710327623474</v>
      </c>
      <c r="AY1731" s="29">
        <v>0.476881348098389</v>
      </c>
      <c r="AZ1731" s="60">
        <v>-0.248937037637317</v>
      </c>
    </row>
    <row r="1732" spans="1:52" ht="15" customHeight="1">
      <c r="A1732" s="63" t="s">
        <v>452</v>
      </c>
      <c r="B1732" s="53">
        <v>2011</v>
      </c>
      <c r="C1732" s="146" t="s">
        <v>442</v>
      </c>
      <c r="D1732" s="69" t="s">
        <v>214</v>
      </c>
      <c r="E1732" s="29" t="s">
        <v>19</v>
      </c>
      <c r="F1732" s="27" t="s">
        <v>1125</v>
      </c>
      <c r="G1732" s="43">
        <v>11645</v>
      </c>
      <c r="H1732" s="43"/>
      <c r="I1732" s="43"/>
      <c r="J1732" s="43"/>
      <c r="K1732" s="27" t="s">
        <v>567</v>
      </c>
      <c r="L1732" s="28">
        <v>62</v>
      </c>
      <c r="M1732" s="27" t="s">
        <v>568</v>
      </c>
      <c r="N1732" s="27" t="s">
        <v>1954</v>
      </c>
      <c r="O1732" s="18">
        <f>G1732*L1732</f>
        <v>721990</v>
      </c>
      <c r="P1732" s="214"/>
      <c r="Q1732" s="214"/>
      <c r="R1732" s="29"/>
      <c r="S1732" s="27"/>
      <c r="T1732" s="18"/>
      <c r="U1732" s="27"/>
      <c r="V1732" s="29"/>
      <c r="W1732" s="30"/>
      <c r="X1732" s="27"/>
      <c r="Y1732" s="27"/>
      <c r="Z1732" s="27"/>
      <c r="AA1732" s="27"/>
      <c r="AB1732" s="27"/>
      <c r="AC1732" s="273">
        <v>5884323617</v>
      </c>
      <c r="AD1732" s="27">
        <v>170564249004.95398</v>
      </c>
      <c r="AE1732" s="228">
        <v>3.4499161760616619E-2</v>
      </c>
      <c r="AF1732" s="27">
        <v>34239067345.254463</v>
      </c>
      <c r="AG1732" s="226">
        <v>0.17185992707291331</v>
      </c>
      <c r="AH1732" s="226">
        <v>0.58802189429208407</v>
      </c>
      <c r="AI1732" s="27">
        <v>604820000</v>
      </c>
      <c r="AJ1732" s="226">
        <v>9.7290493320326714</v>
      </c>
      <c r="AK1732" s="27">
        <v>4603592064.7845087</v>
      </c>
      <c r="AL1732" s="226">
        <v>1.2782026587482707</v>
      </c>
      <c r="AM1732" s="27">
        <v>4317271101.5386934</v>
      </c>
      <c r="AN1732" s="271">
        <v>1.3629729240081316</v>
      </c>
      <c r="AO1732" s="27">
        <v>29614887</v>
      </c>
      <c r="AP1732" s="27">
        <v>27.8</v>
      </c>
      <c r="AQ1732" s="27">
        <v>74.210536585365858</v>
      </c>
      <c r="AR1732" s="27">
        <v>14.3</v>
      </c>
      <c r="AS1732" s="29">
        <v>96.327079999999995</v>
      </c>
      <c r="AT1732" s="270">
        <v>38</v>
      </c>
      <c r="AU1732" s="464">
        <v>72.816286549781523</v>
      </c>
      <c r="AV1732" s="29">
        <v>9.0719139218499306E-2</v>
      </c>
      <c r="AW1732" s="29">
        <v>-0.738042232413051</v>
      </c>
      <c r="AX1732" s="29">
        <v>-0.145710327623474</v>
      </c>
      <c r="AY1732" s="29">
        <v>0.476881348098389</v>
      </c>
      <c r="AZ1732" s="60">
        <v>-0.248937037637317</v>
      </c>
    </row>
    <row r="1733" spans="1:52" ht="15" customHeight="1">
      <c r="A1733" s="63" t="s">
        <v>452</v>
      </c>
      <c r="B1733" s="53">
        <v>2011</v>
      </c>
      <c r="C1733" s="146" t="s">
        <v>442</v>
      </c>
      <c r="D1733" s="69" t="s">
        <v>214</v>
      </c>
      <c r="E1733" s="29" t="s">
        <v>19</v>
      </c>
      <c r="F1733" s="27" t="s">
        <v>1932</v>
      </c>
      <c r="G1733" s="43">
        <v>6000</v>
      </c>
      <c r="H1733" s="43"/>
      <c r="I1733" s="43"/>
      <c r="J1733" s="43"/>
      <c r="K1733" s="27" t="s">
        <v>567</v>
      </c>
      <c r="L1733" s="28">
        <v>29</v>
      </c>
      <c r="M1733" s="27" t="s">
        <v>568</v>
      </c>
      <c r="N1733" s="27" t="s">
        <v>1955</v>
      </c>
      <c r="O1733" s="18">
        <f>G1733*L1733</f>
        <v>174000</v>
      </c>
      <c r="P1733" s="214"/>
      <c r="Q1733" s="214"/>
      <c r="R1733" s="29"/>
      <c r="S1733" s="27"/>
      <c r="T1733" s="18"/>
      <c r="U1733" s="27"/>
      <c r="V1733" s="29"/>
      <c r="W1733" s="30"/>
      <c r="X1733" s="27"/>
      <c r="Y1733" s="27"/>
      <c r="Z1733" s="27"/>
      <c r="AA1733" s="27"/>
      <c r="AB1733" s="27"/>
      <c r="AC1733" s="273">
        <v>5884323617</v>
      </c>
      <c r="AD1733" s="27">
        <v>170564249004.95398</v>
      </c>
      <c r="AE1733" s="228">
        <v>3.4499161760616619E-2</v>
      </c>
      <c r="AF1733" s="27">
        <v>34239067345.254463</v>
      </c>
      <c r="AG1733" s="226">
        <v>0.17185992707291331</v>
      </c>
      <c r="AH1733" s="226">
        <v>0.58802189429208407</v>
      </c>
      <c r="AI1733" s="27">
        <v>604820000</v>
      </c>
      <c r="AJ1733" s="226">
        <v>9.7290493320326714</v>
      </c>
      <c r="AK1733" s="27">
        <v>4603592064.7845087</v>
      </c>
      <c r="AL1733" s="226">
        <v>1.2782026587482707</v>
      </c>
      <c r="AM1733" s="27">
        <v>4317271101.5386934</v>
      </c>
      <c r="AN1733" s="271">
        <v>1.3629729240081316</v>
      </c>
      <c r="AO1733" s="27">
        <v>29614887</v>
      </c>
      <c r="AP1733" s="27">
        <v>27.8</v>
      </c>
      <c r="AQ1733" s="27">
        <v>74.210536585365858</v>
      </c>
      <c r="AR1733" s="27">
        <v>14.3</v>
      </c>
      <c r="AS1733" s="29">
        <v>96.327079999999995</v>
      </c>
      <c r="AT1733" s="270">
        <v>38</v>
      </c>
      <c r="AU1733" s="464">
        <v>72.816286549781523</v>
      </c>
      <c r="AV1733" s="29">
        <v>9.0719139218499306E-2</v>
      </c>
      <c r="AW1733" s="29">
        <v>-0.738042232413051</v>
      </c>
      <c r="AX1733" s="29">
        <v>-0.145710327623474</v>
      </c>
      <c r="AY1733" s="29">
        <v>0.476881348098389</v>
      </c>
      <c r="AZ1733" s="60">
        <v>-0.248937037637317</v>
      </c>
    </row>
    <row r="1734" spans="1:52" ht="15" customHeight="1">
      <c r="A1734" s="63" t="s">
        <v>452</v>
      </c>
      <c r="B1734" s="53">
        <v>2011</v>
      </c>
      <c r="C1734" s="146" t="s">
        <v>442</v>
      </c>
      <c r="D1734" s="69" t="s">
        <v>214</v>
      </c>
      <c r="E1734" s="29" t="s">
        <v>19</v>
      </c>
      <c r="F1734" s="27" t="s">
        <v>1933</v>
      </c>
      <c r="G1734" s="43">
        <v>300000</v>
      </c>
      <c r="H1734" s="43"/>
      <c r="I1734" s="43"/>
      <c r="J1734" s="43"/>
      <c r="K1734" s="27" t="s">
        <v>567</v>
      </c>
      <c r="L1734" s="28"/>
      <c r="M1734" s="27"/>
      <c r="N1734" s="27" t="s">
        <v>788</v>
      </c>
      <c r="O1734" s="18"/>
      <c r="P1734" s="214"/>
      <c r="Q1734" s="214"/>
      <c r="R1734" s="29"/>
      <c r="S1734" s="27"/>
      <c r="T1734" s="18"/>
      <c r="U1734" s="27"/>
      <c r="V1734" s="29"/>
      <c r="W1734" s="30"/>
      <c r="X1734" s="27"/>
      <c r="Y1734" s="27"/>
      <c r="Z1734" s="27"/>
      <c r="AA1734" s="27"/>
      <c r="AB1734" s="27"/>
      <c r="AC1734" s="273">
        <v>5884323617</v>
      </c>
      <c r="AD1734" s="27">
        <v>170564249004.95398</v>
      </c>
      <c r="AE1734" s="228">
        <v>3.4499161760616619E-2</v>
      </c>
      <c r="AF1734" s="27">
        <v>34239067345.254463</v>
      </c>
      <c r="AG1734" s="226">
        <v>0.17185992707291331</v>
      </c>
      <c r="AH1734" s="226">
        <v>0.58802189429208407</v>
      </c>
      <c r="AI1734" s="27">
        <v>604820000</v>
      </c>
      <c r="AJ1734" s="226">
        <v>9.7290493320326714</v>
      </c>
      <c r="AK1734" s="27">
        <v>4603592064.7845087</v>
      </c>
      <c r="AL1734" s="226">
        <v>1.2782026587482707</v>
      </c>
      <c r="AM1734" s="27">
        <v>4317271101.5386934</v>
      </c>
      <c r="AN1734" s="271">
        <v>1.3629729240081316</v>
      </c>
      <c r="AO1734" s="27">
        <v>29614887</v>
      </c>
      <c r="AP1734" s="27">
        <v>27.8</v>
      </c>
      <c r="AQ1734" s="27">
        <v>74.210536585365858</v>
      </c>
      <c r="AR1734" s="27">
        <v>14.3</v>
      </c>
      <c r="AS1734" s="29">
        <v>96.327079999999995</v>
      </c>
      <c r="AT1734" s="270">
        <v>38</v>
      </c>
      <c r="AU1734" s="464">
        <v>72.816286549781523</v>
      </c>
      <c r="AV1734" s="29">
        <v>9.0719139218499306E-2</v>
      </c>
      <c r="AW1734" s="29">
        <v>-0.738042232413051</v>
      </c>
      <c r="AX1734" s="29">
        <v>-0.145710327623474</v>
      </c>
      <c r="AY1734" s="29">
        <v>0.476881348098389</v>
      </c>
      <c r="AZ1734" s="60">
        <v>-0.248937037637317</v>
      </c>
    </row>
    <row r="1735" spans="1:52" ht="15" customHeight="1">
      <c r="A1735" s="63" t="s">
        <v>452</v>
      </c>
      <c r="B1735" s="53">
        <v>2011</v>
      </c>
      <c r="C1735" s="146" t="s">
        <v>442</v>
      </c>
      <c r="D1735" s="69" t="s">
        <v>214</v>
      </c>
      <c r="E1735" s="29" t="s">
        <v>19</v>
      </c>
      <c r="F1735" s="27" t="s">
        <v>730</v>
      </c>
      <c r="G1735" s="43">
        <f>164009*32.150743126506</f>
        <v>5273011.2294351226</v>
      </c>
      <c r="H1735" s="43"/>
      <c r="I1735" s="43"/>
      <c r="J1735" s="43"/>
      <c r="K1735" s="27" t="s">
        <v>731</v>
      </c>
      <c r="L1735" s="28">
        <v>1569.2108333333299</v>
      </c>
      <c r="M1735" s="27" t="s">
        <v>732</v>
      </c>
      <c r="N1735" s="27" t="s">
        <v>782</v>
      </c>
      <c r="O1735" s="18">
        <f t="shared" ref="O1735:O1740" si="25">G1735*L1735</f>
        <v>8274466345.5178947</v>
      </c>
      <c r="P1735" s="214"/>
      <c r="Q1735" s="214"/>
      <c r="R1735" s="29"/>
      <c r="S1735" s="27"/>
      <c r="T1735" s="18"/>
      <c r="U1735" s="27"/>
      <c r="V1735" s="29"/>
      <c r="W1735" s="30"/>
      <c r="X1735" s="27"/>
      <c r="Y1735" s="27"/>
      <c r="Z1735" s="27"/>
      <c r="AA1735" s="27"/>
      <c r="AB1735" s="27"/>
      <c r="AC1735" s="273">
        <v>5884323617</v>
      </c>
      <c r="AD1735" s="27">
        <v>170564249004.95398</v>
      </c>
      <c r="AE1735" s="228">
        <v>3.4499161760616619E-2</v>
      </c>
      <c r="AF1735" s="27">
        <v>34239067345.254463</v>
      </c>
      <c r="AG1735" s="226">
        <v>0.17185992707291331</v>
      </c>
      <c r="AH1735" s="226">
        <v>0.58802189429208407</v>
      </c>
      <c r="AI1735" s="27">
        <v>604820000</v>
      </c>
      <c r="AJ1735" s="226">
        <v>9.7290493320326714</v>
      </c>
      <c r="AK1735" s="27">
        <v>4603592064.7845087</v>
      </c>
      <c r="AL1735" s="226">
        <v>1.2782026587482707</v>
      </c>
      <c r="AM1735" s="27">
        <v>4317271101.5386934</v>
      </c>
      <c r="AN1735" s="271">
        <v>1.3629729240081316</v>
      </c>
      <c r="AO1735" s="27">
        <v>29614887</v>
      </c>
      <c r="AP1735" s="27">
        <v>27.8</v>
      </c>
      <c r="AQ1735" s="27">
        <v>74.210536585365858</v>
      </c>
      <c r="AR1735" s="27">
        <v>14.3</v>
      </c>
      <c r="AS1735" s="29">
        <v>96.327079999999995</v>
      </c>
      <c r="AT1735" s="270">
        <v>38</v>
      </c>
      <c r="AU1735" s="464">
        <v>72.816286549781523</v>
      </c>
      <c r="AV1735" s="29">
        <v>9.0719139218499306E-2</v>
      </c>
      <c r="AW1735" s="29">
        <v>-0.738042232413051</v>
      </c>
      <c r="AX1735" s="29">
        <v>-0.145710327623474</v>
      </c>
      <c r="AY1735" s="29">
        <v>0.476881348098389</v>
      </c>
      <c r="AZ1735" s="60">
        <v>-0.248937037637317</v>
      </c>
    </row>
    <row r="1736" spans="1:52" ht="15" customHeight="1">
      <c r="A1736" s="63" t="s">
        <v>452</v>
      </c>
      <c r="B1736" s="53">
        <v>2011</v>
      </c>
      <c r="C1736" s="146" t="s">
        <v>442</v>
      </c>
      <c r="D1736" s="69" t="s">
        <v>214</v>
      </c>
      <c r="E1736" s="29" t="s">
        <v>19</v>
      </c>
      <c r="F1736" s="27" t="s">
        <v>882</v>
      </c>
      <c r="G1736" s="43">
        <v>2000</v>
      </c>
      <c r="H1736" s="43"/>
      <c r="I1736" s="43"/>
      <c r="J1736" s="43"/>
      <c r="K1736" s="27" t="s">
        <v>567</v>
      </c>
      <c r="L1736" s="28">
        <v>12</v>
      </c>
      <c r="M1736" s="27" t="s">
        <v>568</v>
      </c>
      <c r="N1736" s="27" t="s">
        <v>1956</v>
      </c>
      <c r="O1736" s="18">
        <f t="shared" si="25"/>
        <v>24000</v>
      </c>
      <c r="P1736" s="214"/>
      <c r="Q1736" s="214"/>
      <c r="R1736" s="71"/>
      <c r="S1736" s="27"/>
      <c r="T1736" s="18"/>
      <c r="U1736" s="27"/>
      <c r="V1736" s="18"/>
      <c r="W1736" s="30"/>
      <c r="X1736" s="27"/>
      <c r="Y1736" s="27"/>
      <c r="Z1736" s="27"/>
      <c r="AA1736" s="27"/>
      <c r="AB1736" s="27"/>
      <c r="AC1736" s="273">
        <v>5884323617</v>
      </c>
      <c r="AD1736" s="27">
        <v>170564249004.95398</v>
      </c>
      <c r="AE1736" s="228">
        <v>3.4499161760616619E-2</v>
      </c>
      <c r="AF1736" s="27">
        <v>34239067345.254463</v>
      </c>
      <c r="AG1736" s="226">
        <v>0.17185992707291331</v>
      </c>
      <c r="AH1736" s="226">
        <v>0.58802189429208407</v>
      </c>
      <c r="AI1736" s="27">
        <v>604820000</v>
      </c>
      <c r="AJ1736" s="226">
        <v>9.7290493320326714</v>
      </c>
      <c r="AK1736" s="27">
        <v>4603592064.7845087</v>
      </c>
      <c r="AL1736" s="226">
        <v>1.2782026587482707</v>
      </c>
      <c r="AM1736" s="27">
        <v>4317271101.5386934</v>
      </c>
      <c r="AN1736" s="271">
        <v>1.3629729240081316</v>
      </c>
      <c r="AO1736" s="27">
        <v>29614887</v>
      </c>
      <c r="AP1736" s="27">
        <v>27.8</v>
      </c>
      <c r="AQ1736" s="27">
        <v>74.210536585365858</v>
      </c>
      <c r="AR1736" s="27">
        <v>14.3</v>
      </c>
      <c r="AS1736" s="29">
        <v>96.327079999999995</v>
      </c>
      <c r="AT1736" s="270">
        <v>38</v>
      </c>
      <c r="AU1736" s="464">
        <v>72.816286549781523</v>
      </c>
      <c r="AV1736" s="29">
        <v>9.0719139218499306E-2</v>
      </c>
      <c r="AW1736" s="29">
        <v>-0.738042232413051</v>
      </c>
      <c r="AX1736" s="29">
        <v>-0.145710327623474</v>
      </c>
      <c r="AY1736" s="29">
        <v>0.476881348098389</v>
      </c>
      <c r="AZ1736" s="60">
        <v>-0.248937037637317</v>
      </c>
    </row>
    <row r="1737" spans="1:52" ht="15" customHeight="1">
      <c r="A1737" s="63" t="s">
        <v>452</v>
      </c>
      <c r="B1737" s="53">
        <v>2011</v>
      </c>
      <c r="C1737" s="146" t="s">
        <v>442</v>
      </c>
      <c r="D1737" s="69" t="s">
        <v>214</v>
      </c>
      <c r="E1737" s="29" t="s">
        <v>19</v>
      </c>
      <c r="F1737" s="27" t="s">
        <v>1131</v>
      </c>
      <c r="G1737" s="43">
        <v>331000</v>
      </c>
      <c r="H1737" s="43"/>
      <c r="I1737" s="43"/>
      <c r="J1737" s="43"/>
      <c r="K1737" s="27" t="s">
        <v>567</v>
      </c>
      <c r="L1737" s="28">
        <v>18.5</v>
      </c>
      <c r="M1737" s="27" t="s">
        <v>568</v>
      </c>
      <c r="N1737" s="27" t="s">
        <v>1957</v>
      </c>
      <c r="O1737" s="18">
        <f t="shared" si="25"/>
        <v>6123500</v>
      </c>
      <c r="P1737" s="214"/>
      <c r="Q1737" s="214"/>
      <c r="R1737" s="71"/>
      <c r="S1737" s="27"/>
      <c r="T1737" s="18"/>
      <c r="U1737" s="27"/>
      <c r="V1737" s="18"/>
      <c r="W1737" s="30"/>
      <c r="X1737" s="27"/>
      <c r="Y1737" s="27"/>
      <c r="Z1737" s="27"/>
      <c r="AA1737" s="27"/>
      <c r="AB1737" s="27"/>
      <c r="AC1737" s="273">
        <v>5884323617</v>
      </c>
      <c r="AD1737" s="27">
        <v>170564249004.95398</v>
      </c>
      <c r="AE1737" s="228">
        <v>3.4499161760616619E-2</v>
      </c>
      <c r="AF1737" s="27">
        <v>34239067345.254463</v>
      </c>
      <c r="AG1737" s="226">
        <v>0.17185992707291331</v>
      </c>
      <c r="AH1737" s="226">
        <v>0.58802189429208407</v>
      </c>
      <c r="AI1737" s="27">
        <v>604820000</v>
      </c>
      <c r="AJ1737" s="226">
        <v>9.7290493320326714</v>
      </c>
      <c r="AK1737" s="27">
        <v>4603592064.7845087</v>
      </c>
      <c r="AL1737" s="226">
        <v>1.2782026587482707</v>
      </c>
      <c r="AM1737" s="27">
        <v>4317271101.5386934</v>
      </c>
      <c r="AN1737" s="271">
        <v>1.3629729240081316</v>
      </c>
      <c r="AO1737" s="27">
        <v>29614887</v>
      </c>
      <c r="AP1737" s="27">
        <v>27.8</v>
      </c>
      <c r="AQ1737" s="27">
        <v>74.210536585365858</v>
      </c>
      <c r="AR1737" s="27">
        <v>14.3</v>
      </c>
      <c r="AS1737" s="29">
        <v>96.327079999999995</v>
      </c>
      <c r="AT1737" s="270">
        <v>38</v>
      </c>
      <c r="AU1737" s="464">
        <v>72.816286549781523</v>
      </c>
      <c r="AV1737" s="29">
        <v>9.0719139218499306E-2</v>
      </c>
      <c r="AW1737" s="29">
        <v>-0.738042232413051</v>
      </c>
      <c r="AX1737" s="29">
        <v>-0.145710327623474</v>
      </c>
      <c r="AY1737" s="29">
        <v>0.476881348098389</v>
      </c>
      <c r="AZ1737" s="60">
        <v>-0.248937037637317</v>
      </c>
    </row>
    <row r="1738" spans="1:52" ht="15" customHeight="1">
      <c r="A1738" s="63" t="s">
        <v>452</v>
      </c>
      <c r="B1738" s="53">
        <v>2011</v>
      </c>
      <c r="C1738" s="146" t="s">
        <v>442</v>
      </c>
      <c r="D1738" s="69" t="s">
        <v>214</v>
      </c>
      <c r="E1738" s="29" t="s">
        <v>19</v>
      </c>
      <c r="F1738" s="27" t="s">
        <v>1892</v>
      </c>
      <c r="G1738" s="43">
        <v>2000</v>
      </c>
      <c r="H1738" s="43"/>
      <c r="I1738" s="43"/>
      <c r="J1738" s="43"/>
      <c r="K1738" s="27" t="s">
        <v>894</v>
      </c>
      <c r="L1738" s="28">
        <v>720</v>
      </c>
      <c r="M1738" s="27" t="s">
        <v>1743</v>
      </c>
      <c r="N1738" s="27" t="s">
        <v>1914</v>
      </c>
      <c r="O1738" s="18">
        <f t="shared" si="25"/>
        <v>1440000</v>
      </c>
      <c r="P1738" s="214"/>
      <c r="Q1738" s="214"/>
      <c r="R1738" s="71"/>
      <c r="S1738" s="27"/>
      <c r="T1738" s="18"/>
      <c r="U1738" s="27"/>
      <c r="V1738" s="18"/>
      <c r="W1738" s="30"/>
      <c r="X1738" s="27"/>
      <c r="Y1738" s="27"/>
      <c r="Z1738" s="27"/>
      <c r="AA1738" s="27"/>
      <c r="AB1738" s="27"/>
      <c r="AC1738" s="273">
        <v>5884323617</v>
      </c>
      <c r="AD1738" s="27">
        <v>170564249004.95398</v>
      </c>
      <c r="AE1738" s="228">
        <v>3.4499161760616619E-2</v>
      </c>
      <c r="AF1738" s="27">
        <v>34239067345.254463</v>
      </c>
      <c r="AG1738" s="226">
        <v>0.17185992707291331</v>
      </c>
      <c r="AH1738" s="226">
        <v>0.58802189429208407</v>
      </c>
      <c r="AI1738" s="27">
        <v>604820000</v>
      </c>
      <c r="AJ1738" s="226">
        <v>9.7290493320326714</v>
      </c>
      <c r="AK1738" s="27">
        <v>4603592064.7845087</v>
      </c>
      <c r="AL1738" s="226">
        <v>1.2782026587482707</v>
      </c>
      <c r="AM1738" s="27">
        <v>4317271101.5386934</v>
      </c>
      <c r="AN1738" s="271">
        <v>1.3629729240081316</v>
      </c>
      <c r="AO1738" s="27">
        <v>29614887</v>
      </c>
      <c r="AP1738" s="27">
        <v>27.8</v>
      </c>
      <c r="AQ1738" s="27">
        <v>74.210536585365858</v>
      </c>
      <c r="AR1738" s="27">
        <v>14.3</v>
      </c>
      <c r="AS1738" s="29">
        <v>96.327079999999995</v>
      </c>
      <c r="AT1738" s="270">
        <v>38</v>
      </c>
      <c r="AU1738" s="464">
        <v>72.816286549781523</v>
      </c>
      <c r="AV1738" s="29">
        <v>9.0719139218499306E-2</v>
      </c>
      <c r="AW1738" s="29">
        <v>-0.738042232413051</v>
      </c>
      <c r="AX1738" s="29">
        <v>-0.145710327623474</v>
      </c>
      <c r="AY1738" s="29">
        <v>0.476881348098389</v>
      </c>
      <c r="AZ1738" s="60">
        <v>-0.248937037637317</v>
      </c>
    </row>
    <row r="1739" spans="1:52" ht="15" customHeight="1">
      <c r="A1739" s="63" t="s">
        <v>452</v>
      </c>
      <c r="B1739" s="53">
        <v>2011</v>
      </c>
      <c r="C1739" s="146" t="s">
        <v>442</v>
      </c>
      <c r="D1739" s="69" t="s">
        <v>214</v>
      </c>
      <c r="E1739" s="29" t="s">
        <v>19</v>
      </c>
      <c r="F1739" s="27" t="s">
        <v>1133</v>
      </c>
      <c r="G1739" s="43">
        <v>10626000</v>
      </c>
      <c r="H1739" s="43"/>
      <c r="I1739" s="43"/>
      <c r="J1739" s="43"/>
      <c r="K1739" s="27" t="s">
        <v>567</v>
      </c>
      <c r="L1739" s="28">
        <v>167.75416666666999</v>
      </c>
      <c r="M1739" s="27" t="s">
        <v>568</v>
      </c>
      <c r="N1739" s="27" t="s">
        <v>1320</v>
      </c>
      <c r="O1739" s="18">
        <f t="shared" si="25"/>
        <v>1782555775.0000353</v>
      </c>
      <c r="P1739" s="214"/>
      <c r="Q1739" s="214"/>
      <c r="R1739" s="71"/>
      <c r="S1739" s="27"/>
      <c r="T1739" s="18"/>
      <c r="U1739" s="27"/>
      <c r="V1739" s="18"/>
      <c r="W1739" s="30"/>
      <c r="X1739" s="27"/>
      <c r="Y1739" s="27"/>
      <c r="Z1739" s="27"/>
      <c r="AA1739" s="27"/>
      <c r="AB1739" s="27"/>
      <c r="AC1739" s="273">
        <v>5884323617</v>
      </c>
      <c r="AD1739" s="27">
        <v>170564249004.95398</v>
      </c>
      <c r="AE1739" s="228">
        <v>3.4499161760616619E-2</v>
      </c>
      <c r="AF1739" s="27">
        <v>34239067345.254463</v>
      </c>
      <c r="AG1739" s="226">
        <v>0.17185992707291331</v>
      </c>
      <c r="AH1739" s="226">
        <v>0.58802189429208407</v>
      </c>
      <c r="AI1739" s="27">
        <v>604820000</v>
      </c>
      <c r="AJ1739" s="226">
        <v>9.7290493320326714</v>
      </c>
      <c r="AK1739" s="27">
        <v>4603592064.7845087</v>
      </c>
      <c r="AL1739" s="226">
        <v>1.2782026587482707</v>
      </c>
      <c r="AM1739" s="27">
        <v>4317271101.5386934</v>
      </c>
      <c r="AN1739" s="271">
        <v>1.3629729240081316</v>
      </c>
      <c r="AO1739" s="27">
        <v>29614887</v>
      </c>
      <c r="AP1739" s="27">
        <v>27.8</v>
      </c>
      <c r="AQ1739" s="27">
        <v>74.210536585365858</v>
      </c>
      <c r="AR1739" s="27">
        <v>14.3</v>
      </c>
      <c r="AS1739" s="29">
        <v>96.327079999999995</v>
      </c>
      <c r="AT1739" s="270">
        <v>38</v>
      </c>
      <c r="AU1739" s="464">
        <v>72.816286549781523</v>
      </c>
      <c r="AV1739" s="29">
        <v>9.0719139218499306E-2</v>
      </c>
      <c r="AW1739" s="29">
        <v>-0.738042232413051</v>
      </c>
      <c r="AX1739" s="29">
        <v>-0.145710327623474</v>
      </c>
      <c r="AY1739" s="29">
        <v>0.476881348098389</v>
      </c>
      <c r="AZ1739" s="60">
        <v>-0.248937037637317</v>
      </c>
    </row>
    <row r="1740" spans="1:52" ht="15" customHeight="1">
      <c r="A1740" s="63" t="s">
        <v>452</v>
      </c>
      <c r="B1740" s="53">
        <v>2011</v>
      </c>
      <c r="C1740" s="146" t="s">
        <v>442</v>
      </c>
      <c r="D1740" s="69" t="s">
        <v>214</v>
      </c>
      <c r="E1740" s="29" t="s">
        <v>19</v>
      </c>
      <c r="F1740" s="27" t="s">
        <v>1135</v>
      </c>
      <c r="G1740" s="43">
        <v>18169</v>
      </c>
      <c r="H1740" s="43"/>
      <c r="I1740" s="43"/>
      <c r="J1740" s="43"/>
      <c r="K1740" s="27" t="s">
        <v>567</v>
      </c>
      <c r="L1740" s="28">
        <v>143</v>
      </c>
      <c r="M1740" s="27" t="s">
        <v>568</v>
      </c>
      <c r="N1740" s="27" t="s">
        <v>1958</v>
      </c>
      <c r="O1740" s="18">
        <f t="shared" si="25"/>
        <v>2598167</v>
      </c>
      <c r="P1740" s="214"/>
      <c r="Q1740" s="214"/>
      <c r="R1740" s="71"/>
      <c r="S1740" s="27"/>
      <c r="T1740" s="18"/>
      <c r="U1740" s="27"/>
      <c r="V1740" s="18"/>
      <c r="W1740" s="30"/>
      <c r="X1740" s="27"/>
      <c r="Y1740" s="27"/>
      <c r="Z1740" s="27"/>
      <c r="AA1740" s="27"/>
      <c r="AB1740" s="27"/>
      <c r="AC1740" s="273">
        <v>5884323617</v>
      </c>
      <c r="AD1740" s="27">
        <v>170564249004.95398</v>
      </c>
      <c r="AE1740" s="228">
        <v>3.4499161760616619E-2</v>
      </c>
      <c r="AF1740" s="27">
        <v>34239067345.254463</v>
      </c>
      <c r="AG1740" s="226">
        <v>0.17185992707291331</v>
      </c>
      <c r="AH1740" s="226">
        <v>0.58802189429208407</v>
      </c>
      <c r="AI1740" s="27">
        <v>604820000</v>
      </c>
      <c r="AJ1740" s="226">
        <v>9.7290493320326714</v>
      </c>
      <c r="AK1740" s="27">
        <v>4603592064.7845087</v>
      </c>
      <c r="AL1740" s="226">
        <v>1.2782026587482707</v>
      </c>
      <c r="AM1740" s="27">
        <v>4317271101.5386934</v>
      </c>
      <c r="AN1740" s="271">
        <v>1.3629729240081316</v>
      </c>
      <c r="AO1740" s="27">
        <v>29614887</v>
      </c>
      <c r="AP1740" s="27">
        <v>27.8</v>
      </c>
      <c r="AQ1740" s="27">
        <v>74.210536585365858</v>
      </c>
      <c r="AR1740" s="27">
        <v>14.3</v>
      </c>
      <c r="AS1740" s="29">
        <v>96.327079999999995</v>
      </c>
      <c r="AT1740" s="270">
        <v>38</v>
      </c>
      <c r="AU1740" s="464">
        <v>72.816286549781523</v>
      </c>
      <c r="AV1740" s="29">
        <v>9.0719139218499306E-2</v>
      </c>
      <c r="AW1740" s="29">
        <v>-0.738042232413051</v>
      </c>
      <c r="AX1740" s="29">
        <v>-0.145710327623474</v>
      </c>
      <c r="AY1740" s="29">
        <v>0.476881348098389</v>
      </c>
      <c r="AZ1740" s="60">
        <v>-0.248937037637317</v>
      </c>
    </row>
    <row r="1741" spans="1:52" ht="15" customHeight="1">
      <c r="A1741" s="63" t="s">
        <v>452</v>
      </c>
      <c r="B1741" s="53">
        <v>2011</v>
      </c>
      <c r="C1741" s="146" t="s">
        <v>442</v>
      </c>
      <c r="D1741" s="69" t="s">
        <v>214</v>
      </c>
      <c r="E1741" s="29" t="s">
        <v>19</v>
      </c>
      <c r="F1741" s="27" t="s">
        <v>1360</v>
      </c>
      <c r="G1741" s="43"/>
      <c r="H1741" s="43"/>
      <c r="I1741" s="43"/>
      <c r="J1741" s="43"/>
      <c r="K1741" s="27"/>
      <c r="L1741" s="44">
        <v>2400.8120833333301</v>
      </c>
      <c r="M1741" s="27" t="s">
        <v>568</v>
      </c>
      <c r="N1741" s="27" t="s">
        <v>1895</v>
      </c>
      <c r="O1741" s="18">
        <f>G1743*L1741</f>
        <v>48597238.190833271</v>
      </c>
      <c r="P1741" s="244"/>
      <c r="Q1741" s="244"/>
      <c r="R1741" s="18"/>
      <c r="S1741" s="27"/>
      <c r="T1741" s="18"/>
      <c r="U1741" s="27"/>
      <c r="V1741" s="18"/>
      <c r="W1741" s="30"/>
      <c r="X1741" s="27"/>
      <c r="Y1741" s="27"/>
      <c r="Z1741" s="27"/>
      <c r="AA1741" s="27"/>
      <c r="AB1741" s="27"/>
      <c r="AC1741" s="273">
        <v>5884323617</v>
      </c>
      <c r="AD1741" s="27">
        <v>170564249004.95398</v>
      </c>
      <c r="AE1741" s="228">
        <v>3.4499161760616619E-2</v>
      </c>
      <c r="AF1741" s="27">
        <v>34239067345.254463</v>
      </c>
      <c r="AG1741" s="226">
        <v>0.17185992707291331</v>
      </c>
      <c r="AH1741" s="226">
        <v>0.58802189429208407</v>
      </c>
      <c r="AI1741" s="27">
        <v>604820000</v>
      </c>
      <c r="AJ1741" s="226">
        <v>9.7290493320326714</v>
      </c>
      <c r="AK1741" s="27">
        <v>4603592064.7845087</v>
      </c>
      <c r="AL1741" s="226">
        <v>1.2782026587482707</v>
      </c>
      <c r="AM1741" s="27">
        <v>4317271101.5386934</v>
      </c>
      <c r="AN1741" s="271">
        <v>1.3629729240081316</v>
      </c>
      <c r="AO1741" s="27">
        <v>29614887</v>
      </c>
      <c r="AP1741" s="27">
        <v>27.8</v>
      </c>
      <c r="AQ1741" s="27">
        <v>74.210536585365858</v>
      </c>
      <c r="AR1741" s="27">
        <v>14.3</v>
      </c>
      <c r="AS1741" s="29">
        <v>96.327079999999995</v>
      </c>
      <c r="AT1741" s="270">
        <v>38</v>
      </c>
      <c r="AU1741" s="464">
        <v>72.816286549781523</v>
      </c>
      <c r="AV1741" s="29">
        <v>9.0719139218499306E-2</v>
      </c>
      <c r="AW1741" s="29">
        <v>-0.738042232413051</v>
      </c>
      <c r="AX1741" s="29">
        <v>-0.145710327623474</v>
      </c>
      <c r="AY1741" s="29">
        <v>0.476881348098389</v>
      </c>
      <c r="AZ1741" s="60">
        <v>-0.248937037637317</v>
      </c>
    </row>
    <row r="1742" spans="1:52" ht="15" customHeight="1">
      <c r="A1742" s="63" t="s">
        <v>452</v>
      </c>
      <c r="B1742" s="53">
        <v>2011</v>
      </c>
      <c r="C1742" s="146" t="s">
        <v>442</v>
      </c>
      <c r="D1742" s="69" t="s">
        <v>214</v>
      </c>
      <c r="E1742" s="29" t="s">
        <v>19</v>
      </c>
      <c r="F1742" s="27" t="s">
        <v>1897</v>
      </c>
      <c r="G1742" s="43">
        <v>230172</v>
      </c>
      <c r="H1742" s="43"/>
      <c r="I1742" s="43"/>
      <c r="J1742" s="43"/>
      <c r="K1742" s="27" t="s">
        <v>567</v>
      </c>
      <c r="L1742" s="28"/>
      <c r="M1742" s="27"/>
      <c r="N1742" s="27" t="s">
        <v>788</v>
      </c>
      <c r="O1742" s="18"/>
      <c r="P1742" s="214"/>
      <c r="Q1742" s="214"/>
      <c r="R1742" s="29"/>
      <c r="S1742" s="27"/>
      <c r="T1742" s="18"/>
      <c r="U1742" s="27"/>
      <c r="V1742" s="29"/>
      <c r="W1742" s="30"/>
      <c r="X1742" s="27"/>
      <c r="Y1742" s="27"/>
      <c r="Z1742" s="27"/>
      <c r="AA1742" s="27"/>
      <c r="AB1742" s="27"/>
      <c r="AC1742" s="273">
        <v>5884323617</v>
      </c>
      <c r="AD1742" s="27">
        <v>170564249004.95398</v>
      </c>
      <c r="AE1742" s="228">
        <v>3.4499161760616619E-2</v>
      </c>
      <c r="AF1742" s="27">
        <v>34239067345.254463</v>
      </c>
      <c r="AG1742" s="226">
        <v>0.17185992707291331</v>
      </c>
      <c r="AH1742" s="226">
        <v>0.58802189429208407</v>
      </c>
      <c r="AI1742" s="27">
        <v>604820000</v>
      </c>
      <c r="AJ1742" s="226">
        <v>9.7290493320326714</v>
      </c>
      <c r="AK1742" s="27">
        <v>4603592064.7845087</v>
      </c>
      <c r="AL1742" s="226">
        <v>1.2782026587482707</v>
      </c>
      <c r="AM1742" s="27">
        <v>4317271101.5386934</v>
      </c>
      <c r="AN1742" s="271">
        <v>1.3629729240081316</v>
      </c>
      <c r="AO1742" s="27">
        <v>29614887</v>
      </c>
      <c r="AP1742" s="27">
        <v>27.8</v>
      </c>
      <c r="AQ1742" s="27">
        <v>74.210536585365858</v>
      </c>
      <c r="AR1742" s="27">
        <v>14.3</v>
      </c>
      <c r="AS1742" s="29">
        <v>96.327079999999995</v>
      </c>
      <c r="AT1742" s="270">
        <v>38</v>
      </c>
      <c r="AU1742" s="464">
        <v>72.816286549781523</v>
      </c>
      <c r="AV1742" s="29">
        <v>9.0719139218499306E-2</v>
      </c>
      <c r="AW1742" s="29">
        <v>-0.738042232413051</v>
      </c>
      <c r="AX1742" s="29">
        <v>-0.145710327623474</v>
      </c>
      <c r="AY1742" s="29">
        <v>0.476881348098389</v>
      </c>
      <c r="AZ1742" s="60">
        <v>-0.248937037637317</v>
      </c>
    </row>
    <row r="1743" spans="1:52" ht="15" customHeight="1">
      <c r="A1743" s="63" t="s">
        <v>452</v>
      </c>
      <c r="B1743" s="53">
        <v>2011</v>
      </c>
      <c r="C1743" s="146" t="s">
        <v>442</v>
      </c>
      <c r="D1743" s="69" t="s">
        <v>214</v>
      </c>
      <c r="E1743" s="29" t="s">
        <v>19</v>
      </c>
      <c r="F1743" s="27" t="s">
        <v>1238</v>
      </c>
      <c r="G1743" s="43">
        <v>20242</v>
      </c>
      <c r="H1743" s="43"/>
      <c r="I1743" s="43"/>
      <c r="J1743" s="43"/>
      <c r="K1743" s="27" t="s">
        <v>567</v>
      </c>
      <c r="L1743" s="28"/>
      <c r="M1743" s="27"/>
      <c r="N1743" s="27" t="s">
        <v>788</v>
      </c>
      <c r="O1743" s="18"/>
      <c r="P1743" s="214"/>
      <c r="Q1743" s="214"/>
      <c r="R1743" s="29"/>
      <c r="S1743" s="27"/>
      <c r="T1743" s="18"/>
      <c r="U1743" s="27"/>
      <c r="V1743" s="29"/>
      <c r="W1743" s="30"/>
      <c r="X1743" s="27"/>
      <c r="Y1743" s="27"/>
      <c r="Z1743" s="27"/>
      <c r="AA1743" s="27"/>
      <c r="AB1743" s="27"/>
      <c r="AC1743" s="273">
        <v>5884323617</v>
      </c>
      <c r="AD1743" s="27">
        <v>170564249004.95398</v>
      </c>
      <c r="AE1743" s="228">
        <v>3.4499161760616619E-2</v>
      </c>
      <c r="AF1743" s="27">
        <v>34239067345.254463</v>
      </c>
      <c r="AG1743" s="226">
        <v>0.17185992707291331</v>
      </c>
      <c r="AH1743" s="226">
        <v>0.58802189429208407</v>
      </c>
      <c r="AI1743" s="27">
        <v>604820000</v>
      </c>
      <c r="AJ1743" s="226">
        <v>9.7290493320326714</v>
      </c>
      <c r="AK1743" s="27">
        <v>4603592064.7845087</v>
      </c>
      <c r="AL1743" s="226">
        <v>1.2782026587482707</v>
      </c>
      <c r="AM1743" s="27">
        <v>4317271101.5386934</v>
      </c>
      <c r="AN1743" s="271">
        <v>1.3629729240081316</v>
      </c>
      <c r="AO1743" s="27">
        <v>29614887</v>
      </c>
      <c r="AP1743" s="27">
        <v>27.8</v>
      </c>
      <c r="AQ1743" s="27">
        <v>74.210536585365858</v>
      </c>
      <c r="AR1743" s="27">
        <v>14.3</v>
      </c>
      <c r="AS1743" s="29">
        <v>96.327079999999995</v>
      </c>
      <c r="AT1743" s="270">
        <v>38</v>
      </c>
      <c r="AU1743" s="464">
        <v>72.816286549781523</v>
      </c>
      <c r="AV1743" s="29">
        <v>9.0719139218499306E-2</v>
      </c>
      <c r="AW1743" s="29">
        <v>-0.738042232413051</v>
      </c>
      <c r="AX1743" s="29">
        <v>-0.145710327623474</v>
      </c>
      <c r="AY1743" s="29">
        <v>0.476881348098389</v>
      </c>
      <c r="AZ1743" s="60">
        <v>-0.248937037637317</v>
      </c>
    </row>
    <row r="1744" spans="1:52" ht="15" customHeight="1">
      <c r="A1744" s="63" t="s">
        <v>452</v>
      </c>
      <c r="B1744" s="53">
        <v>2011</v>
      </c>
      <c r="C1744" s="146" t="s">
        <v>442</v>
      </c>
      <c r="D1744" s="69" t="s">
        <v>214</v>
      </c>
      <c r="E1744" s="29" t="s">
        <v>19</v>
      </c>
      <c r="F1744" s="27" t="s">
        <v>1934</v>
      </c>
      <c r="G1744" s="43">
        <v>216000</v>
      </c>
      <c r="H1744" s="43"/>
      <c r="I1744" s="43"/>
      <c r="J1744" s="43"/>
      <c r="K1744" s="27" t="s">
        <v>567</v>
      </c>
      <c r="L1744" s="28">
        <v>119.4</v>
      </c>
      <c r="M1744" s="27" t="s">
        <v>568</v>
      </c>
      <c r="N1744" s="27" t="s">
        <v>1959</v>
      </c>
      <c r="O1744" s="18">
        <f t="shared" ref="O1744:O1749" si="26">G1744*L1744</f>
        <v>25790400</v>
      </c>
      <c r="P1744" s="214"/>
      <c r="Q1744" s="214"/>
      <c r="R1744" s="29"/>
      <c r="S1744" s="27"/>
      <c r="T1744" s="18"/>
      <c r="U1744" s="27"/>
      <c r="V1744" s="29"/>
      <c r="W1744" s="30"/>
      <c r="X1744" s="27"/>
      <c r="Y1744" s="27"/>
      <c r="Z1744" s="27"/>
      <c r="AA1744" s="27"/>
      <c r="AB1744" s="27"/>
      <c r="AC1744" s="273">
        <v>5884323617</v>
      </c>
      <c r="AD1744" s="27">
        <v>170564249004.95398</v>
      </c>
      <c r="AE1744" s="228">
        <v>3.4499161760616619E-2</v>
      </c>
      <c r="AF1744" s="27">
        <v>34239067345.254463</v>
      </c>
      <c r="AG1744" s="226">
        <v>0.17185992707291331</v>
      </c>
      <c r="AH1744" s="226">
        <v>0.58802189429208407</v>
      </c>
      <c r="AI1744" s="27">
        <v>604820000</v>
      </c>
      <c r="AJ1744" s="226">
        <v>9.7290493320326714</v>
      </c>
      <c r="AK1744" s="27">
        <v>4603592064.7845087</v>
      </c>
      <c r="AL1744" s="226">
        <v>1.2782026587482707</v>
      </c>
      <c r="AM1744" s="27">
        <v>4317271101.5386934</v>
      </c>
      <c r="AN1744" s="271">
        <v>1.3629729240081316</v>
      </c>
      <c r="AO1744" s="27">
        <v>29614887</v>
      </c>
      <c r="AP1744" s="27">
        <v>27.8</v>
      </c>
      <c r="AQ1744" s="27">
        <v>74.210536585365858</v>
      </c>
      <c r="AR1744" s="27">
        <v>14.3</v>
      </c>
      <c r="AS1744" s="29">
        <v>96.327079999999995</v>
      </c>
      <c r="AT1744" s="270">
        <v>38</v>
      </c>
      <c r="AU1744" s="464">
        <v>72.816286549781523</v>
      </c>
      <c r="AV1744" s="29">
        <v>9.0719139218499306E-2</v>
      </c>
      <c r="AW1744" s="29">
        <v>-0.738042232413051</v>
      </c>
      <c r="AX1744" s="29">
        <v>-0.145710327623474</v>
      </c>
      <c r="AY1744" s="29">
        <v>0.476881348098389</v>
      </c>
      <c r="AZ1744" s="60">
        <v>-0.248937037637317</v>
      </c>
    </row>
    <row r="1745" spans="1:52" ht="15" customHeight="1">
      <c r="A1745" s="63" t="s">
        <v>452</v>
      </c>
      <c r="B1745" s="53">
        <v>2011</v>
      </c>
      <c r="C1745" s="146" t="s">
        <v>442</v>
      </c>
      <c r="D1745" s="69" t="s">
        <v>214</v>
      </c>
      <c r="E1745" s="29" t="s">
        <v>19</v>
      </c>
      <c r="F1745" s="27" t="s">
        <v>653</v>
      </c>
      <c r="G1745" s="43">
        <v>11581000</v>
      </c>
      <c r="H1745" s="43"/>
      <c r="I1745" s="43"/>
      <c r="J1745" s="43"/>
      <c r="K1745" s="27" t="s">
        <v>567</v>
      </c>
      <c r="L1745" s="28">
        <v>9.06</v>
      </c>
      <c r="M1745" s="27" t="s">
        <v>568</v>
      </c>
      <c r="N1745" s="27" t="s">
        <v>1960</v>
      </c>
      <c r="O1745" s="18">
        <f t="shared" si="26"/>
        <v>104923860</v>
      </c>
      <c r="P1745" s="214"/>
      <c r="Q1745" s="214"/>
      <c r="R1745" s="29"/>
      <c r="S1745" s="27"/>
      <c r="T1745" s="18"/>
      <c r="U1745" s="27"/>
      <c r="V1745" s="29"/>
      <c r="W1745" s="30"/>
      <c r="X1745" s="27"/>
      <c r="Y1745" s="27"/>
      <c r="Z1745" s="27"/>
      <c r="AA1745" s="27"/>
      <c r="AB1745" s="27"/>
      <c r="AC1745" s="273">
        <v>5884323617</v>
      </c>
      <c r="AD1745" s="27">
        <v>170564249004.95398</v>
      </c>
      <c r="AE1745" s="228">
        <v>3.4499161760616619E-2</v>
      </c>
      <c r="AF1745" s="27">
        <v>34239067345.254463</v>
      </c>
      <c r="AG1745" s="226">
        <v>0.17185992707291331</v>
      </c>
      <c r="AH1745" s="226">
        <v>0.58802189429208407</v>
      </c>
      <c r="AI1745" s="27">
        <v>604820000</v>
      </c>
      <c r="AJ1745" s="226">
        <v>9.7290493320326714</v>
      </c>
      <c r="AK1745" s="27">
        <v>4603592064.7845087</v>
      </c>
      <c r="AL1745" s="226">
        <v>1.2782026587482707</v>
      </c>
      <c r="AM1745" s="27">
        <v>4317271101.5386934</v>
      </c>
      <c r="AN1745" s="271">
        <v>1.3629729240081316</v>
      </c>
      <c r="AO1745" s="27">
        <v>29614887</v>
      </c>
      <c r="AP1745" s="27">
        <v>27.8</v>
      </c>
      <c r="AQ1745" s="27">
        <v>74.210536585365858</v>
      </c>
      <c r="AR1745" s="27">
        <v>14.3</v>
      </c>
      <c r="AS1745" s="29">
        <v>96.327079999999995</v>
      </c>
      <c r="AT1745" s="270">
        <v>38</v>
      </c>
      <c r="AU1745" s="464">
        <v>72.816286549781523</v>
      </c>
      <c r="AV1745" s="29">
        <v>9.0719139218499306E-2</v>
      </c>
      <c r="AW1745" s="29">
        <v>-0.738042232413051</v>
      </c>
      <c r="AX1745" s="29">
        <v>-0.145710327623474</v>
      </c>
      <c r="AY1745" s="29">
        <v>0.476881348098389</v>
      </c>
      <c r="AZ1745" s="60">
        <v>-0.248937037637317</v>
      </c>
    </row>
    <row r="1746" spans="1:52" ht="15" customHeight="1">
      <c r="A1746" s="63" t="s">
        <v>452</v>
      </c>
      <c r="B1746" s="53">
        <v>2011</v>
      </c>
      <c r="C1746" s="146" t="s">
        <v>442</v>
      </c>
      <c r="D1746" s="69" t="s">
        <v>214</v>
      </c>
      <c r="E1746" s="29" t="s">
        <v>19</v>
      </c>
      <c r="F1746" s="27" t="s">
        <v>784</v>
      </c>
      <c r="G1746" s="43">
        <v>200</v>
      </c>
      <c r="H1746" s="43"/>
      <c r="I1746" s="43"/>
      <c r="J1746" s="43"/>
      <c r="K1746" s="27" t="s">
        <v>567</v>
      </c>
      <c r="L1746" s="28">
        <v>7.88</v>
      </c>
      <c r="M1746" s="27" t="s">
        <v>568</v>
      </c>
      <c r="N1746" s="27" t="s">
        <v>1961</v>
      </c>
      <c r="O1746" s="18">
        <f t="shared" si="26"/>
        <v>1576</v>
      </c>
      <c r="P1746" s="214"/>
      <c r="Q1746" s="214"/>
      <c r="R1746" s="29"/>
      <c r="S1746" s="27"/>
      <c r="T1746" s="18"/>
      <c r="U1746" s="27"/>
      <c r="V1746" s="29"/>
      <c r="W1746" s="30"/>
      <c r="X1746" s="27"/>
      <c r="Y1746" s="27"/>
      <c r="Z1746" s="27"/>
      <c r="AA1746" s="27"/>
      <c r="AB1746" s="27"/>
      <c r="AC1746" s="273">
        <v>5884323617</v>
      </c>
      <c r="AD1746" s="27">
        <v>170564249004.95398</v>
      </c>
      <c r="AE1746" s="228">
        <v>3.4499161760616619E-2</v>
      </c>
      <c r="AF1746" s="27">
        <v>34239067345.254463</v>
      </c>
      <c r="AG1746" s="226">
        <v>0.17185992707291331</v>
      </c>
      <c r="AH1746" s="226">
        <v>0.58802189429208407</v>
      </c>
      <c r="AI1746" s="27">
        <v>604820000</v>
      </c>
      <c r="AJ1746" s="226">
        <v>9.7290493320326714</v>
      </c>
      <c r="AK1746" s="27">
        <v>4603592064.7845087</v>
      </c>
      <c r="AL1746" s="226">
        <v>1.2782026587482707</v>
      </c>
      <c r="AM1746" s="27">
        <v>4317271101.5386934</v>
      </c>
      <c r="AN1746" s="271">
        <v>1.3629729240081316</v>
      </c>
      <c r="AO1746" s="27">
        <v>29614887</v>
      </c>
      <c r="AP1746" s="27">
        <v>27.8</v>
      </c>
      <c r="AQ1746" s="27">
        <v>74.210536585365858</v>
      </c>
      <c r="AR1746" s="27">
        <v>14.3</v>
      </c>
      <c r="AS1746" s="29">
        <v>96.327079999999995</v>
      </c>
      <c r="AT1746" s="270">
        <v>38</v>
      </c>
      <c r="AU1746" s="464">
        <v>72.816286549781523</v>
      </c>
      <c r="AV1746" s="29">
        <v>9.0719139218499306E-2</v>
      </c>
      <c r="AW1746" s="29">
        <v>-0.738042232413051</v>
      </c>
      <c r="AX1746" s="29">
        <v>-0.145710327623474</v>
      </c>
      <c r="AY1746" s="29">
        <v>0.476881348098389</v>
      </c>
      <c r="AZ1746" s="60">
        <v>-0.248937037637317</v>
      </c>
    </row>
    <row r="1747" spans="1:52" ht="15" customHeight="1">
      <c r="A1747" s="63" t="s">
        <v>452</v>
      </c>
      <c r="B1747" s="53">
        <v>2011</v>
      </c>
      <c r="C1747" s="146" t="s">
        <v>442</v>
      </c>
      <c r="D1747" s="69" t="s">
        <v>214</v>
      </c>
      <c r="E1747" s="29" t="s">
        <v>19</v>
      </c>
      <c r="F1747" s="27" t="s">
        <v>613</v>
      </c>
      <c r="G1747" s="43">
        <v>0</v>
      </c>
      <c r="H1747" s="43"/>
      <c r="I1747" s="43"/>
      <c r="J1747" s="43"/>
      <c r="K1747" s="27" t="s">
        <v>567</v>
      </c>
      <c r="L1747" s="28"/>
      <c r="M1747" s="27"/>
      <c r="N1747" s="27" t="s">
        <v>788</v>
      </c>
      <c r="O1747" s="18">
        <f t="shared" si="26"/>
        <v>0</v>
      </c>
      <c r="P1747" s="214"/>
      <c r="Q1747" s="214"/>
      <c r="R1747" s="29"/>
      <c r="S1747" s="27"/>
      <c r="T1747" s="18"/>
      <c r="U1747" s="27"/>
      <c r="V1747" s="29"/>
      <c r="W1747" s="30"/>
      <c r="X1747" s="27"/>
      <c r="Y1747" s="27"/>
      <c r="Z1747" s="27"/>
      <c r="AA1747" s="27"/>
      <c r="AB1747" s="27"/>
      <c r="AC1747" s="273">
        <v>5884323617</v>
      </c>
      <c r="AD1747" s="27">
        <v>170564249004.95398</v>
      </c>
      <c r="AE1747" s="228">
        <v>3.4499161760616619E-2</v>
      </c>
      <c r="AF1747" s="27">
        <v>34239067345.254463</v>
      </c>
      <c r="AG1747" s="226">
        <v>0.17185992707291331</v>
      </c>
      <c r="AH1747" s="226">
        <v>0.58802189429208407</v>
      </c>
      <c r="AI1747" s="27">
        <v>604820000</v>
      </c>
      <c r="AJ1747" s="226">
        <v>9.7290493320326714</v>
      </c>
      <c r="AK1747" s="27">
        <v>4603592064.7845087</v>
      </c>
      <c r="AL1747" s="226">
        <v>1.2782026587482707</v>
      </c>
      <c r="AM1747" s="27">
        <v>4317271101.5386934</v>
      </c>
      <c r="AN1747" s="271">
        <v>1.3629729240081316</v>
      </c>
      <c r="AO1747" s="27">
        <v>29614887</v>
      </c>
      <c r="AP1747" s="27">
        <v>27.8</v>
      </c>
      <c r="AQ1747" s="27">
        <v>74.210536585365858</v>
      </c>
      <c r="AR1747" s="27">
        <v>14.3</v>
      </c>
      <c r="AS1747" s="29">
        <v>96.327079999999995</v>
      </c>
      <c r="AT1747" s="270">
        <v>38</v>
      </c>
      <c r="AU1747" s="464">
        <v>72.816286549781523</v>
      </c>
      <c r="AV1747" s="29">
        <v>9.0719139218499306E-2</v>
      </c>
      <c r="AW1747" s="29">
        <v>-0.738042232413051</v>
      </c>
      <c r="AX1747" s="29">
        <v>-0.145710327623474</v>
      </c>
      <c r="AY1747" s="29">
        <v>0.476881348098389</v>
      </c>
      <c r="AZ1747" s="60">
        <v>-0.248937037637317</v>
      </c>
    </row>
    <row r="1748" spans="1:52" ht="15" customHeight="1">
      <c r="A1748" s="63" t="s">
        <v>452</v>
      </c>
      <c r="B1748" s="53">
        <v>2011</v>
      </c>
      <c r="C1748" s="146" t="s">
        <v>442</v>
      </c>
      <c r="D1748" s="69" t="s">
        <v>214</v>
      </c>
      <c r="E1748" s="29" t="s">
        <v>19</v>
      </c>
      <c r="F1748" s="27" t="s">
        <v>1379</v>
      </c>
      <c r="G1748" s="43">
        <v>19141</v>
      </c>
      <c r="H1748" s="43"/>
      <c r="I1748" s="43"/>
      <c r="J1748" s="43"/>
      <c r="K1748" s="27" t="s">
        <v>567</v>
      </c>
      <c r="L1748" s="28">
        <v>34130</v>
      </c>
      <c r="M1748" s="27" t="s">
        <v>568</v>
      </c>
      <c r="N1748" s="27" t="s">
        <v>1962</v>
      </c>
      <c r="O1748" s="18">
        <f t="shared" si="26"/>
        <v>653282330</v>
      </c>
      <c r="P1748" s="214"/>
      <c r="Q1748" s="214"/>
      <c r="R1748" s="27"/>
      <c r="S1748" s="27"/>
      <c r="T1748" s="18"/>
      <c r="U1748" s="27"/>
      <c r="V1748" s="27"/>
      <c r="W1748" s="30"/>
      <c r="X1748" s="27"/>
      <c r="Y1748" s="27"/>
      <c r="Z1748" s="27"/>
      <c r="AA1748" s="27"/>
      <c r="AB1748" s="27"/>
      <c r="AC1748" s="273">
        <v>5884323617</v>
      </c>
      <c r="AD1748" s="27">
        <v>170564249004.95398</v>
      </c>
      <c r="AE1748" s="228">
        <v>3.4499161760616619E-2</v>
      </c>
      <c r="AF1748" s="27">
        <v>34239067345.254463</v>
      </c>
      <c r="AG1748" s="226">
        <v>0.17185992707291331</v>
      </c>
      <c r="AH1748" s="226">
        <v>0.58802189429208407</v>
      </c>
      <c r="AI1748" s="27">
        <v>604820000</v>
      </c>
      <c r="AJ1748" s="226">
        <v>9.7290493320326714</v>
      </c>
      <c r="AK1748" s="27">
        <v>4603592064.7845087</v>
      </c>
      <c r="AL1748" s="226">
        <v>1.2782026587482707</v>
      </c>
      <c r="AM1748" s="27">
        <v>4317271101.5386934</v>
      </c>
      <c r="AN1748" s="271">
        <v>1.3629729240081316</v>
      </c>
      <c r="AO1748" s="27">
        <v>29614887</v>
      </c>
      <c r="AP1748" s="27">
        <v>27.8</v>
      </c>
      <c r="AQ1748" s="27">
        <v>74.210536585365858</v>
      </c>
      <c r="AR1748" s="27">
        <v>14.3</v>
      </c>
      <c r="AS1748" s="29">
        <v>96.327079999999995</v>
      </c>
      <c r="AT1748" s="270">
        <v>38</v>
      </c>
      <c r="AU1748" s="464">
        <v>72.816286549781523</v>
      </c>
      <c r="AV1748" s="29">
        <v>9.0719139218499306E-2</v>
      </c>
      <c r="AW1748" s="29">
        <v>-0.738042232413051</v>
      </c>
      <c r="AX1748" s="29">
        <v>-0.145710327623474</v>
      </c>
      <c r="AY1748" s="29">
        <v>0.476881348098389</v>
      </c>
      <c r="AZ1748" s="60">
        <v>-0.248937037637317</v>
      </c>
    </row>
    <row r="1749" spans="1:52" ht="15" customHeight="1">
      <c r="A1749" s="63" t="s">
        <v>452</v>
      </c>
      <c r="B1749" s="53">
        <v>2011</v>
      </c>
      <c r="C1749" s="146" t="s">
        <v>442</v>
      </c>
      <c r="D1749" s="69" t="s">
        <v>214</v>
      </c>
      <c r="E1749" s="29" t="s">
        <v>19</v>
      </c>
      <c r="F1749" s="27" t="s">
        <v>1848</v>
      </c>
      <c r="G1749" s="43">
        <v>5000</v>
      </c>
      <c r="H1749" s="43"/>
      <c r="I1749" s="43"/>
      <c r="J1749" s="43"/>
      <c r="K1749" s="27" t="s">
        <v>567</v>
      </c>
      <c r="L1749" s="28">
        <v>531</v>
      </c>
      <c r="M1749" s="27" t="s">
        <v>568</v>
      </c>
      <c r="N1749" s="27" t="s">
        <v>1963</v>
      </c>
      <c r="O1749" s="18">
        <f t="shared" si="26"/>
        <v>2655000</v>
      </c>
      <c r="P1749" s="214"/>
      <c r="Q1749" s="214"/>
      <c r="R1749" s="18"/>
      <c r="S1749" s="27"/>
      <c r="T1749" s="18"/>
      <c r="U1749" s="27"/>
      <c r="V1749" s="18"/>
      <c r="W1749" s="30"/>
      <c r="X1749" s="27"/>
      <c r="Y1749" s="27"/>
      <c r="Z1749" s="27"/>
      <c r="AA1749" s="27"/>
      <c r="AB1749" s="27"/>
      <c r="AC1749" s="273">
        <v>5884323617</v>
      </c>
      <c r="AD1749" s="27">
        <v>170564249004.95398</v>
      </c>
      <c r="AE1749" s="228">
        <v>3.4499161760616619E-2</v>
      </c>
      <c r="AF1749" s="27">
        <v>34239067345.254463</v>
      </c>
      <c r="AG1749" s="226">
        <v>0.17185992707291331</v>
      </c>
      <c r="AH1749" s="226">
        <v>0.58802189429208407</v>
      </c>
      <c r="AI1749" s="27">
        <v>604820000</v>
      </c>
      <c r="AJ1749" s="226">
        <v>9.7290493320326714</v>
      </c>
      <c r="AK1749" s="27">
        <v>4603592064.7845087</v>
      </c>
      <c r="AL1749" s="226">
        <v>1.2782026587482707</v>
      </c>
      <c r="AM1749" s="27">
        <v>4317271101.5386934</v>
      </c>
      <c r="AN1749" s="271">
        <v>1.3629729240081316</v>
      </c>
      <c r="AO1749" s="27">
        <v>29614887</v>
      </c>
      <c r="AP1749" s="27">
        <v>27.8</v>
      </c>
      <c r="AQ1749" s="27">
        <v>74.210536585365858</v>
      </c>
      <c r="AR1749" s="27">
        <v>14.3</v>
      </c>
      <c r="AS1749" s="29">
        <v>96.327079999999995</v>
      </c>
      <c r="AT1749" s="270">
        <v>38</v>
      </c>
      <c r="AU1749" s="464">
        <v>72.816286549781523</v>
      </c>
      <c r="AV1749" s="29">
        <v>9.0719139218499306E-2</v>
      </c>
      <c r="AW1749" s="29">
        <v>-0.738042232413051</v>
      </c>
      <c r="AX1749" s="29">
        <v>-0.145710327623474</v>
      </c>
      <c r="AY1749" s="29">
        <v>0.476881348098389</v>
      </c>
      <c r="AZ1749" s="60">
        <v>-0.248937037637317</v>
      </c>
    </row>
    <row r="1750" spans="1:52" ht="15" customHeight="1">
      <c r="A1750" s="63" t="s">
        <v>452</v>
      </c>
      <c r="B1750" s="53">
        <v>2011</v>
      </c>
      <c r="C1750" s="146" t="s">
        <v>442</v>
      </c>
      <c r="D1750" s="69" t="s">
        <v>214</v>
      </c>
      <c r="E1750" s="29" t="s">
        <v>19</v>
      </c>
      <c r="F1750" s="27" t="s">
        <v>1935</v>
      </c>
      <c r="G1750" s="43">
        <v>150</v>
      </c>
      <c r="H1750" s="43"/>
      <c r="I1750" s="43"/>
      <c r="J1750" s="43"/>
      <c r="K1750" s="27" t="s">
        <v>567</v>
      </c>
      <c r="L1750" s="28"/>
      <c r="M1750" s="27"/>
      <c r="N1750" s="27" t="s">
        <v>788</v>
      </c>
      <c r="O1750" s="18"/>
      <c r="P1750" s="214"/>
      <c r="Q1750" s="214"/>
      <c r="R1750" s="18"/>
      <c r="S1750" s="27"/>
      <c r="T1750" s="18"/>
      <c r="U1750" s="27"/>
      <c r="V1750" s="18"/>
      <c r="W1750" s="30"/>
      <c r="X1750" s="27"/>
      <c r="Y1750" s="27"/>
      <c r="Z1750" s="27"/>
      <c r="AA1750" s="27"/>
      <c r="AB1750" s="27"/>
      <c r="AC1750" s="273">
        <v>5884323617</v>
      </c>
      <c r="AD1750" s="27">
        <v>170564249004.95398</v>
      </c>
      <c r="AE1750" s="228">
        <v>3.4499161760616619E-2</v>
      </c>
      <c r="AF1750" s="27">
        <v>34239067345.254463</v>
      </c>
      <c r="AG1750" s="226">
        <v>0.17185992707291331</v>
      </c>
      <c r="AH1750" s="226">
        <v>0.58802189429208407</v>
      </c>
      <c r="AI1750" s="27">
        <v>604820000</v>
      </c>
      <c r="AJ1750" s="226">
        <v>9.7290493320326714</v>
      </c>
      <c r="AK1750" s="27">
        <v>4603592064.7845087</v>
      </c>
      <c r="AL1750" s="226">
        <v>1.2782026587482707</v>
      </c>
      <c r="AM1750" s="27">
        <v>4317271101.5386934</v>
      </c>
      <c r="AN1750" s="271">
        <v>1.3629729240081316</v>
      </c>
      <c r="AO1750" s="27">
        <v>29614887</v>
      </c>
      <c r="AP1750" s="27">
        <v>27.8</v>
      </c>
      <c r="AQ1750" s="27">
        <v>74.210536585365858</v>
      </c>
      <c r="AR1750" s="27">
        <v>14.3</v>
      </c>
      <c r="AS1750" s="29">
        <v>96.327079999999995</v>
      </c>
      <c r="AT1750" s="270">
        <v>38</v>
      </c>
      <c r="AU1750" s="464">
        <v>72.816286549781523</v>
      </c>
      <c r="AV1750" s="29">
        <v>9.0719139218499306E-2</v>
      </c>
      <c r="AW1750" s="29">
        <v>-0.738042232413051</v>
      </c>
      <c r="AX1750" s="29">
        <v>-0.145710327623474</v>
      </c>
      <c r="AY1750" s="29">
        <v>0.476881348098389</v>
      </c>
      <c r="AZ1750" s="60">
        <v>-0.248937037637317</v>
      </c>
    </row>
    <row r="1751" spans="1:52" ht="15" customHeight="1">
      <c r="A1751" s="63" t="s">
        <v>452</v>
      </c>
      <c r="B1751" s="53">
        <v>2011</v>
      </c>
      <c r="C1751" s="146" t="s">
        <v>442</v>
      </c>
      <c r="D1751" s="69" t="s">
        <v>214</v>
      </c>
      <c r="E1751" s="29" t="s">
        <v>19</v>
      </c>
      <c r="F1751" s="27" t="s">
        <v>1936</v>
      </c>
      <c r="G1751" s="43">
        <v>38000</v>
      </c>
      <c r="H1751" s="43"/>
      <c r="I1751" s="43"/>
      <c r="J1751" s="43"/>
      <c r="K1751" s="27" t="s">
        <v>567</v>
      </c>
      <c r="L1751" s="28">
        <v>184.89583333332999</v>
      </c>
      <c r="M1751" s="27" t="s">
        <v>568</v>
      </c>
      <c r="N1751" s="27" t="s">
        <v>1325</v>
      </c>
      <c r="O1751" s="18">
        <f>G1751*L1751</f>
        <v>7026041.6666665394</v>
      </c>
      <c r="P1751" s="214"/>
      <c r="Q1751" s="214"/>
      <c r="R1751" s="18"/>
      <c r="S1751" s="27"/>
      <c r="T1751" s="18"/>
      <c r="U1751" s="27"/>
      <c r="V1751" s="18"/>
      <c r="W1751" s="30"/>
      <c r="X1751" s="27"/>
      <c r="Y1751" s="27"/>
      <c r="Z1751" s="27"/>
      <c r="AA1751" s="27"/>
      <c r="AB1751" s="27"/>
      <c r="AC1751" s="273">
        <v>5884323617</v>
      </c>
      <c r="AD1751" s="27">
        <v>170564249004.95398</v>
      </c>
      <c r="AE1751" s="228">
        <v>3.4499161760616619E-2</v>
      </c>
      <c r="AF1751" s="27">
        <v>34239067345.254463</v>
      </c>
      <c r="AG1751" s="226">
        <v>0.17185992707291331</v>
      </c>
      <c r="AH1751" s="226">
        <v>0.58802189429208407</v>
      </c>
      <c r="AI1751" s="27">
        <v>604820000</v>
      </c>
      <c r="AJ1751" s="226">
        <v>9.7290493320326714</v>
      </c>
      <c r="AK1751" s="27">
        <v>4603592064.7845087</v>
      </c>
      <c r="AL1751" s="226">
        <v>1.2782026587482707</v>
      </c>
      <c r="AM1751" s="27">
        <v>4317271101.5386934</v>
      </c>
      <c r="AN1751" s="271">
        <v>1.3629729240081316</v>
      </c>
      <c r="AO1751" s="27">
        <v>29614887</v>
      </c>
      <c r="AP1751" s="27">
        <v>27.8</v>
      </c>
      <c r="AQ1751" s="27">
        <v>74.210536585365858</v>
      </c>
      <c r="AR1751" s="27">
        <v>14.3</v>
      </c>
      <c r="AS1751" s="29">
        <v>96.327079999999995</v>
      </c>
      <c r="AT1751" s="270">
        <v>38</v>
      </c>
      <c r="AU1751" s="464">
        <v>72.816286549781523</v>
      </c>
      <c r="AV1751" s="29">
        <v>9.0719139218499306E-2</v>
      </c>
      <c r="AW1751" s="29">
        <v>-0.738042232413051</v>
      </c>
      <c r="AX1751" s="29">
        <v>-0.145710327623474</v>
      </c>
      <c r="AY1751" s="29">
        <v>0.476881348098389</v>
      </c>
      <c r="AZ1751" s="60">
        <v>-0.248937037637317</v>
      </c>
    </row>
    <row r="1752" spans="1:52" ht="15" customHeight="1">
      <c r="A1752" s="63" t="s">
        <v>452</v>
      </c>
      <c r="B1752" s="53">
        <v>2011</v>
      </c>
      <c r="C1752" s="146" t="s">
        <v>442</v>
      </c>
      <c r="D1752" s="69" t="s">
        <v>214</v>
      </c>
      <c r="E1752" s="29" t="s">
        <v>19</v>
      </c>
      <c r="F1752" s="27" t="s">
        <v>1326</v>
      </c>
      <c r="G1752" s="43">
        <v>330000</v>
      </c>
      <c r="H1752" s="43"/>
      <c r="I1752" s="43"/>
      <c r="J1752" s="43"/>
      <c r="K1752" s="27" t="s">
        <v>567</v>
      </c>
      <c r="L1752" s="28"/>
      <c r="M1752" s="27"/>
      <c r="N1752" s="27" t="s">
        <v>788</v>
      </c>
      <c r="O1752" s="18"/>
      <c r="P1752" s="214"/>
      <c r="Q1752" s="214"/>
      <c r="R1752" s="18"/>
      <c r="S1752" s="27"/>
      <c r="T1752" s="18"/>
      <c r="U1752" s="27"/>
      <c r="V1752" s="18"/>
      <c r="W1752" s="30"/>
      <c r="X1752" s="27"/>
      <c r="Y1752" s="27"/>
      <c r="Z1752" s="27"/>
      <c r="AA1752" s="27"/>
      <c r="AB1752" s="27"/>
      <c r="AC1752" s="273">
        <v>5884323617</v>
      </c>
      <c r="AD1752" s="27">
        <v>170564249004.95398</v>
      </c>
      <c r="AE1752" s="228">
        <v>3.4499161760616619E-2</v>
      </c>
      <c r="AF1752" s="27">
        <v>34239067345.254463</v>
      </c>
      <c r="AG1752" s="226">
        <v>0.17185992707291331</v>
      </c>
      <c r="AH1752" s="226">
        <v>0.58802189429208407</v>
      </c>
      <c r="AI1752" s="27">
        <v>604820000</v>
      </c>
      <c r="AJ1752" s="226">
        <v>9.7290493320326714</v>
      </c>
      <c r="AK1752" s="27">
        <v>4603592064.7845087</v>
      </c>
      <c r="AL1752" s="226">
        <v>1.2782026587482707</v>
      </c>
      <c r="AM1752" s="27">
        <v>4317271101.5386934</v>
      </c>
      <c r="AN1752" s="271">
        <v>1.3629729240081316</v>
      </c>
      <c r="AO1752" s="27">
        <v>29614887</v>
      </c>
      <c r="AP1752" s="27">
        <v>27.8</v>
      </c>
      <c r="AQ1752" s="27">
        <v>74.210536585365858</v>
      </c>
      <c r="AR1752" s="27">
        <v>14.3</v>
      </c>
      <c r="AS1752" s="29">
        <v>96.327079999999995</v>
      </c>
      <c r="AT1752" s="270">
        <v>38</v>
      </c>
      <c r="AU1752" s="464">
        <v>72.816286549781523</v>
      </c>
      <c r="AV1752" s="29">
        <v>9.0719139218499306E-2</v>
      </c>
      <c r="AW1752" s="29">
        <v>-0.738042232413051</v>
      </c>
      <c r="AX1752" s="29">
        <v>-0.145710327623474</v>
      </c>
      <c r="AY1752" s="29">
        <v>0.476881348098389</v>
      </c>
      <c r="AZ1752" s="60">
        <v>-0.248937037637317</v>
      </c>
    </row>
    <row r="1753" spans="1:52" ht="15" customHeight="1">
      <c r="A1753" s="63" t="s">
        <v>452</v>
      </c>
      <c r="B1753" s="53">
        <v>2011</v>
      </c>
      <c r="C1753" s="146" t="s">
        <v>442</v>
      </c>
      <c r="D1753" s="69" t="s">
        <v>214</v>
      </c>
      <c r="E1753" s="29" t="s">
        <v>19</v>
      </c>
      <c r="F1753" s="27" t="s">
        <v>1937</v>
      </c>
      <c r="G1753" s="43">
        <v>124000</v>
      </c>
      <c r="H1753" s="43"/>
      <c r="I1753" s="43"/>
      <c r="J1753" s="43"/>
      <c r="K1753" s="27" t="s">
        <v>567</v>
      </c>
      <c r="L1753" s="28">
        <v>8.98</v>
      </c>
      <c r="M1753" s="27" t="s">
        <v>568</v>
      </c>
      <c r="N1753" s="27" t="s">
        <v>1964</v>
      </c>
      <c r="O1753" s="18">
        <f t="shared" ref="O1753:O1761" si="27">G1753*L1753</f>
        <v>1113520</v>
      </c>
      <c r="P1753" s="214"/>
      <c r="Q1753" s="214"/>
      <c r="R1753" s="18"/>
      <c r="S1753" s="27"/>
      <c r="T1753" s="18"/>
      <c r="U1753" s="27"/>
      <c r="V1753" s="18"/>
      <c r="W1753" s="30"/>
      <c r="X1753" s="27"/>
      <c r="Y1753" s="27"/>
      <c r="Z1753" s="27"/>
      <c r="AA1753" s="27"/>
      <c r="AB1753" s="27"/>
      <c r="AC1753" s="273">
        <v>5884323617</v>
      </c>
      <c r="AD1753" s="27">
        <v>170564249004.95398</v>
      </c>
      <c r="AE1753" s="228">
        <v>3.4499161760616619E-2</v>
      </c>
      <c r="AF1753" s="27">
        <v>34239067345.254463</v>
      </c>
      <c r="AG1753" s="226">
        <v>0.17185992707291331</v>
      </c>
      <c r="AH1753" s="226">
        <v>0.58802189429208407</v>
      </c>
      <c r="AI1753" s="27">
        <v>604820000</v>
      </c>
      <c r="AJ1753" s="226">
        <v>9.7290493320326714</v>
      </c>
      <c r="AK1753" s="27">
        <v>4603592064.7845087</v>
      </c>
      <c r="AL1753" s="226">
        <v>1.2782026587482707</v>
      </c>
      <c r="AM1753" s="27">
        <v>4317271101.5386934</v>
      </c>
      <c r="AN1753" s="271">
        <v>1.3629729240081316</v>
      </c>
      <c r="AO1753" s="27">
        <v>29614887</v>
      </c>
      <c r="AP1753" s="27">
        <v>27.8</v>
      </c>
      <c r="AQ1753" s="27">
        <v>74.210536585365858</v>
      </c>
      <c r="AR1753" s="27">
        <v>14.3</v>
      </c>
      <c r="AS1753" s="29">
        <v>96.327079999999995</v>
      </c>
      <c r="AT1753" s="270">
        <v>38</v>
      </c>
      <c r="AU1753" s="464">
        <v>72.816286549781523</v>
      </c>
      <c r="AV1753" s="29">
        <v>9.0719139218499306E-2</v>
      </c>
      <c r="AW1753" s="29">
        <v>-0.738042232413051</v>
      </c>
      <c r="AX1753" s="29">
        <v>-0.145710327623474</v>
      </c>
      <c r="AY1753" s="29">
        <v>0.476881348098389</v>
      </c>
      <c r="AZ1753" s="60">
        <v>-0.248937037637317</v>
      </c>
    </row>
    <row r="1754" spans="1:52" ht="15" customHeight="1">
      <c r="A1754" s="63" t="s">
        <v>452</v>
      </c>
      <c r="B1754" s="53">
        <v>2011</v>
      </c>
      <c r="C1754" s="146" t="s">
        <v>442</v>
      </c>
      <c r="D1754" s="69" t="s">
        <v>214</v>
      </c>
      <c r="E1754" s="29" t="s">
        <v>19</v>
      </c>
      <c r="F1754" s="27" t="s">
        <v>1058</v>
      </c>
      <c r="G1754" s="43">
        <v>1565000</v>
      </c>
      <c r="H1754" s="43"/>
      <c r="I1754" s="43"/>
      <c r="J1754" s="43"/>
      <c r="K1754" s="27" t="s">
        <v>567</v>
      </c>
      <c r="L1754" s="28">
        <v>67.89</v>
      </c>
      <c r="M1754" s="27" t="s">
        <v>568</v>
      </c>
      <c r="N1754" s="27" t="s">
        <v>1078</v>
      </c>
      <c r="O1754" s="18">
        <f t="shared" si="27"/>
        <v>106247850</v>
      </c>
      <c r="P1754" s="214"/>
      <c r="Q1754" s="214"/>
      <c r="R1754" s="18"/>
      <c r="S1754" s="27"/>
      <c r="T1754" s="18"/>
      <c r="U1754" s="27"/>
      <c r="V1754" s="18"/>
      <c r="W1754" s="30"/>
      <c r="X1754" s="27"/>
      <c r="Y1754" s="27"/>
      <c r="Z1754" s="27"/>
      <c r="AA1754" s="27"/>
      <c r="AB1754" s="27"/>
      <c r="AC1754" s="273">
        <v>5884323617</v>
      </c>
      <c r="AD1754" s="27">
        <v>170564249004.95398</v>
      </c>
      <c r="AE1754" s="228">
        <v>3.4499161760616619E-2</v>
      </c>
      <c r="AF1754" s="27">
        <v>34239067345.254463</v>
      </c>
      <c r="AG1754" s="226">
        <v>0.17185992707291331</v>
      </c>
      <c r="AH1754" s="226">
        <v>0.58802189429208407</v>
      </c>
      <c r="AI1754" s="27">
        <v>604820000</v>
      </c>
      <c r="AJ1754" s="226">
        <v>9.7290493320326714</v>
      </c>
      <c r="AK1754" s="27">
        <v>4603592064.7845087</v>
      </c>
      <c r="AL1754" s="226">
        <v>1.2782026587482707</v>
      </c>
      <c r="AM1754" s="27">
        <v>4317271101.5386934</v>
      </c>
      <c r="AN1754" s="271">
        <v>1.3629729240081316</v>
      </c>
      <c r="AO1754" s="27">
        <v>29614887</v>
      </c>
      <c r="AP1754" s="27">
        <v>27.8</v>
      </c>
      <c r="AQ1754" s="27">
        <v>74.210536585365858</v>
      </c>
      <c r="AR1754" s="27">
        <v>14.3</v>
      </c>
      <c r="AS1754" s="29">
        <v>96.327079999999995</v>
      </c>
      <c r="AT1754" s="270">
        <v>38</v>
      </c>
      <c r="AU1754" s="464">
        <v>72.816286549781523</v>
      </c>
      <c r="AV1754" s="29">
        <v>9.0719139218499306E-2</v>
      </c>
      <c r="AW1754" s="29">
        <v>-0.738042232413051</v>
      </c>
      <c r="AX1754" s="29">
        <v>-0.145710327623474</v>
      </c>
      <c r="AY1754" s="29">
        <v>0.476881348098389</v>
      </c>
      <c r="AZ1754" s="60">
        <v>-0.248937037637317</v>
      </c>
    </row>
    <row r="1755" spans="1:52" ht="15" customHeight="1">
      <c r="A1755" s="63" t="s">
        <v>452</v>
      </c>
      <c r="B1755" s="53">
        <v>2011</v>
      </c>
      <c r="C1755" s="146" t="s">
        <v>442</v>
      </c>
      <c r="D1755" s="69" t="s">
        <v>214</v>
      </c>
      <c r="E1755" s="29" t="s">
        <v>19</v>
      </c>
      <c r="F1755" s="27" t="s">
        <v>897</v>
      </c>
      <c r="G1755" s="43">
        <v>1076</v>
      </c>
      <c r="H1755" s="43"/>
      <c r="I1755" s="43"/>
      <c r="J1755" s="43"/>
      <c r="K1755" s="27" t="s">
        <v>567</v>
      </c>
      <c r="L1755" s="28">
        <v>7.49</v>
      </c>
      <c r="M1755" s="27" t="s">
        <v>568</v>
      </c>
      <c r="N1755" s="27" t="s">
        <v>1965</v>
      </c>
      <c r="O1755" s="18">
        <f t="shared" si="27"/>
        <v>8059.24</v>
      </c>
      <c r="P1755" s="214"/>
      <c r="Q1755" s="214"/>
      <c r="R1755" s="18"/>
      <c r="S1755" s="27"/>
      <c r="T1755" s="18"/>
      <c r="U1755" s="27"/>
      <c r="V1755" s="18"/>
      <c r="W1755" s="30"/>
      <c r="X1755" s="27"/>
      <c r="Y1755" s="27"/>
      <c r="Z1755" s="27"/>
      <c r="AA1755" s="27"/>
      <c r="AB1755" s="27"/>
      <c r="AC1755" s="273">
        <v>5884323617</v>
      </c>
      <c r="AD1755" s="27">
        <v>170564249004.95398</v>
      </c>
      <c r="AE1755" s="228">
        <v>3.4499161760616619E-2</v>
      </c>
      <c r="AF1755" s="27">
        <v>34239067345.254463</v>
      </c>
      <c r="AG1755" s="226">
        <v>0.17185992707291331</v>
      </c>
      <c r="AH1755" s="226">
        <v>0.58802189429208407</v>
      </c>
      <c r="AI1755" s="27">
        <v>604820000</v>
      </c>
      <c r="AJ1755" s="226">
        <v>9.7290493320326714</v>
      </c>
      <c r="AK1755" s="27">
        <v>4603592064.7845087</v>
      </c>
      <c r="AL1755" s="226">
        <v>1.2782026587482707</v>
      </c>
      <c r="AM1755" s="27">
        <v>4317271101.5386934</v>
      </c>
      <c r="AN1755" s="271">
        <v>1.3629729240081316</v>
      </c>
      <c r="AO1755" s="27">
        <v>29614887</v>
      </c>
      <c r="AP1755" s="27">
        <v>27.8</v>
      </c>
      <c r="AQ1755" s="27">
        <v>74.210536585365858</v>
      </c>
      <c r="AR1755" s="27">
        <v>14.3</v>
      </c>
      <c r="AS1755" s="29">
        <v>96.327079999999995</v>
      </c>
      <c r="AT1755" s="270">
        <v>38</v>
      </c>
      <c r="AU1755" s="464">
        <v>72.816286549781523</v>
      </c>
      <c r="AV1755" s="29">
        <v>9.0719139218499306E-2</v>
      </c>
      <c r="AW1755" s="29">
        <v>-0.738042232413051</v>
      </c>
      <c r="AX1755" s="29">
        <v>-0.145710327623474</v>
      </c>
      <c r="AY1755" s="29">
        <v>0.476881348098389</v>
      </c>
      <c r="AZ1755" s="60">
        <v>-0.248937037637317</v>
      </c>
    </row>
    <row r="1756" spans="1:52" ht="15" customHeight="1">
      <c r="A1756" s="63" t="s">
        <v>452</v>
      </c>
      <c r="B1756" s="53">
        <v>2011</v>
      </c>
      <c r="C1756" s="146" t="s">
        <v>442</v>
      </c>
      <c r="D1756" s="69" t="s">
        <v>214</v>
      </c>
      <c r="E1756" s="29" t="s">
        <v>19</v>
      </c>
      <c r="F1756" s="27" t="s">
        <v>1898</v>
      </c>
      <c r="G1756" s="43">
        <v>54000</v>
      </c>
      <c r="H1756" s="43"/>
      <c r="I1756" s="43"/>
      <c r="J1756" s="43"/>
      <c r="K1756" s="27" t="s">
        <v>567</v>
      </c>
      <c r="L1756" s="28">
        <f>66.35/0.000453592</f>
        <v>146276.83027919361</v>
      </c>
      <c r="M1756" s="27" t="s">
        <v>568</v>
      </c>
      <c r="N1756" s="27" t="s">
        <v>1966</v>
      </c>
      <c r="O1756" s="18">
        <f t="shared" si="27"/>
        <v>7898948835.0764551</v>
      </c>
      <c r="P1756" s="214"/>
      <c r="Q1756" s="214"/>
      <c r="R1756" s="18"/>
      <c r="S1756" s="27"/>
      <c r="T1756" s="18"/>
      <c r="U1756" s="27"/>
      <c r="V1756" s="18"/>
      <c r="W1756" s="30"/>
      <c r="X1756" s="27"/>
      <c r="Y1756" s="27"/>
      <c r="Z1756" s="27"/>
      <c r="AA1756" s="27"/>
      <c r="AB1756" s="27"/>
      <c r="AC1756" s="273">
        <v>5884323617</v>
      </c>
      <c r="AD1756" s="27">
        <v>170564249004.95398</v>
      </c>
      <c r="AE1756" s="228">
        <v>3.4499161760616619E-2</v>
      </c>
      <c r="AF1756" s="27">
        <v>34239067345.254463</v>
      </c>
      <c r="AG1756" s="226">
        <v>0.17185992707291331</v>
      </c>
      <c r="AH1756" s="226">
        <v>0.58802189429208407</v>
      </c>
      <c r="AI1756" s="27">
        <v>604820000</v>
      </c>
      <c r="AJ1756" s="226">
        <v>9.7290493320326714</v>
      </c>
      <c r="AK1756" s="27">
        <v>4603592064.7845087</v>
      </c>
      <c r="AL1756" s="226">
        <v>1.2782026587482707</v>
      </c>
      <c r="AM1756" s="27">
        <v>4317271101.5386934</v>
      </c>
      <c r="AN1756" s="271">
        <v>1.3629729240081316</v>
      </c>
      <c r="AO1756" s="27">
        <v>29614887</v>
      </c>
      <c r="AP1756" s="27">
        <v>27.8</v>
      </c>
      <c r="AQ1756" s="27">
        <v>74.210536585365858</v>
      </c>
      <c r="AR1756" s="27">
        <v>14.3</v>
      </c>
      <c r="AS1756" s="29">
        <v>96.327079999999995</v>
      </c>
      <c r="AT1756" s="270">
        <v>38</v>
      </c>
      <c r="AU1756" s="464">
        <v>72.816286549781523</v>
      </c>
      <c r="AV1756" s="29">
        <v>9.0719139218499306E-2</v>
      </c>
      <c r="AW1756" s="29">
        <v>-0.738042232413051</v>
      </c>
      <c r="AX1756" s="29">
        <v>-0.145710327623474</v>
      </c>
      <c r="AY1756" s="29">
        <v>0.476881348098389</v>
      </c>
      <c r="AZ1756" s="60">
        <v>-0.248937037637317</v>
      </c>
    </row>
    <row r="1757" spans="1:52" ht="15" customHeight="1">
      <c r="A1757" s="63" t="s">
        <v>452</v>
      </c>
      <c r="B1757" s="53">
        <v>2011</v>
      </c>
      <c r="C1757" s="146" t="s">
        <v>442</v>
      </c>
      <c r="D1757" s="69" t="s">
        <v>214</v>
      </c>
      <c r="E1757" s="29" t="s">
        <v>19</v>
      </c>
      <c r="F1757" s="27" t="s">
        <v>1967</v>
      </c>
      <c r="G1757" s="43">
        <v>6200</v>
      </c>
      <c r="H1757" s="43"/>
      <c r="I1757" s="43"/>
      <c r="J1757" s="43"/>
      <c r="K1757" s="27" t="s">
        <v>567</v>
      </c>
      <c r="L1757" s="28">
        <v>13.81</v>
      </c>
      <c r="M1757" s="27" t="s">
        <v>568</v>
      </c>
      <c r="N1757" s="27" t="s">
        <v>1968</v>
      </c>
      <c r="O1757" s="18">
        <f t="shared" si="27"/>
        <v>85622</v>
      </c>
      <c r="P1757" s="214"/>
      <c r="Q1757" s="214"/>
      <c r="R1757" s="18"/>
      <c r="S1757" s="27"/>
      <c r="T1757" s="18"/>
      <c r="U1757" s="27"/>
      <c r="V1757" s="18"/>
      <c r="W1757" s="30"/>
      <c r="X1757" s="27"/>
      <c r="Y1757" s="27"/>
      <c r="Z1757" s="27"/>
      <c r="AA1757" s="27"/>
      <c r="AB1757" s="27"/>
      <c r="AC1757" s="273">
        <v>5884323617</v>
      </c>
      <c r="AD1757" s="27">
        <v>170564249004.95398</v>
      </c>
      <c r="AE1757" s="228">
        <v>3.4499161760616619E-2</v>
      </c>
      <c r="AF1757" s="27">
        <v>34239067345.254463</v>
      </c>
      <c r="AG1757" s="226">
        <v>0.17185992707291331</v>
      </c>
      <c r="AH1757" s="226">
        <v>0.58802189429208407</v>
      </c>
      <c r="AI1757" s="27">
        <v>604820000</v>
      </c>
      <c r="AJ1757" s="226">
        <v>9.7290493320326714</v>
      </c>
      <c r="AK1757" s="27">
        <v>4603592064.7845087</v>
      </c>
      <c r="AL1757" s="226">
        <v>1.2782026587482707</v>
      </c>
      <c r="AM1757" s="27">
        <v>4317271101.5386934</v>
      </c>
      <c r="AN1757" s="271">
        <v>1.3629729240081316</v>
      </c>
      <c r="AO1757" s="27">
        <v>29614887</v>
      </c>
      <c r="AP1757" s="27">
        <v>27.8</v>
      </c>
      <c r="AQ1757" s="27">
        <v>74.210536585365858</v>
      </c>
      <c r="AR1757" s="27">
        <v>14.3</v>
      </c>
      <c r="AS1757" s="29">
        <v>96.327079999999995</v>
      </c>
      <c r="AT1757" s="270">
        <v>38</v>
      </c>
      <c r="AU1757" s="464">
        <v>72.816286549781523</v>
      </c>
      <c r="AV1757" s="29">
        <v>9.0719139218499306E-2</v>
      </c>
      <c r="AW1757" s="29">
        <v>-0.738042232413051</v>
      </c>
      <c r="AX1757" s="29">
        <v>-0.145710327623474</v>
      </c>
      <c r="AY1757" s="29">
        <v>0.476881348098389</v>
      </c>
      <c r="AZ1757" s="60">
        <v>-0.248937037637317</v>
      </c>
    </row>
    <row r="1758" spans="1:52" ht="15" customHeight="1">
      <c r="A1758" s="63" t="s">
        <v>452</v>
      </c>
      <c r="B1758" s="53">
        <v>2011</v>
      </c>
      <c r="C1758" s="146" t="s">
        <v>442</v>
      </c>
      <c r="D1758" s="69" t="s">
        <v>214</v>
      </c>
      <c r="E1758" s="29" t="s">
        <v>19</v>
      </c>
      <c r="F1758" s="27" t="s">
        <v>735</v>
      </c>
      <c r="G1758" s="43">
        <f>3414*32150.7466</f>
        <v>109762648.8924</v>
      </c>
      <c r="H1758" s="43"/>
      <c r="I1758" s="43"/>
      <c r="J1758" s="43"/>
      <c r="K1758" s="27" t="s">
        <v>731</v>
      </c>
      <c r="L1758" s="28">
        <f>35.22411666667/1</f>
        <v>35.22411666667</v>
      </c>
      <c r="M1758" s="27" t="s">
        <v>732</v>
      </c>
      <c r="N1758" s="27" t="s">
        <v>1074</v>
      </c>
      <c r="O1758" s="18">
        <f t="shared" si="27"/>
        <v>3866292350.2286339</v>
      </c>
      <c r="P1758" s="214"/>
      <c r="Q1758" s="214"/>
      <c r="R1758" s="18"/>
      <c r="S1758" s="27"/>
      <c r="T1758" s="18"/>
      <c r="U1758" s="27"/>
      <c r="V1758" s="18"/>
      <c r="W1758" s="30"/>
      <c r="X1758" s="27"/>
      <c r="Y1758" s="27"/>
      <c r="Z1758" s="27"/>
      <c r="AA1758" s="27"/>
      <c r="AB1758" s="27"/>
      <c r="AC1758" s="273">
        <v>5884323617</v>
      </c>
      <c r="AD1758" s="27">
        <v>170564249004.95398</v>
      </c>
      <c r="AE1758" s="228">
        <v>3.4499161760616619E-2</v>
      </c>
      <c r="AF1758" s="27">
        <v>34239067345.254463</v>
      </c>
      <c r="AG1758" s="226">
        <v>0.17185992707291331</v>
      </c>
      <c r="AH1758" s="226">
        <v>0.58802189429208407</v>
      </c>
      <c r="AI1758" s="27">
        <v>604820000</v>
      </c>
      <c r="AJ1758" s="226">
        <v>9.7290493320326714</v>
      </c>
      <c r="AK1758" s="27">
        <v>4603592064.7845087</v>
      </c>
      <c r="AL1758" s="226">
        <v>1.2782026587482707</v>
      </c>
      <c r="AM1758" s="27">
        <v>4317271101.5386934</v>
      </c>
      <c r="AN1758" s="271">
        <v>1.3629729240081316</v>
      </c>
      <c r="AO1758" s="27">
        <v>29614887</v>
      </c>
      <c r="AP1758" s="27">
        <v>27.8</v>
      </c>
      <c r="AQ1758" s="27">
        <v>74.210536585365858</v>
      </c>
      <c r="AR1758" s="27">
        <v>14.3</v>
      </c>
      <c r="AS1758" s="29">
        <v>96.327079999999995</v>
      </c>
      <c r="AT1758" s="270">
        <v>38</v>
      </c>
      <c r="AU1758" s="464">
        <v>72.816286549781523</v>
      </c>
      <c r="AV1758" s="29">
        <v>9.0719139218499306E-2</v>
      </c>
      <c r="AW1758" s="29">
        <v>-0.738042232413051</v>
      </c>
      <c r="AX1758" s="29">
        <v>-0.145710327623474</v>
      </c>
      <c r="AY1758" s="29">
        <v>0.476881348098389</v>
      </c>
      <c r="AZ1758" s="60">
        <v>-0.248937037637317</v>
      </c>
    </row>
    <row r="1759" spans="1:52" ht="15" customHeight="1">
      <c r="A1759" s="63" t="s">
        <v>452</v>
      </c>
      <c r="B1759" s="53">
        <v>2011</v>
      </c>
      <c r="C1759" s="146" t="s">
        <v>442</v>
      </c>
      <c r="D1759" s="69" t="s">
        <v>214</v>
      </c>
      <c r="E1759" s="29" t="s">
        <v>19</v>
      </c>
      <c r="F1759" s="27" t="s">
        <v>1146</v>
      </c>
      <c r="G1759" s="43">
        <v>16500</v>
      </c>
      <c r="H1759" s="43"/>
      <c r="I1759" s="43"/>
      <c r="J1759" s="43"/>
      <c r="K1759" s="27" t="s">
        <v>567</v>
      </c>
      <c r="L1759" s="28">
        <v>12.67</v>
      </c>
      <c r="M1759" s="27" t="s">
        <v>568</v>
      </c>
      <c r="N1759" s="27" t="s">
        <v>1969</v>
      </c>
      <c r="O1759" s="18">
        <f t="shared" si="27"/>
        <v>209055</v>
      </c>
      <c r="P1759" s="214"/>
      <c r="Q1759" s="214"/>
      <c r="R1759" s="18"/>
      <c r="S1759" s="27"/>
      <c r="T1759" s="18"/>
      <c r="U1759" s="29"/>
      <c r="V1759" s="18"/>
      <c r="W1759" s="30"/>
      <c r="X1759" s="27"/>
      <c r="Y1759" s="27"/>
      <c r="Z1759" s="27"/>
      <c r="AA1759" s="27"/>
      <c r="AB1759" s="27"/>
      <c r="AC1759" s="273">
        <v>5884323617</v>
      </c>
      <c r="AD1759" s="27">
        <v>170564249004.95398</v>
      </c>
      <c r="AE1759" s="228">
        <v>3.4499161760616619E-2</v>
      </c>
      <c r="AF1759" s="27">
        <v>34239067345.254463</v>
      </c>
      <c r="AG1759" s="226">
        <v>0.17185992707291331</v>
      </c>
      <c r="AH1759" s="226">
        <v>0.58802189429208407</v>
      </c>
      <c r="AI1759" s="27">
        <v>604820000</v>
      </c>
      <c r="AJ1759" s="226">
        <v>9.7290493320326714</v>
      </c>
      <c r="AK1759" s="27">
        <v>4603592064.7845087</v>
      </c>
      <c r="AL1759" s="226">
        <v>1.2782026587482707</v>
      </c>
      <c r="AM1759" s="27">
        <v>4317271101.5386934</v>
      </c>
      <c r="AN1759" s="271">
        <v>1.3629729240081316</v>
      </c>
      <c r="AO1759" s="27">
        <v>29614887</v>
      </c>
      <c r="AP1759" s="27">
        <v>27.8</v>
      </c>
      <c r="AQ1759" s="27">
        <v>74.210536585365858</v>
      </c>
      <c r="AR1759" s="27">
        <v>14.3</v>
      </c>
      <c r="AS1759" s="29">
        <v>96.327079999999995</v>
      </c>
      <c r="AT1759" s="270">
        <v>38</v>
      </c>
      <c r="AU1759" s="464">
        <v>72.816286549781523</v>
      </c>
      <c r="AV1759" s="29">
        <v>9.0719139218499306E-2</v>
      </c>
      <c r="AW1759" s="29">
        <v>-0.738042232413051</v>
      </c>
      <c r="AX1759" s="29">
        <v>-0.145710327623474</v>
      </c>
      <c r="AY1759" s="29">
        <v>0.476881348098389</v>
      </c>
      <c r="AZ1759" s="60">
        <v>-0.248937037637317</v>
      </c>
    </row>
    <row r="1760" spans="1:52" ht="15" customHeight="1">
      <c r="A1760" s="63" t="s">
        <v>452</v>
      </c>
      <c r="B1760" s="53">
        <v>2011</v>
      </c>
      <c r="C1760" s="146" t="s">
        <v>442</v>
      </c>
      <c r="D1760" s="69" t="s">
        <v>214</v>
      </c>
      <c r="E1760" s="29" t="s">
        <v>19</v>
      </c>
      <c r="F1760" s="27" t="s">
        <v>1970</v>
      </c>
      <c r="G1760" s="43">
        <v>1260000</v>
      </c>
      <c r="H1760" s="43"/>
      <c r="I1760" s="43"/>
      <c r="J1760" s="43"/>
      <c r="K1760" s="27" t="s">
        <v>567</v>
      </c>
      <c r="L1760" s="28">
        <v>768.715208333335</v>
      </c>
      <c r="M1760" s="27" t="s">
        <v>568</v>
      </c>
      <c r="N1760" s="27" t="s">
        <v>1971</v>
      </c>
      <c r="O1760" s="18">
        <f t="shared" si="27"/>
        <v>968581162.50000215</v>
      </c>
      <c r="P1760" s="214"/>
      <c r="Q1760" s="214"/>
      <c r="R1760" s="18"/>
      <c r="S1760" s="27"/>
      <c r="T1760" s="18"/>
      <c r="U1760" s="29"/>
      <c r="V1760" s="18"/>
      <c r="W1760" s="30"/>
      <c r="X1760" s="27"/>
      <c r="Y1760" s="27"/>
      <c r="Z1760" s="27"/>
      <c r="AA1760" s="27"/>
      <c r="AB1760" s="27"/>
      <c r="AC1760" s="273">
        <v>5884323617</v>
      </c>
      <c r="AD1760" s="27">
        <v>170564249004.95398</v>
      </c>
      <c r="AE1760" s="228">
        <v>3.4499161760616619E-2</v>
      </c>
      <c r="AF1760" s="27">
        <v>34239067345.254463</v>
      </c>
      <c r="AG1760" s="226">
        <v>0.17185992707291331</v>
      </c>
      <c r="AH1760" s="226">
        <v>0.58802189429208407</v>
      </c>
      <c r="AI1760" s="27">
        <v>604820000</v>
      </c>
      <c r="AJ1760" s="226">
        <v>9.7290493320326714</v>
      </c>
      <c r="AK1760" s="27">
        <v>4603592064.7845087</v>
      </c>
      <c r="AL1760" s="226">
        <v>1.2782026587482707</v>
      </c>
      <c r="AM1760" s="27">
        <v>4317271101.5386934</v>
      </c>
      <c r="AN1760" s="271">
        <v>1.3629729240081316</v>
      </c>
      <c r="AO1760" s="27">
        <v>29614887</v>
      </c>
      <c r="AP1760" s="27">
        <v>27.8</v>
      </c>
      <c r="AQ1760" s="27">
        <v>74.210536585365858</v>
      </c>
      <c r="AR1760" s="27">
        <v>14.3</v>
      </c>
      <c r="AS1760" s="29">
        <v>96.327079999999995</v>
      </c>
      <c r="AT1760" s="270">
        <v>38</v>
      </c>
      <c r="AU1760" s="464">
        <v>72.816286549781523</v>
      </c>
      <c r="AV1760" s="29">
        <v>9.0719139218499306E-2</v>
      </c>
      <c r="AW1760" s="29">
        <v>-0.738042232413051</v>
      </c>
      <c r="AX1760" s="29">
        <v>-0.145710327623474</v>
      </c>
      <c r="AY1760" s="29">
        <v>0.476881348098389</v>
      </c>
      <c r="AZ1760" s="60">
        <v>-0.248937037637317</v>
      </c>
    </row>
    <row r="1761" spans="1:52" ht="15" customHeight="1">
      <c r="A1761" s="63" t="s">
        <v>452</v>
      </c>
      <c r="B1761" s="53">
        <v>2011</v>
      </c>
      <c r="C1761" s="146" t="s">
        <v>442</v>
      </c>
      <c r="D1761" s="69" t="s">
        <v>214</v>
      </c>
      <c r="E1761" s="29" t="s">
        <v>19</v>
      </c>
      <c r="F1761" s="27" t="s">
        <v>1939</v>
      </c>
      <c r="G1761" s="43">
        <v>4372</v>
      </c>
      <c r="H1761" s="43"/>
      <c r="I1761" s="43"/>
      <c r="J1761" s="43"/>
      <c r="K1761" s="27" t="s">
        <v>567</v>
      </c>
      <c r="L1761" s="28">
        <v>8.66</v>
      </c>
      <c r="M1761" s="27" t="s">
        <v>568</v>
      </c>
      <c r="N1761" s="27" t="s">
        <v>1972</v>
      </c>
      <c r="O1761" s="18">
        <f t="shared" si="27"/>
        <v>37861.520000000004</v>
      </c>
      <c r="P1761" s="214"/>
      <c r="Q1761" s="214"/>
      <c r="R1761" s="18"/>
      <c r="S1761" s="27"/>
      <c r="T1761" s="18"/>
      <c r="U1761" s="29"/>
      <c r="V1761" s="18"/>
      <c r="W1761" s="30"/>
      <c r="X1761" s="27"/>
      <c r="Y1761" s="27"/>
      <c r="Z1761" s="27"/>
      <c r="AA1761" s="27"/>
      <c r="AB1761" s="27"/>
      <c r="AC1761" s="273">
        <v>5884323617</v>
      </c>
      <c r="AD1761" s="27">
        <v>170564249004.95398</v>
      </c>
      <c r="AE1761" s="228">
        <v>3.4499161760616619E-2</v>
      </c>
      <c r="AF1761" s="27">
        <v>34239067345.254463</v>
      </c>
      <c r="AG1761" s="226">
        <v>0.17185992707291331</v>
      </c>
      <c r="AH1761" s="226">
        <v>0.58802189429208407</v>
      </c>
      <c r="AI1761" s="27">
        <v>604820000</v>
      </c>
      <c r="AJ1761" s="226">
        <v>9.7290493320326714</v>
      </c>
      <c r="AK1761" s="27">
        <v>4603592064.7845087</v>
      </c>
      <c r="AL1761" s="226">
        <v>1.2782026587482707</v>
      </c>
      <c r="AM1761" s="27">
        <v>4317271101.5386934</v>
      </c>
      <c r="AN1761" s="271">
        <v>1.3629729240081316</v>
      </c>
      <c r="AO1761" s="27">
        <v>29614887</v>
      </c>
      <c r="AP1761" s="27">
        <v>27.8</v>
      </c>
      <c r="AQ1761" s="27">
        <v>74.210536585365858</v>
      </c>
      <c r="AR1761" s="27">
        <v>14.3</v>
      </c>
      <c r="AS1761" s="29">
        <v>96.327079999999995</v>
      </c>
      <c r="AT1761" s="270">
        <v>38</v>
      </c>
      <c r="AU1761" s="464">
        <v>72.816286549781523</v>
      </c>
      <c r="AV1761" s="29">
        <v>9.0719139218499306E-2</v>
      </c>
      <c r="AW1761" s="29">
        <v>-0.738042232413051</v>
      </c>
      <c r="AX1761" s="29">
        <v>-0.145710327623474</v>
      </c>
      <c r="AY1761" s="29">
        <v>0.476881348098389</v>
      </c>
      <c r="AZ1761" s="60">
        <v>-0.248937037637317</v>
      </c>
    </row>
    <row r="1762" spans="1:52" ht="15" customHeight="1">
      <c r="A1762" s="63" t="s">
        <v>452</v>
      </c>
      <c r="B1762" s="53">
        <v>2011</v>
      </c>
      <c r="C1762" s="146" t="s">
        <v>442</v>
      </c>
      <c r="D1762" s="69" t="s">
        <v>214</v>
      </c>
      <c r="E1762" s="29" t="s">
        <v>19</v>
      </c>
      <c r="F1762" s="27" t="s">
        <v>1940</v>
      </c>
      <c r="G1762" s="43"/>
      <c r="H1762" s="43"/>
      <c r="I1762" s="43"/>
      <c r="J1762" s="43"/>
      <c r="K1762" s="27"/>
      <c r="L1762" s="28">
        <v>159.83000000000001</v>
      </c>
      <c r="M1762" s="27" t="s">
        <v>568</v>
      </c>
      <c r="N1762" s="27" t="s">
        <v>1973</v>
      </c>
      <c r="O1762" s="18"/>
      <c r="P1762" s="214"/>
      <c r="Q1762" s="214"/>
      <c r="R1762" s="18"/>
      <c r="S1762" s="27"/>
      <c r="T1762" s="18"/>
      <c r="U1762" s="29"/>
      <c r="V1762" s="18"/>
      <c r="W1762" s="30"/>
      <c r="X1762" s="27"/>
      <c r="Y1762" s="27"/>
      <c r="Z1762" s="27"/>
      <c r="AA1762" s="27"/>
      <c r="AB1762" s="27"/>
      <c r="AC1762" s="273">
        <v>5884323617</v>
      </c>
      <c r="AD1762" s="27">
        <v>170564249004.95398</v>
      </c>
      <c r="AE1762" s="228">
        <v>3.4499161760616619E-2</v>
      </c>
      <c r="AF1762" s="27">
        <v>34239067345.254463</v>
      </c>
      <c r="AG1762" s="226">
        <v>0.17185992707291331</v>
      </c>
      <c r="AH1762" s="226">
        <v>0.58802189429208407</v>
      </c>
      <c r="AI1762" s="27">
        <v>604820000</v>
      </c>
      <c r="AJ1762" s="226">
        <v>9.7290493320326714</v>
      </c>
      <c r="AK1762" s="27">
        <v>4603592064.7845087</v>
      </c>
      <c r="AL1762" s="226">
        <v>1.2782026587482707</v>
      </c>
      <c r="AM1762" s="27">
        <v>4317271101.5386934</v>
      </c>
      <c r="AN1762" s="271">
        <v>1.3629729240081316</v>
      </c>
      <c r="AO1762" s="27">
        <v>29614887</v>
      </c>
      <c r="AP1762" s="27">
        <v>27.8</v>
      </c>
      <c r="AQ1762" s="27">
        <v>74.210536585365858</v>
      </c>
      <c r="AR1762" s="27">
        <v>14.3</v>
      </c>
      <c r="AS1762" s="29">
        <v>96.327079999999995</v>
      </c>
      <c r="AT1762" s="270">
        <v>38</v>
      </c>
      <c r="AU1762" s="464">
        <v>72.816286549781523</v>
      </c>
      <c r="AV1762" s="29">
        <v>9.0719139218499306E-2</v>
      </c>
      <c r="AW1762" s="29">
        <v>-0.738042232413051</v>
      </c>
      <c r="AX1762" s="29">
        <v>-0.145710327623474</v>
      </c>
      <c r="AY1762" s="29">
        <v>0.476881348098389</v>
      </c>
      <c r="AZ1762" s="60">
        <v>-0.248937037637317</v>
      </c>
    </row>
    <row r="1763" spans="1:52" ht="15" customHeight="1">
      <c r="A1763" s="63" t="s">
        <v>452</v>
      </c>
      <c r="B1763" s="53">
        <v>2011</v>
      </c>
      <c r="C1763" s="146" t="s">
        <v>442</v>
      </c>
      <c r="D1763" s="69" t="s">
        <v>214</v>
      </c>
      <c r="E1763" s="29" t="s">
        <v>19</v>
      </c>
      <c r="F1763" s="27" t="s">
        <v>1901</v>
      </c>
      <c r="G1763" s="43">
        <v>100</v>
      </c>
      <c r="H1763" s="43"/>
      <c r="I1763" s="43"/>
      <c r="J1763" s="43"/>
      <c r="K1763" s="27" t="s">
        <v>567</v>
      </c>
      <c r="L1763" s="28"/>
      <c r="M1763" s="27"/>
      <c r="N1763" s="27" t="s">
        <v>788</v>
      </c>
      <c r="O1763" s="18"/>
      <c r="P1763" s="214"/>
      <c r="Q1763" s="214"/>
      <c r="R1763" s="18"/>
      <c r="S1763" s="27"/>
      <c r="T1763" s="18"/>
      <c r="U1763" s="29"/>
      <c r="V1763" s="18"/>
      <c r="W1763" s="30"/>
      <c r="X1763" s="27"/>
      <c r="Y1763" s="27"/>
      <c r="Z1763" s="27"/>
      <c r="AA1763" s="27"/>
      <c r="AB1763" s="27"/>
      <c r="AC1763" s="273">
        <v>5884323617</v>
      </c>
      <c r="AD1763" s="27">
        <v>170564249004.95398</v>
      </c>
      <c r="AE1763" s="228">
        <v>3.4499161760616619E-2</v>
      </c>
      <c r="AF1763" s="27">
        <v>34239067345.254463</v>
      </c>
      <c r="AG1763" s="226">
        <v>0.17185992707291331</v>
      </c>
      <c r="AH1763" s="226">
        <v>0.58802189429208407</v>
      </c>
      <c r="AI1763" s="27">
        <v>604820000</v>
      </c>
      <c r="AJ1763" s="226">
        <v>9.7290493320326714</v>
      </c>
      <c r="AK1763" s="27">
        <v>4603592064.7845087</v>
      </c>
      <c r="AL1763" s="226">
        <v>1.2782026587482707</v>
      </c>
      <c r="AM1763" s="27">
        <v>4317271101.5386934</v>
      </c>
      <c r="AN1763" s="271">
        <v>1.3629729240081316</v>
      </c>
      <c r="AO1763" s="27">
        <v>29614887</v>
      </c>
      <c r="AP1763" s="27">
        <v>27.8</v>
      </c>
      <c r="AQ1763" s="27">
        <v>74.210536585365858</v>
      </c>
      <c r="AR1763" s="27">
        <v>14.3</v>
      </c>
      <c r="AS1763" s="29">
        <v>96.327079999999995</v>
      </c>
      <c r="AT1763" s="270">
        <v>38</v>
      </c>
      <c r="AU1763" s="464">
        <v>72.816286549781523</v>
      </c>
      <c r="AV1763" s="29">
        <v>9.0719139218499306E-2</v>
      </c>
      <c r="AW1763" s="29">
        <v>-0.738042232413051</v>
      </c>
      <c r="AX1763" s="29">
        <v>-0.145710327623474</v>
      </c>
      <c r="AY1763" s="29">
        <v>0.476881348098389</v>
      </c>
      <c r="AZ1763" s="60">
        <v>-0.248937037637317</v>
      </c>
    </row>
    <row r="1764" spans="1:52" ht="15" customHeight="1">
      <c r="A1764" s="63" t="s">
        <v>452</v>
      </c>
      <c r="B1764" s="53">
        <v>2011</v>
      </c>
      <c r="C1764" s="146" t="s">
        <v>442</v>
      </c>
      <c r="D1764" s="69" t="s">
        <v>214</v>
      </c>
      <c r="E1764" s="29" t="s">
        <v>19</v>
      </c>
      <c r="F1764" s="27" t="s">
        <v>1902</v>
      </c>
      <c r="G1764" s="43">
        <v>204000</v>
      </c>
      <c r="H1764" s="43"/>
      <c r="I1764" s="43"/>
      <c r="J1764" s="43"/>
      <c r="K1764" s="27" t="s">
        <v>567</v>
      </c>
      <c r="L1764" s="28"/>
      <c r="M1764" s="27"/>
      <c r="N1764" s="27" t="s">
        <v>788</v>
      </c>
      <c r="O1764" s="18"/>
      <c r="P1764" s="214"/>
      <c r="Q1764" s="214"/>
      <c r="R1764" s="18"/>
      <c r="S1764" s="27"/>
      <c r="T1764" s="18"/>
      <c r="U1764" s="29"/>
      <c r="V1764" s="18"/>
      <c r="W1764" s="30"/>
      <c r="X1764" s="27"/>
      <c r="Y1764" s="27"/>
      <c r="Z1764" s="27"/>
      <c r="AA1764" s="27"/>
      <c r="AB1764" s="27"/>
      <c r="AC1764" s="273">
        <v>5884323617</v>
      </c>
      <c r="AD1764" s="27">
        <v>170564249004.95398</v>
      </c>
      <c r="AE1764" s="228">
        <v>3.4499161760616619E-2</v>
      </c>
      <c r="AF1764" s="27">
        <v>34239067345.254463</v>
      </c>
      <c r="AG1764" s="226">
        <v>0.17185992707291331</v>
      </c>
      <c r="AH1764" s="226">
        <v>0.58802189429208407</v>
      </c>
      <c r="AI1764" s="27">
        <v>604820000</v>
      </c>
      <c r="AJ1764" s="226">
        <v>9.7290493320326714</v>
      </c>
      <c r="AK1764" s="27">
        <v>4603592064.7845087</v>
      </c>
      <c r="AL1764" s="226">
        <v>1.2782026587482707</v>
      </c>
      <c r="AM1764" s="27">
        <v>4317271101.5386934</v>
      </c>
      <c r="AN1764" s="271">
        <v>1.3629729240081316</v>
      </c>
      <c r="AO1764" s="27">
        <v>29614887</v>
      </c>
      <c r="AP1764" s="27">
        <v>27.8</v>
      </c>
      <c r="AQ1764" s="27">
        <v>74.210536585365858</v>
      </c>
      <c r="AR1764" s="27">
        <v>14.3</v>
      </c>
      <c r="AS1764" s="29">
        <v>96.327079999999995</v>
      </c>
      <c r="AT1764" s="270">
        <v>38</v>
      </c>
      <c r="AU1764" s="464">
        <v>72.816286549781523</v>
      </c>
      <c r="AV1764" s="29">
        <v>9.0719139218499306E-2</v>
      </c>
      <c r="AW1764" s="29">
        <v>-0.738042232413051</v>
      </c>
      <c r="AX1764" s="29">
        <v>-0.145710327623474</v>
      </c>
      <c r="AY1764" s="29">
        <v>0.476881348098389</v>
      </c>
      <c r="AZ1764" s="60">
        <v>-0.248937037637317</v>
      </c>
    </row>
    <row r="1765" spans="1:52" ht="15" customHeight="1">
      <c r="A1765" s="63" t="s">
        <v>452</v>
      </c>
      <c r="B1765" s="53">
        <v>2011</v>
      </c>
      <c r="C1765" s="146" t="s">
        <v>442</v>
      </c>
      <c r="D1765" s="69" t="s">
        <v>214</v>
      </c>
      <c r="E1765" s="29" t="s">
        <v>19</v>
      </c>
      <c r="F1765" s="27" t="s">
        <v>584</v>
      </c>
      <c r="G1765" s="43">
        <v>28296</v>
      </c>
      <c r="H1765" s="43"/>
      <c r="I1765" s="43"/>
      <c r="J1765" s="43"/>
      <c r="K1765" s="27" t="s">
        <v>567</v>
      </c>
      <c r="L1765" s="28">
        <v>155</v>
      </c>
      <c r="M1765" s="27" t="s">
        <v>568</v>
      </c>
      <c r="N1765" s="27" t="s">
        <v>1974</v>
      </c>
      <c r="O1765" s="18">
        <f>G1765*L1765</f>
        <v>4385880</v>
      </c>
      <c r="P1765" s="214"/>
      <c r="Q1765" s="214"/>
      <c r="R1765" s="18"/>
      <c r="S1765" s="27"/>
      <c r="T1765" s="18"/>
      <c r="U1765" s="29"/>
      <c r="V1765" s="18"/>
      <c r="W1765" s="30"/>
      <c r="X1765" s="27"/>
      <c r="Y1765" s="27"/>
      <c r="Z1765" s="27"/>
      <c r="AA1765" s="27"/>
      <c r="AB1765" s="27"/>
      <c r="AC1765" s="273">
        <v>5884323617</v>
      </c>
      <c r="AD1765" s="27">
        <v>170564249004.95398</v>
      </c>
      <c r="AE1765" s="228">
        <v>3.4499161760616619E-2</v>
      </c>
      <c r="AF1765" s="27">
        <v>34239067345.254463</v>
      </c>
      <c r="AG1765" s="226">
        <v>0.17185992707291331</v>
      </c>
      <c r="AH1765" s="226">
        <v>0.58802189429208407</v>
      </c>
      <c r="AI1765" s="27">
        <v>604820000</v>
      </c>
      <c r="AJ1765" s="226">
        <v>9.7290493320326714</v>
      </c>
      <c r="AK1765" s="27">
        <v>4603592064.7845087</v>
      </c>
      <c r="AL1765" s="226">
        <v>1.2782026587482707</v>
      </c>
      <c r="AM1765" s="27">
        <v>4317271101.5386934</v>
      </c>
      <c r="AN1765" s="271">
        <v>1.3629729240081316</v>
      </c>
      <c r="AO1765" s="27">
        <v>29614887</v>
      </c>
      <c r="AP1765" s="27">
        <v>27.8</v>
      </c>
      <c r="AQ1765" s="27">
        <v>74.210536585365858</v>
      </c>
      <c r="AR1765" s="27">
        <v>14.3</v>
      </c>
      <c r="AS1765" s="29">
        <v>96.327079999999995</v>
      </c>
      <c r="AT1765" s="270">
        <v>38</v>
      </c>
      <c r="AU1765" s="464">
        <v>72.816286549781523</v>
      </c>
      <c r="AV1765" s="29">
        <v>9.0719139218499306E-2</v>
      </c>
      <c r="AW1765" s="29">
        <v>-0.738042232413051</v>
      </c>
      <c r="AX1765" s="29">
        <v>-0.145710327623474</v>
      </c>
      <c r="AY1765" s="29">
        <v>0.476881348098389</v>
      </c>
      <c r="AZ1765" s="60">
        <v>-0.248937037637317</v>
      </c>
    </row>
    <row r="1766" spans="1:52" ht="15" customHeight="1">
      <c r="A1766" s="63" t="s">
        <v>452</v>
      </c>
      <c r="B1766" s="53">
        <v>2011</v>
      </c>
      <c r="C1766" s="146" t="s">
        <v>442</v>
      </c>
      <c r="D1766" s="69" t="s">
        <v>214</v>
      </c>
      <c r="E1766" s="29" t="s">
        <v>19</v>
      </c>
      <c r="F1766" s="27" t="s">
        <v>1903</v>
      </c>
      <c r="G1766" s="43">
        <v>0</v>
      </c>
      <c r="H1766" s="43"/>
      <c r="I1766" s="43"/>
      <c r="J1766" s="43"/>
      <c r="K1766" s="27" t="s">
        <v>567</v>
      </c>
      <c r="L1766" s="28"/>
      <c r="M1766" s="27"/>
      <c r="N1766" s="27" t="s">
        <v>788</v>
      </c>
      <c r="O1766" s="18">
        <f>G1766*L1766</f>
        <v>0</v>
      </c>
      <c r="P1766" s="214"/>
      <c r="Q1766" s="214"/>
      <c r="R1766" s="18"/>
      <c r="S1766" s="27"/>
      <c r="T1766" s="18"/>
      <c r="U1766" s="29"/>
      <c r="V1766" s="18"/>
      <c r="W1766" s="30"/>
      <c r="X1766" s="27"/>
      <c r="Y1766" s="27"/>
      <c r="Z1766" s="27"/>
      <c r="AA1766" s="27"/>
      <c r="AB1766" s="27"/>
      <c r="AC1766" s="273">
        <v>5884323617</v>
      </c>
      <c r="AD1766" s="27">
        <v>170564249004.95398</v>
      </c>
      <c r="AE1766" s="228">
        <v>3.4499161760616619E-2</v>
      </c>
      <c r="AF1766" s="27">
        <v>34239067345.254463</v>
      </c>
      <c r="AG1766" s="226">
        <v>0.17185992707291331</v>
      </c>
      <c r="AH1766" s="226">
        <v>0.58802189429208407</v>
      </c>
      <c r="AI1766" s="27">
        <v>604820000</v>
      </c>
      <c r="AJ1766" s="226">
        <v>9.7290493320326714</v>
      </c>
      <c r="AK1766" s="27">
        <v>4603592064.7845087</v>
      </c>
      <c r="AL1766" s="226">
        <v>1.2782026587482707</v>
      </c>
      <c r="AM1766" s="27">
        <v>4317271101.5386934</v>
      </c>
      <c r="AN1766" s="271">
        <v>1.3629729240081316</v>
      </c>
      <c r="AO1766" s="27">
        <v>29614887</v>
      </c>
      <c r="AP1766" s="27">
        <v>27.8</v>
      </c>
      <c r="AQ1766" s="27">
        <v>74.210536585365858</v>
      </c>
      <c r="AR1766" s="27">
        <v>14.3</v>
      </c>
      <c r="AS1766" s="29">
        <v>96.327079999999995</v>
      </c>
      <c r="AT1766" s="270">
        <v>38</v>
      </c>
      <c r="AU1766" s="464">
        <v>72.816286549781523</v>
      </c>
      <c r="AV1766" s="29">
        <v>9.0719139218499306E-2</v>
      </c>
      <c r="AW1766" s="29">
        <v>-0.738042232413051</v>
      </c>
      <c r="AX1766" s="29">
        <v>-0.145710327623474</v>
      </c>
      <c r="AY1766" s="29">
        <v>0.476881348098389</v>
      </c>
      <c r="AZ1766" s="60">
        <v>-0.248937037637317</v>
      </c>
    </row>
    <row r="1767" spans="1:52" ht="15" customHeight="1">
      <c r="A1767" s="63" t="s">
        <v>452</v>
      </c>
      <c r="B1767" s="53">
        <v>2011</v>
      </c>
      <c r="C1767" s="146" t="s">
        <v>442</v>
      </c>
      <c r="D1767" s="69" t="s">
        <v>214</v>
      </c>
      <c r="E1767" s="29" t="s">
        <v>19</v>
      </c>
      <c r="F1767" s="27" t="s">
        <v>1234</v>
      </c>
      <c r="G1767" s="43"/>
      <c r="H1767" s="43"/>
      <c r="I1767" s="43"/>
      <c r="J1767" s="43"/>
      <c r="K1767" s="27"/>
      <c r="L1767" s="44">
        <f>26053.675</f>
        <v>26053.674999999999</v>
      </c>
      <c r="M1767" s="27" t="s">
        <v>568</v>
      </c>
      <c r="N1767" s="27" t="s">
        <v>1235</v>
      </c>
      <c r="O1767" s="18">
        <f>G1769*L1767</f>
        <v>841273165.75</v>
      </c>
      <c r="P1767" s="214"/>
      <c r="Q1767" s="214"/>
      <c r="R1767" s="71"/>
      <c r="S1767" s="27"/>
      <c r="T1767" s="18"/>
      <c r="U1767" s="27"/>
      <c r="V1767" s="18"/>
      <c r="W1767" s="30"/>
      <c r="X1767" s="27"/>
      <c r="Y1767" s="27"/>
      <c r="Z1767" s="27"/>
      <c r="AA1767" s="27"/>
      <c r="AB1767" s="27"/>
      <c r="AC1767" s="273">
        <v>5884323617</v>
      </c>
      <c r="AD1767" s="27">
        <v>170564249004.95398</v>
      </c>
      <c r="AE1767" s="228">
        <v>3.4499161760616619E-2</v>
      </c>
      <c r="AF1767" s="27">
        <v>34239067345.254463</v>
      </c>
      <c r="AG1767" s="226">
        <v>0.17185992707291331</v>
      </c>
      <c r="AH1767" s="226">
        <v>0.58802189429208407</v>
      </c>
      <c r="AI1767" s="27">
        <v>604820000</v>
      </c>
      <c r="AJ1767" s="226">
        <v>9.7290493320326714</v>
      </c>
      <c r="AK1767" s="27">
        <v>4603592064.7845087</v>
      </c>
      <c r="AL1767" s="226">
        <v>1.2782026587482707</v>
      </c>
      <c r="AM1767" s="27">
        <v>4317271101.5386934</v>
      </c>
      <c r="AN1767" s="271">
        <v>1.3629729240081316</v>
      </c>
      <c r="AO1767" s="27">
        <v>29614887</v>
      </c>
      <c r="AP1767" s="27">
        <v>27.8</v>
      </c>
      <c r="AQ1767" s="27">
        <v>74.210536585365858</v>
      </c>
      <c r="AR1767" s="27">
        <v>14.3</v>
      </c>
      <c r="AS1767" s="29">
        <v>96.327079999999995</v>
      </c>
      <c r="AT1767" s="270">
        <v>38</v>
      </c>
      <c r="AU1767" s="464">
        <v>72.816286549781523</v>
      </c>
      <c r="AV1767" s="29">
        <v>9.0719139218499306E-2</v>
      </c>
      <c r="AW1767" s="29">
        <v>-0.738042232413051</v>
      </c>
      <c r="AX1767" s="29">
        <v>-0.145710327623474</v>
      </c>
      <c r="AY1767" s="29">
        <v>0.476881348098389</v>
      </c>
      <c r="AZ1767" s="60">
        <v>-0.248937037637317</v>
      </c>
    </row>
    <row r="1768" spans="1:52" ht="15" customHeight="1">
      <c r="A1768" s="63" t="s">
        <v>452</v>
      </c>
      <c r="B1768" s="53">
        <v>2011</v>
      </c>
      <c r="C1768" s="146" t="s">
        <v>442</v>
      </c>
      <c r="D1768" s="69" t="s">
        <v>214</v>
      </c>
      <c r="E1768" s="29" t="s">
        <v>19</v>
      </c>
      <c r="F1768" s="27" t="s">
        <v>1906</v>
      </c>
      <c r="G1768" s="43">
        <v>28882</v>
      </c>
      <c r="H1768" s="43"/>
      <c r="I1768" s="43"/>
      <c r="J1768" s="43"/>
      <c r="K1768" s="27" t="s">
        <v>567</v>
      </c>
      <c r="L1768" s="28"/>
      <c r="M1768" s="27"/>
      <c r="N1768" s="27" t="s">
        <v>788</v>
      </c>
      <c r="O1768" s="18"/>
      <c r="P1768" s="214"/>
      <c r="Q1768" s="214"/>
      <c r="R1768" s="29"/>
      <c r="S1768" s="27"/>
      <c r="T1768" s="18"/>
      <c r="U1768" s="27"/>
      <c r="V1768" s="29"/>
      <c r="W1768" s="30"/>
      <c r="X1768" s="27"/>
      <c r="Y1768" s="27"/>
      <c r="Z1768" s="27"/>
      <c r="AA1768" s="27"/>
      <c r="AB1768" s="27"/>
      <c r="AC1768" s="273">
        <v>5884323617</v>
      </c>
      <c r="AD1768" s="27">
        <v>170564249004.95398</v>
      </c>
      <c r="AE1768" s="228">
        <v>3.4499161760616619E-2</v>
      </c>
      <c r="AF1768" s="27">
        <v>34239067345.254463</v>
      </c>
      <c r="AG1768" s="226">
        <v>0.17185992707291331</v>
      </c>
      <c r="AH1768" s="226">
        <v>0.58802189429208407</v>
      </c>
      <c r="AI1768" s="27">
        <v>604820000</v>
      </c>
      <c r="AJ1768" s="226">
        <v>9.7290493320326714</v>
      </c>
      <c r="AK1768" s="27">
        <v>4603592064.7845087</v>
      </c>
      <c r="AL1768" s="226">
        <v>1.2782026587482707</v>
      </c>
      <c r="AM1768" s="27">
        <v>4317271101.5386934</v>
      </c>
      <c r="AN1768" s="271">
        <v>1.3629729240081316</v>
      </c>
      <c r="AO1768" s="27">
        <v>29614887</v>
      </c>
      <c r="AP1768" s="27">
        <v>27.8</v>
      </c>
      <c r="AQ1768" s="27">
        <v>74.210536585365858</v>
      </c>
      <c r="AR1768" s="27">
        <v>14.3</v>
      </c>
      <c r="AS1768" s="29">
        <v>96.327079999999995</v>
      </c>
      <c r="AT1768" s="270">
        <v>38</v>
      </c>
      <c r="AU1768" s="464">
        <v>72.816286549781523</v>
      </c>
      <c r="AV1768" s="29">
        <v>9.0719139218499306E-2</v>
      </c>
      <c r="AW1768" s="29">
        <v>-0.738042232413051</v>
      </c>
      <c r="AX1768" s="29">
        <v>-0.145710327623474</v>
      </c>
      <c r="AY1768" s="29">
        <v>0.476881348098389</v>
      </c>
      <c r="AZ1768" s="60">
        <v>-0.248937037637317</v>
      </c>
    </row>
    <row r="1769" spans="1:52" ht="15" customHeight="1">
      <c r="A1769" s="63" t="s">
        <v>452</v>
      </c>
      <c r="B1769" s="53">
        <v>2011</v>
      </c>
      <c r="C1769" s="146" t="s">
        <v>442</v>
      </c>
      <c r="D1769" s="69" t="s">
        <v>214</v>
      </c>
      <c r="E1769" s="29" t="s">
        <v>19</v>
      </c>
      <c r="F1769" s="27" t="s">
        <v>1238</v>
      </c>
      <c r="G1769" s="43">
        <v>32290</v>
      </c>
      <c r="H1769" s="43"/>
      <c r="I1769" s="43"/>
      <c r="J1769" s="43"/>
      <c r="K1769" s="27" t="s">
        <v>567</v>
      </c>
      <c r="L1769" s="28"/>
      <c r="M1769" s="27"/>
      <c r="N1769" s="27" t="s">
        <v>788</v>
      </c>
      <c r="O1769" s="18"/>
      <c r="P1769" s="214"/>
      <c r="Q1769" s="214"/>
      <c r="R1769" s="29"/>
      <c r="S1769" s="27"/>
      <c r="T1769" s="18"/>
      <c r="U1769" s="27"/>
      <c r="V1769" s="29"/>
      <c r="W1769" s="30"/>
      <c r="X1769" s="27"/>
      <c r="Y1769" s="27"/>
      <c r="Z1769" s="27"/>
      <c r="AA1769" s="27"/>
      <c r="AB1769" s="27"/>
      <c r="AC1769" s="273">
        <v>5884323617</v>
      </c>
      <c r="AD1769" s="27">
        <v>170564249004.95398</v>
      </c>
      <c r="AE1769" s="228">
        <v>3.4499161760616619E-2</v>
      </c>
      <c r="AF1769" s="27">
        <v>34239067345.254463</v>
      </c>
      <c r="AG1769" s="226">
        <v>0.17185992707291331</v>
      </c>
      <c r="AH1769" s="226">
        <v>0.58802189429208407</v>
      </c>
      <c r="AI1769" s="27">
        <v>604820000</v>
      </c>
      <c r="AJ1769" s="226">
        <v>9.7290493320326714</v>
      </c>
      <c r="AK1769" s="27">
        <v>4603592064.7845087</v>
      </c>
      <c r="AL1769" s="226">
        <v>1.2782026587482707</v>
      </c>
      <c r="AM1769" s="27">
        <v>4317271101.5386934</v>
      </c>
      <c r="AN1769" s="271">
        <v>1.3629729240081316</v>
      </c>
      <c r="AO1769" s="27">
        <v>29614887</v>
      </c>
      <c r="AP1769" s="27">
        <v>27.8</v>
      </c>
      <c r="AQ1769" s="27">
        <v>74.210536585365858</v>
      </c>
      <c r="AR1769" s="27">
        <v>14.3</v>
      </c>
      <c r="AS1769" s="29">
        <v>96.327079999999995</v>
      </c>
      <c r="AT1769" s="270">
        <v>38</v>
      </c>
      <c r="AU1769" s="464">
        <v>72.816286549781523</v>
      </c>
      <c r="AV1769" s="29">
        <v>9.0719139218499306E-2</v>
      </c>
      <c r="AW1769" s="29">
        <v>-0.738042232413051</v>
      </c>
      <c r="AX1769" s="29">
        <v>-0.145710327623474</v>
      </c>
      <c r="AY1769" s="29">
        <v>0.476881348098389</v>
      </c>
      <c r="AZ1769" s="60">
        <v>-0.248937037637317</v>
      </c>
    </row>
    <row r="1770" spans="1:52" ht="15" customHeight="1">
      <c r="A1770" s="63" t="s">
        <v>452</v>
      </c>
      <c r="B1770" s="53">
        <v>2011</v>
      </c>
      <c r="C1770" s="146" t="s">
        <v>442</v>
      </c>
      <c r="D1770" s="69" t="s">
        <v>214</v>
      </c>
      <c r="E1770" s="29" t="s">
        <v>19</v>
      </c>
      <c r="F1770" s="27" t="s">
        <v>1941</v>
      </c>
      <c r="G1770" s="43">
        <v>116073</v>
      </c>
      <c r="H1770" s="43"/>
      <c r="I1770" s="43"/>
      <c r="J1770" s="43"/>
      <c r="K1770" s="27" t="s">
        <v>567</v>
      </c>
      <c r="L1770" s="28"/>
      <c r="M1770" s="27"/>
      <c r="N1770" s="27" t="s">
        <v>788</v>
      </c>
      <c r="O1770" s="18"/>
      <c r="P1770" s="214"/>
      <c r="Q1770" s="214"/>
      <c r="R1770" s="29"/>
      <c r="S1770" s="27"/>
      <c r="T1770" s="18"/>
      <c r="U1770" s="27"/>
      <c r="V1770" s="29"/>
      <c r="W1770" s="30"/>
      <c r="X1770" s="27"/>
      <c r="Y1770" s="27"/>
      <c r="Z1770" s="27"/>
      <c r="AA1770" s="27"/>
      <c r="AB1770" s="27"/>
      <c r="AC1770" s="273">
        <v>5884323617</v>
      </c>
      <c r="AD1770" s="27">
        <v>170564249004.95398</v>
      </c>
      <c r="AE1770" s="228">
        <v>3.4499161760616619E-2</v>
      </c>
      <c r="AF1770" s="27">
        <v>34239067345.254463</v>
      </c>
      <c r="AG1770" s="226">
        <v>0.17185992707291331</v>
      </c>
      <c r="AH1770" s="226">
        <v>0.58802189429208407</v>
      </c>
      <c r="AI1770" s="27">
        <v>604820000</v>
      </c>
      <c r="AJ1770" s="226">
        <v>9.7290493320326714</v>
      </c>
      <c r="AK1770" s="27">
        <v>4603592064.7845087</v>
      </c>
      <c r="AL1770" s="226">
        <v>1.2782026587482707</v>
      </c>
      <c r="AM1770" s="27">
        <v>4317271101.5386934</v>
      </c>
      <c r="AN1770" s="271">
        <v>1.3629729240081316</v>
      </c>
      <c r="AO1770" s="27">
        <v>29614887</v>
      </c>
      <c r="AP1770" s="27">
        <v>27.8</v>
      </c>
      <c r="AQ1770" s="27">
        <v>74.210536585365858</v>
      </c>
      <c r="AR1770" s="27">
        <v>14.3</v>
      </c>
      <c r="AS1770" s="29">
        <v>96.327079999999995</v>
      </c>
      <c r="AT1770" s="270">
        <v>38</v>
      </c>
      <c r="AU1770" s="464">
        <v>72.816286549781523</v>
      </c>
      <c r="AV1770" s="29">
        <v>9.0719139218499306E-2</v>
      </c>
      <c r="AW1770" s="29">
        <v>-0.738042232413051</v>
      </c>
      <c r="AX1770" s="29">
        <v>-0.145710327623474</v>
      </c>
      <c r="AY1770" s="29">
        <v>0.476881348098389</v>
      </c>
      <c r="AZ1770" s="60">
        <v>-0.248937037637317</v>
      </c>
    </row>
    <row r="1771" spans="1:52" ht="15" customHeight="1">
      <c r="A1771" s="63" t="s">
        <v>452</v>
      </c>
      <c r="B1771" s="53">
        <v>2011</v>
      </c>
      <c r="C1771" s="146" t="s">
        <v>442</v>
      </c>
      <c r="D1771" s="69" t="s">
        <v>214</v>
      </c>
      <c r="E1771" s="29" t="s">
        <v>19</v>
      </c>
      <c r="F1771" s="27" t="s">
        <v>1942</v>
      </c>
      <c r="G1771" s="43">
        <v>548</v>
      </c>
      <c r="H1771" s="43"/>
      <c r="I1771" s="43"/>
      <c r="J1771" s="43"/>
      <c r="K1771" s="27" t="s">
        <v>567</v>
      </c>
      <c r="L1771" s="28">
        <v>199</v>
      </c>
      <c r="M1771" s="27" t="s">
        <v>568</v>
      </c>
      <c r="N1771" s="27" t="s">
        <v>1975</v>
      </c>
      <c r="O1771" s="18">
        <f>G1771*L1771</f>
        <v>109052</v>
      </c>
      <c r="P1771" s="214"/>
      <c r="Q1771" s="214"/>
      <c r="R1771" s="29"/>
      <c r="S1771" s="27"/>
      <c r="T1771" s="18"/>
      <c r="U1771" s="27"/>
      <c r="V1771" s="29"/>
      <c r="W1771" s="30"/>
      <c r="X1771" s="27"/>
      <c r="Y1771" s="27"/>
      <c r="Z1771" s="27"/>
      <c r="AA1771" s="27"/>
      <c r="AB1771" s="27"/>
      <c r="AC1771" s="273">
        <v>5884323617</v>
      </c>
      <c r="AD1771" s="27">
        <v>170564249004.95398</v>
      </c>
      <c r="AE1771" s="228">
        <v>3.4499161760616619E-2</v>
      </c>
      <c r="AF1771" s="27">
        <v>34239067345.254463</v>
      </c>
      <c r="AG1771" s="226">
        <v>0.17185992707291331</v>
      </c>
      <c r="AH1771" s="226">
        <v>0.58802189429208407</v>
      </c>
      <c r="AI1771" s="27">
        <v>604820000</v>
      </c>
      <c r="AJ1771" s="226">
        <v>9.7290493320326714</v>
      </c>
      <c r="AK1771" s="27">
        <v>4603592064.7845087</v>
      </c>
      <c r="AL1771" s="226">
        <v>1.2782026587482707</v>
      </c>
      <c r="AM1771" s="27">
        <v>4317271101.5386934</v>
      </c>
      <c r="AN1771" s="271">
        <v>1.3629729240081316</v>
      </c>
      <c r="AO1771" s="27">
        <v>29614887</v>
      </c>
      <c r="AP1771" s="27">
        <v>27.8</v>
      </c>
      <c r="AQ1771" s="27">
        <v>74.210536585365858</v>
      </c>
      <c r="AR1771" s="27">
        <v>14.3</v>
      </c>
      <c r="AS1771" s="29">
        <v>96.327079999999995</v>
      </c>
      <c r="AT1771" s="270">
        <v>38</v>
      </c>
      <c r="AU1771" s="464">
        <v>72.816286549781523</v>
      </c>
      <c r="AV1771" s="29">
        <v>9.0719139218499306E-2</v>
      </c>
      <c r="AW1771" s="29">
        <v>-0.738042232413051</v>
      </c>
      <c r="AX1771" s="29">
        <v>-0.145710327623474</v>
      </c>
      <c r="AY1771" s="29">
        <v>0.476881348098389</v>
      </c>
      <c r="AZ1771" s="60">
        <v>-0.248937037637317</v>
      </c>
    </row>
    <row r="1772" spans="1:52" ht="15" customHeight="1">
      <c r="A1772" s="63" t="s">
        <v>452</v>
      </c>
      <c r="B1772" s="53">
        <v>2011</v>
      </c>
      <c r="C1772" s="146" t="s">
        <v>442</v>
      </c>
      <c r="D1772" s="69" t="s">
        <v>214</v>
      </c>
      <c r="E1772" s="29" t="s">
        <v>19</v>
      </c>
      <c r="F1772" s="27" t="s">
        <v>790</v>
      </c>
      <c r="G1772" s="43"/>
      <c r="H1772" s="43"/>
      <c r="I1772" s="43"/>
      <c r="J1772" s="43"/>
      <c r="K1772" s="27"/>
      <c r="L1772" s="44">
        <f>2193.90041666667</f>
        <v>2193.90041666667</v>
      </c>
      <c r="M1772" s="27" t="s">
        <v>568</v>
      </c>
      <c r="N1772" s="27" t="s">
        <v>1907</v>
      </c>
      <c r="O1772" s="18">
        <f>G1774*L1772</f>
        <v>688257275.31416774</v>
      </c>
      <c r="P1772" s="244"/>
      <c r="Q1772" s="244"/>
      <c r="R1772" s="27"/>
      <c r="S1772" s="27"/>
      <c r="T1772" s="18"/>
      <c r="U1772" s="27"/>
      <c r="V1772" s="27"/>
      <c r="W1772" s="30"/>
      <c r="X1772" s="27"/>
      <c r="Y1772" s="27"/>
      <c r="Z1772" s="27"/>
      <c r="AA1772" s="27"/>
      <c r="AB1772" s="27"/>
      <c r="AC1772" s="273">
        <v>5884323617</v>
      </c>
      <c r="AD1772" s="27">
        <v>170564249004.95398</v>
      </c>
      <c r="AE1772" s="228">
        <v>3.4499161760616619E-2</v>
      </c>
      <c r="AF1772" s="27">
        <v>34239067345.254463</v>
      </c>
      <c r="AG1772" s="226">
        <v>0.17185992707291331</v>
      </c>
      <c r="AH1772" s="226">
        <v>0.58802189429208407</v>
      </c>
      <c r="AI1772" s="27">
        <v>604820000</v>
      </c>
      <c r="AJ1772" s="226">
        <v>9.7290493320326714</v>
      </c>
      <c r="AK1772" s="27">
        <v>4603592064.7845087</v>
      </c>
      <c r="AL1772" s="226">
        <v>1.2782026587482707</v>
      </c>
      <c r="AM1772" s="27">
        <v>4317271101.5386934</v>
      </c>
      <c r="AN1772" s="271">
        <v>1.3629729240081316</v>
      </c>
      <c r="AO1772" s="27">
        <v>29614887</v>
      </c>
      <c r="AP1772" s="27">
        <v>27.8</v>
      </c>
      <c r="AQ1772" s="27">
        <v>74.210536585365858</v>
      </c>
      <c r="AR1772" s="27">
        <v>14.3</v>
      </c>
      <c r="AS1772" s="29">
        <v>96.327079999999995</v>
      </c>
      <c r="AT1772" s="270">
        <v>38</v>
      </c>
      <c r="AU1772" s="464">
        <v>72.816286549781523</v>
      </c>
      <c r="AV1772" s="29">
        <v>9.0719139218499306E-2</v>
      </c>
      <c r="AW1772" s="29">
        <v>-0.738042232413051</v>
      </c>
      <c r="AX1772" s="29">
        <v>-0.145710327623474</v>
      </c>
      <c r="AY1772" s="29">
        <v>0.476881348098389</v>
      </c>
      <c r="AZ1772" s="60">
        <v>-0.248937037637317</v>
      </c>
    </row>
    <row r="1773" spans="1:52" ht="15" customHeight="1">
      <c r="A1773" s="63" t="s">
        <v>452</v>
      </c>
      <c r="B1773" s="53">
        <v>2011</v>
      </c>
      <c r="C1773" s="146" t="s">
        <v>442</v>
      </c>
      <c r="D1773" s="69" t="s">
        <v>214</v>
      </c>
      <c r="E1773" s="29" t="s">
        <v>19</v>
      </c>
      <c r="F1773" s="27" t="s">
        <v>1909</v>
      </c>
      <c r="G1773" s="43">
        <v>1256383</v>
      </c>
      <c r="H1773" s="43"/>
      <c r="I1773" s="43"/>
      <c r="J1773" s="43"/>
      <c r="K1773" s="27" t="s">
        <v>567</v>
      </c>
      <c r="L1773" s="28"/>
      <c r="M1773" s="27"/>
      <c r="N1773" s="27" t="s">
        <v>788</v>
      </c>
      <c r="O1773" s="18"/>
      <c r="P1773" s="214"/>
      <c r="Q1773" s="214"/>
      <c r="R1773" s="29"/>
      <c r="S1773" s="27"/>
      <c r="T1773" s="18"/>
      <c r="U1773" s="27"/>
      <c r="V1773" s="29"/>
      <c r="W1773" s="30"/>
      <c r="X1773" s="27"/>
      <c r="Y1773" s="27"/>
      <c r="Z1773" s="27"/>
      <c r="AA1773" s="27"/>
      <c r="AB1773" s="27"/>
      <c r="AC1773" s="273">
        <v>5884323617</v>
      </c>
      <c r="AD1773" s="27">
        <v>170564249004.95398</v>
      </c>
      <c r="AE1773" s="228">
        <v>3.4499161760616619E-2</v>
      </c>
      <c r="AF1773" s="27">
        <v>34239067345.254463</v>
      </c>
      <c r="AG1773" s="226">
        <v>0.17185992707291331</v>
      </c>
      <c r="AH1773" s="226">
        <v>0.58802189429208407</v>
      </c>
      <c r="AI1773" s="27">
        <v>604820000</v>
      </c>
      <c r="AJ1773" s="226">
        <v>9.7290493320326714</v>
      </c>
      <c r="AK1773" s="27">
        <v>4603592064.7845087</v>
      </c>
      <c r="AL1773" s="226">
        <v>1.2782026587482707</v>
      </c>
      <c r="AM1773" s="27">
        <v>4317271101.5386934</v>
      </c>
      <c r="AN1773" s="271">
        <v>1.3629729240081316</v>
      </c>
      <c r="AO1773" s="27">
        <v>29614887</v>
      </c>
      <c r="AP1773" s="27">
        <v>27.8</v>
      </c>
      <c r="AQ1773" s="27">
        <v>74.210536585365858</v>
      </c>
      <c r="AR1773" s="27">
        <v>14.3</v>
      </c>
      <c r="AS1773" s="29">
        <v>96.327079999999995</v>
      </c>
      <c r="AT1773" s="270">
        <v>38</v>
      </c>
      <c r="AU1773" s="464">
        <v>72.816286549781523</v>
      </c>
      <c r="AV1773" s="29">
        <v>9.0719139218499306E-2</v>
      </c>
      <c r="AW1773" s="29">
        <v>-0.738042232413051</v>
      </c>
      <c r="AX1773" s="29">
        <v>-0.145710327623474</v>
      </c>
      <c r="AY1773" s="29">
        <v>0.476881348098389</v>
      </c>
      <c r="AZ1773" s="60">
        <v>-0.248937037637317</v>
      </c>
    </row>
    <row r="1774" spans="1:52" s="287" customFormat="1" ht="15" customHeight="1">
      <c r="A1774" s="359" t="s">
        <v>452</v>
      </c>
      <c r="B1774" s="302">
        <v>2011</v>
      </c>
      <c r="C1774" s="383" t="s">
        <v>442</v>
      </c>
      <c r="D1774" s="369" t="s">
        <v>214</v>
      </c>
      <c r="E1774" s="287" t="s">
        <v>19</v>
      </c>
      <c r="F1774" s="284" t="s">
        <v>1238</v>
      </c>
      <c r="G1774" s="303">
        <v>313714</v>
      </c>
      <c r="H1774" s="303"/>
      <c r="I1774" s="303"/>
      <c r="J1774" s="303"/>
      <c r="K1774" s="284" t="s">
        <v>567</v>
      </c>
      <c r="L1774" s="304"/>
      <c r="M1774" s="284"/>
      <c r="N1774" s="284" t="s">
        <v>788</v>
      </c>
      <c r="O1774" s="305"/>
      <c r="P1774" s="346"/>
      <c r="Q1774" s="346"/>
      <c r="S1774" s="284"/>
      <c r="T1774" s="305"/>
      <c r="U1774" s="284"/>
      <c r="W1774" s="307"/>
      <c r="X1774" s="284"/>
      <c r="Y1774" s="284"/>
      <c r="Z1774" s="284"/>
      <c r="AA1774" s="284"/>
      <c r="AB1774" s="284"/>
      <c r="AC1774" s="308">
        <v>5884323617</v>
      </c>
      <c r="AD1774" s="284">
        <v>170564249004.95398</v>
      </c>
      <c r="AE1774" s="309">
        <v>3.4499161760616619E-2</v>
      </c>
      <c r="AF1774" s="284">
        <v>34239067345.254463</v>
      </c>
      <c r="AG1774" s="310">
        <v>0.17185992707291331</v>
      </c>
      <c r="AH1774" s="310">
        <v>0.58802189429208407</v>
      </c>
      <c r="AI1774" s="284">
        <v>604820000</v>
      </c>
      <c r="AJ1774" s="310">
        <v>9.7290493320326714</v>
      </c>
      <c r="AK1774" s="284">
        <v>4603592064.7845087</v>
      </c>
      <c r="AL1774" s="310">
        <v>1.2782026587482707</v>
      </c>
      <c r="AM1774" s="284">
        <v>4317271101.5386934</v>
      </c>
      <c r="AN1774" s="311">
        <v>1.3629729240081316</v>
      </c>
      <c r="AO1774" s="284">
        <v>29614887</v>
      </c>
      <c r="AP1774" s="284">
        <v>27.8</v>
      </c>
      <c r="AQ1774" s="284">
        <v>74.210536585365858</v>
      </c>
      <c r="AR1774" s="284">
        <v>14.3</v>
      </c>
      <c r="AS1774" s="287">
        <v>96.327079999999995</v>
      </c>
      <c r="AT1774" s="312">
        <v>38</v>
      </c>
      <c r="AU1774" s="465">
        <v>72.816286549781523</v>
      </c>
      <c r="AV1774" s="287">
        <v>9.0719139218499306E-2</v>
      </c>
      <c r="AW1774" s="287">
        <v>-0.738042232413051</v>
      </c>
      <c r="AX1774" s="287">
        <v>-0.145710327623474</v>
      </c>
      <c r="AY1774" s="287">
        <v>0.476881348098389</v>
      </c>
      <c r="AZ1774" s="313">
        <v>-0.248937037637317</v>
      </c>
    </row>
    <row r="1775" spans="1:52" s="29" customFormat="1" ht="15" customHeight="1">
      <c r="A1775" s="347" t="s">
        <v>455</v>
      </c>
      <c r="B1775" s="53">
        <v>2012</v>
      </c>
      <c r="C1775" s="146" t="s">
        <v>442</v>
      </c>
      <c r="D1775" s="69" t="s">
        <v>214</v>
      </c>
      <c r="E1775" s="27" t="s">
        <v>30</v>
      </c>
      <c r="F1775" s="27" t="s">
        <v>659</v>
      </c>
      <c r="G1775" s="43"/>
      <c r="H1775" s="43"/>
      <c r="I1775" s="43"/>
      <c r="J1775" s="43"/>
      <c r="K1775" s="27"/>
      <c r="L1775" s="28"/>
      <c r="M1775" s="27"/>
      <c r="N1775" s="27"/>
      <c r="O1775" s="18">
        <f>O1776+O1779</f>
        <v>33323460765.120514</v>
      </c>
      <c r="P1775" s="214">
        <v>5480907241</v>
      </c>
      <c r="Q1775" s="214">
        <v>5478998767</v>
      </c>
      <c r="R1775" s="27" t="s">
        <v>619</v>
      </c>
      <c r="S1775" s="27"/>
      <c r="T1775" s="18"/>
      <c r="U1775" s="27" t="s">
        <v>590</v>
      </c>
      <c r="V1775" s="27"/>
      <c r="W1775" s="30">
        <v>2.59</v>
      </c>
      <c r="X1775" s="27"/>
      <c r="Y1775" s="27"/>
      <c r="Z1775" s="27">
        <v>59</v>
      </c>
      <c r="AA1775" s="27"/>
      <c r="AB1775" s="27" t="s">
        <v>1946</v>
      </c>
      <c r="AC1775" s="273">
        <v>5480907241</v>
      </c>
      <c r="AD1775" s="27">
        <v>192628494178.35443</v>
      </c>
      <c r="AE1775" s="228">
        <v>2.8453252798234702E-2</v>
      </c>
      <c r="AF1775" s="27">
        <v>40270912992.926773</v>
      </c>
      <c r="AG1775" s="226">
        <v>0.13610089351494645</v>
      </c>
      <c r="AH1775" s="226">
        <v>0.58284280802547439</v>
      </c>
      <c r="AI1775" s="27">
        <v>393820000</v>
      </c>
      <c r="AJ1775" s="226">
        <v>13.91729023665634</v>
      </c>
      <c r="AK1775" s="27">
        <v>5752929762.7566061</v>
      </c>
      <c r="AL1775" s="226">
        <v>0.95271582776524943</v>
      </c>
      <c r="AM1775" s="27">
        <v>5317432530.3958025</v>
      </c>
      <c r="AN1775" s="271">
        <v>1.0307431659301241</v>
      </c>
      <c r="AO1775" s="27">
        <v>29987800</v>
      </c>
      <c r="AP1775" s="27">
        <v>25.8</v>
      </c>
      <c r="AQ1775" s="27">
        <v>74.515536585365851</v>
      </c>
      <c r="AR1775" s="27">
        <v>13.6</v>
      </c>
      <c r="AS1775" s="29" t="s">
        <v>2842</v>
      </c>
      <c r="AT1775" s="270">
        <v>38</v>
      </c>
      <c r="AU1775" s="464">
        <v>72.816286549781523</v>
      </c>
      <c r="AV1775" s="29">
        <v>6.8806180868862199E-2</v>
      </c>
      <c r="AW1775" s="29">
        <v>-0.86195648593669605</v>
      </c>
      <c r="AX1775" s="29">
        <v>-0.157626358241128</v>
      </c>
      <c r="AY1775" s="29">
        <v>0.48941210864302698</v>
      </c>
      <c r="AZ1775" s="60">
        <v>-0.394694258708917</v>
      </c>
    </row>
    <row r="1776" spans="1:52" s="29" customFormat="1" ht="15" customHeight="1">
      <c r="A1776" s="63" t="s">
        <v>455</v>
      </c>
      <c r="B1776" s="53">
        <v>2012</v>
      </c>
      <c r="C1776" s="146" t="s">
        <v>442</v>
      </c>
      <c r="D1776" s="69" t="s">
        <v>214</v>
      </c>
      <c r="E1776" s="27" t="s">
        <v>50</v>
      </c>
      <c r="F1776" s="27" t="s">
        <v>597</v>
      </c>
      <c r="G1776" s="43"/>
      <c r="H1776" s="43"/>
      <c r="I1776" s="43"/>
      <c r="J1776" s="43"/>
      <c r="K1776" s="27"/>
      <c r="L1776" s="28"/>
      <c r="M1776" s="27"/>
      <c r="N1776" s="27"/>
      <c r="O1776" s="18">
        <f>SUM(O1777:O1778)</f>
        <v>6436963217.4101572</v>
      </c>
      <c r="P1776" s="214"/>
      <c r="Q1776" s="214"/>
      <c r="R1776" s="27"/>
      <c r="S1776" s="27"/>
      <c r="T1776" s="18"/>
      <c r="U1776" s="27"/>
      <c r="V1776" s="27"/>
      <c r="W1776" s="30"/>
      <c r="X1776" s="27"/>
      <c r="Y1776" s="27"/>
      <c r="Z1776" s="27"/>
      <c r="AA1776" s="27"/>
      <c r="AB1776" s="27"/>
      <c r="AC1776" s="273">
        <v>5480907241</v>
      </c>
      <c r="AD1776" s="27">
        <v>192628494178.35443</v>
      </c>
      <c r="AE1776" s="228">
        <v>2.8453252798234702E-2</v>
      </c>
      <c r="AF1776" s="27">
        <v>40270912992.926773</v>
      </c>
      <c r="AG1776" s="226">
        <v>0.13610089351494645</v>
      </c>
      <c r="AH1776" s="226">
        <v>0.58284280802547439</v>
      </c>
      <c r="AI1776" s="27">
        <v>393820000</v>
      </c>
      <c r="AJ1776" s="226">
        <v>13.91729023665634</v>
      </c>
      <c r="AK1776" s="27">
        <v>5752929762.7566061</v>
      </c>
      <c r="AL1776" s="226">
        <v>0.95271582776524943</v>
      </c>
      <c r="AM1776" s="27">
        <v>5317432530.3958025</v>
      </c>
      <c r="AN1776" s="271">
        <v>1.0307431659301241</v>
      </c>
      <c r="AO1776" s="27">
        <v>29987800</v>
      </c>
      <c r="AP1776" s="27">
        <v>25.8</v>
      </c>
      <c r="AQ1776" s="27">
        <v>74.515536585365851</v>
      </c>
      <c r="AR1776" s="27">
        <v>13.6</v>
      </c>
      <c r="AS1776" s="29" t="s">
        <v>2842</v>
      </c>
      <c r="AT1776" s="270">
        <v>38</v>
      </c>
      <c r="AU1776" s="464">
        <v>72.816286549781523</v>
      </c>
      <c r="AV1776" s="29">
        <v>6.8806180868862199E-2</v>
      </c>
      <c r="AW1776" s="29">
        <v>-0.86195648593669605</v>
      </c>
      <c r="AX1776" s="29">
        <v>-0.157626358241128</v>
      </c>
      <c r="AY1776" s="29">
        <v>0.48941210864302698</v>
      </c>
      <c r="AZ1776" s="60">
        <v>-0.394694258708917</v>
      </c>
    </row>
    <row r="1777" spans="1:52" s="29" customFormat="1" ht="15" customHeight="1">
      <c r="A1777" s="63" t="s">
        <v>455</v>
      </c>
      <c r="B1777" s="53">
        <v>2012</v>
      </c>
      <c r="C1777" s="146" t="s">
        <v>442</v>
      </c>
      <c r="D1777" s="69" t="s">
        <v>214</v>
      </c>
      <c r="E1777" s="29" t="s">
        <v>552</v>
      </c>
      <c r="F1777" s="27" t="s">
        <v>552</v>
      </c>
      <c r="G1777" s="43">
        <v>11900000000</v>
      </c>
      <c r="H1777" s="43"/>
      <c r="I1777" s="43"/>
      <c r="J1777" s="43"/>
      <c r="K1777" s="27" t="s">
        <v>599</v>
      </c>
      <c r="L1777" s="28">
        <v>0.17241089108361263</v>
      </c>
      <c r="M1777" s="27" t="s">
        <v>600</v>
      </c>
      <c r="N1777" s="27" t="s">
        <v>685</v>
      </c>
      <c r="O1777" s="18">
        <f>G1777*L1777</f>
        <v>2051689603.8949902</v>
      </c>
      <c r="P1777" s="214"/>
      <c r="Q1777" s="214"/>
      <c r="R1777" s="27"/>
      <c r="S1777" s="27"/>
      <c r="T1777" s="18"/>
      <c r="U1777" s="27"/>
      <c r="V1777" s="27"/>
      <c r="W1777" s="30"/>
      <c r="X1777" s="27"/>
      <c r="Y1777" s="27"/>
      <c r="Z1777" s="27"/>
      <c r="AA1777" s="27"/>
      <c r="AB1777" s="27"/>
      <c r="AC1777" s="273">
        <v>5480907241</v>
      </c>
      <c r="AD1777" s="27">
        <v>192628494178.35443</v>
      </c>
      <c r="AE1777" s="228">
        <v>2.8453252798234702E-2</v>
      </c>
      <c r="AF1777" s="27">
        <v>40270912992.926773</v>
      </c>
      <c r="AG1777" s="226">
        <v>0.13610089351494645</v>
      </c>
      <c r="AH1777" s="226">
        <v>0.58284280802547439</v>
      </c>
      <c r="AI1777" s="27">
        <v>393820000</v>
      </c>
      <c r="AJ1777" s="226">
        <v>13.91729023665634</v>
      </c>
      <c r="AK1777" s="27">
        <v>5752929762.7566061</v>
      </c>
      <c r="AL1777" s="226">
        <v>0.95271582776524943</v>
      </c>
      <c r="AM1777" s="27">
        <v>5317432530.3958025</v>
      </c>
      <c r="AN1777" s="271">
        <v>1.0307431659301241</v>
      </c>
      <c r="AO1777" s="27">
        <v>29987800</v>
      </c>
      <c r="AP1777" s="27">
        <v>25.8</v>
      </c>
      <c r="AQ1777" s="27">
        <v>74.515536585365851</v>
      </c>
      <c r="AR1777" s="27">
        <v>13.6</v>
      </c>
      <c r="AS1777" s="29" t="s">
        <v>2842</v>
      </c>
      <c r="AT1777" s="270">
        <v>38</v>
      </c>
      <c r="AU1777" s="464">
        <v>72.816286549781523</v>
      </c>
      <c r="AV1777" s="29">
        <v>6.8806180868862199E-2</v>
      </c>
      <c r="AW1777" s="29">
        <v>-0.86195648593669605</v>
      </c>
      <c r="AX1777" s="29">
        <v>-0.157626358241128</v>
      </c>
      <c r="AY1777" s="29">
        <v>0.48941210864302698</v>
      </c>
      <c r="AZ1777" s="60">
        <v>-0.394694258708917</v>
      </c>
    </row>
    <row r="1778" spans="1:52" s="29" customFormat="1" ht="15" customHeight="1">
      <c r="A1778" s="63" t="s">
        <v>455</v>
      </c>
      <c r="B1778" s="53">
        <v>2012</v>
      </c>
      <c r="C1778" s="146" t="s">
        <v>442</v>
      </c>
      <c r="D1778" s="69" t="s">
        <v>214</v>
      </c>
      <c r="E1778" s="29" t="s">
        <v>98</v>
      </c>
      <c r="F1778" s="27" t="s">
        <v>98</v>
      </c>
      <c r="G1778" s="43">
        <v>40880000</v>
      </c>
      <c r="H1778" s="43"/>
      <c r="I1778" s="43"/>
      <c r="J1778" s="43"/>
      <c r="K1778" s="27" t="s">
        <v>603</v>
      </c>
      <c r="L1778" s="28">
        <v>107.27185943041016</v>
      </c>
      <c r="M1778" s="27" t="s">
        <v>626</v>
      </c>
      <c r="N1778" s="27" t="s">
        <v>687</v>
      </c>
      <c r="O1778" s="18">
        <f>G1778*L1778</f>
        <v>4385273613.5151672</v>
      </c>
      <c r="P1778" s="214"/>
      <c r="Q1778" s="214"/>
      <c r="R1778" s="27"/>
      <c r="S1778" s="27"/>
      <c r="T1778" s="18"/>
      <c r="U1778" s="27"/>
      <c r="V1778" s="27"/>
      <c r="W1778" s="30"/>
      <c r="X1778" s="27"/>
      <c r="Y1778" s="27"/>
      <c r="Z1778" s="27"/>
      <c r="AA1778" s="27"/>
      <c r="AB1778" s="27"/>
      <c r="AC1778" s="273">
        <v>5480907241</v>
      </c>
      <c r="AD1778" s="27">
        <v>192628494178.35443</v>
      </c>
      <c r="AE1778" s="228">
        <v>2.8453252798234702E-2</v>
      </c>
      <c r="AF1778" s="27">
        <v>40270912992.926773</v>
      </c>
      <c r="AG1778" s="226">
        <v>0.13610089351494645</v>
      </c>
      <c r="AH1778" s="226">
        <v>0.58284280802547439</v>
      </c>
      <c r="AI1778" s="27">
        <v>393820000</v>
      </c>
      <c r="AJ1778" s="226">
        <v>13.91729023665634</v>
      </c>
      <c r="AK1778" s="27">
        <v>5752929762.7566061</v>
      </c>
      <c r="AL1778" s="226">
        <v>0.95271582776524943</v>
      </c>
      <c r="AM1778" s="27">
        <v>5317432530.3958025</v>
      </c>
      <c r="AN1778" s="271">
        <v>1.0307431659301241</v>
      </c>
      <c r="AO1778" s="27">
        <v>29987800</v>
      </c>
      <c r="AP1778" s="27">
        <v>25.8</v>
      </c>
      <c r="AQ1778" s="27">
        <v>74.515536585365851</v>
      </c>
      <c r="AR1778" s="27">
        <v>13.6</v>
      </c>
      <c r="AS1778" s="29" t="s">
        <v>2842</v>
      </c>
      <c r="AT1778" s="270">
        <v>38</v>
      </c>
      <c r="AU1778" s="464">
        <v>72.816286549781523</v>
      </c>
      <c r="AV1778" s="29">
        <v>6.8806180868862199E-2</v>
      </c>
      <c r="AW1778" s="29">
        <v>-0.86195648593669605</v>
      </c>
      <c r="AX1778" s="29">
        <v>-0.157626358241128</v>
      </c>
      <c r="AY1778" s="29">
        <v>0.48941210864302698</v>
      </c>
      <c r="AZ1778" s="60">
        <v>-0.394694258708917</v>
      </c>
    </row>
    <row r="1779" spans="1:52" s="29" customFormat="1" ht="15" customHeight="1">
      <c r="A1779" s="63" t="s">
        <v>455</v>
      </c>
      <c r="B1779" s="53">
        <v>2012</v>
      </c>
      <c r="C1779" s="146" t="s">
        <v>442</v>
      </c>
      <c r="D1779" s="69" t="s">
        <v>214</v>
      </c>
      <c r="E1779" s="29" t="s">
        <v>19</v>
      </c>
      <c r="F1779" s="27" t="s">
        <v>559</v>
      </c>
      <c r="G1779" s="43"/>
      <c r="H1779" s="43"/>
      <c r="I1779" s="43"/>
      <c r="J1779" s="43"/>
      <c r="K1779" s="27"/>
      <c r="L1779" s="28"/>
      <c r="M1779" s="27"/>
      <c r="N1779" s="27"/>
      <c r="O1779" s="18">
        <f>SUM(O1780:O1828)</f>
        <v>26886497547.710358</v>
      </c>
      <c r="P1779" s="214"/>
      <c r="Q1779" s="214"/>
      <c r="S1779" s="27"/>
      <c r="T1779" s="18"/>
      <c r="U1779" s="27"/>
      <c r="W1779" s="30"/>
      <c r="X1779" s="27"/>
      <c r="Y1779" s="27"/>
      <c r="Z1779" s="27"/>
      <c r="AA1779" s="27"/>
      <c r="AB1779" s="27"/>
      <c r="AC1779" s="273">
        <v>5480907241</v>
      </c>
      <c r="AD1779" s="27">
        <v>192628494178.35443</v>
      </c>
      <c r="AE1779" s="228">
        <v>2.8453252798234702E-2</v>
      </c>
      <c r="AF1779" s="27">
        <v>40270912992.926773</v>
      </c>
      <c r="AG1779" s="226">
        <v>0.13610089351494645</v>
      </c>
      <c r="AH1779" s="226">
        <v>0.58284280802547439</v>
      </c>
      <c r="AI1779" s="27">
        <v>393820000</v>
      </c>
      <c r="AJ1779" s="226">
        <v>13.91729023665634</v>
      </c>
      <c r="AK1779" s="27">
        <v>5752929762.7566061</v>
      </c>
      <c r="AL1779" s="226">
        <v>0.95271582776524943</v>
      </c>
      <c r="AM1779" s="27">
        <v>5317432530.3958025</v>
      </c>
      <c r="AN1779" s="271">
        <v>1.0307431659301241</v>
      </c>
      <c r="AO1779" s="27">
        <v>29987800</v>
      </c>
      <c r="AP1779" s="27">
        <v>25.8</v>
      </c>
      <c r="AQ1779" s="27">
        <v>74.515536585365851</v>
      </c>
      <c r="AR1779" s="27">
        <v>13.6</v>
      </c>
      <c r="AS1779" s="29" t="s">
        <v>2842</v>
      </c>
      <c r="AT1779" s="270">
        <v>38</v>
      </c>
      <c r="AU1779" s="464">
        <v>72.816286549781523</v>
      </c>
      <c r="AV1779" s="29">
        <v>6.8806180868862199E-2</v>
      </c>
      <c r="AW1779" s="29">
        <v>-0.86195648593669605</v>
      </c>
      <c r="AX1779" s="29">
        <v>-0.157626358241128</v>
      </c>
      <c r="AY1779" s="29">
        <v>0.48941210864302698</v>
      </c>
      <c r="AZ1779" s="60">
        <v>-0.394694258708917</v>
      </c>
    </row>
    <row r="1780" spans="1:52" s="29" customFormat="1" ht="15" customHeight="1">
      <c r="A1780" s="63" t="s">
        <v>455</v>
      </c>
      <c r="B1780" s="53">
        <v>2012</v>
      </c>
      <c r="C1780" s="146" t="s">
        <v>442</v>
      </c>
      <c r="D1780" s="69" t="s">
        <v>214</v>
      </c>
      <c r="E1780" s="29" t="s">
        <v>19</v>
      </c>
      <c r="F1780" s="27" t="s">
        <v>1924</v>
      </c>
      <c r="G1780" s="43">
        <v>0</v>
      </c>
      <c r="H1780" s="43"/>
      <c r="I1780" s="43"/>
      <c r="J1780" s="43"/>
      <c r="K1780" s="27" t="s">
        <v>567</v>
      </c>
      <c r="L1780" s="28"/>
      <c r="M1780" s="27"/>
      <c r="N1780" s="27" t="s">
        <v>636</v>
      </c>
      <c r="O1780" s="18">
        <f t="shared" ref="O1780:O1787" si="28">G1780*L1780</f>
        <v>0</v>
      </c>
      <c r="P1780" s="214"/>
      <c r="Q1780" s="214"/>
      <c r="S1780" s="27"/>
      <c r="T1780" s="18"/>
      <c r="U1780" s="27"/>
      <c r="W1780" s="30"/>
      <c r="X1780" s="27"/>
      <c r="Y1780" s="27"/>
      <c r="Z1780" s="27"/>
      <c r="AA1780" s="27"/>
      <c r="AB1780" s="27"/>
      <c r="AC1780" s="273">
        <v>5480907241</v>
      </c>
      <c r="AD1780" s="27">
        <v>192628494178.35443</v>
      </c>
      <c r="AE1780" s="228">
        <v>2.8453252798234702E-2</v>
      </c>
      <c r="AF1780" s="27">
        <v>40270912992.926773</v>
      </c>
      <c r="AG1780" s="226">
        <v>0.13610089351494645</v>
      </c>
      <c r="AH1780" s="226">
        <v>0.58284280802547439</v>
      </c>
      <c r="AI1780" s="27">
        <v>393820000</v>
      </c>
      <c r="AJ1780" s="226">
        <v>13.91729023665634</v>
      </c>
      <c r="AK1780" s="27">
        <v>5752929762.7566061</v>
      </c>
      <c r="AL1780" s="226">
        <v>0.95271582776524943</v>
      </c>
      <c r="AM1780" s="27">
        <v>5317432530.3958025</v>
      </c>
      <c r="AN1780" s="271">
        <v>1.0307431659301241</v>
      </c>
      <c r="AO1780" s="27">
        <v>29987800</v>
      </c>
      <c r="AP1780" s="27">
        <v>25.8</v>
      </c>
      <c r="AQ1780" s="27">
        <v>74.515536585365851</v>
      </c>
      <c r="AR1780" s="27">
        <v>13.6</v>
      </c>
      <c r="AS1780" s="29" t="s">
        <v>2842</v>
      </c>
      <c r="AT1780" s="270">
        <v>38</v>
      </c>
      <c r="AU1780" s="464">
        <v>72.816286549781523</v>
      </c>
      <c r="AV1780" s="29">
        <v>6.8806180868862199E-2</v>
      </c>
      <c r="AW1780" s="29">
        <v>-0.86195648593669605</v>
      </c>
      <c r="AX1780" s="29">
        <v>-0.157626358241128</v>
      </c>
      <c r="AY1780" s="29">
        <v>0.48941210864302698</v>
      </c>
      <c r="AZ1780" s="60">
        <v>-0.394694258708917</v>
      </c>
    </row>
    <row r="1781" spans="1:52" s="29" customFormat="1" ht="15" customHeight="1">
      <c r="A1781" s="63" t="s">
        <v>455</v>
      </c>
      <c r="B1781" s="53">
        <v>2012</v>
      </c>
      <c r="C1781" s="146" t="s">
        <v>442</v>
      </c>
      <c r="D1781" s="69" t="s">
        <v>214</v>
      </c>
      <c r="E1781" s="29" t="s">
        <v>19</v>
      </c>
      <c r="F1781" s="27" t="s">
        <v>1925</v>
      </c>
      <c r="G1781" s="43">
        <v>0</v>
      </c>
      <c r="H1781" s="43"/>
      <c r="I1781" s="43"/>
      <c r="J1781" s="43"/>
      <c r="K1781" s="27" t="s">
        <v>567</v>
      </c>
      <c r="L1781" s="28"/>
      <c r="M1781" s="27"/>
      <c r="N1781" s="27" t="s">
        <v>636</v>
      </c>
      <c r="O1781" s="18">
        <f t="shared" si="28"/>
        <v>0</v>
      </c>
      <c r="P1781" s="214"/>
      <c r="Q1781" s="214"/>
      <c r="S1781" s="27"/>
      <c r="T1781" s="18"/>
      <c r="U1781" s="27"/>
      <c r="W1781" s="30"/>
      <c r="X1781" s="27"/>
      <c r="Y1781" s="27"/>
      <c r="Z1781" s="27"/>
      <c r="AA1781" s="27"/>
      <c r="AB1781" s="27"/>
      <c r="AC1781" s="273">
        <v>5480907241</v>
      </c>
      <c r="AD1781" s="27">
        <v>192628494178.35443</v>
      </c>
      <c r="AE1781" s="228">
        <v>2.8453252798234702E-2</v>
      </c>
      <c r="AF1781" s="27">
        <v>40270912992.926773</v>
      </c>
      <c r="AG1781" s="226">
        <v>0.13610089351494645</v>
      </c>
      <c r="AH1781" s="226">
        <v>0.58284280802547439</v>
      </c>
      <c r="AI1781" s="27">
        <v>393820000</v>
      </c>
      <c r="AJ1781" s="226">
        <v>13.91729023665634</v>
      </c>
      <c r="AK1781" s="27">
        <v>5752929762.7566061</v>
      </c>
      <c r="AL1781" s="226">
        <v>0.95271582776524943</v>
      </c>
      <c r="AM1781" s="27">
        <v>5317432530.3958025</v>
      </c>
      <c r="AN1781" s="271">
        <v>1.0307431659301241</v>
      </c>
      <c r="AO1781" s="27">
        <v>29987800</v>
      </c>
      <c r="AP1781" s="27">
        <v>25.8</v>
      </c>
      <c r="AQ1781" s="27">
        <v>74.515536585365851</v>
      </c>
      <c r="AR1781" s="27">
        <v>13.6</v>
      </c>
      <c r="AS1781" s="29" t="s">
        <v>2842</v>
      </c>
      <c r="AT1781" s="270">
        <v>38</v>
      </c>
      <c r="AU1781" s="464">
        <v>72.816286549781523</v>
      </c>
      <c r="AV1781" s="29">
        <v>6.8806180868862199E-2</v>
      </c>
      <c r="AW1781" s="29">
        <v>-0.86195648593669605</v>
      </c>
      <c r="AX1781" s="29">
        <v>-0.157626358241128</v>
      </c>
      <c r="AY1781" s="29">
        <v>0.48941210864302698</v>
      </c>
      <c r="AZ1781" s="60">
        <v>-0.394694258708917</v>
      </c>
    </row>
    <row r="1782" spans="1:52" s="29" customFormat="1" ht="15" customHeight="1">
      <c r="A1782" s="63" t="s">
        <v>455</v>
      </c>
      <c r="B1782" s="53">
        <v>2012</v>
      </c>
      <c r="C1782" s="146" t="s">
        <v>442</v>
      </c>
      <c r="D1782" s="69" t="s">
        <v>214</v>
      </c>
      <c r="E1782" s="29" t="s">
        <v>19</v>
      </c>
      <c r="F1782" s="27" t="s">
        <v>1302</v>
      </c>
      <c r="G1782" s="43">
        <v>76007</v>
      </c>
      <c r="H1782" s="43"/>
      <c r="I1782" s="43"/>
      <c r="J1782" s="43"/>
      <c r="K1782" s="27" t="s">
        <v>567</v>
      </c>
      <c r="L1782" s="28">
        <v>112</v>
      </c>
      <c r="M1782" s="27" t="s">
        <v>568</v>
      </c>
      <c r="N1782" s="27" t="s">
        <v>1976</v>
      </c>
      <c r="O1782" s="18">
        <f t="shared" si="28"/>
        <v>8512784</v>
      </c>
      <c r="P1782" s="214"/>
      <c r="Q1782" s="214"/>
      <c r="S1782" s="27"/>
      <c r="T1782" s="18"/>
      <c r="U1782" s="27"/>
      <c r="W1782" s="30"/>
      <c r="X1782" s="27"/>
      <c r="Y1782" s="27"/>
      <c r="Z1782" s="27"/>
      <c r="AA1782" s="27"/>
      <c r="AB1782" s="27"/>
      <c r="AC1782" s="273">
        <v>5480907241</v>
      </c>
      <c r="AD1782" s="27">
        <v>192628494178.35443</v>
      </c>
      <c r="AE1782" s="228">
        <v>2.8453252798234702E-2</v>
      </c>
      <c r="AF1782" s="27">
        <v>40270912992.926773</v>
      </c>
      <c r="AG1782" s="226">
        <v>0.13610089351494645</v>
      </c>
      <c r="AH1782" s="226">
        <v>0.58284280802547439</v>
      </c>
      <c r="AI1782" s="27">
        <v>393820000</v>
      </c>
      <c r="AJ1782" s="226">
        <v>13.91729023665634</v>
      </c>
      <c r="AK1782" s="27">
        <v>5752929762.7566061</v>
      </c>
      <c r="AL1782" s="226">
        <v>0.95271582776524943</v>
      </c>
      <c r="AM1782" s="27">
        <v>5317432530.3958025</v>
      </c>
      <c r="AN1782" s="271">
        <v>1.0307431659301241</v>
      </c>
      <c r="AO1782" s="27">
        <v>29987800</v>
      </c>
      <c r="AP1782" s="27">
        <v>25.8</v>
      </c>
      <c r="AQ1782" s="27">
        <v>74.515536585365851</v>
      </c>
      <c r="AR1782" s="27">
        <v>13.6</v>
      </c>
      <c r="AS1782" s="29" t="s">
        <v>2842</v>
      </c>
      <c r="AT1782" s="270">
        <v>38</v>
      </c>
      <c r="AU1782" s="464">
        <v>72.816286549781523</v>
      </c>
      <c r="AV1782" s="29">
        <v>6.8806180868862199E-2</v>
      </c>
      <c r="AW1782" s="29">
        <v>-0.86195648593669605</v>
      </c>
      <c r="AX1782" s="29">
        <v>-0.157626358241128</v>
      </c>
      <c r="AY1782" s="29">
        <v>0.48941210864302698</v>
      </c>
      <c r="AZ1782" s="60">
        <v>-0.394694258708917</v>
      </c>
    </row>
    <row r="1783" spans="1:52" s="29" customFormat="1" ht="15" customHeight="1">
      <c r="A1783" s="63" t="s">
        <v>455</v>
      </c>
      <c r="B1783" s="53">
        <v>2012</v>
      </c>
      <c r="C1783" s="146" t="s">
        <v>442</v>
      </c>
      <c r="D1783" s="69" t="s">
        <v>214</v>
      </c>
      <c r="E1783" s="29" t="s">
        <v>19</v>
      </c>
      <c r="F1783" s="27" t="s">
        <v>1120</v>
      </c>
      <c r="G1783" s="43">
        <v>22977</v>
      </c>
      <c r="H1783" s="43"/>
      <c r="I1783" s="43"/>
      <c r="J1783" s="43"/>
      <c r="K1783" s="27" t="s">
        <v>567</v>
      </c>
      <c r="L1783" s="28">
        <v>62</v>
      </c>
      <c r="M1783" s="27" t="s">
        <v>568</v>
      </c>
      <c r="N1783" s="27" t="s">
        <v>1977</v>
      </c>
      <c r="O1783" s="18">
        <f t="shared" si="28"/>
        <v>1424574</v>
      </c>
      <c r="P1783" s="214"/>
      <c r="Q1783" s="214"/>
      <c r="S1783" s="27"/>
      <c r="T1783" s="18"/>
      <c r="U1783" s="27"/>
      <c r="W1783" s="30"/>
      <c r="X1783" s="27"/>
      <c r="Y1783" s="27"/>
      <c r="Z1783" s="27"/>
      <c r="AA1783" s="27"/>
      <c r="AB1783" s="27"/>
      <c r="AC1783" s="273">
        <v>5480907241</v>
      </c>
      <c r="AD1783" s="27">
        <v>192628494178.35443</v>
      </c>
      <c r="AE1783" s="228">
        <v>2.8453252798234702E-2</v>
      </c>
      <c r="AF1783" s="27">
        <v>40270912992.926773</v>
      </c>
      <c r="AG1783" s="226">
        <v>0.13610089351494645</v>
      </c>
      <c r="AH1783" s="226">
        <v>0.58284280802547439</v>
      </c>
      <c r="AI1783" s="27">
        <v>393820000</v>
      </c>
      <c r="AJ1783" s="226">
        <v>13.91729023665634</v>
      </c>
      <c r="AK1783" s="27">
        <v>5752929762.7566061</v>
      </c>
      <c r="AL1783" s="226">
        <v>0.95271582776524943</v>
      </c>
      <c r="AM1783" s="27">
        <v>5317432530.3958025</v>
      </c>
      <c r="AN1783" s="271">
        <v>1.0307431659301241</v>
      </c>
      <c r="AO1783" s="27">
        <v>29987800</v>
      </c>
      <c r="AP1783" s="27">
        <v>25.8</v>
      </c>
      <c r="AQ1783" s="27">
        <v>74.515536585365851</v>
      </c>
      <c r="AR1783" s="27">
        <v>13.6</v>
      </c>
      <c r="AS1783" s="29" t="s">
        <v>2842</v>
      </c>
      <c r="AT1783" s="270">
        <v>38</v>
      </c>
      <c r="AU1783" s="464">
        <v>72.816286549781523</v>
      </c>
      <c r="AV1783" s="29">
        <v>6.8806180868862199E-2</v>
      </c>
      <c r="AW1783" s="29">
        <v>-0.86195648593669605</v>
      </c>
      <c r="AX1783" s="29">
        <v>-0.157626358241128</v>
      </c>
      <c r="AY1783" s="29">
        <v>0.48941210864302698</v>
      </c>
      <c r="AZ1783" s="60">
        <v>-0.394694258708917</v>
      </c>
    </row>
    <row r="1784" spans="1:52" s="29" customFormat="1" ht="15" customHeight="1">
      <c r="A1784" s="63" t="s">
        <v>455</v>
      </c>
      <c r="B1784" s="53">
        <v>2012</v>
      </c>
      <c r="C1784" s="146" t="s">
        <v>442</v>
      </c>
      <c r="D1784" s="69" t="s">
        <v>214</v>
      </c>
      <c r="E1784" s="29" t="s">
        <v>19</v>
      </c>
      <c r="F1784" s="27" t="s">
        <v>1888</v>
      </c>
      <c r="G1784" s="43">
        <v>0</v>
      </c>
      <c r="H1784" s="43"/>
      <c r="I1784" s="43"/>
      <c r="J1784" s="43"/>
      <c r="K1784" s="27" t="s">
        <v>567</v>
      </c>
      <c r="L1784" s="28"/>
      <c r="M1784" s="27"/>
      <c r="N1784" s="27" t="s">
        <v>636</v>
      </c>
      <c r="O1784" s="18">
        <f t="shared" si="28"/>
        <v>0</v>
      </c>
      <c r="P1784" s="214"/>
      <c r="Q1784" s="214"/>
      <c r="S1784" s="27"/>
      <c r="T1784" s="18"/>
      <c r="U1784" s="27"/>
      <c r="W1784" s="30"/>
      <c r="X1784" s="27"/>
      <c r="Y1784" s="27"/>
      <c r="Z1784" s="27"/>
      <c r="AA1784" s="27"/>
      <c r="AB1784" s="27"/>
      <c r="AC1784" s="273">
        <v>5480907241</v>
      </c>
      <c r="AD1784" s="27">
        <v>192628494178.35443</v>
      </c>
      <c r="AE1784" s="228">
        <v>2.8453252798234702E-2</v>
      </c>
      <c r="AF1784" s="27">
        <v>40270912992.926773</v>
      </c>
      <c r="AG1784" s="226">
        <v>0.13610089351494645</v>
      </c>
      <c r="AH1784" s="226">
        <v>0.58284280802547439</v>
      </c>
      <c r="AI1784" s="27">
        <v>393820000</v>
      </c>
      <c r="AJ1784" s="226">
        <v>13.91729023665634</v>
      </c>
      <c r="AK1784" s="27">
        <v>5752929762.7566061</v>
      </c>
      <c r="AL1784" s="226">
        <v>0.95271582776524943</v>
      </c>
      <c r="AM1784" s="27">
        <v>5317432530.3958025</v>
      </c>
      <c r="AN1784" s="271">
        <v>1.0307431659301241</v>
      </c>
      <c r="AO1784" s="27">
        <v>29987800</v>
      </c>
      <c r="AP1784" s="27">
        <v>25.8</v>
      </c>
      <c r="AQ1784" s="27">
        <v>74.515536585365851</v>
      </c>
      <c r="AR1784" s="27">
        <v>13.6</v>
      </c>
      <c r="AS1784" s="29" t="s">
        <v>2842</v>
      </c>
      <c r="AT1784" s="270">
        <v>38</v>
      </c>
      <c r="AU1784" s="464">
        <v>72.816286549781523</v>
      </c>
      <c r="AV1784" s="29">
        <v>6.8806180868862199E-2</v>
      </c>
      <c r="AW1784" s="29">
        <v>-0.86195648593669605</v>
      </c>
      <c r="AX1784" s="29">
        <v>-0.157626358241128</v>
      </c>
      <c r="AY1784" s="29">
        <v>0.48941210864302698</v>
      </c>
      <c r="AZ1784" s="60">
        <v>-0.394694258708917</v>
      </c>
    </row>
    <row r="1785" spans="1:52" s="29" customFormat="1" ht="15" customHeight="1">
      <c r="A1785" s="63" t="s">
        <v>455</v>
      </c>
      <c r="B1785" s="53">
        <v>2012</v>
      </c>
      <c r="C1785" s="146" t="s">
        <v>442</v>
      </c>
      <c r="D1785" s="69" t="s">
        <v>214</v>
      </c>
      <c r="E1785" s="29" t="s">
        <v>19</v>
      </c>
      <c r="F1785" s="27" t="s">
        <v>1926</v>
      </c>
      <c r="G1785" s="43">
        <v>104072</v>
      </c>
      <c r="H1785" s="43"/>
      <c r="I1785" s="43"/>
      <c r="J1785" s="43"/>
      <c r="K1785" s="27" t="s">
        <v>567</v>
      </c>
      <c r="L1785" s="28">
        <v>360</v>
      </c>
      <c r="M1785" s="27" t="s">
        <v>568</v>
      </c>
      <c r="N1785" s="27" t="s">
        <v>1978</v>
      </c>
      <c r="O1785" s="18">
        <f t="shared" si="28"/>
        <v>37465920</v>
      </c>
      <c r="P1785" s="214"/>
      <c r="Q1785" s="214"/>
      <c r="S1785" s="27"/>
      <c r="T1785" s="18"/>
      <c r="U1785" s="27"/>
      <c r="W1785" s="30"/>
      <c r="X1785" s="27"/>
      <c r="Y1785" s="27"/>
      <c r="Z1785" s="27"/>
      <c r="AA1785" s="27"/>
      <c r="AB1785" s="27"/>
      <c r="AC1785" s="273">
        <v>5480907241</v>
      </c>
      <c r="AD1785" s="27">
        <v>192628494178.35443</v>
      </c>
      <c r="AE1785" s="228">
        <v>2.8453252798234702E-2</v>
      </c>
      <c r="AF1785" s="27">
        <v>40270912992.926773</v>
      </c>
      <c r="AG1785" s="226">
        <v>0.13610089351494645</v>
      </c>
      <c r="AH1785" s="226">
        <v>0.58284280802547439</v>
      </c>
      <c r="AI1785" s="27">
        <v>393820000</v>
      </c>
      <c r="AJ1785" s="226">
        <v>13.91729023665634</v>
      </c>
      <c r="AK1785" s="27">
        <v>5752929762.7566061</v>
      </c>
      <c r="AL1785" s="226">
        <v>0.95271582776524943</v>
      </c>
      <c r="AM1785" s="27">
        <v>5317432530.3958025</v>
      </c>
      <c r="AN1785" s="271">
        <v>1.0307431659301241</v>
      </c>
      <c r="AO1785" s="27">
        <v>29987800</v>
      </c>
      <c r="AP1785" s="27">
        <v>25.8</v>
      </c>
      <c r="AQ1785" s="27">
        <v>74.515536585365851</v>
      </c>
      <c r="AR1785" s="27">
        <v>13.6</v>
      </c>
      <c r="AS1785" s="29" t="s">
        <v>2842</v>
      </c>
      <c r="AT1785" s="270">
        <v>38</v>
      </c>
      <c r="AU1785" s="464">
        <v>72.816286549781523</v>
      </c>
      <c r="AV1785" s="29">
        <v>6.8806180868862199E-2</v>
      </c>
      <c r="AW1785" s="29">
        <v>-0.86195648593669605</v>
      </c>
      <c r="AX1785" s="29">
        <v>-0.157626358241128</v>
      </c>
      <c r="AY1785" s="29">
        <v>0.48941210864302698</v>
      </c>
      <c r="AZ1785" s="60">
        <v>-0.394694258708917</v>
      </c>
    </row>
    <row r="1786" spans="1:52" s="29" customFormat="1" ht="15" customHeight="1">
      <c r="A1786" s="63" t="s">
        <v>455</v>
      </c>
      <c r="B1786" s="53">
        <v>2012</v>
      </c>
      <c r="C1786" s="146" t="s">
        <v>442</v>
      </c>
      <c r="D1786" s="69" t="s">
        <v>214</v>
      </c>
      <c r="E1786" s="29" t="s">
        <v>19</v>
      </c>
      <c r="F1786" s="27" t="s">
        <v>1927</v>
      </c>
      <c r="G1786" s="43">
        <v>684</v>
      </c>
      <c r="H1786" s="43"/>
      <c r="I1786" s="43"/>
      <c r="J1786" s="43"/>
      <c r="K1786" s="27" t="s">
        <v>567</v>
      </c>
      <c r="L1786" s="28">
        <f>0.92/0.000453592</f>
        <v>2028.2544665690755</v>
      </c>
      <c r="M1786" s="29" t="s">
        <v>568</v>
      </c>
      <c r="N1786" s="27" t="s">
        <v>1979</v>
      </c>
      <c r="O1786" s="18">
        <f t="shared" si="28"/>
        <v>1387326.0551332475</v>
      </c>
      <c r="P1786" s="214"/>
      <c r="Q1786" s="214"/>
      <c r="S1786" s="27"/>
      <c r="T1786" s="18"/>
      <c r="U1786" s="27"/>
      <c r="W1786" s="30"/>
      <c r="X1786" s="27"/>
      <c r="Y1786" s="27"/>
      <c r="Z1786" s="27"/>
      <c r="AA1786" s="27"/>
      <c r="AB1786" s="27"/>
      <c r="AC1786" s="273">
        <v>5480907241</v>
      </c>
      <c r="AD1786" s="27">
        <v>192628494178.35443</v>
      </c>
      <c r="AE1786" s="228">
        <v>2.8453252798234702E-2</v>
      </c>
      <c r="AF1786" s="27">
        <v>40270912992.926773</v>
      </c>
      <c r="AG1786" s="226">
        <v>0.13610089351494645</v>
      </c>
      <c r="AH1786" s="226">
        <v>0.58284280802547439</v>
      </c>
      <c r="AI1786" s="27">
        <v>393820000</v>
      </c>
      <c r="AJ1786" s="226">
        <v>13.91729023665634</v>
      </c>
      <c r="AK1786" s="27">
        <v>5752929762.7566061</v>
      </c>
      <c r="AL1786" s="226">
        <v>0.95271582776524943</v>
      </c>
      <c r="AM1786" s="27">
        <v>5317432530.3958025</v>
      </c>
      <c r="AN1786" s="271">
        <v>1.0307431659301241</v>
      </c>
      <c r="AO1786" s="27">
        <v>29987800</v>
      </c>
      <c r="AP1786" s="27">
        <v>25.8</v>
      </c>
      <c r="AQ1786" s="27">
        <v>74.515536585365851</v>
      </c>
      <c r="AR1786" s="27">
        <v>13.6</v>
      </c>
      <c r="AS1786" s="29" t="s">
        <v>2842</v>
      </c>
      <c r="AT1786" s="270">
        <v>38</v>
      </c>
      <c r="AU1786" s="464">
        <v>72.816286549781523</v>
      </c>
      <c r="AV1786" s="29">
        <v>6.8806180868862199E-2</v>
      </c>
      <c r="AW1786" s="29">
        <v>-0.86195648593669605</v>
      </c>
      <c r="AX1786" s="29">
        <v>-0.157626358241128</v>
      </c>
      <c r="AY1786" s="29">
        <v>0.48941210864302698</v>
      </c>
      <c r="AZ1786" s="60">
        <v>-0.394694258708917</v>
      </c>
    </row>
    <row r="1787" spans="1:52" s="29" customFormat="1" ht="15" customHeight="1">
      <c r="A1787" s="63" t="s">
        <v>455</v>
      </c>
      <c r="B1787" s="53">
        <v>2012</v>
      </c>
      <c r="C1787" s="146" t="s">
        <v>442</v>
      </c>
      <c r="D1787" s="69" t="s">
        <v>214</v>
      </c>
      <c r="E1787" s="29" t="s">
        <v>19</v>
      </c>
      <c r="F1787" s="27" t="s">
        <v>566</v>
      </c>
      <c r="G1787" s="43">
        <v>8100000</v>
      </c>
      <c r="H1787" s="43"/>
      <c r="I1787" s="43"/>
      <c r="J1787" s="43"/>
      <c r="K1787" s="27" t="s">
        <v>567</v>
      </c>
      <c r="L1787" s="28">
        <v>89.5</v>
      </c>
      <c r="M1787" s="27" t="s">
        <v>568</v>
      </c>
      <c r="N1787" s="27" t="s">
        <v>1122</v>
      </c>
      <c r="O1787" s="18">
        <f t="shared" si="28"/>
        <v>724950000</v>
      </c>
      <c r="P1787" s="214"/>
      <c r="Q1787" s="214"/>
      <c r="S1787" s="27"/>
      <c r="T1787" s="18"/>
      <c r="U1787" s="27"/>
      <c r="W1787" s="30"/>
      <c r="X1787" s="27"/>
      <c r="Y1787" s="27"/>
      <c r="Z1787" s="27"/>
      <c r="AA1787" s="27"/>
      <c r="AB1787" s="27"/>
      <c r="AC1787" s="273">
        <v>5480907241</v>
      </c>
      <c r="AD1787" s="27">
        <v>192628494178.35443</v>
      </c>
      <c r="AE1787" s="228">
        <v>2.8453252798234702E-2</v>
      </c>
      <c r="AF1787" s="27">
        <v>40270912992.926773</v>
      </c>
      <c r="AG1787" s="226">
        <v>0.13610089351494645</v>
      </c>
      <c r="AH1787" s="226">
        <v>0.58284280802547439</v>
      </c>
      <c r="AI1787" s="27">
        <v>393820000</v>
      </c>
      <c r="AJ1787" s="226">
        <v>13.91729023665634</v>
      </c>
      <c r="AK1787" s="27">
        <v>5752929762.7566061</v>
      </c>
      <c r="AL1787" s="226">
        <v>0.95271582776524943</v>
      </c>
      <c r="AM1787" s="27">
        <v>5317432530.3958025</v>
      </c>
      <c r="AN1787" s="271">
        <v>1.0307431659301241</v>
      </c>
      <c r="AO1787" s="27">
        <v>29987800</v>
      </c>
      <c r="AP1787" s="27">
        <v>25.8</v>
      </c>
      <c r="AQ1787" s="27">
        <v>74.515536585365851</v>
      </c>
      <c r="AR1787" s="27">
        <v>13.6</v>
      </c>
      <c r="AS1787" s="29" t="s">
        <v>2842</v>
      </c>
      <c r="AT1787" s="270">
        <v>38</v>
      </c>
      <c r="AU1787" s="464">
        <v>72.816286549781523</v>
      </c>
      <c r="AV1787" s="29">
        <v>6.8806180868862199E-2</v>
      </c>
      <c r="AW1787" s="29">
        <v>-0.86195648593669605</v>
      </c>
      <c r="AX1787" s="29">
        <v>-0.157626358241128</v>
      </c>
      <c r="AY1787" s="29">
        <v>0.48941210864302698</v>
      </c>
      <c r="AZ1787" s="60">
        <v>-0.394694258708917</v>
      </c>
    </row>
    <row r="1788" spans="1:52" s="29" customFormat="1" ht="15" customHeight="1">
      <c r="A1788" s="63" t="s">
        <v>455</v>
      </c>
      <c r="B1788" s="53">
        <v>2012</v>
      </c>
      <c r="C1788" s="146" t="s">
        <v>442</v>
      </c>
      <c r="D1788" s="69" t="s">
        <v>214</v>
      </c>
      <c r="E1788" s="29" t="s">
        <v>19</v>
      </c>
      <c r="F1788" s="27" t="s">
        <v>1928</v>
      </c>
      <c r="G1788" s="43">
        <v>321711</v>
      </c>
      <c r="H1788" s="43"/>
      <c r="I1788" s="43"/>
      <c r="J1788" s="43"/>
      <c r="K1788" s="27" t="s">
        <v>567</v>
      </c>
      <c r="L1788" s="28"/>
      <c r="M1788" s="27"/>
      <c r="N1788" s="27" t="s">
        <v>636</v>
      </c>
      <c r="O1788" s="18"/>
      <c r="P1788" s="214"/>
      <c r="Q1788" s="214"/>
      <c r="S1788" s="27"/>
      <c r="T1788" s="18"/>
      <c r="U1788" s="27"/>
      <c r="W1788" s="30"/>
      <c r="X1788" s="27"/>
      <c r="Y1788" s="27"/>
      <c r="Z1788" s="27"/>
      <c r="AA1788" s="27"/>
      <c r="AB1788" s="27"/>
      <c r="AC1788" s="273">
        <v>5480907241</v>
      </c>
      <c r="AD1788" s="27">
        <v>192628494178.35443</v>
      </c>
      <c r="AE1788" s="228">
        <v>2.8453252798234702E-2</v>
      </c>
      <c r="AF1788" s="27">
        <v>40270912992.926773</v>
      </c>
      <c r="AG1788" s="226">
        <v>0.13610089351494645</v>
      </c>
      <c r="AH1788" s="226">
        <v>0.58284280802547439</v>
      </c>
      <c r="AI1788" s="27">
        <v>393820000</v>
      </c>
      <c r="AJ1788" s="226">
        <v>13.91729023665634</v>
      </c>
      <c r="AK1788" s="27">
        <v>5752929762.7566061</v>
      </c>
      <c r="AL1788" s="226">
        <v>0.95271582776524943</v>
      </c>
      <c r="AM1788" s="27">
        <v>5317432530.3958025</v>
      </c>
      <c r="AN1788" s="271">
        <v>1.0307431659301241</v>
      </c>
      <c r="AO1788" s="27">
        <v>29987800</v>
      </c>
      <c r="AP1788" s="27">
        <v>25.8</v>
      </c>
      <c r="AQ1788" s="27">
        <v>74.515536585365851</v>
      </c>
      <c r="AR1788" s="27">
        <v>13.6</v>
      </c>
      <c r="AS1788" s="29" t="s">
        <v>2842</v>
      </c>
      <c r="AT1788" s="270">
        <v>38</v>
      </c>
      <c r="AU1788" s="464">
        <v>72.816286549781523</v>
      </c>
      <c r="AV1788" s="29">
        <v>6.8806180868862199E-2</v>
      </c>
      <c r="AW1788" s="29">
        <v>-0.86195648593669605</v>
      </c>
      <c r="AX1788" s="29">
        <v>-0.157626358241128</v>
      </c>
      <c r="AY1788" s="29">
        <v>0.48941210864302698</v>
      </c>
      <c r="AZ1788" s="60">
        <v>-0.394694258708917</v>
      </c>
    </row>
    <row r="1789" spans="1:52" s="29" customFormat="1" ht="15" customHeight="1">
      <c r="A1789" s="63" t="s">
        <v>455</v>
      </c>
      <c r="B1789" s="53">
        <v>2012</v>
      </c>
      <c r="C1789" s="146" t="s">
        <v>442</v>
      </c>
      <c r="D1789" s="69" t="s">
        <v>214</v>
      </c>
      <c r="E1789" s="29" t="s">
        <v>19</v>
      </c>
      <c r="F1789" s="27" t="s">
        <v>573</v>
      </c>
      <c r="G1789" s="43">
        <v>226358</v>
      </c>
      <c r="H1789" s="43"/>
      <c r="I1789" s="43"/>
      <c r="J1789" s="43"/>
      <c r="K1789" s="27" t="s">
        <v>567</v>
      </c>
      <c r="L1789" s="28">
        <v>90.020556297186616</v>
      </c>
      <c r="M1789" s="27" t="s">
        <v>568</v>
      </c>
      <c r="N1789" s="27" t="s">
        <v>1980</v>
      </c>
      <c r="O1789" s="18">
        <f>G1789*L1789</f>
        <v>20376873.082318567</v>
      </c>
      <c r="P1789" s="214"/>
      <c r="Q1789" s="214"/>
      <c r="S1789" s="27"/>
      <c r="T1789" s="18"/>
      <c r="U1789" s="27"/>
      <c r="W1789" s="30"/>
      <c r="X1789" s="27"/>
      <c r="Y1789" s="27"/>
      <c r="Z1789" s="27"/>
      <c r="AA1789" s="27"/>
      <c r="AB1789" s="27"/>
      <c r="AC1789" s="273">
        <v>5480907241</v>
      </c>
      <c r="AD1789" s="27">
        <v>192628494178.35443</v>
      </c>
      <c r="AE1789" s="228">
        <v>2.8453252798234702E-2</v>
      </c>
      <c r="AF1789" s="27">
        <v>40270912992.926773</v>
      </c>
      <c r="AG1789" s="226">
        <v>0.13610089351494645</v>
      </c>
      <c r="AH1789" s="226">
        <v>0.58284280802547439</v>
      </c>
      <c r="AI1789" s="27">
        <v>393820000</v>
      </c>
      <c r="AJ1789" s="226">
        <v>13.91729023665634</v>
      </c>
      <c r="AK1789" s="27">
        <v>5752929762.7566061</v>
      </c>
      <c r="AL1789" s="226">
        <v>0.95271582776524943</v>
      </c>
      <c r="AM1789" s="27">
        <v>5317432530.3958025</v>
      </c>
      <c r="AN1789" s="271">
        <v>1.0307431659301241</v>
      </c>
      <c r="AO1789" s="27">
        <v>29987800</v>
      </c>
      <c r="AP1789" s="27">
        <v>25.8</v>
      </c>
      <c r="AQ1789" s="27">
        <v>74.515536585365851</v>
      </c>
      <c r="AR1789" s="27">
        <v>13.6</v>
      </c>
      <c r="AS1789" s="29" t="s">
        <v>2842</v>
      </c>
      <c r="AT1789" s="270">
        <v>38</v>
      </c>
      <c r="AU1789" s="464">
        <v>72.816286549781523</v>
      </c>
      <c r="AV1789" s="29">
        <v>6.8806180868862199E-2</v>
      </c>
      <c r="AW1789" s="29">
        <v>-0.86195648593669605</v>
      </c>
      <c r="AX1789" s="29">
        <v>-0.157626358241128</v>
      </c>
      <c r="AY1789" s="29">
        <v>0.48941210864302698</v>
      </c>
      <c r="AZ1789" s="60">
        <v>-0.394694258708917</v>
      </c>
    </row>
    <row r="1790" spans="1:52" s="29" customFormat="1" ht="15" customHeight="1">
      <c r="A1790" s="63" t="s">
        <v>455</v>
      </c>
      <c r="B1790" s="53">
        <v>2012</v>
      </c>
      <c r="C1790" s="146" t="s">
        <v>442</v>
      </c>
      <c r="D1790" s="69" t="s">
        <v>214</v>
      </c>
      <c r="E1790" s="29" t="s">
        <v>19</v>
      </c>
      <c r="F1790" s="27" t="s">
        <v>1929</v>
      </c>
      <c r="G1790" s="43">
        <v>1098267</v>
      </c>
      <c r="H1790" s="43"/>
      <c r="I1790" s="43"/>
      <c r="J1790" s="43"/>
      <c r="K1790" s="27" t="s">
        <v>567</v>
      </c>
      <c r="L1790" s="28">
        <v>10</v>
      </c>
      <c r="M1790" s="27" t="s">
        <v>568</v>
      </c>
      <c r="N1790" s="27" t="s">
        <v>1981</v>
      </c>
      <c r="O1790" s="18">
        <f>G1790*L1790</f>
        <v>10982670</v>
      </c>
      <c r="P1790" s="214"/>
      <c r="Q1790" s="214"/>
      <c r="S1790" s="27"/>
      <c r="T1790" s="18"/>
      <c r="U1790" s="27"/>
      <c r="W1790" s="30"/>
      <c r="X1790" s="27"/>
      <c r="Y1790" s="27"/>
      <c r="Z1790" s="27"/>
      <c r="AA1790" s="27"/>
      <c r="AB1790" s="27"/>
      <c r="AC1790" s="273">
        <v>5480907241</v>
      </c>
      <c r="AD1790" s="27">
        <v>192628494178.35443</v>
      </c>
      <c r="AE1790" s="228">
        <v>2.8453252798234702E-2</v>
      </c>
      <c r="AF1790" s="27">
        <v>40270912992.926773</v>
      </c>
      <c r="AG1790" s="226">
        <v>0.13610089351494645</v>
      </c>
      <c r="AH1790" s="226">
        <v>0.58284280802547439</v>
      </c>
      <c r="AI1790" s="27">
        <v>393820000</v>
      </c>
      <c r="AJ1790" s="226">
        <v>13.91729023665634</v>
      </c>
      <c r="AK1790" s="27">
        <v>5752929762.7566061</v>
      </c>
      <c r="AL1790" s="226">
        <v>0.95271582776524943</v>
      </c>
      <c r="AM1790" s="27">
        <v>5317432530.3958025</v>
      </c>
      <c r="AN1790" s="271">
        <v>1.0307431659301241</v>
      </c>
      <c r="AO1790" s="27">
        <v>29987800</v>
      </c>
      <c r="AP1790" s="27">
        <v>25.8</v>
      </c>
      <c r="AQ1790" s="27">
        <v>74.515536585365851</v>
      </c>
      <c r="AR1790" s="27">
        <v>13.6</v>
      </c>
      <c r="AS1790" s="29" t="s">
        <v>2842</v>
      </c>
      <c r="AT1790" s="270">
        <v>38</v>
      </c>
      <c r="AU1790" s="464">
        <v>72.816286549781523</v>
      </c>
      <c r="AV1790" s="29">
        <v>6.8806180868862199E-2</v>
      </c>
      <c r="AW1790" s="29">
        <v>-0.86195648593669605</v>
      </c>
      <c r="AX1790" s="29">
        <v>-0.157626358241128</v>
      </c>
      <c r="AY1790" s="29">
        <v>0.48941210864302698</v>
      </c>
      <c r="AZ1790" s="60">
        <v>-0.394694258708917</v>
      </c>
    </row>
    <row r="1791" spans="1:52" s="29" customFormat="1" ht="15" customHeight="1">
      <c r="A1791" s="63" t="s">
        <v>455</v>
      </c>
      <c r="B1791" s="53">
        <v>2012</v>
      </c>
      <c r="C1791" s="146" t="s">
        <v>442</v>
      </c>
      <c r="D1791" s="69" t="s">
        <v>214</v>
      </c>
      <c r="E1791" s="29" t="s">
        <v>19</v>
      </c>
      <c r="F1791" s="27" t="s">
        <v>576</v>
      </c>
      <c r="G1791" s="43"/>
      <c r="H1791" s="43"/>
      <c r="I1791" s="43"/>
      <c r="J1791" s="43"/>
      <c r="K1791" s="27"/>
      <c r="L1791" s="44">
        <v>7962.3470628192699</v>
      </c>
      <c r="M1791" s="27" t="s">
        <v>568</v>
      </c>
      <c r="N1791" s="27" t="s">
        <v>633</v>
      </c>
      <c r="O1791" s="18">
        <f>SUM(G1793:G1794)*L1791</f>
        <v>4787074527.0258245</v>
      </c>
      <c r="P1791" s="214"/>
      <c r="Q1791" s="214"/>
      <c r="R1791" s="71"/>
      <c r="S1791" s="27"/>
      <c r="T1791" s="18"/>
      <c r="U1791" s="27"/>
      <c r="V1791" s="71"/>
      <c r="W1791" s="30"/>
      <c r="X1791" s="27"/>
      <c r="Y1791" s="27"/>
      <c r="Z1791" s="27"/>
      <c r="AA1791" s="27"/>
      <c r="AB1791" s="27"/>
      <c r="AC1791" s="273">
        <v>5480907241</v>
      </c>
      <c r="AD1791" s="27">
        <v>192628494178.35443</v>
      </c>
      <c r="AE1791" s="228">
        <v>2.8453252798234702E-2</v>
      </c>
      <c r="AF1791" s="27">
        <v>40270912992.926773</v>
      </c>
      <c r="AG1791" s="226">
        <v>0.13610089351494645</v>
      </c>
      <c r="AH1791" s="226">
        <v>0.58284280802547439</v>
      </c>
      <c r="AI1791" s="27">
        <v>393820000</v>
      </c>
      <c r="AJ1791" s="226">
        <v>13.91729023665634</v>
      </c>
      <c r="AK1791" s="27">
        <v>5752929762.7566061</v>
      </c>
      <c r="AL1791" s="226">
        <v>0.95271582776524943</v>
      </c>
      <c r="AM1791" s="27">
        <v>5317432530.3958025</v>
      </c>
      <c r="AN1791" s="271">
        <v>1.0307431659301241</v>
      </c>
      <c r="AO1791" s="27">
        <v>29987800</v>
      </c>
      <c r="AP1791" s="27">
        <v>25.8</v>
      </c>
      <c r="AQ1791" s="27">
        <v>74.515536585365851</v>
      </c>
      <c r="AR1791" s="27">
        <v>13.6</v>
      </c>
      <c r="AS1791" s="29" t="s">
        <v>2842</v>
      </c>
      <c r="AT1791" s="270">
        <v>38</v>
      </c>
      <c r="AU1791" s="464">
        <v>72.816286549781523</v>
      </c>
      <c r="AV1791" s="29">
        <v>6.8806180868862199E-2</v>
      </c>
      <c r="AW1791" s="29">
        <v>-0.86195648593669605</v>
      </c>
      <c r="AX1791" s="29">
        <v>-0.157626358241128</v>
      </c>
      <c r="AY1791" s="29">
        <v>0.48941210864302698</v>
      </c>
      <c r="AZ1791" s="60">
        <v>-0.394694258708917</v>
      </c>
    </row>
    <row r="1792" spans="1:52" s="29" customFormat="1" ht="15" customHeight="1">
      <c r="A1792" s="63" t="s">
        <v>455</v>
      </c>
      <c r="B1792" s="53">
        <v>2012</v>
      </c>
      <c r="C1792" s="146" t="s">
        <v>442</v>
      </c>
      <c r="D1792" s="69" t="s">
        <v>214</v>
      </c>
      <c r="E1792" s="29" t="s">
        <v>19</v>
      </c>
      <c r="F1792" s="27" t="s">
        <v>1226</v>
      </c>
      <c r="G1792" s="43">
        <v>1197530</v>
      </c>
      <c r="H1792" s="43"/>
      <c r="I1792" s="43"/>
      <c r="J1792" s="43"/>
      <c r="K1792" s="27" t="s">
        <v>567</v>
      </c>
      <c r="L1792" s="28"/>
      <c r="M1792" s="27"/>
      <c r="N1792" s="27" t="s">
        <v>636</v>
      </c>
      <c r="O1792" s="18"/>
      <c r="P1792" s="214"/>
      <c r="Q1792" s="214"/>
      <c r="S1792" s="27"/>
      <c r="T1792" s="18"/>
      <c r="U1792" s="27"/>
      <c r="W1792" s="30"/>
      <c r="X1792" s="27"/>
      <c r="Y1792" s="27"/>
      <c r="Z1792" s="27"/>
      <c r="AA1792" s="27"/>
      <c r="AB1792" s="27"/>
      <c r="AC1792" s="273">
        <v>5480907241</v>
      </c>
      <c r="AD1792" s="27">
        <v>192628494178.35443</v>
      </c>
      <c r="AE1792" s="228">
        <v>2.8453252798234702E-2</v>
      </c>
      <c r="AF1792" s="27">
        <v>40270912992.926773</v>
      </c>
      <c r="AG1792" s="226">
        <v>0.13610089351494645</v>
      </c>
      <c r="AH1792" s="226">
        <v>0.58284280802547439</v>
      </c>
      <c r="AI1792" s="27">
        <v>393820000</v>
      </c>
      <c r="AJ1792" s="226">
        <v>13.91729023665634</v>
      </c>
      <c r="AK1792" s="27">
        <v>5752929762.7566061</v>
      </c>
      <c r="AL1792" s="226">
        <v>0.95271582776524943</v>
      </c>
      <c r="AM1792" s="27">
        <v>5317432530.3958025</v>
      </c>
      <c r="AN1792" s="271">
        <v>1.0307431659301241</v>
      </c>
      <c r="AO1792" s="27">
        <v>29987800</v>
      </c>
      <c r="AP1792" s="27">
        <v>25.8</v>
      </c>
      <c r="AQ1792" s="27">
        <v>74.515536585365851</v>
      </c>
      <c r="AR1792" s="27">
        <v>13.6</v>
      </c>
      <c r="AS1792" s="29" t="s">
        <v>2842</v>
      </c>
      <c r="AT1792" s="270">
        <v>38</v>
      </c>
      <c r="AU1792" s="464">
        <v>72.816286549781523</v>
      </c>
      <c r="AV1792" s="29">
        <v>6.8806180868862199E-2</v>
      </c>
      <c r="AW1792" s="29">
        <v>-0.86195648593669605</v>
      </c>
      <c r="AX1792" s="29">
        <v>-0.157626358241128</v>
      </c>
      <c r="AY1792" s="29">
        <v>0.48941210864302698</v>
      </c>
      <c r="AZ1792" s="60">
        <v>-0.394694258708917</v>
      </c>
    </row>
    <row r="1793" spans="1:52" s="29" customFormat="1" ht="15" customHeight="1">
      <c r="A1793" s="63" t="s">
        <v>455</v>
      </c>
      <c r="B1793" s="53">
        <v>2012</v>
      </c>
      <c r="C1793" s="146" t="s">
        <v>442</v>
      </c>
      <c r="D1793" s="69" t="s">
        <v>214</v>
      </c>
      <c r="E1793" s="29" t="s">
        <v>19</v>
      </c>
      <c r="F1793" s="27" t="s">
        <v>1310</v>
      </c>
      <c r="G1793" s="43">
        <v>290088</v>
      </c>
      <c r="H1793" s="43"/>
      <c r="I1793" s="43"/>
      <c r="J1793" s="43"/>
      <c r="K1793" s="27" t="s">
        <v>567</v>
      </c>
      <c r="L1793" s="28"/>
      <c r="M1793" s="27"/>
      <c r="N1793" s="27" t="s">
        <v>636</v>
      </c>
      <c r="O1793" s="18"/>
      <c r="P1793" s="214"/>
      <c r="Q1793" s="214"/>
      <c r="S1793" s="27"/>
      <c r="T1793" s="18"/>
      <c r="U1793" s="27"/>
      <c r="W1793" s="30"/>
      <c r="X1793" s="27"/>
      <c r="Y1793" s="27"/>
      <c r="Z1793" s="27"/>
      <c r="AA1793" s="27"/>
      <c r="AB1793" s="27"/>
      <c r="AC1793" s="273">
        <v>5480907241</v>
      </c>
      <c r="AD1793" s="27">
        <v>192628494178.35443</v>
      </c>
      <c r="AE1793" s="228">
        <v>2.8453252798234702E-2</v>
      </c>
      <c r="AF1793" s="27">
        <v>40270912992.926773</v>
      </c>
      <c r="AG1793" s="226">
        <v>0.13610089351494645</v>
      </c>
      <c r="AH1793" s="226">
        <v>0.58284280802547439</v>
      </c>
      <c r="AI1793" s="27">
        <v>393820000</v>
      </c>
      <c r="AJ1793" s="226">
        <v>13.91729023665634</v>
      </c>
      <c r="AK1793" s="27">
        <v>5752929762.7566061</v>
      </c>
      <c r="AL1793" s="226">
        <v>0.95271582776524943</v>
      </c>
      <c r="AM1793" s="27">
        <v>5317432530.3958025</v>
      </c>
      <c r="AN1793" s="271">
        <v>1.0307431659301241</v>
      </c>
      <c r="AO1793" s="27">
        <v>29987800</v>
      </c>
      <c r="AP1793" s="27">
        <v>25.8</v>
      </c>
      <c r="AQ1793" s="27">
        <v>74.515536585365851</v>
      </c>
      <c r="AR1793" s="27">
        <v>13.6</v>
      </c>
      <c r="AS1793" s="29" t="s">
        <v>2842</v>
      </c>
      <c r="AT1793" s="270">
        <v>38</v>
      </c>
      <c r="AU1793" s="464">
        <v>72.816286549781523</v>
      </c>
      <c r="AV1793" s="29">
        <v>6.8806180868862199E-2</v>
      </c>
      <c r="AW1793" s="29">
        <v>-0.86195648593669605</v>
      </c>
      <c r="AX1793" s="29">
        <v>-0.157626358241128</v>
      </c>
      <c r="AY1793" s="29">
        <v>0.48941210864302698</v>
      </c>
      <c r="AZ1793" s="60">
        <v>-0.394694258708917</v>
      </c>
    </row>
    <row r="1794" spans="1:52" s="29" customFormat="1" ht="15" customHeight="1">
      <c r="A1794" s="63" t="s">
        <v>455</v>
      </c>
      <c r="B1794" s="53">
        <v>2012</v>
      </c>
      <c r="C1794" s="146" t="s">
        <v>442</v>
      </c>
      <c r="D1794" s="69" t="s">
        <v>214</v>
      </c>
      <c r="E1794" s="29" t="s">
        <v>19</v>
      </c>
      <c r="F1794" s="27" t="s">
        <v>1311</v>
      </c>
      <c r="G1794" s="43">
        <v>311126</v>
      </c>
      <c r="H1794" s="43"/>
      <c r="I1794" s="43"/>
      <c r="J1794" s="43"/>
      <c r="K1794" s="27" t="s">
        <v>567</v>
      </c>
      <c r="L1794" s="28"/>
      <c r="M1794" s="27"/>
      <c r="N1794" s="27" t="s">
        <v>636</v>
      </c>
      <c r="O1794" s="18"/>
      <c r="P1794" s="214"/>
      <c r="Q1794" s="214"/>
      <c r="S1794" s="27"/>
      <c r="T1794" s="18"/>
      <c r="U1794" s="27"/>
      <c r="W1794" s="30"/>
      <c r="X1794" s="27"/>
      <c r="Y1794" s="27"/>
      <c r="Z1794" s="27"/>
      <c r="AA1794" s="27"/>
      <c r="AB1794" s="27"/>
      <c r="AC1794" s="273">
        <v>5480907241</v>
      </c>
      <c r="AD1794" s="27">
        <v>192628494178.35443</v>
      </c>
      <c r="AE1794" s="228">
        <v>2.8453252798234702E-2</v>
      </c>
      <c r="AF1794" s="27">
        <v>40270912992.926773</v>
      </c>
      <c r="AG1794" s="226">
        <v>0.13610089351494645</v>
      </c>
      <c r="AH1794" s="226">
        <v>0.58284280802547439</v>
      </c>
      <c r="AI1794" s="27">
        <v>393820000</v>
      </c>
      <c r="AJ1794" s="226">
        <v>13.91729023665634</v>
      </c>
      <c r="AK1794" s="27">
        <v>5752929762.7566061</v>
      </c>
      <c r="AL1794" s="226">
        <v>0.95271582776524943</v>
      </c>
      <c r="AM1794" s="27">
        <v>5317432530.3958025</v>
      </c>
      <c r="AN1794" s="271">
        <v>1.0307431659301241</v>
      </c>
      <c r="AO1794" s="27">
        <v>29987800</v>
      </c>
      <c r="AP1794" s="27">
        <v>25.8</v>
      </c>
      <c r="AQ1794" s="27">
        <v>74.515536585365851</v>
      </c>
      <c r="AR1794" s="27">
        <v>13.6</v>
      </c>
      <c r="AS1794" s="29" t="s">
        <v>2842</v>
      </c>
      <c r="AT1794" s="270">
        <v>38</v>
      </c>
      <c r="AU1794" s="464">
        <v>72.816286549781523</v>
      </c>
      <c r="AV1794" s="29">
        <v>6.8806180868862199E-2</v>
      </c>
      <c r="AW1794" s="29">
        <v>-0.86195648593669605</v>
      </c>
      <c r="AX1794" s="29">
        <v>-0.157626358241128</v>
      </c>
      <c r="AY1794" s="29">
        <v>0.48941210864302698</v>
      </c>
      <c r="AZ1794" s="60">
        <v>-0.394694258708917</v>
      </c>
    </row>
    <row r="1795" spans="1:52" s="29" customFormat="1" ht="15" customHeight="1">
      <c r="A1795" s="63" t="s">
        <v>455</v>
      </c>
      <c r="B1795" s="53">
        <v>2012</v>
      </c>
      <c r="C1795" s="146" t="s">
        <v>442</v>
      </c>
      <c r="D1795" s="69" t="s">
        <v>214</v>
      </c>
      <c r="E1795" s="29" t="s">
        <v>19</v>
      </c>
      <c r="F1795" s="27" t="s">
        <v>1930</v>
      </c>
      <c r="G1795" s="43">
        <v>93996</v>
      </c>
      <c r="H1795" s="43"/>
      <c r="I1795" s="43"/>
      <c r="J1795" s="43"/>
      <c r="K1795" s="27" t="s">
        <v>567</v>
      </c>
      <c r="L1795" s="28">
        <v>275</v>
      </c>
      <c r="M1795" s="27" t="s">
        <v>568</v>
      </c>
      <c r="N1795" s="27" t="s">
        <v>1982</v>
      </c>
      <c r="O1795" s="18">
        <f t="shared" ref="O1795:O1801" si="29">G1795*L1795</f>
        <v>25848900</v>
      </c>
      <c r="P1795" s="214"/>
      <c r="Q1795" s="214"/>
      <c r="S1795" s="27"/>
      <c r="T1795" s="18"/>
      <c r="U1795" s="27"/>
      <c r="W1795" s="30"/>
      <c r="X1795" s="27"/>
      <c r="Y1795" s="27"/>
      <c r="Z1795" s="27"/>
      <c r="AA1795" s="27"/>
      <c r="AB1795" s="27"/>
      <c r="AC1795" s="273">
        <v>5480907241</v>
      </c>
      <c r="AD1795" s="27">
        <v>192628494178.35443</v>
      </c>
      <c r="AE1795" s="228">
        <v>2.8453252798234702E-2</v>
      </c>
      <c r="AF1795" s="27">
        <v>40270912992.926773</v>
      </c>
      <c r="AG1795" s="226">
        <v>0.13610089351494645</v>
      </c>
      <c r="AH1795" s="226">
        <v>0.58284280802547439</v>
      </c>
      <c r="AI1795" s="27">
        <v>393820000</v>
      </c>
      <c r="AJ1795" s="226">
        <v>13.91729023665634</v>
      </c>
      <c r="AK1795" s="27">
        <v>5752929762.7566061</v>
      </c>
      <c r="AL1795" s="226">
        <v>0.95271582776524943</v>
      </c>
      <c r="AM1795" s="27">
        <v>5317432530.3958025</v>
      </c>
      <c r="AN1795" s="271">
        <v>1.0307431659301241</v>
      </c>
      <c r="AO1795" s="27">
        <v>29987800</v>
      </c>
      <c r="AP1795" s="27">
        <v>25.8</v>
      </c>
      <c r="AQ1795" s="27">
        <v>74.515536585365851</v>
      </c>
      <c r="AR1795" s="27">
        <v>13.6</v>
      </c>
      <c r="AS1795" s="29" t="s">
        <v>2842</v>
      </c>
      <c r="AT1795" s="270">
        <v>38</v>
      </c>
      <c r="AU1795" s="464">
        <v>72.816286549781523</v>
      </c>
      <c r="AV1795" s="29">
        <v>6.8806180868862199E-2</v>
      </c>
      <c r="AW1795" s="29">
        <v>-0.86195648593669605</v>
      </c>
      <c r="AX1795" s="29">
        <v>-0.157626358241128</v>
      </c>
      <c r="AY1795" s="29">
        <v>0.48941210864302698</v>
      </c>
      <c r="AZ1795" s="60">
        <v>-0.394694258708917</v>
      </c>
    </row>
    <row r="1796" spans="1:52" s="29" customFormat="1" ht="15" customHeight="1">
      <c r="A1796" s="63" t="s">
        <v>455</v>
      </c>
      <c r="B1796" s="53">
        <v>2012</v>
      </c>
      <c r="C1796" s="146" t="s">
        <v>442</v>
      </c>
      <c r="D1796" s="69" t="s">
        <v>214</v>
      </c>
      <c r="E1796" s="29" t="s">
        <v>19</v>
      </c>
      <c r="F1796" s="27" t="s">
        <v>1125</v>
      </c>
      <c r="G1796" s="43">
        <v>26359</v>
      </c>
      <c r="H1796" s="43"/>
      <c r="I1796" s="43"/>
      <c r="J1796" s="43"/>
      <c r="K1796" s="27" t="s">
        <v>567</v>
      </c>
      <c r="L1796" s="28">
        <v>68</v>
      </c>
      <c r="M1796" s="27" t="s">
        <v>568</v>
      </c>
      <c r="N1796" s="27" t="s">
        <v>1126</v>
      </c>
      <c r="O1796" s="18">
        <f t="shared" si="29"/>
        <v>1792412</v>
      </c>
      <c r="P1796" s="214"/>
      <c r="Q1796" s="214"/>
      <c r="S1796" s="27"/>
      <c r="T1796" s="18"/>
      <c r="U1796" s="27"/>
      <c r="W1796" s="30"/>
      <c r="X1796" s="27"/>
      <c r="Y1796" s="27"/>
      <c r="Z1796" s="27"/>
      <c r="AA1796" s="27"/>
      <c r="AB1796" s="27"/>
      <c r="AC1796" s="273">
        <v>5480907241</v>
      </c>
      <c r="AD1796" s="27">
        <v>192628494178.35443</v>
      </c>
      <c r="AE1796" s="228">
        <v>2.8453252798234702E-2</v>
      </c>
      <c r="AF1796" s="27">
        <v>40270912992.926773</v>
      </c>
      <c r="AG1796" s="226">
        <v>0.13610089351494645</v>
      </c>
      <c r="AH1796" s="226">
        <v>0.58284280802547439</v>
      </c>
      <c r="AI1796" s="27">
        <v>393820000</v>
      </c>
      <c r="AJ1796" s="226">
        <v>13.91729023665634</v>
      </c>
      <c r="AK1796" s="27">
        <v>5752929762.7566061</v>
      </c>
      <c r="AL1796" s="226">
        <v>0.95271582776524943</v>
      </c>
      <c r="AM1796" s="27">
        <v>5317432530.3958025</v>
      </c>
      <c r="AN1796" s="271">
        <v>1.0307431659301241</v>
      </c>
      <c r="AO1796" s="27">
        <v>29987800</v>
      </c>
      <c r="AP1796" s="27">
        <v>25.8</v>
      </c>
      <c r="AQ1796" s="27">
        <v>74.515536585365851</v>
      </c>
      <c r="AR1796" s="27">
        <v>13.6</v>
      </c>
      <c r="AS1796" s="29" t="s">
        <v>2842</v>
      </c>
      <c r="AT1796" s="270">
        <v>38</v>
      </c>
      <c r="AU1796" s="464">
        <v>72.816286549781523</v>
      </c>
      <c r="AV1796" s="29">
        <v>6.8806180868862199E-2</v>
      </c>
      <c r="AW1796" s="29">
        <v>-0.86195648593669605</v>
      </c>
      <c r="AX1796" s="29">
        <v>-0.157626358241128</v>
      </c>
      <c r="AY1796" s="29">
        <v>0.48941210864302698</v>
      </c>
      <c r="AZ1796" s="60">
        <v>-0.394694258708917</v>
      </c>
    </row>
    <row r="1797" spans="1:52" s="29" customFormat="1" ht="15" customHeight="1">
      <c r="A1797" s="63" t="s">
        <v>455</v>
      </c>
      <c r="B1797" s="53">
        <v>2012</v>
      </c>
      <c r="C1797" s="146" t="s">
        <v>442</v>
      </c>
      <c r="D1797" s="69" t="s">
        <v>214</v>
      </c>
      <c r="E1797" s="29" t="s">
        <v>19</v>
      </c>
      <c r="F1797" s="27" t="s">
        <v>730</v>
      </c>
      <c r="G1797" s="43">
        <f>161325*32.150743126506</f>
        <v>5186718.6348835807</v>
      </c>
      <c r="H1797" s="43"/>
      <c r="I1797" s="43"/>
      <c r="J1797" s="43"/>
      <c r="K1797" s="27" t="s">
        <v>731</v>
      </c>
      <c r="L1797" s="28">
        <v>1669.51766666667</v>
      </c>
      <c r="M1797" s="27" t="s">
        <v>732</v>
      </c>
      <c r="N1797" s="27" t="s">
        <v>733</v>
      </c>
      <c r="O1797" s="18">
        <f t="shared" si="29"/>
        <v>8659318392.967371</v>
      </c>
      <c r="P1797" s="214"/>
      <c r="Q1797" s="214"/>
      <c r="S1797" s="27"/>
      <c r="T1797" s="18"/>
      <c r="U1797" s="27"/>
      <c r="W1797" s="30"/>
      <c r="X1797" s="27"/>
      <c r="Y1797" s="27"/>
      <c r="Z1797" s="27"/>
      <c r="AA1797" s="27"/>
      <c r="AB1797" s="27"/>
      <c r="AC1797" s="273">
        <v>5480907241</v>
      </c>
      <c r="AD1797" s="27">
        <v>192628494178.35443</v>
      </c>
      <c r="AE1797" s="228">
        <v>2.8453252798234702E-2</v>
      </c>
      <c r="AF1797" s="27">
        <v>40270912992.926773</v>
      </c>
      <c r="AG1797" s="226">
        <v>0.13610089351494645</v>
      </c>
      <c r="AH1797" s="226">
        <v>0.58284280802547439</v>
      </c>
      <c r="AI1797" s="27">
        <v>393820000</v>
      </c>
      <c r="AJ1797" s="226">
        <v>13.91729023665634</v>
      </c>
      <c r="AK1797" s="27">
        <v>5752929762.7566061</v>
      </c>
      <c r="AL1797" s="226">
        <v>0.95271582776524943</v>
      </c>
      <c r="AM1797" s="27">
        <v>5317432530.3958025</v>
      </c>
      <c r="AN1797" s="271">
        <v>1.0307431659301241</v>
      </c>
      <c r="AO1797" s="27">
        <v>29987800</v>
      </c>
      <c r="AP1797" s="27">
        <v>25.8</v>
      </c>
      <c r="AQ1797" s="27">
        <v>74.515536585365851</v>
      </c>
      <c r="AR1797" s="27">
        <v>13.6</v>
      </c>
      <c r="AS1797" s="29" t="s">
        <v>2842</v>
      </c>
      <c r="AT1797" s="270">
        <v>38</v>
      </c>
      <c r="AU1797" s="464">
        <v>72.816286549781523</v>
      </c>
      <c r="AV1797" s="29">
        <v>6.8806180868862199E-2</v>
      </c>
      <c r="AW1797" s="29">
        <v>-0.86195648593669605</v>
      </c>
      <c r="AX1797" s="29">
        <v>-0.157626358241128</v>
      </c>
      <c r="AY1797" s="29">
        <v>0.48941210864302698</v>
      </c>
      <c r="AZ1797" s="60">
        <v>-0.394694258708917</v>
      </c>
    </row>
    <row r="1798" spans="1:52" s="29" customFormat="1" ht="15" customHeight="1">
      <c r="A1798" s="63" t="s">
        <v>455</v>
      </c>
      <c r="B1798" s="53">
        <v>2012</v>
      </c>
      <c r="C1798" s="146" t="s">
        <v>442</v>
      </c>
      <c r="D1798" s="69" t="s">
        <v>214</v>
      </c>
      <c r="E1798" s="29" t="s">
        <v>19</v>
      </c>
      <c r="F1798" s="27" t="s">
        <v>1131</v>
      </c>
      <c r="G1798" s="43">
        <v>345000</v>
      </c>
      <c r="H1798" s="43"/>
      <c r="I1798" s="43"/>
      <c r="J1798" s="43"/>
      <c r="K1798" s="27" t="s">
        <v>567</v>
      </c>
      <c r="L1798" s="28">
        <v>18.5</v>
      </c>
      <c r="M1798" s="27" t="s">
        <v>568</v>
      </c>
      <c r="N1798" s="27" t="s">
        <v>1132</v>
      </c>
      <c r="O1798" s="18">
        <f t="shared" si="29"/>
        <v>6382500</v>
      </c>
      <c r="P1798" s="214"/>
      <c r="Q1798" s="214"/>
      <c r="R1798" s="71"/>
      <c r="S1798" s="27"/>
      <c r="T1798" s="18"/>
      <c r="U1798" s="27"/>
      <c r="V1798" s="18"/>
      <c r="W1798" s="30"/>
      <c r="X1798" s="27"/>
      <c r="Y1798" s="27"/>
      <c r="Z1798" s="27"/>
      <c r="AA1798" s="27"/>
      <c r="AB1798" s="27"/>
      <c r="AC1798" s="273">
        <v>5480907241</v>
      </c>
      <c r="AD1798" s="27">
        <v>192628494178.35443</v>
      </c>
      <c r="AE1798" s="228">
        <v>2.8453252798234702E-2</v>
      </c>
      <c r="AF1798" s="27">
        <v>40270912992.926773</v>
      </c>
      <c r="AG1798" s="226">
        <v>0.13610089351494645</v>
      </c>
      <c r="AH1798" s="226">
        <v>0.58284280802547439</v>
      </c>
      <c r="AI1798" s="27">
        <v>393820000</v>
      </c>
      <c r="AJ1798" s="226">
        <v>13.91729023665634</v>
      </c>
      <c r="AK1798" s="27">
        <v>5752929762.7566061</v>
      </c>
      <c r="AL1798" s="226">
        <v>0.95271582776524943</v>
      </c>
      <c r="AM1798" s="27">
        <v>5317432530.3958025</v>
      </c>
      <c r="AN1798" s="271">
        <v>1.0307431659301241</v>
      </c>
      <c r="AO1798" s="27">
        <v>29987800</v>
      </c>
      <c r="AP1798" s="27">
        <v>25.8</v>
      </c>
      <c r="AQ1798" s="27">
        <v>74.515536585365851</v>
      </c>
      <c r="AR1798" s="27">
        <v>13.6</v>
      </c>
      <c r="AS1798" s="29" t="s">
        <v>2842</v>
      </c>
      <c r="AT1798" s="270">
        <v>38</v>
      </c>
      <c r="AU1798" s="464">
        <v>72.816286549781523</v>
      </c>
      <c r="AV1798" s="29">
        <v>6.8806180868862199E-2</v>
      </c>
      <c r="AW1798" s="29">
        <v>-0.86195648593669605</v>
      </c>
      <c r="AX1798" s="29">
        <v>-0.157626358241128</v>
      </c>
      <c r="AY1798" s="29">
        <v>0.48941210864302698</v>
      </c>
      <c r="AZ1798" s="60">
        <v>-0.394694258708917</v>
      </c>
    </row>
    <row r="1799" spans="1:52" s="29" customFormat="1" ht="15" customHeight="1">
      <c r="A1799" s="63" t="s">
        <v>455</v>
      </c>
      <c r="B1799" s="53">
        <v>2012</v>
      </c>
      <c r="C1799" s="146" t="s">
        <v>442</v>
      </c>
      <c r="D1799" s="69" t="s">
        <v>214</v>
      </c>
      <c r="E1799" s="29" t="s">
        <v>19</v>
      </c>
      <c r="F1799" s="27" t="s">
        <v>1892</v>
      </c>
      <c r="G1799" s="43">
        <v>2000</v>
      </c>
      <c r="H1799" s="43"/>
      <c r="I1799" s="43"/>
      <c r="J1799" s="43"/>
      <c r="K1799" s="27" t="s">
        <v>894</v>
      </c>
      <c r="L1799" s="28">
        <v>650</v>
      </c>
      <c r="M1799" s="27" t="s">
        <v>1743</v>
      </c>
      <c r="N1799" s="27" t="s">
        <v>1983</v>
      </c>
      <c r="O1799" s="18">
        <f t="shared" si="29"/>
        <v>1300000</v>
      </c>
      <c r="P1799" s="214"/>
      <c r="Q1799" s="214"/>
      <c r="R1799" s="71"/>
      <c r="S1799" s="27"/>
      <c r="T1799" s="18"/>
      <c r="U1799" s="27"/>
      <c r="V1799" s="18"/>
      <c r="W1799" s="30"/>
      <c r="X1799" s="27"/>
      <c r="Y1799" s="27"/>
      <c r="Z1799" s="27"/>
      <c r="AA1799" s="27"/>
      <c r="AB1799" s="27"/>
      <c r="AC1799" s="273">
        <v>5480907241</v>
      </c>
      <c r="AD1799" s="27">
        <v>192628494178.35443</v>
      </c>
      <c r="AE1799" s="228">
        <v>2.8453252798234702E-2</v>
      </c>
      <c r="AF1799" s="27">
        <v>40270912992.926773</v>
      </c>
      <c r="AG1799" s="226">
        <v>0.13610089351494645</v>
      </c>
      <c r="AH1799" s="226">
        <v>0.58284280802547439</v>
      </c>
      <c r="AI1799" s="27">
        <v>393820000</v>
      </c>
      <c r="AJ1799" s="226">
        <v>13.91729023665634</v>
      </c>
      <c r="AK1799" s="27">
        <v>5752929762.7566061</v>
      </c>
      <c r="AL1799" s="226">
        <v>0.95271582776524943</v>
      </c>
      <c r="AM1799" s="27">
        <v>5317432530.3958025</v>
      </c>
      <c r="AN1799" s="271">
        <v>1.0307431659301241</v>
      </c>
      <c r="AO1799" s="27">
        <v>29987800</v>
      </c>
      <c r="AP1799" s="27">
        <v>25.8</v>
      </c>
      <c r="AQ1799" s="27">
        <v>74.515536585365851</v>
      </c>
      <c r="AR1799" s="27">
        <v>13.6</v>
      </c>
      <c r="AS1799" s="29" t="s">
        <v>2842</v>
      </c>
      <c r="AT1799" s="270">
        <v>38</v>
      </c>
      <c r="AU1799" s="464">
        <v>72.816286549781523</v>
      </c>
      <c r="AV1799" s="29">
        <v>6.8806180868862199E-2</v>
      </c>
      <c r="AW1799" s="29">
        <v>-0.86195648593669605</v>
      </c>
      <c r="AX1799" s="29">
        <v>-0.157626358241128</v>
      </c>
      <c r="AY1799" s="29">
        <v>0.48941210864302698</v>
      </c>
      <c r="AZ1799" s="60">
        <v>-0.394694258708917</v>
      </c>
    </row>
    <row r="1800" spans="1:52" s="29" customFormat="1" ht="15" customHeight="1">
      <c r="A1800" s="63" t="s">
        <v>455</v>
      </c>
      <c r="B1800" s="53">
        <v>2012</v>
      </c>
      <c r="C1800" s="146" t="s">
        <v>442</v>
      </c>
      <c r="D1800" s="69" t="s">
        <v>214</v>
      </c>
      <c r="E1800" s="29" t="s">
        <v>19</v>
      </c>
      <c r="F1800" s="27" t="s">
        <v>1133</v>
      </c>
      <c r="G1800" s="43">
        <v>10132</v>
      </c>
      <c r="H1800" s="43"/>
      <c r="I1800" s="43"/>
      <c r="J1800" s="43"/>
      <c r="K1800" s="27" t="s">
        <v>567</v>
      </c>
      <c r="L1800" s="28">
        <v>128.49592592593001</v>
      </c>
      <c r="M1800" s="27" t="s">
        <v>568</v>
      </c>
      <c r="N1800" s="27" t="s">
        <v>1844</v>
      </c>
      <c r="O1800" s="18">
        <f t="shared" si="29"/>
        <v>1301920.7214815228</v>
      </c>
      <c r="P1800" s="214"/>
      <c r="Q1800" s="214"/>
      <c r="R1800" s="71"/>
      <c r="S1800" s="27"/>
      <c r="T1800" s="18"/>
      <c r="U1800" s="27"/>
      <c r="V1800" s="18"/>
      <c r="W1800" s="30"/>
      <c r="X1800" s="27"/>
      <c r="Y1800" s="27"/>
      <c r="Z1800" s="27"/>
      <c r="AA1800" s="27"/>
      <c r="AB1800" s="27"/>
      <c r="AC1800" s="273">
        <v>5480907241</v>
      </c>
      <c r="AD1800" s="27">
        <v>192628494178.35443</v>
      </c>
      <c r="AE1800" s="228">
        <v>2.8453252798234702E-2</v>
      </c>
      <c r="AF1800" s="27">
        <v>40270912992.926773</v>
      </c>
      <c r="AG1800" s="226">
        <v>0.13610089351494645</v>
      </c>
      <c r="AH1800" s="226">
        <v>0.58284280802547439</v>
      </c>
      <c r="AI1800" s="27">
        <v>393820000</v>
      </c>
      <c r="AJ1800" s="226">
        <v>13.91729023665634</v>
      </c>
      <c r="AK1800" s="27">
        <v>5752929762.7566061</v>
      </c>
      <c r="AL1800" s="226">
        <v>0.95271582776524943</v>
      </c>
      <c r="AM1800" s="27">
        <v>5317432530.3958025</v>
      </c>
      <c r="AN1800" s="271">
        <v>1.0307431659301241</v>
      </c>
      <c r="AO1800" s="27">
        <v>29987800</v>
      </c>
      <c r="AP1800" s="27">
        <v>25.8</v>
      </c>
      <c r="AQ1800" s="27">
        <v>74.515536585365851</v>
      </c>
      <c r="AR1800" s="27">
        <v>13.6</v>
      </c>
      <c r="AS1800" s="29" t="s">
        <v>2842</v>
      </c>
      <c r="AT1800" s="270">
        <v>38</v>
      </c>
      <c r="AU1800" s="464">
        <v>72.816286549781523</v>
      </c>
      <c r="AV1800" s="29">
        <v>6.8806180868862199E-2</v>
      </c>
      <c r="AW1800" s="29">
        <v>-0.86195648593669605</v>
      </c>
      <c r="AX1800" s="29">
        <v>-0.157626358241128</v>
      </c>
      <c r="AY1800" s="29">
        <v>0.48941210864302698</v>
      </c>
      <c r="AZ1800" s="60">
        <v>-0.394694258708917</v>
      </c>
    </row>
    <row r="1801" spans="1:52" s="29" customFormat="1" ht="15" customHeight="1">
      <c r="A1801" s="63" t="s">
        <v>455</v>
      </c>
      <c r="B1801" s="53">
        <v>2012</v>
      </c>
      <c r="C1801" s="146" t="s">
        <v>442</v>
      </c>
      <c r="D1801" s="69" t="s">
        <v>214</v>
      </c>
      <c r="E1801" s="29" t="s">
        <v>19</v>
      </c>
      <c r="F1801" s="27" t="s">
        <v>1135</v>
      </c>
      <c r="G1801" s="43">
        <v>33863</v>
      </c>
      <c r="H1801" s="43"/>
      <c r="I1801" s="43"/>
      <c r="J1801" s="43"/>
      <c r="K1801" s="27" t="s">
        <v>567</v>
      </c>
      <c r="L1801" s="28">
        <v>146</v>
      </c>
      <c r="M1801" s="27" t="s">
        <v>568</v>
      </c>
      <c r="N1801" s="27" t="s">
        <v>1984</v>
      </c>
      <c r="O1801" s="18">
        <f t="shared" si="29"/>
        <v>4943998</v>
      </c>
      <c r="P1801" s="214"/>
      <c r="Q1801" s="214"/>
      <c r="R1801" s="71"/>
      <c r="S1801" s="27"/>
      <c r="T1801" s="18"/>
      <c r="U1801" s="27"/>
      <c r="V1801" s="18"/>
      <c r="W1801" s="30"/>
      <c r="X1801" s="27"/>
      <c r="Y1801" s="27"/>
      <c r="Z1801" s="27"/>
      <c r="AA1801" s="27"/>
      <c r="AB1801" s="27"/>
      <c r="AC1801" s="273">
        <v>5480907241</v>
      </c>
      <c r="AD1801" s="27">
        <v>192628494178.35443</v>
      </c>
      <c r="AE1801" s="228">
        <v>2.8453252798234702E-2</v>
      </c>
      <c r="AF1801" s="27">
        <v>40270912992.926773</v>
      </c>
      <c r="AG1801" s="226">
        <v>0.13610089351494645</v>
      </c>
      <c r="AH1801" s="226">
        <v>0.58284280802547439</v>
      </c>
      <c r="AI1801" s="27">
        <v>393820000</v>
      </c>
      <c r="AJ1801" s="226">
        <v>13.91729023665634</v>
      </c>
      <c r="AK1801" s="27">
        <v>5752929762.7566061</v>
      </c>
      <c r="AL1801" s="226">
        <v>0.95271582776524943</v>
      </c>
      <c r="AM1801" s="27">
        <v>5317432530.3958025</v>
      </c>
      <c r="AN1801" s="271">
        <v>1.0307431659301241</v>
      </c>
      <c r="AO1801" s="27">
        <v>29987800</v>
      </c>
      <c r="AP1801" s="27">
        <v>25.8</v>
      </c>
      <c r="AQ1801" s="27">
        <v>74.515536585365851</v>
      </c>
      <c r="AR1801" s="27">
        <v>13.6</v>
      </c>
      <c r="AS1801" s="29" t="s">
        <v>2842</v>
      </c>
      <c r="AT1801" s="270">
        <v>38</v>
      </c>
      <c r="AU1801" s="464">
        <v>72.816286549781523</v>
      </c>
      <c r="AV1801" s="29">
        <v>6.8806180868862199E-2</v>
      </c>
      <c r="AW1801" s="29">
        <v>-0.86195648593669605</v>
      </c>
      <c r="AX1801" s="29">
        <v>-0.157626358241128</v>
      </c>
      <c r="AY1801" s="29">
        <v>0.48941210864302698</v>
      </c>
      <c r="AZ1801" s="60">
        <v>-0.394694258708917</v>
      </c>
    </row>
    <row r="1802" spans="1:52" s="29" customFormat="1" ht="15" customHeight="1">
      <c r="A1802" s="63" t="s">
        <v>455</v>
      </c>
      <c r="B1802" s="53">
        <v>2012</v>
      </c>
      <c r="C1802" s="146" t="s">
        <v>442</v>
      </c>
      <c r="D1802" s="69" t="s">
        <v>214</v>
      </c>
      <c r="E1802" s="29" t="s">
        <v>19</v>
      </c>
      <c r="F1802" s="27" t="s">
        <v>1360</v>
      </c>
      <c r="G1802" s="43"/>
      <c r="H1802" s="43"/>
      <c r="I1802" s="43"/>
      <c r="J1802" s="43"/>
      <c r="K1802" s="27"/>
      <c r="L1802" s="44">
        <v>2064.6382656781898</v>
      </c>
      <c r="M1802" s="27" t="s">
        <v>568</v>
      </c>
      <c r="N1802" s="27" t="s">
        <v>1895</v>
      </c>
      <c r="O1802" s="18">
        <f>G1804*L1802</f>
        <v>0</v>
      </c>
      <c r="P1802" s="244"/>
      <c r="Q1802" s="244"/>
      <c r="R1802" s="18"/>
      <c r="S1802" s="27"/>
      <c r="T1802" s="18"/>
      <c r="U1802" s="27"/>
      <c r="V1802" s="18"/>
      <c r="W1802" s="30"/>
      <c r="X1802" s="27"/>
      <c r="Y1802" s="27"/>
      <c r="Z1802" s="27"/>
      <c r="AA1802" s="27"/>
      <c r="AB1802" s="27"/>
      <c r="AC1802" s="273">
        <v>5480907241</v>
      </c>
      <c r="AD1802" s="27">
        <v>192628494178.35443</v>
      </c>
      <c r="AE1802" s="228">
        <v>2.8453252798234702E-2</v>
      </c>
      <c r="AF1802" s="27">
        <v>40270912992.926773</v>
      </c>
      <c r="AG1802" s="226">
        <v>0.13610089351494645</v>
      </c>
      <c r="AH1802" s="226">
        <v>0.58284280802547439</v>
      </c>
      <c r="AI1802" s="27">
        <v>393820000</v>
      </c>
      <c r="AJ1802" s="226">
        <v>13.91729023665634</v>
      </c>
      <c r="AK1802" s="27">
        <v>5752929762.7566061</v>
      </c>
      <c r="AL1802" s="226">
        <v>0.95271582776524943</v>
      </c>
      <c r="AM1802" s="27">
        <v>5317432530.3958025</v>
      </c>
      <c r="AN1802" s="271">
        <v>1.0307431659301241</v>
      </c>
      <c r="AO1802" s="27">
        <v>29987800</v>
      </c>
      <c r="AP1802" s="27">
        <v>25.8</v>
      </c>
      <c r="AQ1802" s="27">
        <v>74.515536585365851</v>
      </c>
      <c r="AR1802" s="27">
        <v>13.6</v>
      </c>
      <c r="AS1802" s="29" t="s">
        <v>2842</v>
      </c>
      <c r="AT1802" s="270">
        <v>38</v>
      </c>
      <c r="AU1802" s="464">
        <v>72.816286549781523</v>
      </c>
      <c r="AV1802" s="29">
        <v>6.8806180868862199E-2</v>
      </c>
      <c r="AW1802" s="29">
        <v>-0.86195648593669605</v>
      </c>
      <c r="AX1802" s="29">
        <v>-0.157626358241128</v>
      </c>
      <c r="AY1802" s="29">
        <v>0.48941210864302698</v>
      </c>
      <c r="AZ1802" s="60">
        <v>-0.394694258708917</v>
      </c>
    </row>
    <row r="1803" spans="1:52" s="29" customFormat="1" ht="15" customHeight="1">
      <c r="A1803" s="63" t="s">
        <v>455</v>
      </c>
      <c r="B1803" s="53">
        <v>2012</v>
      </c>
      <c r="C1803" s="146" t="s">
        <v>442</v>
      </c>
      <c r="D1803" s="69" t="s">
        <v>214</v>
      </c>
      <c r="E1803" s="29" t="s">
        <v>19</v>
      </c>
      <c r="F1803" s="27" t="s">
        <v>1897</v>
      </c>
      <c r="G1803" s="43">
        <v>248659</v>
      </c>
      <c r="H1803" s="43"/>
      <c r="I1803" s="43"/>
      <c r="J1803" s="43"/>
      <c r="K1803" s="27" t="s">
        <v>567</v>
      </c>
      <c r="L1803" s="28"/>
      <c r="M1803" s="27"/>
      <c r="N1803" s="27" t="s">
        <v>636</v>
      </c>
      <c r="O1803" s="18"/>
      <c r="P1803" s="214"/>
      <c r="Q1803" s="214"/>
      <c r="S1803" s="27"/>
      <c r="T1803" s="18"/>
      <c r="U1803" s="27"/>
      <c r="W1803" s="30"/>
      <c r="X1803" s="27"/>
      <c r="Y1803" s="27"/>
      <c r="Z1803" s="27"/>
      <c r="AA1803" s="27"/>
      <c r="AB1803" s="27"/>
      <c r="AC1803" s="273">
        <v>5480907241</v>
      </c>
      <c r="AD1803" s="27">
        <v>192628494178.35443</v>
      </c>
      <c r="AE1803" s="228">
        <v>2.8453252798234702E-2</v>
      </c>
      <c r="AF1803" s="27">
        <v>40270912992.926773</v>
      </c>
      <c r="AG1803" s="226">
        <v>0.13610089351494645</v>
      </c>
      <c r="AH1803" s="226">
        <v>0.58284280802547439</v>
      </c>
      <c r="AI1803" s="27">
        <v>393820000</v>
      </c>
      <c r="AJ1803" s="226">
        <v>13.91729023665634</v>
      </c>
      <c r="AK1803" s="27">
        <v>5752929762.7566061</v>
      </c>
      <c r="AL1803" s="226">
        <v>0.95271582776524943</v>
      </c>
      <c r="AM1803" s="27">
        <v>5317432530.3958025</v>
      </c>
      <c r="AN1803" s="271">
        <v>1.0307431659301241</v>
      </c>
      <c r="AO1803" s="27">
        <v>29987800</v>
      </c>
      <c r="AP1803" s="27">
        <v>25.8</v>
      </c>
      <c r="AQ1803" s="27">
        <v>74.515536585365851</v>
      </c>
      <c r="AR1803" s="27">
        <v>13.6</v>
      </c>
      <c r="AS1803" s="29" t="s">
        <v>2842</v>
      </c>
      <c r="AT1803" s="270">
        <v>38</v>
      </c>
      <c r="AU1803" s="464">
        <v>72.816286549781523</v>
      </c>
      <c r="AV1803" s="29">
        <v>6.8806180868862199E-2</v>
      </c>
      <c r="AW1803" s="29">
        <v>-0.86195648593669605</v>
      </c>
      <c r="AX1803" s="29">
        <v>-0.157626358241128</v>
      </c>
      <c r="AY1803" s="29">
        <v>0.48941210864302698</v>
      </c>
      <c r="AZ1803" s="60">
        <v>-0.394694258708917</v>
      </c>
    </row>
    <row r="1804" spans="1:52" s="29" customFormat="1" ht="15" customHeight="1">
      <c r="A1804" s="63" t="s">
        <v>455</v>
      </c>
      <c r="B1804" s="53">
        <v>2012</v>
      </c>
      <c r="C1804" s="146" t="s">
        <v>442</v>
      </c>
      <c r="D1804" s="69" t="s">
        <v>214</v>
      </c>
      <c r="E1804" s="29" t="s">
        <v>19</v>
      </c>
      <c r="F1804" s="27" t="s">
        <v>1238</v>
      </c>
      <c r="G1804" s="43">
        <v>0</v>
      </c>
      <c r="H1804" s="43"/>
      <c r="I1804" s="43"/>
      <c r="J1804" s="43"/>
      <c r="K1804" s="27" t="s">
        <v>567</v>
      </c>
      <c r="L1804" s="28"/>
      <c r="M1804" s="27"/>
      <c r="N1804" s="27" t="s">
        <v>636</v>
      </c>
      <c r="O1804" s="18"/>
      <c r="P1804" s="214"/>
      <c r="Q1804" s="214"/>
      <c r="S1804" s="27"/>
      <c r="T1804" s="18"/>
      <c r="U1804" s="27"/>
      <c r="W1804" s="30"/>
      <c r="X1804" s="27"/>
      <c r="Y1804" s="27"/>
      <c r="Z1804" s="27"/>
      <c r="AA1804" s="27"/>
      <c r="AB1804" s="27"/>
      <c r="AC1804" s="273">
        <v>5480907241</v>
      </c>
      <c r="AD1804" s="27">
        <v>192628494178.35443</v>
      </c>
      <c r="AE1804" s="228">
        <v>2.8453252798234702E-2</v>
      </c>
      <c r="AF1804" s="27">
        <v>40270912992.926773</v>
      </c>
      <c r="AG1804" s="226">
        <v>0.13610089351494645</v>
      </c>
      <c r="AH1804" s="226">
        <v>0.58284280802547439</v>
      </c>
      <c r="AI1804" s="27">
        <v>393820000</v>
      </c>
      <c r="AJ1804" s="226">
        <v>13.91729023665634</v>
      </c>
      <c r="AK1804" s="27">
        <v>5752929762.7566061</v>
      </c>
      <c r="AL1804" s="226">
        <v>0.95271582776524943</v>
      </c>
      <c r="AM1804" s="27">
        <v>5317432530.3958025</v>
      </c>
      <c r="AN1804" s="271">
        <v>1.0307431659301241</v>
      </c>
      <c r="AO1804" s="27">
        <v>29987800</v>
      </c>
      <c r="AP1804" s="27">
        <v>25.8</v>
      </c>
      <c r="AQ1804" s="27">
        <v>74.515536585365851</v>
      </c>
      <c r="AR1804" s="27">
        <v>13.6</v>
      </c>
      <c r="AS1804" s="29" t="s">
        <v>2842</v>
      </c>
      <c r="AT1804" s="270">
        <v>38</v>
      </c>
      <c r="AU1804" s="464">
        <v>72.816286549781523</v>
      </c>
      <c r="AV1804" s="29">
        <v>6.8806180868862199E-2</v>
      </c>
      <c r="AW1804" s="29">
        <v>-0.86195648593669605</v>
      </c>
      <c r="AX1804" s="29">
        <v>-0.157626358241128</v>
      </c>
      <c r="AY1804" s="29">
        <v>0.48941210864302698</v>
      </c>
      <c r="AZ1804" s="60">
        <v>-0.394694258708917</v>
      </c>
    </row>
    <row r="1805" spans="1:52" s="29" customFormat="1" ht="15" customHeight="1">
      <c r="A1805" s="63" t="s">
        <v>455</v>
      </c>
      <c r="B1805" s="53">
        <v>2012</v>
      </c>
      <c r="C1805" s="146" t="s">
        <v>442</v>
      </c>
      <c r="D1805" s="69" t="s">
        <v>214</v>
      </c>
      <c r="E1805" s="29" t="s">
        <v>19</v>
      </c>
      <c r="F1805" s="27" t="s">
        <v>653</v>
      </c>
      <c r="G1805" s="43">
        <v>14567000</v>
      </c>
      <c r="H1805" s="43"/>
      <c r="I1805" s="43"/>
      <c r="J1805" s="43"/>
      <c r="K1805" s="27" t="s">
        <v>567</v>
      </c>
      <c r="L1805" s="28">
        <v>9.1</v>
      </c>
      <c r="M1805" s="27" t="s">
        <v>568</v>
      </c>
      <c r="N1805" s="27" t="s">
        <v>1785</v>
      </c>
      <c r="O1805" s="18">
        <f>G1805*L1805</f>
        <v>132559700</v>
      </c>
      <c r="P1805" s="214"/>
      <c r="Q1805" s="214"/>
      <c r="S1805" s="27"/>
      <c r="T1805" s="18"/>
      <c r="U1805" s="27"/>
      <c r="W1805" s="30"/>
      <c r="X1805" s="27"/>
      <c r="Y1805" s="27"/>
      <c r="Z1805" s="27"/>
      <c r="AA1805" s="27"/>
      <c r="AB1805" s="27"/>
      <c r="AC1805" s="273">
        <v>5480907241</v>
      </c>
      <c r="AD1805" s="27">
        <v>192628494178.35443</v>
      </c>
      <c r="AE1805" s="228">
        <v>2.8453252798234702E-2</v>
      </c>
      <c r="AF1805" s="27">
        <v>40270912992.926773</v>
      </c>
      <c r="AG1805" s="226">
        <v>0.13610089351494645</v>
      </c>
      <c r="AH1805" s="226">
        <v>0.58284280802547439</v>
      </c>
      <c r="AI1805" s="27">
        <v>393820000</v>
      </c>
      <c r="AJ1805" s="226">
        <v>13.91729023665634</v>
      </c>
      <c r="AK1805" s="27">
        <v>5752929762.7566061</v>
      </c>
      <c r="AL1805" s="226">
        <v>0.95271582776524943</v>
      </c>
      <c r="AM1805" s="27">
        <v>5317432530.3958025</v>
      </c>
      <c r="AN1805" s="271">
        <v>1.0307431659301241</v>
      </c>
      <c r="AO1805" s="27">
        <v>29987800</v>
      </c>
      <c r="AP1805" s="27">
        <v>25.8</v>
      </c>
      <c r="AQ1805" s="27">
        <v>74.515536585365851</v>
      </c>
      <c r="AR1805" s="27">
        <v>13.6</v>
      </c>
      <c r="AS1805" s="29" t="s">
        <v>2842</v>
      </c>
      <c r="AT1805" s="270">
        <v>38</v>
      </c>
      <c r="AU1805" s="464">
        <v>72.816286549781523</v>
      </c>
      <c r="AV1805" s="29">
        <v>6.8806180868862199E-2</v>
      </c>
      <c r="AW1805" s="29">
        <v>-0.86195648593669605</v>
      </c>
      <c r="AX1805" s="29">
        <v>-0.157626358241128</v>
      </c>
      <c r="AY1805" s="29">
        <v>0.48941210864302698</v>
      </c>
      <c r="AZ1805" s="60">
        <v>-0.394694258708917</v>
      </c>
    </row>
    <row r="1806" spans="1:52" s="29" customFormat="1" ht="15" customHeight="1">
      <c r="A1806" s="63" t="s">
        <v>455</v>
      </c>
      <c r="B1806" s="53">
        <v>2012</v>
      </c>
      <c r="C1806" s="146" t="s">
        <v>442</v>
      </c>
      <c r="D1806" s="69" t="s">
        <v>214</v>
      </c>
      <c r="E1806" s="29" t="s">
        <v>19</v>
      </c>
      <c r="F1806" s="27" t="s">
        <v>613</v>
      </c>
      <c r="G1806" s="43">
        <v>9885</v>
      </c>
      <c r="H1806" s="43"/>
      <c r="I1806" s="43"/>
      <c r="J1806" s="43"/>
      <c r="K1806" s="27" t="s">
        <v>567</v>
      </c>
      <c r="L1806" s="28">
        <v>15.52</v>
      </c>
      <c r="M1806" s="27" t="s">
        <v>568</v>
      </c>
      <c r="N1806" s="27" t="s">
        <v>1157</v>
      </c>
      <c r="O1806" s="18">
        <f>G1806*L1806</f>
        <v>153415.19999999998</v>
      </c>
      <c r="P1806" s="214"/>
      <c r="Q1806" s="214"/>
      <c r="S1806" s="27"/>
      <c r="T1806" s="18"/>
      <c r="U1806" s="27"/>
      <c r="W1806" s="30"/>
      <c r="X1806" s="27"/>
      <c r="Y1806" s="27"/>
      <c r="Z1806" s="27"/>
      <c r="AA1806" s="27"/>
      <c r="AB1806" s="27"/>
      <c r="AC1806" s="273">
        <v>5480907241</v>
      </c>
      <c r="AD1806" s="27">
        <v>192628494178.35443</v>
      </c>
      <c r="AE1806" s="228">
        <v>2.8453252798234702E-2</v>
      </c>
      <c r="AF1806" s="27">
        <v>40270912992.926773</v>
      </c>
      <c r="AG1806" s="226">
        <v>0.13610089351494645</v>
      </c>
      <c r="AH1806" s="226">
        <v>0.58284280802547439</v>
      </c>
      <c r="AI1806" s="27">
        <v>393820000</v>
      </c>
      <c r="AJ1806" s="226">
        <v>13.91729023665634</v>
      </c>
      <c r="AK1806" s="27">
        <v>5752929762.7566061</v>
      </c>
      <c r="AL1806" s="226">
        <v>0.95271582776524943</v>
      </c>
      <c r="AM1806" s="27">
        <v>5317432530.3958025</v>
      </c>
      <c r="AN1806" s="271">
        <v>1.0307431659301241</v>
      </c>
      <c r="AO1806" s="27">
        <v>29987800</v>
      </c>
      <c r="AP1806" s="27">
        <v>25.8</v>
      </c>
      <c r="AQ1806" s="27">
        <v>74.515536585365851</v>
      </c>
      <c r="AR1806" s="27">
        <v>13.6</v>
      </c>
      <c r="AS1806" s="29" t="s">
        <v>2842</v>
      </c>
      <c r="AT1806" s="270">
        <v>38</v>
      </c>
      <c r="AU1806" s="464">
        <v>72.816286549781523</v>
      </c>
      <c r="AV1806" s="29">
        <v>6.8806180868862199E-2</v>
      </c>
      <c r="AW1806" s="29">
        <v>-0.86195648593669605</v>
      </c>
      <c r="AX1806" s="29">
        <v>-0.157626358241128</v>
      </c>
      <c r="AY1806" s="29">
        <v>0.48941210864302698</v>
      </c>
      <c r="AZ1806" s="60">
        <v>-0.394694258708917</v>
      </c>
    </row>
    <row r="1807" spans="1:52" s="29" customFormat="1" ht="15" customHeight="1">
      <c r="A1807" s="63" t="s">
        <v>455</v>
      </c>
      <c r="B1807" s="53">
        <v>2012</v>
      </c>
      <c r="C1807" s="146" t="s">
        <v>442</v>
      </c>
      <c r="D1807" s="69" t="s">
        <v>214</v>
      </c>
      <c r="E1807" s="29" t="s">
        <v>19</v>
      </c>
      <c r="F1807" s="27" t="s">
        <v>1379</v>
      </c>
      <c r="G1807" s="43">
        <v>16790</v>
      </c>
      <c r="H1807" s="43"/>
      <c r="I1807" s="43"/>
      <c r="J1807" s="43"/>
      <c r="K1807" s="27" t="s">
        <v>567</v>
      </c>
      <c r="L1807" s="28">
        <v>29200</v>
      </c>
      <c r="M1807" s="27" t="s">
        <v>568</v>
      </c>
      <c r="N1807" s="27" t="s">
        <v>1985</v>
      </c>
      <c r="O1807" s="18">
        <f>G1807*L1807</f>
        <v>490268000</v>
      </c>
      <c r="P1807" s="214"/>
      <c r="Q1807" s="214"/>
      <c r="R1807" s="27"/>
      <c r="S1807" s="27"/>
      <c r="T1807" s="18"/>
      <c r="U1807" s="27"/>
      <c r="V1807" s="27"/>
      <c r="W1807" s="30"/>
      <c r="X1807" s="27"/>
      <c r="Y1807" s="27"/>
      <c r="Z1807" s="27"/>
      <c r="AA1807" s="27"/>
      <c r="AB1807" s="27"/>
      <c r="AC1807" s="273">
        <v>5480907241</v>
      </c>
      <c r="AD1807" s="27">
        <v>192628494178.35443</v>
      </c>
      <c r="AE1807" s="228">
        <v>2.8453252798234702E-2</v>
      </c>
      <c r="AF1807" s="27">
        <v>40270912992.926773</v>
      </c>
      <c r="AG1807" s="226">
        <v>0.13610089351494645</v>
      </c>
      <c r="AH1807" s="226">
        <v>0.58284280802547439</v>
      </c>
      <c r="AI1807" s="27">
        <v>393820000</v>
      </c>
      <c r="AJ1807" s="226">
        <v>13.91729023665634</v>
      </c>
      <c r="AK1807" s="27">
        <v>5752929762.7566061</v>
      </c>
      <c r="AL1807" s="226">
        <v>0.95271582776524943</v>
      </c>
      <c r="AM1807" s="27">
        <v>5317432530.3958025</v>
      </c>
      <c r="AN1807" s="271">
        <v>1.0307431659301241</v>
      </c>
      <c r="AO1807" s="27">
        <v>29987800</v>
      </c>
      <c r="AP1807" s="27">
        <v>25.8</v>
      </c>
      <c r="AQ1807" s="27">
        <v>74.515536585365851</v>
      </c>
      <c r="AR1807" s="27">
        <v>13.6</v>
      </c>
      <c r="AS1807" s="29" t="s">
        <v>2842</v>
      </c>
      <c r="AT1807" s="270">
        <v>38</v>
      </c>
      <c r="AU1807" s="464">
        <v>72.816286549781523</v>
      </c>
      <c r="AV1807" s="29">
        <v>6.8806180868862199E-2</v>
      </c>
      <c r="AW1807" s="29">
        <v>-0.86195648593669605</v>
      </c>
      <c r="AX1807" s="29">
        <v>-0.157626358241128</v>
      </c>
      <c r="AY1807" s="29">
        <v>0.48941210864302698</v>
      </c>
      <c r="AZ1807" s="60">
        <v>-0.394694258708917</v>
      </c>
    </row>
    <row r="1808" spans="1:52" s="29" customFormat="1" ht="15" customHeight="1">
      <c r="A1808" s="63" t="s">
        <v>455</v>
      </c>
      <c r="B1808" s="53">
        <v>2012</v>
      </c>
      <c r="C1808" s="146" t="s">
        <v>442</v>
      </c>
      <c r="D1808" s="69" t="s">
        <v>214</v>
      </c>
      <c r="E1808" s="29" t="s">
        <v>19</v>
      </c>
      <c r="F1808" s="27" t="s">
        <v>1935</v>
      </c>
      <c r="G1808" s="43">
        <v>3578</v>
      </c>
      <c r="H1808" s="43"/>
      <c r="I1808" s="43"/>
      <c r="J1808" s="43"/>
      <c r="K1808" s="27" t="s">
        <v>567</v>
      </c>
      <c r="L1808" s="28"/>
      <c r="M1808" s="27"/>
      <c r="N1808" s="27" t="s">
        <v>636</v>
      </c>
      <c r="O1808" s="18"/>
      <c r="P1808" s="214"/>
      <c r="Q1808" s="214"/>
      <c r="R1808" s="18"/>
      <c r="S1808" s="27"/>
      <c r="T1808" s="18"/>
      <c r="U1808" s="27"/>
      <c r="V1808" s="18"/>
      <c r="W1808" s="30"/>
      <c r="X1808" s="27"/>
      <c r="Y1808" s="27"/>
      <c r="Z1808" s="27"/>
      <c r="AA1808" s="27"/>
      <c r="AB1808" s="27"/>
      <c r="AC1808" s="273">
        <v>5480907241</v>
      </c>
      <c r="AD1808" s="27">
        <v>192628494178.35443</v>
      </c>
      <c r="AE1808" s="228">
        <v>2.8453252798234702E-2</v>
      </c>
      <c r="AF1808" s="27">
        <v>40270912992.926773</v>
      </c>
      <c r="AG1808" s="226">
        <v>0.13610089351494645</v>
      </c>
      <c r="AH1808" s="226">
        <v>0.58284280802547439</v>
      </c>
      <c r="AI1808" s="27">
        <v>393820000</v>
      </c>
      <c r="AJ1808" s="226">
        <v>13.91729023665634</v>
      </c>
      <c r="AK1808" s="27">
        <v>5752929762.7566061</v>
      </c>
      <c r="AL1808" s="226">
        <v>0.95271582776524943</v>
      </c>
      <c r="AM1808" s="27">
        <v>5317432530.3958025</v>
      </c>
      <c r="AN1808" s="271">
        <v>1.0307431659301241</v>
      </c>
      <c r="AO1808" s="27">
        <v>29987800</v>
      </c>
      <c r="AP1808" s="27">
        <v>25.8</v>
      </c>
      <c r="AQ1808" s="27">
        <v>74.515536585365851</v>
      </c>
      <c r="AR1808" s="27">
        <v>13.6</v>
      </c>
      <c r="AS1808" s="29" t="s">
        <v>2842</v>
      </c>
      <c r="AT1808" s="270">
        <v>38</v>
      </c>
      <c r="AU1808" s="464">
        <v>72.816286549781523</v>
      </c>
      <c r="AV1808" s="29">
        <v>6.8806180868862199E-2</v>
      </c>
      <c r="AW1808" s="29">
        <v>-0.86195648593669605</v>
      </c>
      <c r="AX1808" s="29">
        <v>-0.157626358241128</v>
      </c>
      <c r="AY1808" s="29">
        <v>0.48941210864302698</v>
      </c>
      <c r="AZ1808" s="60">
        <v>-0.394694258708917</v>
      </c>
    </row>
    <row r="1809" spans="1:52" s="29" customFormat="1" ht="15" customHeight="1">
      <c r="A1809" s="63" t="s">
        <v>455</v>
      </c>
      <c r="B1809" s="53">
        <v>2012</v>
      </c>
      <c r="C1809" s="146" t="s">
        <v>442</v>
      </c>
      <c r="D1809" s="69" t="s">
        <v>214</v>
      </c>
      <c r="E1809" s="29" t="s">
        <v>19</v>
      </c>
      <c r="F1809" s="27" t="s">
        <v>1936</v>
      </c>
      <c r="G1809" s="43">
        <v>10338</v>
      </c>
      <c r="H1809" s="43"/>
      <c r="I1809" s="43"/>
      <c r="J1809" s="43"/>
      <c r="K1809" s="27" t="s">
        <v>567</v>
      </c>
      <c r="L1809" s="28">
        <v>185.88541666667001</v>
      </c>
      <c r="M1809" s="27" t="s">
        <v>568</v>
      </c>
      <c r="N1809" s="27" t="s">
        <v>1986</v>
      </c>
      <c r="O1809" s="18">
        <f t="shared" ref="O1809:O1819" si="30">G1809*L1809</f>
        <v>1921683.4375000345</v>
      </c>
      <c r="P1809" s="214"/>
      <c r="Q1809" s="214"/>
      <c r="R1809" s="18"/>
      <c r="S1809" s="27"/>
      <c r="T1809" s="18"/>
      <c r="U1809" s="27"/>
      <c r="V1809" s="18"/>
      <c r="W1809" s="30"/>
      <c r="X1809" s="27"/>
      <c r="Y1809" s="27"/>
      <c r="Z1809" s="27"/>
      <c r="AA1809" s="27"/>
      <c r="AB1809" s="27"/>
      <c r="AC1809" s="273">
        <v>5480907241</v>
      </c>
      <c r="AD1809" s="27">
        <v>192628494178.35443</v>
      </c>
      <c r="AE1809" s="228">
        <v>2.8453252798234702E-2</v>
      </c>
      <c r="AF1809" s="27">
        <v>40270912992.926773</v>
      </c>
      <c r="AG1809" s="226">
        <v>0.13610089351494645</v>
      </c>
      <c r="AH1809" s="226">
        <v>0.58284280802547439</v>
      </c>
      <c r="AI1809" s="27">
        <v>393820000</v>
      </c>
      <c r="AJ1809" s="226">
        <v>13.91729023665634</v>
      </c>
      <c r="AK1809" s="27">
        <v>5752929762.7566061</v>
      </c>
      <c r="AL1809" s="226">
        <v>0.95271582776524943</v>
      </c>
      <c r="AM1809" s="27">
        <v>5317432530.3958025</v>
      </c>
      <c r="AN1809" s="271">
        <v>1.0307431659301241</v>
      </c>
      <c r="AO1809" s="27">
        <v>29987800</v>
      </c>
      <c r="AP1809" s="27">
        <v>25.8</v>
      </c>
      <c r="AQ1809" s="27">
        <v>74.515536585365851</v>
      </c>
      <c r="AR1809" s="27">
        <v>13.6</v>
      </c>
      <c r="AS1809" s="29" t="s">
        <v>2842</v>
      </c>
      <c r="AT1809" s="270">
        <v>38</v>
      </c>
      <c r="AU1809" s="464">
        <v>72.816286549781523</v>
      </c>
      <c r="AV1809" s="29">
        <v>6.8806180868862199E-2</v>
      </c>
      <c r="AW1809" s="29">
        <v>-0.86195648593669605</v>
      </c>
      <c r="AX1809" s="29">
        <v>-0.157626358241128</v>
      </c>
      <c r="AY1809" s="29">
        <v>0.48941210864302698</v>
      </c>
      <c r="AZ1809" s="60">
        <v>-0.394694258708917</v>
      </c>
    </row>
    <row r="1810" spans="1:52" s="29" customFormat="1" ht="15" customHeight="1">
      <c r="A1810" s="63" t="s">
        <v>455</v>
      </c>
      <c r="B1810" s="53">
        <v>2012</v>
      </c>
      <c r="C1810" s="146" t="s">
        <v>442</v>
      </c>
      <c r="D1810" s="69" t="s">
        <v>214</v>
      </c>
      <c r="E1810" s="29" t="s">
        <v>19</v>
      </c>
      <c r="F1810" s="27" t="s">
        <v>1326</v>
      </c>
      <c r="G1810" s="43">
        <v>0</v>
      </c>
      <c r="H1810" s="43"/>
      <c r="I1810" s="43"/>
      <c r="J1810" s="43"/>
      <c r="K1810" s="27" t="s">
        <v>567</v>
      </c>
      <c r="L1810" s="28"/>
      <c r="M1810" s="27"/>
      <c r="N1810" s="27" t="s">
        <v>636</v>
      </c>
      <c r="O1810" s="18">
        <f t="shared" si="30"/>
        <v>0</v>
      </c>
      <c r="P1810" s="214"/>
      <c r="Q1810" s="214"/>
      <c r="R1810" s="18"/>
      <c r="S1810" s="27"/>
      <c r="T1810" s="18"/>
      <c r="U1810" s="27"/>
      <c r="V1810" s="18"/>
      <c r="W1810" s="30"/>
      <c r="X1810" s="27"/>
      <c r="Y1810" s="27"/>
      <c r="Z1810" s="27"/>
      <c r="AA1810" s="27"/>
      <c r="AB1810" s="27"/>
      <c r="AC1810" s="273">
        <v>5480907241</v>
      </c>
      <c r="AD1810" s="27">
        <v>192628494178.35443</v>
      </c>
      <c r="AE1810" s="228">
        <v>2.8453252798234702E-2</v>
      </c>
      <c r="AF1810" s="27">
        <v>40270912992.926773</v>
      </c>
      <c r="AG1810" s="226">
        <v>0.13610089351494645</v>
      </c>
      <c r="AH1810" s="226">
        <v>0.58284280802547439</v>
      </c>
      <c r="AI1810" s="27">
        <v>393820000</v>
      </c>
      <c r="AJ1810" s="226">
        <v>13.91729023665634</v>
      </c>
      <c r="AK1810" s="27">
        <v>5752929762.7566061</v>
      </c>
      <c r="AL1810" s="226">
        <v>0.95271582776524943</v>
      </c>
      <c r="AM1810" s="27">
        <v>5317432530.3958025</v>
      </c>
      <c r="AN1810" s="271">
        <v>1.0307431659301241</v>
      </c>
      <c r="AO1810" s="27">
        <v>29987800</v>
      </c>
      <c r="AP1810" s="27">
        <v>25.8</v>
      </c>
      <c r="AQ1810" s="27">
        <v>74.515536585365851</v>
      </c>
      <c r="AR1810" s="27">
        <v>13.6</v>
      </c>
      <c r="AS1810" s="29" t="s">
        <v>2842</v>
      </c>
      <c r="AT1810" s="270">
        <v>38</v>
      </c>
      <c r="AU1810" s="464">
        <v>72.816286549781523</v>
      </c>
      <c r="AV1810" s="29">
        <v>6.8806180868862199E-2</v>
      </c>
      <c r="AW1810" s="29">
        <v>-0.86195648593669605</v>
      </c>
      <c r="AX1810" s="29">
        <v>-0.157626358241128</v>
      </c>
      <c r="AY1810" s="29">
        <v>0.48941210864302698</v>
      </c>
      <c r="AZ1810" s="60">
        <v>-0.394694258708917</v>
      </c>
    </row>
    <row r="1811" spans="1:52" s="29" customFormat="1" ht="15" customHeight="1">
      <c r="A1811" s="63" t="s">
        <v>455</v>
      </c>
      <c r="B1811" s="53">
        <v>2012</v>
      </c>
      <c r="C1811" s="146" t="s">
        <v>442</v>
      </c>
      <c r="D1811" s="69" t="s">
        <v>214</v>
      </c>
      <c r="E1811" s="29" t="s">
        <v>19</v>
      </c>
      <c r="F1811" s="27" t="s">
        <v>1937</v>
      </c>
      <c r="G1811" s="43">
        <v>87481</v>
      </c>
      <c r="H1811" s="43"/>
      <c r="I1811" s="43"/>
      <c r="J1811" s="43"/>
      <c r="K1811" s="27" t="s">
        <v>567</v>
      </c>
      <c r="L1811" s="28">
        <v>9.1</v>
      </c>
      <c r="M1811" s="27" t="s">
        <v>568</v>
      </c>
      <c r="N1811" s="27" t="s">
        <v>1987</v>
      </c>
      <c r="O1811" s="18">
        <f t="shared" si="30"/>
        <v>796077.1</v>
      </c>
      <c r="P1811" s="214"/>
      <c r="Q1811" s="214"/>
      <c r="R1811" s="18"/>
      <c r="S1811" s="27"/>
      <c r="T1811" s="18"/>
      <c r="U1811" s="27"/>
      <c r="V1811" s="18"/>
      <c r="W1811" s="30"/>
      <c r="X1811" s="27"/>
      <c r="Y1811" s="27"/>
      <c r="Z1811" s="27"/>
      <c r="AA1811" s="27"/>
      <c r="AB1811" s="27"/>
      <c r="AC1811" s="273">
        <v>5480907241</v>
      </c>
      <c r="AD1811" s="27">
        <v>192628494178.35443</v>
      </c>
      <c r="AE1811" s="228">
        <v>2.8453252798234702E-2</v>
      </c>
      <c r="AF1811" s="27">
        <v>40270912992.926773</v>
      </c>
      <c r="AG1811" s="226">
        <v>0.13610089351494645</v>
      </c>
      <c r="AH1811" s="226">
        <v>0.58284280802547439</v>
      </c>
      <c r="AI1811" s="27">
        <v>393820000</v>
      </c>
      <c r="AJ1811" s="226">
        <v>13.91729023665634</v>
      </c>
      <c r="AK1811" s="27">
        <v>5752929762.7566061</v>
      </c>
      <c r="AL1811" s="226">
        <v>0.95271582776524943</v>
      </c>
      <c r="AM1811" s="27">
        <v>5317432530.3958025</v>
      </c>
      <c r="AN1811" s="271">
        <v>1.0307431659301241</v>
      </c>
      <c r="AO1811" s="27">
        <v>29987800</v>
      </c>
      <c r="AP1811" s="27">
        <v>25.8</v>
      </c>
      <c r="AQ1811" s="27">
        <v>74.515536585365851</v>
      </c>
      <c r="AR1811" s="27">
        <v>13.6</v>
      </c>
      <c r="AS1811" s="29" t="s">
        <v>2842</v>
      </c>
      <c r="AT1811" s="270">
        <v>38</v>
      </c>
      <c r="AU1811" s="464">
        <v>72.816286549781523</v>
      </c>
      <c r="AV1811" s="29">
        <v>6.8806180868862199E-2</v>
      </c>
      <c r="AW1811" s="29">
        <v>-0.86195648593669605</v>
      </c>
      <c r="AX1811" s="29">
        <v>-0.157626358241128</v>
      </c>
      <c r="AY1811" s="29">
        <v>0.48941210864302698</v>
      </c>
      <c r="AZ1811" s="60">
        <v>-0.394694258708917</v>
      </c>
    </row>
    <row r="1812" spans="1:52" s="29" customFormat="1" ht="15" customHeight="1">
      <c r="A1812" s="63" t="s">
        <v>455</v>
      </c>
      <c r="B1812" s="53">
        <v>2012</v>
      </c>
      <c r="C1812" s="146" t="s">
        <v>442</v>
      </c>
      <c r="D1812" s="69" t="s">
        <v>214</v>
      </c>
      <c r="E1812" s="29" t="s">
        <v>19</v>
      </c>
      <c r="F1812" s="27" t="s">
        <v>1058</v>
      </c>
      <c r="G1812" s="43">
        <v>1199585</v>
      </c>
      <c r="H1812" s="43"/>
      <c r="I1812" s="43"/>
      <c r="J1812" s="43"/>
      <c r="K1812" s="27" t="s">
        <v>567</v>
      </c>
      <c r="L1812" s="28">
        <v>67.25</v>
      </c>
      <c r="M1812" s="27" t="s">
        <v>568</v>
      </c>
      <c r="N1812" s="27" t="s">
        <v>1144</v>
      </c>
      <c r="O1812" s="18">
        <f t="shared" si="30"/>
        <v>80672091.25</v>
      </c>
      <c r="P1812" s="214"/>
      <c r="Q1812" s="214"/>
      <c r="R1812" s="18"/>
      <c r="S1812" s="27"/>
      <c r="T1812" s="18"/>
      <c r="U1812" s="27"/>
      <c r="V1812" s="18"/>
      <c r="W1812" s="30"/>
      <c r="X1812" s="27"/>
      <c r="Y1812" s="27"/>
      <c r="Z1812" s="27"/>
      <c r="AA1812" s="27"/>
      <c r="AB1812" s="27"/>
      <c r="AC1812" s="273">
        <v>5480907241</v>
      </c>
      <c r="AD1812" s="27">
        <v>192628494178.35443</v>
      </c>
      <c r="AE1812" s="228">
        <v>2.8453252798234702E-2</v>
      </c>
      <c r="AF1812" s="27">
        <v>40270912992.926773</v>
      </c>
      <c r="AG1812" s="226">
        <v>0.13610089351494645</v>
      </c>
      <c r="AH1812" s="226">
        <v>0.58284280802547439</v>
      </c>
      <c r="AI1812" s="27">
        <v>393820000</v>
      </c>
      <c r="AJ1812" s="226">
        <v>13.91729023665634</v>
      </c>
      <c r="AK1812" s="27">
        <v>5752929762.7566061</v>
      </c>
      <c r="AL1812" s="226">
        <v>0.95271582776524943</v>
      </c>
      <c r="AM1812" s="27">
        <v>5317432530.3958025</v>
      </c>
      <c r="AN1812" s="271">
        <v>1.0307431659301241</v>
      </c>
      <c r="AO1812" s="27">
        <v>29987800</v>
      </c>
      <c r="AP1812" s="27">
        <v>25.8</v>
      </c>
      <c r="AQ1812" s="27">
        <v>74.515536585365851</v>
      </c>
      <c r="AR1812" s="27">
        <v>13.6</v>
      </c>
      <c r="AS1812" s="29" t="s">
        <v>2842</v>
      </c>
      <c r="AT1812" s="270">
        <v>38</v>
      </c>
      <c r="AU1812" s="464">
        <v>72.816286549781523</v>
      </c>
      <c r="AV1812" s="29">
        <v>6.8806180868862199E-2</v>
      </c>
      <c r="AW1812" s="29">
        <v>-0.86195648593669605</v>
      </c>
      <c r="AX1812" s="29">
        <v>-0.157626358241128</v>
      </c>
      <c r="AY1812" s="29">
        <v>0.48941210864302698</v>
      </c>
      <c r="AZ1812" s="60">
        <v>-0.394694258708917</v>
      </c>
    </row>
    <row r="1813" spans="1:52" s="29" customFormat="1" ht="15" customHeight="1">
      <c r="A1813" s="63" t="s">
        <v>455</v>
      </c>
      <c r="B1813" s="53">
        <v>2012</v>
      </c>
      <c r="C1813" s="146" t="s">
        <v>442</v>
      </c>
      <c r="D1813" s="69" t="s">
        <v>214</v>
      </c>
      <c r="E1813" s="29" t="s">
        <v>19</v>
      </c>
      <c r="F1813" s="27" t="s">
        <v>897</v>
      </c>
      <c r="G1813" s="43">
        <v>1625000</v>
      </c>
      <c r="H1813" s="43"/>
      <c r="I1813" s="43"/>
      <c r="J1813" s="43"/>
      <c r="K1813" s="27" t="s">
        <v>567</v>
      </c>
      <c r="L1813" s="28">
        <v>7.65</v>
      </c>
      <c r="M1813" s="27" t="s">
        <v>568</v>
      </c>
      <c r="N1813" s="27" t="s">
        <v>1158</v>
      </c>
      <c r="O1813" s="18">
        <f t="shared" si="30"/>
        <v>12431250</v>
      </c>
      <c r="P1813" s="214"/>
      <c r="Q1813" s="214"/>
      <c r="R1813" s="18"/>
      <c r="S1813" s="27"/>
      <c r="T1813" s="18"/>
      <c r="U1813" s="27"/>
      <c r="V1813" s="18"/>
      <c r="W1813" s="30"/>
      <c r="X1813" s="27"/>
      <c r="Y1813" s="27"/>
      <c r="Z1813" s="27"/>
      <c r="AA1813" s="27"/>
      <c r="AB1813" s="27"/>
      <c r="AC1813" s="273">
        <v>5480907241</v>
      </c>
      <c r="AD1813" s="27">
        <v>192628494178.35443</v>
      </c>
      <c r="AE1813" s="228">
        <v>2.8453252798234702E-2</v>
      </c>
      <c r="AF1813" s="27">
        <v>40270912992.926773</v>
      </c>
      <c r="AG1813" s="226">
        <v>0.13610089351494645</v>
      </c>
      <c r="AH1813" s="226">
        <v>0.58284280802547439</v>
      </c>
      <c r="AI1813" s="27">
        <v>393820000</v>
      </c>
      <c r="AJ1813" s="226">
        <v>13.91729023665634</v>
      </c>
      <c r="AK1813" s="27">
        <v>5752929762.7566061</v>
      </c>
      <c r="AL1813" s="226">
        <v>0.95271582776524943</v>
      </c>
      <c r="AM1813" s="27">
        <v>5317432530.3958025</v>
      </c>
      <c r="AN1813" s="271">
        <v>1.0307431659301241</v>
      </c>
      <c r="AO1813" s="27">
        <v>29987800</v>
      </c>
      <c r="AP1813" s="27">
        <v>25.8</v>
      </c>
      <c r="AQ1813" s="27">
        <v>74.515536585365851</v>
      </c>
      <c r="AR1813" s="27">
        <v>13.6</v>
      </c>
      <c r="AS1813" s="29" t="s">
        <v>2842</v>
      </c>
      <c r="AT1813" s="270">
        <v>38</v>
      </c>
      <c r="AU1813" s="464">
        <v>72.816286549781523</v>
      </c>
      <c r="AV1813" s="29">
        <v>6.8806180868862199E-2</v>
      </c>
      <c r="AW1813" s="29">
        <v>-0.86195648593669605</v>
      </c>
      <c r="AX1813" s="29">
        <v>-0.157626358241128</v>
      </c>
      <c r="AY1813" s="29">
        <v>0.48941210864302698</v>
      </c>
      <c r="AZ1813" s="60">
        <v>-0.394694258708917</v>
      </c>
    </row>
    <row r="1814" spans="1:52" s="29" customFormat="1" ht="15" customHeight="1">
      <c r="A1814" s="63" t="s">
        <v>455</v>
      </c>
      <c r="B1814" s="53">
        <v>2012</v>
      </c>
      <c r="C1814" s="146" t="s">
        <v>442</v>
      </c>
      <c r="D1814" s="69" t="s">
        <v>214</v>
      </c>
      <c r="E1814" s="29" t="s">
        <v>19</v>
      </c>
      <c r="F1814" s="27" t="s">
        <v>1898</v>
      </c>
      <c r="G1814" s="43">
        <v>54000</v>
      </c>
      <c r="H1814" s="43"/>
      <c r="I1814" s="43"/>
      <c r="J1814" s="43"/>
      <c r="K1814" s="27" t="s">
        <v>567</v>
      </c>
      <c r="L1814" s="28">
        <f>54.47/0.000453592</f>
        <v>120085.89216741036</v>
      </c>
      <c r="M1814" s="27" t="s">
        <v>568</v>
      </c>
      <c r="N1814" s="27" t="s">
        <v>1988</v>
      </c>
      <c r="O1814" s="18">
        <f t="shared" si="30"/>
        <v>6484638177.0401592</v>
      </c>
      <c r="P1814" s="214"/>
      <c r="Q1814" s="214"/>
      <c r="R1814" s="18"/>
      <c r="S1814" s="27"/>
      <c r="T1814" s="18"/>
      <c r="U1814" s="27"/>
      <c r="V1814" s="18"/>
      <c r="W1814" s="30"/>
      <c r="X1814" s="27"/>
      <c r="Y1814" s="27"/>
      <c r="Z1814" s="27"/>
      <c r="AA1814" s="27"/>
      <c r="AB1814" s="27"/>
      <c r="AC1814" s="273">
        <v>5480907241</v>
      </c>
      <c r="AD1814" s="27">
        <v>192628494178.35443</v>
      </c>
      <c r="AE1814" s="228">
        <v>2.8453252798234702E-2</v>
      </c>
      <c r="AF1814" s="27">
        <v>40270912992.926773</v>
      </c>
      <c r="AG1814" s="226">
        <v>0.13610089351494645</v>
      </c>
      <c r="AH1814" s="226">
        <v>0.58284280802547439</v>
      </c>
      <c r="AI1814" s="27">
        <v>393820000</v>
      </c>
      <c r="AJ1814" s="226">
        <v>13.91729023665634</v>
      </c>
      <c r="AK1814" s="27">
        <v>5752929762.7566061</v>
      </c>
      <c r="AL1814" s="226">
        <v>0.95271582776524943</v>
      </c>
      <c r="AM1814" s="27">
        <v>5317432530.3958025</v>
      </c>
      <c r="AN1814" s="271">
        <v>1.0307431659301241</v>
      </c>
      <c r="AO1814" s="27">
        <v>29987800</v>
      </c>
      <c r="AP1814" s="27">
        <v>25.8</v>
      </c>
      <c r="AQ1814" s="27">
        <v>74.515536585365851</v>
      </c>
      <c r="AR1814" s="27">
        <v>13.6</v>
      </c>
      <c r="AS1814" s="29" t="s">
        <v>2842</v>
      </c>
      <c r="AT1814" s="270">
        <v>38</v>
      </c>
      <c r="AU1814" s="464">
        <v>72.816286549781523</v>
      </c>
      <c r="AV1814" s="29">
        <v>6.8806180868862199E-2</v>
      </c>
      <c r="AW1814" s="29">
        <v>-0.86195648593669605</v>
      </c>
      <c r="AX1814" s="29">
        <v>-0.157626358241128</v>
      </c>
      <c r="AY1814" s="29">
        <v>0.48941210864302698</v>
      </c>
      <c r="AZ1814" s="60">
        <v>-0.394694258708917</v>
      </c>
    </row>
    <row r="1815" spans="1:52" s="29" customFormat="1" ht="15" customHeight="1">
      <c r="A1815" s="63" t="s">
        <v>455</v>
      </c>
      <c r="B1815" s="53">
        <v>2012</v>
      </c>
      <c r="C1815" s="146" t="s">
        <v>442</v>
      </c>
      <c r="D1815" s="69" t="s">
        <v>214</v>
      </c>
      <c r="E1815" s="29" t="s">
        <v>19</v>
      </c>
      <c r="F1815" s="27" t="s">
        <v>735</v>
      </c>
      <c r="G1815" s="43">
        <f>3479*32150.7466</f>
        <v>111852447.4214</v>
      </c>
      <c r="H1815" s="43"/>
      <c r="I1815" s="43"/>
      <c r="J1815" s="43"/>
      <c r="K1815" s="27" t="s">
        <v>731</v>
      </c>
      <c r="L1815" s="28">
        <f>31.13740833333/1</f>
        <v>31.137408333330001</v>
      </c>
      <c r="M1815" s="27" t="s">
        <v>732</v>
      </c>
      <c r="N1815" s="27" t="s">
        <v>744</v>
      </c>
      <c r="O1815" s="18">
        <f t="shared" si="30"/>
        <v>3482795328.4424558</v>
      </c>
      <c r="P1815" s="214"/>
      <c r="Q1815" s="214"/>
      <c r="R1815" s="18"/>
      <c r="S1815" s="27"/>
      <c r="T1815" s="18"/>
      <c r="U1815" s="27"/>
      <c r="V1815" s="18"/>
      <c r="W1815" s="30"/>
      <c r="X1815" s="27"/>
      <c r="Y1815" s="27"/>
      <c r="Z1815" s="27"/>
      <c r="AA1815" s="27"/>
      <c r="AB1815" s="27"/>
      <c r="AC1815" s="273">
        <v>5480907241</v>
      </c>
      <c r="AD1815" s="27">
        <v>192628494178.35443</v>
      </c>
      <c r="AE1815" s="228">
        <v>2.8453252798234702E-2</v>
      </c>
      <c r="AF1815" s="27">
        <v>40270912992.926773</v>
      </c>
      <c r="AG1815" s="226">
        <v>0.13610089351494645</v>
      </c>
      <c r="AH1815" s="226">
        <v>0.58284280802547439</v>
      </c>
      <c r="AI1815" s="27">
        <v>393820000</v>
      </c>
      <c r="AJ1815" s="226">
        <v>13.91729023665634</v>
      </c>
      <c r="AK1815" s="27">
        <v>5752929762.7566061</v>
      </c>
      <c r="AL1815" s="226">
        <v>0.95271582776524943</v>
      </c>
      <c r="AM1815" s="27">
        <v>5317432530.3958025</v>
      </c>
      <c r="AN1815" s="271">
        <v>1.0307431659301241</v>
      </c>
      <c r="AO1815" s="27">
        <v>29987800</v>
      </c>
      <c r="AP1815" s="27">
        <v>25.8</v>
      </c>
      <c r="AQ1815" s="27">
        <v>74.515536585365851</v>
      </c>
      <c r="AR1815" s="27">
        <v>13.6</v>
      </c>
      <c r="AS1815" s="29" t="s">
        <v>2842</v>
      </c>
      <c r="AT1815" s="270">
        <v>38</v>
      </c>
      <c r="AU1815" s="464">
        <v>72.816286549781523</v>
      </c>
      <c r="AV1815" s="29">
        <v>6.8806180868862199E-2</v>
      </c>
      <c r="AW1815" s="29">
        <v>-0.86195648593669605</v>
      </c>
      <c r="AX1815" s="29">
        <v>-0.157626358241128</v>
      </c>
      <c r="AY1815" s="29">
        <v>0.48941210864302698</v>
      </c>
      <c r="AZ1815" s="60">
        <v>-0.394694258708917</v>
      </c>
    </row>
    <row r="1816" spans="1:52" s="29" customFormat="1" ht="15" customHeight="1">
      <c r="A1816" s="63" t="s">
        <v>455</v>
      </c>
      <c r="B1816" s="53">
        <v>2012</v>
      </c>
      <c r="C1816" s="146" t="s">
        <v>442</v>
      </c>
      <c r="D1816" s="69" t="s">
        <v>214</v>
      </c>
      <c r="E1816" s="29" t="s">
        <v>19</v>
      </c>
      <c r="F1816" s="27" t="s">
        <v>1146</v>
      </c>
      <c r="G1816" s="43">
        <v>16500</v>
      </c>
      <c r="H1816" s="43"/>
      <c r="I1816" s="43"/>
      <c r="J1816" s="43"/>
      <c r="K1816" s="27" t="s">
        <v>567</v>
      </c>
      <c r="L1816" s="28">
        <v>11.2</v>
      </c>
      <c r="M1816" s="27" t="s">
        <v>568</v>
      </c>
      <c r="N1816" s="27" t="s">
        <v>1989</v>
      </c>
      <c r="O1816" s="18">
        <f t="shared" si="30"/>
        <v>184800</v>
      </c>
      <c r="P1816" s="214"/>
      <c r="Q1816" s="214"/>
      <c r="R1816" s="18"/>
      <c r="S1816" s="27"/>
      <c r="T1816" s="18"/>
      <c r="V1816" s="18"/>
      <c r="W1816" s="30"/>
      <c r="X1816" s="27"/>
      <c r="Y1816" s="27"/>
      <c r="Z1816" s="27"/>
      <c r="AA1816" s="27"/>
      <c r="AB1816" s="27"/>
      <c r="AC1816" s="273">
        <v>5480907241</v>
      </c>
      <c r="AD1816" s="27">
        <v>192628494178.35443</v>
      </c>
      <c r="AE1816" s="228">
        <v>2.8453252798234702E-2</v>
      </c>
      <c r="AF1816" s="27">
        <v>40270912992.926773</v>
      </c>
      <c r="AG1816" s="226">
        <v>0.13610089351494645</v>
      </c>
      <c r="AH1816" s="226">
        <v>0.58284280802547439</v>
      </c>
      <c r="AI1816" s="27">
        <v>393820000</v>
      </c>
      <c r="AJ1816" s="226">
        <v>13.91729023665634</v>
      </c>
      <c r="AK1816" s="27">
        <v>5752929762.7566061</v>
      </c>
      <c r="AL1816" s="226">
        <v>0.95271582776524943</v>
      </c>
      <c r="AM1816" s="27">
        <v>5317432530.3958025</v>
      </c>
      <c r="AN1816" s="271">
        <v>1.0307431659301241</v>
      </c>
      <c r="AO1816" s="27">
        <v>29987800</v>
      </c>
      <c r="AP1816" s="27">
        <v>25.8</v>
      </c>
      <c r="AQ1816" s="27">
        <v>74.515536585365851</v>
      </c>
      <c r="AR1816" s="27">
        <v>13.6</v>
      </c>
      <c r="AS1816" s="29" t="s">
        <v>2842</v>
      </c>
      <c r="AT1816" s="270">
        <v>38</v>
      </c>
      <c r="AU1816" s="464">
        <v>72.816286549781523</v>
      </c>
      <c r="AV1816" s="29">
        <v>6.8806180868862199E-2</v>
      </c>
      <c r="AW1816" s="29">
        <v>-0.86195648593669605</v>
      </c>
      <c r="AX1816" s="29">
        <v>-0.157626358241128</v>
      </c>
      <c r="AY1816" s="29">
        <v>0.48941210864302698</v>
      </c>
      <c r="AZ1816" s="60">
        <v>-0.394694258708917</v>
      </c>
    </row>
    <row r="1817" spans="1:52" s="29" customFormat="1" ht="15" customHeight="1">
      <c r="A1817" s="63" t="s">
        <v>455</v>
      </c>
      <c r="B1817" s="53">
        <v>2012</v>
      </c>
      <c r="C1817" s="146" t="s">
        <v>442</v>
      </c>
      <c r="D1817" s="69" t="s">
        <v>214</v>
      </c>
      <c r="E1817" s="29" t="s">
        <v>19</v>
      </c>
      <c r="F1817" s="27" t="s">
        <v>1970</v>
      </c>
      <c r="G1817" s="43">
        <v>982211</v>
      </c>
      <c r="H1817" s="43"/>
      <c r="I1817" s="43"/>
      <c r="J1817" s="43"/>
      <c r="K1817" s="27" t="s">
        <v>567</v>
      </c>
      <c r="L1817" s="28">
        <v>768.715208333335</v>
      </c>
      <c r="M1817" s="27" t="s">
        <v>568</v>
      </c>
      <c r="N1817" s="27" t="s">
        <v>1990</v>
      </c>
      <c r="O1817" s="18">
        <f t="shared" si="30"/>
        <v>755040533.49229336</v>
      </c>
      <c r="P1817" s="214"/>
      <c r="Q1817" s="214"/>
      <c r="R1817" s="18"/>
      <c r="S1817" s="27"/>
      <c r="T1817" s="18"/>
      <c r="V1817" s="18"/>
      <c r="W1817" s="30"/>
      <c r="X1817" s="27"/>
      <c r="Y1817" s="27"/>
      <c r="Z1817" s="27"/>
      <c r="AA1817" s="27"/>
      <c r="AB1817" s="27" t="s">
        <v>1991</v>
      </c>
      <c r="AC1817" s="273">
        <v>5480907241</v>
      </c>
      <c r="AD1817" s="27">
        <v>192628494178.35443</v>
      </c>
      <c r="AE1817" s="228">
        <v>2.8453252798234702E-2</v>
      </c>
      <c r="AF1817" s="27">
        <v>40270912992.926773</v>
      </c>
      <c r="AG1817" s="226">
        <v>0.13610089351494645</v>
      </c>
      <c r="AH1817" s="226">
        <v>0.58284280802547439</v>
      </c>
      <c r="AI1817" s="27">
        <v>393820000</v>
      </c>
      <c r="AJ1817" s="226">
        <v>13.91729023665634</v>
      </c>
      <c r="AK1817" s="27">
        <v>5752929762.7566061</v>
      </c>
      <c r="AL1817" s="226">
        <v>0.95271582776524943</v>
      </c>
      <c r="AM1817" s="27">
        <v>5317432530.3958025</v>
      </c>
      <c r="AN1817" s="271">
        <v>1.0307431659301241</v>
      </c>
      <c r="AO1817" s="27">
        <v>29987800</v>
      </c>
      <c r="AP1817" s="27">
        <v>25.8</v>
      </c>
      <c r="AQ1817" s="27">
        <v>74.515536585365851</v>
      </c>
      <c r="AR1817" s="27">
        <v>13.6</v>
      </c>
      <c r="AS1817" s="29" t="s">
        <v>2842</v>
      </c>
      <c r="AT1817" s="270">
        <v>38</v>
      </c>
      <c r="AU1817" s="464">
        <v>72.816286549781523</v>
      </c>
      <c r="AV1817" s="29">
        <v>6.8806180868862199E-2</v>
      </c>
      <c r="AW1817" s="29">
        <v>-0.86195648593669605</v>
      </c>
      <c r="AX1817" s="29">
        <v>-0.157626358241128</v>
      </c>
      <c r="AY1817" s="29">
        <v>0.48941210864302698</v>
      </c>
      <c r="AZ1817" s="60">
        <v>-0.394694258708917</v>
      </c>
    </row>
    <row r="1818" spans="1:52" s="29" customFormat="1" ht="15" customHeight="1">
      <c r="A1818" s="63" t="s">
        <v>455</v>
      </c>
      <c r="B1818" s="53">
        <v>2012</v>
      </c>
      <c r="C1818" s="146" t="s">
        <v>442</v>
      </c>
      <c r="D1818" s="69" t="s">
        <v>214</v>
      </c>
      <c r="E1818" s="29" t="s">
        <v>19</v>
      </c>
      <c r="F1818" s="27" t="s">
        <v>1939</v>
      </c>
      <c r="G1818" s="43">
        <v>4624</v>
      </c>
      <c r="H1818" s="43"/>
      <c r="I1818" s="43"/>
      <c r="J1818" s="43"/>
      <c r="K1818" s="27" t="s">
        <v>567</v>
      </c>
      <c r="L1818" s="28">
        <v>8.82</v>
      </c>
      <c r="M1818" s="27" t="s">
        <v>568</v>
      </c>
      <c r="N1818" s="27" t="s">
        <v>1992</v>
      </c>
      <c r="O1818" s="18">
        <f t="shared" si="30"/>
        <v>40783.68</v>
      </c>
      <c r="P1818" s="214"/>
      <c r="Q1818" s="214"/>
      <c r="R1818" s="18"/>
      <c r="S1818" s="27"/>
      <c r="T1818" s="18"/>
      <c r="V1818" s="18"/>
      <c r="W1818" s="30"/>
      <c r="X1818" s="27"/>
      <c r="Y1818" s="27"/>
      <c r="Z1818" s="27"/>
      <c r="AA1818" s="27"/>
      <c r="AB1818" s="27"/>
      <c r="AC1818" s="273">
        <v>5480907241</v>
      </c>
      <c r="AD1818" s="27">
        <v>192628494178.35443</v>
      </c>
      <c r="AE1818" s="228">
        <v>2.8453252798234702E-2</v>
      </c>
      <c r="AF1818" s="27">
        <v>40270912992.926773</v>
      </c>
      <c r="AG1818" s="226">
        <v>0.13610089351494645</v>
      </c>
      <c r="AH1818" s="226">
        <v>0.58284280802547439</v>
      </c>
      <c r="AI1818" s="27">
        <v>393820000</v>
      </c>
      <c r="AJ1818" s="226">
        <v>13.91729023665634</v>
      </c>
      <c r="AK1818" s="27">
        <v>5752929762.7566061</v>
      </c>
      <c r="AL1818" s="226">
        <v>0.95271582776524943</v>
      </c>
      <c r="AM1818" s="27">
        <v>5317432530.3958025</v>
      </c>
      <c r="AN1818" s="271">
        <v>1.0307431659301241</v>
      </c>
      <c r="AO1818" s="27">
        <v>29987800</v>
      </c>
      <c r="AP1818" s="27">
        <v>25.8</v>
      </c>
      <c r="AQ1818" s="27">
        <v>74.515536585365851</v>
      </c>
      <c r="AR1818" s="27">
        <v>13.6</v>
      </c>
      <c r="AS1818" s="29" t="s">
        <v>2842</v>
      </c>
      <c r="AT1818" s="270">
        <v>38</v>
      </c>
      <c r="AU1818" s="464">
        <v>72.816286549781523</v>
      </c>
      <c r="AV1818" s="29">
        <v>6.8806180868862199E-2</v>
      </c>
      <c r="AW1818" s="29">
        <v>-0.86195648593669605</v>
      </c>
      <c r="AX1818" s="29">
        <v>-0.157626358241128</v>
      </c>
      <c r="AY1818" s="29">
        <v>0.48941210864302698</v>
      </c>
      <c r="AZ1818" s="60">
        <v>-0.394694258708917</v>
      </c>
    </row>
    <row r="1819" spans="1:52" s="29" customFormat="1" ht="15" customHeight="1">
      <c r="A1819" s="63" t="s">
        <v>455</v>
      </c>
      <c r="B1819" s="53">
        <v>2012</v>
      </c>
      <c r="C1819" s="146" t="s">
        <v>442</v>
      </c>
      <c r="D1819" s="69" t="s">
        <v>214</v>
      </c>
      <c r="E1819" s="29" t="s">
        <v>19</v>
      </c>
      <c r="F1819" s="27" t="s">
        <v>584</v>
      </c>
      <c r="G1819" s="43">
        <v>31559</v>
      </c>
      <c r="H1819" s="43"/>
      <c r="I1819" s="43"/>
      <c r="J1819" s="43"/>
      <c r="K1819" s="27" t="s">
        <v>567</v>
      </c>
      <c r="L1819" s="28">
        <v>157</v>
      </c>
      <c r="M1819" s="27" t="s">
        <v>568</v>
      </c>
      <c r="N1819" s="27" t="s">
        <v>1151</v>
      </c>
      <c r="O1819" s="18">
        <f t="shared" si="30"/>
        <v>4954763</v>
      </c>
      <c r="P1819" s="214"/>
      <c r="Q1819" s="214"/>
      <c r="R1819" s="18"/>
      <c r="S1819" s="27"/>
      <c r="T1819" s="18"/>
      <c r="V1819" s="18"/>
      <c r="W1819" s="30"/>
      <c r="X1819" s="27"/>
      <c r="Y1819" s="27"/>
      <c r="Z1819" s="27"/>
      <c r="AA1819" s="27"/>
      <c r="AB1819" s="27"/>
      <c r="AC1819" s="273">
        <v>5480907241</v>
      </c>
      <c r="AD1819" s="27">
        <v>192628494178.35443</v>
      </c>
      <c r="AE1819" s="228">
        <v>2.8453252798234702E-2</v>
      </c>
      <c r="AF1819" s="27">
        <v>40270912992.926773</v>
      </c>
      <c r="AG1819" s="226">
        <v>0.13610089351494645</v>
      </c>
      <c r="AH1819" s="226">
        <v>0.58284280802547439</v>
      </c>
      <c r="AI1819" s="27">
        <v>393820000</v>
      </c>
      <c r="AJ1819" s="226">
        <v>13.91729023665634</v>
      </c>
      <c r="AK1819" s="27">
        <v>5752929762.7566061</v>
      </c>
      <c r="AL1819" s="226">
        <v>0.95271582776524943</v>
      </c>
      <c r="AM1819" s="27">
        <v>5317432530.3958025</v>
      </c>
      <c r="AN1819" s="271">
        <v>1.0307431659301241</v>
      </c>
      <c r="AO1819" s="27">
        <v>29987800</v>
      </c>
      <c r="AP1819" s="27">
        <v>25.8</v>
      </c>
      <c r="AQ1819" s="27">
        <v>74.515536585365851</v>
      </c>
      <c r="AR1819" s="27">
        <v>13.6</v>
      </c>
      <c r="AS1819" s="29" t="s">
        <v>2842</v>
      </c>
      <c r="AT1819" s="270">
        <v>38</v>
      </c>
      <c r="AU1819" s="464">
        <v>72.816286549781523</v>
      </c>
      <c r="AV1819" s="29">
        <v>6.8806180868862199E-2</v>
      </c>
      <c r="AW1819" s="29">
        <v>-0.86195648593669605</v>
      </c>
      <c r="AX1819" s="29">
        <v>-0.157626358241128</v>
      </c>
      <c r="AY1819" s="29">
        <v>0.48941210864302698</v>
      </c>
      <c r="AZ1819" s="60">
        <v>-0.394694258708917</v>
      </c>
    </row>
    <row r="1820" spans="1:52" s="29" customFormat="1" ht="15" customHeight="1">
      <c r="A1820" s="63" t="s">
        <v>455</v>
      </c>
      <c r="B1820" s="53">
        <v>2012</v>
      </c>
      <c r="C1820" s="146" t="s">
        <v>442</v>
      </c>
      <c r="D1820" s="69" t="s">
        <v>214</v>
      </c>
      <c r="E1820" s="29" t="s">
        <v>19</v>
      </c>
      <c r="F1820" s="27" t="s">
        <v>1903</v>
      </c>
      <c r="G1820" s="43">
        <v>0</v>
      </c>
      <c r="H1820" s="43"/>
      <c r="I1820" s="43"/>
      <c r="J1820" s="43"/>
      <c r="K1820" s="27" t="s">
        <v>567</v>
      </c>
      <c r="L1820" s="28"/>
      <c r="M1820" s="27"/>
      <c r="N1820" s="27" t="s">
        <v>636</v>
      </c>
      <c r="O1820" s="18"/>
      <c r="P1820" s="214"/>
      <c r="Q1820" s="214"/>
      <c r="R1820" s="18"/>
      <c r="S1820" s="27"/>
      <c r="T1820" s="18"/>
      <c r="V1820" s="18"/>
      <c r="W1820" s="30"/>
      <c r="X1820" s="27"/>
      <c r="Y1820" s="27"/>
      <c r="Z1820" s="27"/>
      <c r="AA1820" s="27"/>
      <c r="AB1820" s="27"/>
      <c r="AC1820" s="273">
        <v>5480907241</v>
      </c>
      <c r="AD1820" s="27">
        <v>192628494178.35443</v>
      </c>
      <c r="AE1820" s="228">
        <v>2.8453252798234702E-2</v>
      </c>
      <c r="AF1820" s="27">
        <v>40270912992.926773</v>
      </c>
      <c r="AG1820" s="226">
        <v>0.13610089351494645</v>
      </c>
      <c r="AH1820" s="226">
        <v>0.58284280802547439</v>
      </c>
      <c r="AI1820" s="27">
        <v>393820000</v>
      </c>
      <c r="AJ1820" s="226">
        <v>13.91729023665634</v>
      </c>
      <c r="AK1820" s="27">
        <v>5752929762.7566061</v>
      </c>
      <c r="AL1820" s="226">
        <v>0.95271582776524943</v>
      </c>
      <c r="AM1820" s="27">
        <v>5317432530.3958025</v>
      </c>
      <c r="AN1820" s="271">
        <v>1.0307431659301241</v>
      </c>
      <c r="AO1820" s="27">
        <v>29987800</v>
      </c>
      <c r="AP1820" s="27">
        <v>25.8</v>
      </c>
      <c r="AQ1820" s="27">
        <v>74.515536585365851</v>
      </c>
      <c r="AR1820" s="27">
        <v>13.6</v>
      </c>
      <c r="AS1820" s="29" t="s">
        <v>2842</v>
      </c>
      <c r="AT1820" s="270">
        <v>38</v>
      </c>
      <c r="AU1820" s="464">
        <v>72.816286549781523</v>
      </c>
      <c r="AV1820" s="29">
        <v>6.8806180868862199E-2</v>
      </c>
      <c r="AW1820" s="29">
        <v>-0.86195648593669605</v>
      </c>
      <c r="AX1820" s="29">
        <v>-0.157626358241128</v>
      </c>
      <c r="AY1820" s="29">
        <v>0.48941210864302698</v>
      </c>
      <c r="AZ1820" s="60">
        <v>-0.394694258708917</v>
      </c>
    </row>
    <row r="1821" spans="1:52" s="29" customFormat="1" ht="15" customHeight="1">
      <c r="A1821" s="63" t="s">
        <v>455</v>
      </c>
      <c r="B1821" s="53">
        <v>2012</v>
      </c>
      <c r="C1821" s="146" t="s">
        <v>442</v>
      </c>
      <c r="D1821" s="69" t="s">
        <v>214</v>
      </c>
      <c r="E1821" s="29" t="s">
        <v>19</v>
      </c>
      <c r="F1821" s="27" t="s">
        <v>1234</v>
      </c>
      <c r="G1821" s="43"/>
      <c r="H1821" s="43"/>
      <c r="I1821" s="43"/>
      <c r="J1821" s="43"/>
      <c r="K1821" s="27"/>
      <c r="L1821" s="44">
        <f>21125.9944097315</f>
        <v>21125.994409731498</v>
      </c>
      <c r="M1821" s="27" t="s">
        <v>568</v>
      </c>
      <c r="N1821" s="27" t="s">
        <v>1235</v>
      </c>
      <c r="O1821" s="18">
        <f>G1823*L1821</f>
        <v>524157047.2998482</v>
      </c>
      <c r="P1821" s="214"/>
      <c r="Q1821" s="214"/>
      <c r="R1821" s="71"/>
      <c r="S1821" s="27"/>
      <c r="T1821" s="18"/>
      <c r="U1821" s="27"/>
      <c r="V1821" s="18"/>
      <c r="W1821" s="30"/>
      <c r="X1821" s="27"/>
      <c r="Y1821" s="27"/>
      <c r="Z1821" s="27"/>
      <c r="AA1821" s="27"/>
      <c r="AB1821" s="27"/>
      <c r="AC1821" s="273">
        <v>5480907241</v>
      </c>
      <c r="AD1821" s="27">
        <v>192628494178.35443</v>
      </c>
      <c r="AE1821" s="228">
        <v>2.8453252798234702E-2</v>
      </c>
      <c r="AF1821" s="27">
        <v>40270912992.926773</v>
      </c>
      <c r="AG1821" s="226">
        <v>0.13610089351494645</v>
      </c>
      <c r="AH1821" s="226">
        <v>0.58284280802547439</v>
      </c>
      <c r="AI1821" s="27">
        <v>393820000</v>
      </c>
      <c r="AJ1821" s="226">
        <v>13.91729023665634</v>
      </c>
      <c r="AK1821" s="27">
        <v>5752929762.7566061</v>
      </c>
      <c r="AL1821" s="226">
        <v>0.95271582776524943</v>
      </c>
      <c r="AM1821" s="27">
        <v>5317432530.3958025</v>
      </c>
      <c r="AN1821" s="271">
        <v>1.0307431659301241</v>
      </c>
      <c r="AO1821" s="27">
        <v>29987800</v>
      </c>
      <c r="AP1821" s="27">
        <v>25.8</v>
      </c>
      <c r="AQ1821" s="27">
        <v>74.515536585365851</v>
      </c>
      <c r="AR1821" s="27">
        <v>13.6</v>
      </c>
      <c r="AS1821" s="29" t="s">
        <v>2842</v>
      </c>
      <c r="AT1821" s="270">
        <v>38</v>
      </c>
      <c r="AU1821" s="464">
        <v>72.816286549781523</v>
      </c>
      <c r="AV1821" s="29">
        <v>6.8806180868862199E-2</v>
      </c>
      <c r="AW1821" s="29">
        <v>-0.86195648593669605</v>
      </c>
      <c r="AX1821" s="29">
        <v>-0.157626358241128</v>
      </c>
      <c r="AY1821" s="29">
        <v>0.48941210864302698</v>
      </c>
      <c r="AZ1821" s="60">
        <v>-0.394694258708917</v>
      </c>
    </row>
    <row r="1822" spans="1:52" s="29" customFormat="1" ht="15" customHeight="1">
      <c r="A1822" s="63" t="s">
        <v>455</v>
      </c>
      <c r="B1822" s="53">
        <v>2012</v>
      </c>
      <c r="C1822" s="146" t="s">
        <v>442</v>
      </c>
      <c r="D1822" s="69" t="s">
        <v>214</v>
      </c>
      <c r="E1822" s="29" t="s">
        <v>19</v>
      </c>
      <c r="F1822" s="27" t="s">
        <v>1906</v>
      </c>
      <c r="G1822" s="43">
        <v>26105</v>
      </c>
      <c r="H1822" s="43"/>
      <c r="I1822" s="43"/>
      <c r="J1822" s="43"/>
      <c r="K1822" s="27" t="s">
        <v>567</v>
      </c>
      <c r="L1822" s="28"/>
      <c r="M1822" s="27"/>
      <c r="N1822" s="27" t="s">
        <v>636</v>
      </c>
      <c r="O1822" s="18"/>
      <c r="P1822" s="214"/>
      <c r="Q1822" s="214"/>
      <c r="S1822" s="27"/>
      <c r="T1822" s="18"/>
      <c r="U1822" s="27"/>
      <c r="W1822" s="30"/>
      <c r="X1822" s="27"/>
      <c r="Y1822" s="27"/>
      <c r="Z1822" s="27"/>
      <c r="AA1822" s="27"/>
      <c r="AB1822" s="27"/>
      <c r="AC1822" s="273">
        <v>5480907241</v>
      </c>
      <c r="AD1822" s="27">
        <v>192628494178.35443</v>
      </c>
      <c r="AE1822" s="228">
        <v>2.8453252798234702E-2</v>
      </c>
      <c r="AF1822" s="27">
        <v>40270912992.926773</v>
      </c>
      <c r="AG1822" s="226">
        <v>0.13610089351494645</v>
      </c>
      <c r="AH1822" s="226">
        <v>0.58284280802547439</v>
      </c>
      <c r="AI1822" s="27">
        <v>393820000</v>
      </c>
      <c r="AJ1822" s="226">
        <v>13.91729023665634</v>
      </c>
      <c r="AK1822" s="27">
        <v>5752929762.7566061</v>
      </c>
      <c r="AL1822" s="226">
        <v>0.95271582776524943</v>
      </c>
      <c r="AM1822" s="27">
        <v>5317432530.3958025</v>
      </c>
      <c r="AN1822" s="271">
        <v>1.0307431659301241</v>
      </c>
      <c r="AO1822" s="27">
        <v>29987800</v>
      </c>
      <c r="AP1822" s="27">
        <v>25.8</v>
      </c>
      <c r="AQ1822" s="27">
        <v>74.515536585365851</v>
      </c>
      <c r="AR1822" s="27">
        <v>13.6</v>
      </c>
      <c r="AS1822" s="29" t="s">
        <v>2842</v>
      </c>
      <c r="AT1822" s="270">
        <v>38</v>
      </c>
      <c r="AU1822" s="464">
        <v>72.816286549781523</v>
      </c>
      <c r="AV1822" s="29">
        <v>6.8806180868862199E-2</v>
      </c>
      <c r="AW1822" s="29">
        <v>-0.86195648593669605</v>
      </c>
      <c r="AX1822" s="29">
        <v>-0.157626358241128</v>
      </c>
      <c r="AY1822" s="29">
        <v>0.48941210864302698</v>
      </c>
      <c r="AZ1822" s="60">
        <v>-0.394694258708917</v>
      </c>
    </row>
    <row r="1823" spans="1:52" s="29" customFormat="1" ht="15" customHeight="1">
      <c r="A1823" s="63" t="s">
        <v>455</v>
      </c>
      <c r="B1823" s="53">
        <v>2012</v>
      </c>
      <c r="C1823" s="146" t="s">
        <v>442</v>
      </c>
      <c r="D1823" s="69" t="s">
        <v>214</v>
      </c>
      <c r="E1823" s="29" t="s">
        <v>19</v>
      </c>
      <c r="F1823" s="27" t="s">
        <v>1238</v>
      </c>
      <c r="G1823" s="43">
        <v>24811</v>
      </c>
      <c r="H1823" s="43"/>
      <c r="I1823" s="43"/>
      <c r="J1823" s="43"/>
      <c r="K1823" s="27" t="s">
        <v>567</v>
      </c>
      <c r="L1823" s="28"/>
      <c r="M1823" s="27"/>
      <c r="N1823" s="27" t="s">
        <v>636</v>
      </c>
      <c r="O1823" s="18"/>
      <c r="P1823" s="214"/>
      <c r="Q1823" s="214"/>
      <c r="S1823" s="27"/>
      <c r="T1823" s="18"/>
      <c r="U1823" s="27"/>
      <c r="W1823" s="30"/>
      <c r="X1823" s="27"/>
      <c r="Y1823" s="27"/>
      <c r="Z1823" s="27"/>
      <c r="AA1823" s="27"/>
      <c r="AB1823" s="27"/>
      <c r="AC1823" s="273">
        <v>5480907241</v>
      </c>
      <c r="AD1823" s="27">
        <v>192628494178.35443</v>
      </c>
      <c r="AE1823" s="228">
        <v>2.8453252798234702E-2</v>
      </c>
      <c r="AF1823" s="27">
        <v>40270912992.926773</v>
      </c>
      <c r="AG1823" s="226">
        <v>0.13610089351494645</v>
      </c>
      <c r="AH1823" s="226">
        <v>0.58284280802547439</v>
      </c>
      <c r="AI1823" s="27">
        <v>393820000</v>
      </c>
      <c r="AJ1823" s="226">
        <v>13.91729023665634</v>
      </c>
      <c r="AK1823" s="27">
        <v>5752929762.7566061</v>
      </c>
      <c r="AL1823" s="226">
        <v>0.95271582776524943</v>
      </c>
      <c r="AM1823" s="27">
        <v>5317432530.3958025</v>
      </c>
      <c r="AN1823" s="271">
        <v>1.0307431659301241</v>
      </c>
      <c r="AO1823" s="27">
        <v>29987800</v>
      </c>
      <c r="AP1823" s="27">
        <v>25.8</v>
      </c>
      <c r="AQ1823" s="27">
        <v>74.515536585365851</v>
      </c>
      <c r="AR1823" s="27">
        <v>13.6</v>
      </c>
      <c r="AS1823" s="29" t="s">
        <v>2842</v>
      </c>
      <c r="AT1823" s="270">
        <v>38</v>
      </c>
      <c r="AU1823" s="464">
        <v>72.816286549781523</v>
      </c>
      <c r="AV1823" s="29">
        <v>6.8806180868862199E-2</v>
      </c>
      <c r="AW1823" s="29">
        <v>-0.86195648593669605</v>
      </c>
      <c r="AX1823" s="29">
        <v>-0.157626358241128</v>
      </c>
      <c r="AY1823" s="29">
        <v>0.48941210864302698</v>
      </c>
      <c r="AZ1823" s="60">
        <v>-0.394694258708917</v>
      </c>
    </row>
    <row r="1824" spans="1:52" s="29" customFormat="1" ht="15" customHeight="1">
      <c r="A1824" s="63" t="s">
        <v>455</v>
      </c>
      <c r="B1824" s="53">
        <v>2012</v>
      </c>
      <c r="C1824" s="146" t="s">
        <v>442</v>
      </c>
      <c r="D1824" s="69" t="s">
        <v>214</v>
      </c>
      <c r="E1824" s="29" t="s">
        <v>19</v>
      </c>
      <c r="F1824" s="27" t="s">
        <v>1941</v>
      </c>
      <c r="G1824" s="43">
        <v>148515</v>
      </c>
      <c r="H1824" s="43"/>
      <c r="I1824" s="43"/>
      <c r="J1824" s="43"/>
      <c r="K1824" s="27" t="s">
        <v>567</v>
      </c>
      <c r="L1824" s="28"/>
      <c r="M1824" s="27"/>
      <c r="N1824" s="27" t="s">
        <v>636</v>
      </c>
      <c r="O1824" s="18"/>
      <c r="P1824" s="214"/>
      <c r="Q1824" s="214"/>
      <c r="S1824" s="27"/>
      <c r="T1824" s="18"/>
      <c r="U1824" s="27"/>
      <c r="W1824" s="30"/>
      <c r="X1824" s="27"/>
      <c r="Y1824" s="27"/>
      <c r="Z1824" s="27"/>
      <c r="AA1824" s="27"/>
      <c r="AB1824" s="27"/>
      <c r="AC1824" s="273">
        <v>5480907241</v>
      </c>
      <c r="AD1824" s="27">
        <v>192628494178.35443</v>
      </c>
      <c r="AE1824" s="228">
        <v>2.8453252798234702E-2</v>
      </c>
      <c r="AF1824" s="27">
        <v>40270912992.926773</v>
      </c>
      <c r="AG1824" s="226">
        <v>0.13610089351494645</v>
      </c>
      <c r="AH1824" s="226">
        <v>0.58284280802547439</v>
      </c>
      <c r="AI1824" s="27">
        <v>393820000</v>
      </c>
      <c r="AJ1824" s="226">
        <v>13.91729023665634</v>
      </c>
      <c r="AK1824" s="27">
        <v>5752929762.7566061</v>
      </c>
      <c r="AL1824" s="226">
        <v>0.95271582776524943</v>
      </c>
      <c r="AM1824" s="27">
        <v>5317432530.3958025</v>
      </c>
      <c r="AN1824" s="271">
        <v>1.0307431659301241</v>
      </c>
      <c r="AO1824" s="27">
        <v>29987800</v>
      </c>
      <c r="AP1824" s="27">
        <v>25.8</v>
      </c>
      <c r="AQ1824" s="27">
        <v>74.515536585365851</v>
      </c>
      <c r="AR1824" s="27">
        <v>13.6</v>
      </c>
      <c r="AS1824" s="29" t="s">
        <v>2842</v>
      </c>
      <c r="AT1824" s="270">
        <v>38</v>
      </c>
      <c r="AU1824" s="464">
        <v>72.816286549781523</v>
      </c>
      <c r="AV1824" s="29">
        <v>6.8806180868862199E-2</v>
      </c>
      <c r="AW1824" s="29">
        <v>-0.86195648593669605</v>
      </c>
      <c r="AX1824" s="29">
        <v>-0.157626358241128</v>
      </c>
      <c r="AY1824" s="29">
        <v>0.48941210864302698</v>
      </c>
      <c r="AZ1824" s="60">
        <v>-0.394694258708917</v>
      </c>
    </row>
    <row r="1825" spans="1:52" s="29" customFormat="1" ht="15" customHeight="1">
      <c r="A1825" s="63" t="s">
        <v>455</v>
      </c>
      <c r="B1825" s="53">
        <v>2012</v>
      </c>
      <c r="C1825" s="146" t="s">
        <v>442</v>
      </c>
      <c r="D1825" s="69" t="s">
        <v>214</v>
      </c>
      <c r="E1825" s="29" t="s">
        <v>19</v>
      </c>
      <c r="F1825" s="27" t="s">
        <v>1942</v>
      </c>
      <c r="G1825" s="43">
        <v>365</v>
      </c>
      <c r="H1825" s="43"/>
      <c r="I1825" s="43"/>
      <c r="J1825" s="43"/>
      <c r="K1825" s="27" t="s">
        <v>567</v>
      </c>
      <c r="L1825" s="28">
        <v>255</v>
      </c>
      <c r="M1825" s="27" t="s">
        <v>568</v>
      </c>
      <c r="N1825" s="27" t="s">
        <v>1681</v>
      </c>
      <c r="O1825" s="18">
        <f>G1825*L1825</f>
        <v>93075</v>
      </c>
      <c r="P1825" s="214"/>
      <c r="Q1825" s="214"/>
      <c r="S1825" s="27"/>
      <c r="T1825" s="18"/>
      <c r="U1825" s="27"/>
      <c r="W1825" s="30"/>
      <c r="X1825" s="27"/>
      <c r="Y1825" s="27"/>
      <c r="Z1825" s="27"/>
      <c r="AA1825" s="27"/>
      <c r="AB1825" s="27"/>
      <c r="AC1825" s="273">
        <v>5480907241</v>
      </c>
      <c r="AD1825" s="27">
        <v>192628494178.35443</v>
      </c>
      <c r="AE1825" s="228">
        <v>2.8453252798234702E-2</v>
      </c>
      <c r="AF1825" s="27">
        <v>40270912992.926773</v>
      </c>
      <c r="AG1825" s="226">
        <v>0.13610089351494645</v>
      </c>
      <c r="AH1825" s="226">
        <v>0.58284280802547439</v>
      </c>
      <c r="AI1825" s="27">
        <v>393820000</v>
      </c>
      <c r="AJ1825" s="226">
        <v>13.91729023665634</v>
      </c>
      <c r="AK1825" s="27">
        <v>5752929762.7566061</v>
      </c>
      <c r="AL1825" s="226">
        <v>0.95271582776524943</v>
      </c>
      <c r="AM1825" s="27">
        <v>5317432530.3958025</v>
      </c>
      <c r="AN1825" s="271">
        <v>1.0307431659301241</v>
      </c>
      <c r="AO1825" s="27">
        <v>29987800</v>
      </c>
      <c r="AP1825" s="27">
        <v>25.8</v>
      </c>
      <c r="AQ1825" s="27">
        <v>74.515536585365851</v>
      </c>
      <c r="AR1825" s="27">
        <v>13.6</v>
      </c>
      <c r="AS1825" s="29" t="s">
        <v>2842</v>
      </c>
      <c r="AT1825" s="270">
        <v>38</v>
      </c>
      <c r="AU1825" s="464">
        <v>72.816286549781523</v>
      </c>
      <c r="AV1825" s="29">
        <v>6.8806180868862199E-2</v>
      </c>
      <c r="AW1825" s="29">
        <v>-0.86195648593669605</v>
      </c>
      <c r="AX1825" s="29">
        <v>-0.157626358241128</v>
      </c>
      <c r="AY1825" s="29">
        <v>0.48941210864302698</v>
      </c>
      <c r="AZ1825" s="60">
        <v>-0.394694258708917</v>
      </c>
    </row>
    <row r="1826" spans="1:52" s="29" customFormat="1" ht="15" customHeight="1">
      <c r="A1826" s="63" t="s">
        <v>455</v>
      </c>
      <c r="B1826" s="53">
        <v>2012</v>
      </c>
      <c r="C1826" s="146" t="s">
        <v>442</v>
      </c>
      <c r="D1826" s="69" t="s">
        <v>214</v>
      </c>
      <c r="E1826" s="29" t="s">
        <v>19</v>
      </c>
      <c r="F1826" s="27" t="s">
        <v>790</v>
      </c>
      <c r="G1826" s="43"/>
      <c r="H1826" s="43"/>
      <c r="I1826" s="43"/>
      <c r="J1826" s="43"/>
      <c r="K1826" s="27"/>
      <c r="L1826" s="44">
        <f>1950.41350825598</f>
        <v>1950.4135082559801</v>
      </c>
      <c r="M1826" s="27" t="s">
        <v>568</v>
      </c>
      <c r="N1826" s="27" t="s">
        <v>1907</v>
      </c>
      <c r="O1826" s="18">
        <f>G1828*L1826</f>
        <v>622728024.91596937</v>
      </c>
      <c r="P1826" s="244"/>
      <c r="Q1826" s="244"/>
      <c r="R1826" s="27"/>
      <c r="S1826" s="27"/>
      <c r="T1826" s="18"/>
      <c r="U1826" s="27"/>
      <c r="V1826" s="27"/>
      <c r="W1826" s="30"/>
      <c r="X1826" s="27"/>
      <c r="Y1826" s="27"/>
      <c r="Z1826" s="27"/>
      <c r="AA1826" s="27"/>
      <c r="AB1826" s="27"/>
      <c r="AC1826" s="273">
        <v>5480907241</v>
      </c>
      <c r="AD1826" s="27">
        <v>192628494178.35443</v>
      </c>
      <c r="AE1826" s="228">
        <v>2.8453252798234702E-2</v>
      </c>
      <c r="AF1826" s="27">
        <v>40270912992.926773</v>
      </c>
      <c r="AG1826" s="226">
        <v>0.13610089351494645</v>
      </c>
      <c r="AH1826" s="226">
        <v>0.58284280802547439</v>
      </c>
      <c r="AI1826" s="27">
        <v>393820000</v>
      </c>
      <c r="AJ1826" s="226">
        <v>13.91729023665634</v>
      </c>
      <c r="AK1826" s="27">
        <v>5752929762.7566061</v>
      </c>
      <c r="AL1826" s="226">
        <v>0.95271582776524943</v>
      </c>
      <c r="AM1826" s="27">
        <v>5317432530.3958025</v>
      </c>
      <c r="AN1826" s="271">
        <v>1.0307431659301241</v>
      </c>
      <c r="AO1826" s="27">
        <v>29987800</v>
      </c>
      <c r="AP1826" s="27">
        <v>25.8</v>
      </c>
      <c r="AQ1826" s="27">
        <v>74.515536585365851</v>
      </c>
      <c r="AR1826" s="27">
        <v>13.6</v>
      </c>
      <c r="AS1826" s="29" t="s">
        <v>2842</v>
      </c>
      <c r="AT1826" s="270">
        <v>38</v>
      </c>
      <c r="AU1826" s="464">
        <v>72.816286549781523</v>
      </c>
      <c r="AV1826" s="29">
        <v>6.8806180868862199E-2</v>
      </c>
      <c r="AW1826" s="29">
        <v>-0.86195648593669605</v>
      </c>
      <c r="AX1826" s="29">
        <v>-0.157626358241128</v>
      </c>
      <c r="AY1826" s="29">
        <v>0.48941210864302698</v>
      </c>
      <c r="AZ1826" s="60">
        <v>-0.394694258708917</v>
      </c>
    </row>
    <row r="1827" spans="1:52" s="29" customFormat="1" ht="15" customHeight="1">
      <c r="A1827" s="63" t="s">
        <v>455</v>
      </c>
      <c r="B1827" s="53">
        <v>2012</v>
      </c>
      <c r="C1827" s="146" t="s">
        <v>442</v>
      </c>
      <c r="D1827" s="69" t="s">
        <v>214</v>
      </c>
      <c r="E1827" s="29" t="s">
        <v>19</v>
      </c>
      <c r="F1827" s="27" t="s">
        <v>1909</v>
      </c>
      <c r="G1827" s="43">
        <v>1280975</v>
      </c>
      <c r="H1827" s="43"/>
      <c r="I1827" s="43"/>
      <c r="J1827" s="43"/>
      <c r="K1827" s="27" t="s">
        <v>567</v>
      </c>
      <c r="L1827" s="28"/>
      <c r="M1827" s="27"/>
      <c r="N1827" s="27" t="s">
        <v>636</v>
      </c>
      <c r="O1827" s="18"/>
      <c r="P1827" s="214"/>
      <c r="Q1827" s="214"/>
      <c r="S1827" s="27"/>
      <c r="T1827" s="18"/>
      <c r="U1827" s="27"/>
      <c r="W1827" s="30"/>
      <c r="X1827" s="27"/>
      <c r="Y1827" s="27"/>
      <c r="Z1827" s="27"/>
      <c r="AA1827" s="27"/>
      <c r="AB1827" s="27"/>
      <c r="AC1827" s="273">
        <v>5480907241</v>
      </c>
      <c r="AD1827" s="27">
        <v>192628494178.35443</v>
      </c>
      <c r="AE1827" s="228">
        <v>2.8453252798234702E-2</v>
      </c>
      <c r="AF1827" s="27">
        <v>40270912992.926773</v>
      </c>
      <c r="AG1827" s="226">
        <v>0.13610089351494645</v>
      </c>
      <c r="AH1827" s="226">
        <v>0.58284280802547439</v>
      </c>
      <c r="AI1827" s="27">
        <v>393820000</v>
      </c>
      <c r="AJ1827" s="226">
        <v>13.91729023665634</v>
      </c>
      <c r="AK1827" s="27">
        <v>5752929762.7566061</v>
      </c>
      <c r="AL1827" s="226">
        <v>0.95271582776524943</v>
      </c>
      <c r="AM1827" s="27">
        <v>5317432530.3958025</v>
      </c>
      <c r="AN1827" s="271">
        <v>1.0307431659301241</v>
      </c>
      <c r="AO1827" s="27">
        <v>29987800</v>
      </c>
      <c r="AP1827" s="27">
        <v>25.8</v>
      </c>
      <c r="AQ1827" s="27">
        <v>74.515536585365851</v>
      </c>
      <c r="AR1827" s="27">
        <v>13.6</v>
      </c>
      <c r="AS1827" s="29" t="s">
        <v>2842</v>
      </c>
      <c r="AT1827" s="270">
        <v>38</v>
      </c>
      <c r="AU1827" s="464">
        <v>72.816286549781523</v>
      </c>
      <c r="AV1827" s="29">
        <v>6.8806180868862199E-2</v>
      </c>
      <c r="AW1827" s="29">
        <v>-0.86195648593669605</v>
      </c>
      <c r="AX1827" s="29">
        <v>-0.157626358241128</v>
      </c>
      <c r="AY1827" s="29">
        <v>0.48941210864302698</v>
      </c>
      <c r="AZ1827" s="60">
        <v>-0.394694258708917</v>
      </c>
    </row>
    <row r="1828" spans="1:52" s="232" customFormat="1" ht="15" customHeight="1" thickBot="1">
      <c r="A1828" s="363" t="s">
        <v>455</v>
      </c>
      <c r="B1828" s="296">
        <v>2012</v>
      </c>
      <c r="C1828" s="384" t="s">
        <v>442</v>
      </c>
      <c r="D1828" s="385" t="s">
        <v>214</v>
      </c>
      <c r="E1828" s="232" t="s">
        <v>19</v>
      </c>
      <c r="F1828" s="230" t="s">
        <v>1238</v>
      </c>
      <c r="G1828" s="297">
        <v>319280</v>
      </c>
      <c r="H1828" s="297"/>
      <c r="I1828" s="297"/>
      <c r="J1828" s="297"/>
      <c r="K1828" s="230" t="s">
        <v>567</v>
      </c>
      <c r="L1828" s="298"/>
      <c r="M1828" s="230"/>
      <c r="N1828" s="230" t="s">
        <v>636</v>
      </c>
      <c r="O1828" s="285"/>
      <c r="P1828" s="387"/>
      <c r="Q1828" s="387"/>
      <c r="S1828" s="230"/>
      <c r="T1828" s="285"/>
      <c r="U1828" s="230"/>
      <c r="W1828" s="300"/>
      <c r="X1828" s="230"/>
      <c r="Y1828" s="230"/>
      <c r="Z1828" s="230"/>
      <c r="AA1828" s="230"/>
      <c r="AB1828" s="230"/>
      <c r="AC1828" s="274">
        <v>5480907241</v>
      </c>
      <c r="AD1828" s="230">
        <v>192628494178.35443</v>
      </c>
      <c r="AE1828" s="229">
        <v>2.8453252798234702E-2</v>
      </c>
      <c r="AF1828" s="230">
        <v>40270912992.926773</v>
      </c>
      <c r="AG1828" s="231">
        <v>0.13610089351494645</v>
      </c>
      <c r="AH1828" s="231">
        <v>0.58284280802547439</v>
      </c>
      <c r="AI1828" s="230">
        <v>393820000</v>
      </c>
      <c r="AJ1828" s="231">
        <v>13.91729023665634</v>
      </c>
      <c r="AK1828" s="230">
        <v>5752929762.7566061</v>
      </c>
      <c r="AL1828" s="231">
        <v>0.95271582776524943</v>
      </c>
      <c r="AM1828" s="230">
        <v>5317432530.3958025</v>
      </c>
      <c r="AN1828" s="275">
        <v>1.0307431659301241</v>
      </c>
      <c r="AO1828" s="230">
        <v>29987800</v>
      </c>
      <c r="AP1828" s="230">
        <v>25.8</v>
      </c>
      <c r="AQ1828" s="230">
        <v>74.515536585365851</v>
      </c>
      <c r="AR1828" s="230">
        <v>13.6</v>
      </c>
      <c r="AS1828" s="232" t="s">
        <v>2842</v>
      </c>
      <c r="AT1828" s="276">
        <v>38</v>
      </c>
      <c r="AU1828" s="466">
        <v>72.816286549781523</v>
      </c>
      <c r="AV1828" s="232">
        <v>6.8806180868862199E-2</v>
      </c>
      <c r="AW1828" s="232">
        <v>-0.86195648593669605</v>
      </c>
      <c r="AX1828" s="232">
        <v>-0.157626358241128</v>
      </c>
      <c r="AY1828" s="232">
        <v>0.48941210864302698</v>
      </c>
      <c r="AZ1828" s="293">
        <v>-0.394694258708917</v>
      </c>
    </row>
    <row r="1829" spans="1:52" s="66" customFormat="1" ht="15" customHeight="1">
      <c r="A1829" s="179" t="s">
        <v>457</v>
      </c>
      <c r="B1829" s="180">
        <v>2004</v>
      </c>
      <c r="C1829" s="191" t="s">
        <v>458</v>
      </c>
      <c r="D1829" s="192" t="s">
        <v>81</v>
      </c>
      <c r="E1829" s="77" t="s">
        <v>98</v>
      </c>
      <c r="F1829" s="77" t="s">
        <v>98</v>
      </c>
      <c r="G1829" s="182">
        <f>217000*365</f>
        <v>79205000</v>
      </c>
      <c r="H1829" s="182">
        <f>82051092.064</f>
        <v>82051092.063999996</v>
      </c>
      <c r="I1829" s="182"/>
      <c r="J1829" s="182"/>
      <c r="K1829" s="77" t="s">
        <v>603</v>
      </c>
      <c r="L1829" s="83">
        <f>(30.59+32.85+39.67+29.34)/4</f>
        <v>33.112499999999997</v>
      </c>
      <c r="M1829" s="77" t="s">
        <v>626</v>
      </c>
      <c r="N1829" s="84" t="s">
        <v>1825</v>
      </c>
      <c r="O1829" s="84">
        <f>G1829*L1829</f>
        <v>2622675562.5</v>
      </c>
      <c r="P1829" s="417">
        <v>802597372.72742176</v>
      </c>
      <c r="Q1829" s="417"/>
      <c r="R1829" s="77"/>
      <c r="S1829" s="77"/>
      <c r="T1829" s="84">
        <f>635900000000/W1829</f>
        <v>1203706767.2579422</v>
      </c>
      <c r="U1829" s="77"/>
      <c r="V1829" s="77" t="s">
        <v>853</v>
      </c>
      <c r="W1829" s="418">
        <v>528.28480930499995</v>
      </c>
      <c r="X1829" s="77">
        <v>17</v>
      </c>
      <c r="Y1829" s="77"/>
      <c r="Z1829" s="77"/>
      <c r="AA1829" s="77" t="s">
        <v>1994</v>
      </c>
      <c r="AB1829" s="77" t="s">
        <v>1995</v>
      </c>
      <c r="AC1829" s="328">
        <v>802597372.72742176</v>
      </c>
      <c r="AD1829" s="77">
        <v>4648628839.490572</v>
      </c>
      <c r="AE1829" s="233">
        <v>0.1726524961316068</v>
      </c>
      <c r="AF1829" s="77" t="s">
        <v>2842</v>
      </c>
      <c r="AG1829" s="234" t="s">
        <v>2842</v>
      </c>
      <c r="AH1829" s="234" t="s">
        <v>2842</v>
      </c>
      <c r="AI1829" s="77">
        <v>115480000</v>
      </c>
      <c r="AJ1829" s="234">
        <v>6.9500984822256822</v>
      </c>
      <c r="AK1829" s="77">
        <v>63671111.846962586</v>
      </c>
      <c r="AL1829" s="234">
        <v>12.605361355342964</v>
      </c>
      <c r="AM1829" s="77">
        <v>106366671.06503564</v>
      </c>
      <c r="AN1829" s="329">
        <v>7.545571979372097</v>
      </c>
      <c r="AO1829" s="77">
        <v>3448868</v>
      </c>
      <c r="AP1829" s="77" t="s">
        <v>2842</v>
      </c>
      <c r="AQ1829" s="77">
        <v>53.499658536585379</v>
      </c>
      <c r="AR1829" s="77">
        <v>65.900000000000006</v>
      </c>
      <c r="AS1829" s="66" t="s">
        <v>2842</v>
      </c>
      <c r="AT1829" s="330" t="s">
        <v>2842</v>
      </c>
      <c r="AU1829" s="467" t="s">
        <v>2842</v>
      </c>
      <c r="AV1829" s="66">
        <v>-0.94994868775176899</v>
      </c>
      <c r="AW1829" s="66">
        <v>-1.1414830848664199</v>
      </c>
      <c r="AX1829" s="66">
        <v>-1.1161517079080501</v>
      </c>
      <c r="AY1829" s="66">
        <v>-0.97216363714726595</v>
      </c>
      <c r="AZ1829" s="331">
        <v>-0.83536039397636896</v>
      </c>
    </row>
    <row r="1830" spans="1:52" s="238" customFormat="1" ht="15" customHeight="1">
      <c r="A1830" s="404" t="s">
        <v>461</v>
      </c>
      <c r="B1830" s="405">
        <v>2005</v>
      </c>
      <c r="C1830" s="406" t="s">
        <v>458</v>
      </c>
      <c r="D1830" s="386" t="s">
        <v>81</v>
      </c>
      <c r="E1830" s="236" t="s">
        <v>98</v>
      </c>
      <c r="F1830" s="236" t="s">
        <v>98</v>
      </c>
      <c r="G1830" s="335">
        <f>239000*365</f>
        <v>87235000</v>
      </c>
      <c r="H1830" s="335">
        <f>92556385.954</f>
        <v>92556385.953999996</v>
      </c>
      <c r="I1830" s="335"/>
      <c r="J1830" s="335"/>
      <c r="K1830" s="236" t="s">
        <v>603</v>
      </c>
      <c r="L1830" s="336">
        <f>(45.42+48.83+57.61+51.45)/4</f>
        <v>50.827500000000001</v>
      </c>
      <c r="M1830" s="236" t="s">
        <v>626</v>
      </c>
      <c r="N1830" s="337" t="s">
        <v>1825</v>
      </c>
      <c r="O1830" s="337">
        <f>G1830*L1830</f>
        <v>4433936962.5</v>
      </c>
      <c r="P1830" s="419">
        <v>1738493617.9513669</v>
      </c>
      <c r="Q1830" s="419"/>
      <c r="R1830" s="236"/>
      <c r="S1830" s="236"/>
      <c r="T1830" s="337">
        <f>1140900000000/W1830</f>
        <v>2162974229.7935815</v>
      </c>
      <c r="U1830" s="236"/>
      <c r="V1830" s="236" t="s">
        <v>853</v>
      </c>
      <c r="W1830" s="420">
        <v>527.46814284000004</v>
      </c>
      <c r="X1830" s="236">
        <v>17</v>
      </c>
      <c r="Y1830" s="236"/>
      <c r="Z1830" s="236"/>
      <c r="AA1830" s="236"/>
      <c r="AB1830" s="236" t="s">
        <v>1996</v>
      </c>
      <c r="AC1830" s="340">
        <v>1738493617.9513669</v>
      </c>
      <c r="AD1830" s="236">
        <v>6087002681.7409525</v>
      </c>
      <c r="AE1830" s="235">
        <v>0.28560749992213535</v>
      </c>
      <c r="AF1830" s="236" t="s">
        <v>2842</v>
      </c>
      <c r="AG1830" s="237" t="s">
        <v>2842</v>
      </c>
      <c r="AH1830" s="237" t="s">
        <v>2842</v>
      </c>
      <c r="AI1830" s="236">
        <v>1425480000</v>
      </c>
      <c r="AJ1830" s="237">
        <v>1.2195847138868079</v>
      </c>
      <c r="AK1830" s="236">
        <v>87324658.333331704</v>
      </c>
      <c r="AL1830" s="237">
        <v>19.908393014436637</v>
      </c>
      <c r="AM1830" s="236">
        <v>111743369.13059586</v>
      </c>
      <c r="AN1830" s="341">
        <v>15.557913024079021</v>
      </c>
      <c r="AO1830" s="236">
        <v>3542867</v>
      </c>
      <c r="AP1830" s="236">
        <v>50.7</v>
      </c>
      <c r="AQ1830" s="236">
        <v>54.033292682926835</v>
      </c>
      <c r="AR1830" s="236">
        <v>61.6</v>
      </c>
      <c r="AS1830" s="238" t="s">
        <v>2842</v>
      </c>
      <c r="AT1830" s="342" t="s">
        <v>2842</v>
      </c>
      <c r="AU1830" s="468" t="s">
        <v>2842</v>
      </c>
      <c r="AV1830" s="238">
        <v>-1.0791082627300901</v>
      </c>
      <c r="AW1830" s="238">
        <v>-1.1571969654124199</v>
      </c>
      <c r="AX1830" s="238">
        <v>-1.28016227589329</v>
      </c>
      <c r="AY1830" s="238">
        <v>-1.2958034689539499</v>
      </c>
      <c r="AZ1830" s="343">
        <v>-1.0162846750191099</v>
      </c>
    </row>
    <row r="1831" spans="1:52" s="238" customFormat="1" ht="15" customHeight="1">
      <c r="A1831" s="404" t="s">
        <v>464</v>
      </c>
      <c r="B1831" s="405">
        <v>2006</v>
      </c>
      <c r="C1831" s="406" t="s">
        <v>458</v>
      </c>
      <c r="D1831" s="386" t="s">
        <v>81</v>
      </c>
      <c r="E1831" s="236" t="s">
        <v>98</v>
      </c>
      <c r="F1831" s="236" t="s">
        <v>98</v>
      </c>
      <c r="G1831" s="335">
        <f>271000*365</f>
        <v>98915000</v>
      </c>
      <c r="H1831" s="335">
        <f>98684504.871</f>
        <v>98684504.871000007</v>
      </c>
      <c r="I1831" s="335"/>
      <c r="J1831" s="335"/>
      <c r="K1831" s="236" t="s">
        <v>603</v>
      </c>
      <c r="L1831" s="336">
        <f>(58+64.43+55.98)/3</f>
        <v>59.47</v>
      </c>
      <c r="M1831" s="236" t="s">
        <v>626</v>
      </c>
      <c r="N1831" s="337" t="s">
        <v>1825</v>
      </c>
      <c r="O1831" s="337">
        <f>G1831*L1831</f>
        <v>5882475050</v>
      </c>
      <c r="P1831" s="419">
        <v>2581804427.3293929</v>
      </c>
      <c r="Q1831" s="419"/>
      <c r="R1831" s="236"/>
      <c r="S1831" s="236"/>
      <c r="T1831" s="337">
        <f>1606700000000/W1831</f>
        <v>3072729758.0667667</v>
      </c>
      <c r="U1831" s="236"/>
      <c r="V1831" s="236" t="s">
        <v>853</v>
      </c>
      <c r="W1831" s="420">
        <v>522.89010961083295</v>
      </c>
      <c r="X1831" s="236">
        <v>17</v>
      </c>
      <c r="Y1831" s="236"/>
      <c r="Z1831" s="236"/>
      <c r="AA1831" s="236"/>
      <c r="AB1831" s="236" t="s">
        <v>1996</v>
      </c>
      <c r="AC1831" s="340">
        <v>2581804427.3293929</v>
      </c>
      <c r="AD1831" s="236">
        <v>7731261168.830965</v>
      </c>
      <c r="AE1831" s="235">
        <v>0.33394350170682235</v>
      </c>
      <c r="AF1831" s="236" t="s">
        <v>2842</v>
      </c>
      <c r="AG1831" s="237" t="s">
        <v>2842</v>
      </c>
      <c r="AH1831" s="237" t="s">
        <v>2842</v>
      </c>
      <c r="AI1831" s="236">
        <v>258300000</v>
      </c>
      <c r="AJ1831" s="237">
        <v>9.9953713795175876</v>
      </c>
      <c r="AK1831" s="236">
        <v>115507574.92665485</v>
      </c>
      <c r="AL1831" s="237">
        <v>22.351819168299485</v>
      </c>
      <c r="AM1831" s="236" t="s">
        <v>2842</v>
      </c>
      <c r="AN1831" s="341" t="s">
        <v>2842</v>
      </c>
      <c r="AO1831" s="236">
        <v>3646653</v>
      </c>
      <c r="AP1831" s="236" t="s">
        <v>2842</v>
      </c>
      <c r="AQ1831" s="236">
        <v>54.634268292682926</v>
      </c>
      <c r="AR1831" s="236">
        <v>57.2</v>
      </c>
      <c r="AS1831" s="238" t="s">
        <v>2842</v>
      </c>
      <c r="AT1831" s="342" t="s">
        <v>2842</v>
      </c>
      <c r="AU1831" s="468" t="s">
        <v>2842</v>
      </c>
      <c r="AV1831" s="238">
        <v>-1.2250178714915001</v>
      </c>
      <c r="AW1831" s="238">
        <v>-0.94224838686328005</v>
      </c>
      <c r="AX1831" s="238">
        <v>-1.2898742480535099</v>
      </c>
      <c r="AY1831" s="238">
        <v>-1.1998485021315199</v>
      </c>
      <c r="AZ1831" s="343">
        <v>-1.0493397193926699</v>
      </c>
    </row>
    <row r="1832" spans="1:52" s="29" customFormat="1" ht="15" customHeight="1">
      <c r="A1832" s="347" t="s">
        <v>466</v>
      </c>
      <c r="B1832" s="53">
        <v>2007</v>
      </c>
      <c r="C1832" s="146" t="s">
        <v>458</v>
      </c>
      <c r="D1832" s="69" t="s">
        <v>81</v>
      </c>
      <c r="E1832" s="27" t="s">
        <v>50</v>
      </c>
      <c r="F1832" s="27" t="s">
        <v>659</v>
      </c>
      <c r="G1832" s="43"/>
      <c r="H1832" s="43"/>
      <c r="I1832" s="43"/>
      <c r="J1832" s="43"/>
      <c r="K1832" s="27"/>
      <c r="L1832" s="28"/>
      <c r="M1832" s="27"/>
      <c r="N1832" s="27"/>
      <c r="O1832" s="18">
        <f>SUM(O1833:O1834)</f>
        <v>6828718147.0424004</v>
      </c>
      <c r="P1832" s="213">
        <v>2553350325.8307009</v>
      </c>
      <c r="Q1832" s="213">
        <v>2443821662.9688482</v>
      </c>
      <c r="R1832" s="27" t="s">
        <v>3693</v>
      </c>
      <c r="S1832" s="27"/>
      <c r="T1832" s="18"/>
      <c r="U1832" s="27" t="s">
        <v>852</v>
      </c>
      <c r="V1832" s="27"/>
      <c r="W1832" s="30">
        <v>479.27</v>
      </c>
      <c r="X1832" s="27"/>
      <c r="Y1832" s="27"/>
      <c r="Z1832" s="27">
        <v>25</v>
      </c>
      <c r="AA1832" s="27"/>
      <c r="AB1832" s="27"/>
      <c r="AC1832" s="273">
        <v>2553350325.8307009</v>
      </c>
      <c r="AD1832" s="27">
        <v>8394688589.0541859</v>
      </c>
      <c r="AE1832" s="228">
        <v>0.30416260219110547</v>
      </c>
      <c r="AF1832" s="27" t="s">
        <v>2842</v>
      </c>
      <c r="AG1832" s="226" t="s">
        <v>2842</v>
      </c>
      <c r="AH1832" s="226" t="s">
        <v>2842</v>
      </c>
      <c r="AI1832" s="27">
        <v>118710000</v>
      </c>
      <c r="AJ1832" s="226">
        <v>21.509142665577464</v>
      </c>
      <c r="AK1832" s="27">
        <v>129762085.29274799</v>
      </c>
      <c r="AL1832" s="226">
        <v>19.677167795741333</v>
      </c>
      <c r="AM1832" s="27" t="s">
        <v>2842</v>
      </c>
      <c r="AN1832" s="271" t="s">
        <v>2842</v>
      </c>
      <c r="AO1832" s="27">
        <v>3758858</v>
      </c>
      <c r="AP1832" s="27" t="s">
        <v>2842</v>
      </c>
      <c r="AQ1832" s="27">
        <v>55.276170731707325</v>
      </c>
      <c r="AR1832" s="27">
        <v>52.9</v>
      </c>
      <c r="AS1832" s="29" t="s">
        <v>2842</v>
      </c>
      <c r="AT1832" s="270" t="s">
        <v>2842</v>
      </c>
      <c r="AU1832" s="464" t="s">
        <v>2842</v>
      </c>
      <c r="AV1832" s="29">
        <v>-1.24999083653568</v>
      </c>
      <c r="AW1832" s="29">
        <v>-0.76149306371077097</v>
      </c>
      <c r="AX1832" s="29">
        <v>-1.33500070960919</v>
      </c>
      <c r="AY1832" s="29">
        <v>-1.18829710330002</v>
      </c>
      <c r="AZ1832" s="60">
        <v>-1.0941625265623101</v>
      </c>
    </row>
    <row r="1833" spans="1:52" s="29" customFormat="1" ht="15" customHeight="1">
      <c r="A1833" s="63" t="s">
        <v>466</v>
      </c>
      <c r="B1833" s="53">
        <v>2007</v>
      </c>
      <c r="C1833" s="146" t="s">
        <v>458</v>
      </c>
      <c r="D1833" s="69" t="s">
        <v>81</v>
      </c>
      <c r="E1833" s="27" t="s">
        <v>552</v>
      </c>
      <c r="F1833" s="27" t="s">
        <v>552</v>
      </c>
      <c r="G1833" s="43">
        <f>269000000000*0.0283168</f>
        <v>7617219200</v>
      </c>
      <c r="H1833" s="43"/>
      <c r="I1833" s="43"/>
      <c r="J1833" s="43"/>
      <c r="K1833" s="27" t="s">
        <v>599</v>
      </c>
      <c r="L1833" s="28">
        <v>0.22764700000000004</v>
      </c>
      <c r="M1833" s="27" t="s">
        <v>600</v>
      </c>
      <c r="N1833" s="27" t="s">
        <v>816</v>
      </c>
      <c r="O1833" s="18">
        <f>G1833*L1833</f>
        <v>1734037099.2224004</v>
      </c>
      <c r="P1833" s="213"/>
      <c r="Q1833" s="213"/>
      <c r="R1833" s="27"/>
      <c r="S1833" s="27"/>
      <c r="T1833" s="18"/>
      <c r="U1833" s="27"/>
      <c r="V1833" s="27"/>
      <c r="W1833" s="30"/>
      <c r="X1833" s="27"/>
      <c r="Y1833" s="27"/>
      <c r="Z1833" s="27"/>
      <c r="AA1833" s="27"/>
      <c r="AB1833" s="27"/>
      <c r="AC1833" s="273">
        <v>2553350325.8307009</v>
      </c>
      <c r="AD1833" s="27">
        <v>8394688589.0541859</v>
      </c>
      <c r="AE1833" s="228">
        <v>0.30416260219110547</v>
      </c>
      <c r="AF1833" s="27" t="s">
        <v>2842</v>
      </c>
      <c r="AG1833" s="226" t="s">
        <v>2842</v>
      </c>
      <c r="AH1833" s="226" t="s">
        <v>2842</v>
      </c>
      <c r="AI1833" s="27">
        <v>118710000</v>
      </c>
      <c r="AJ1833" s="226">
        <v>21.509142665577464</v>
      </c>
      <c r="AK1833" s="27">
        <v>129762085.29274799</v>
      </c>
      <c r="AL1833" s="226">
        <v>19.677167795741333</v>
      </c>
      <c r="AM1833" s="27" t="s">
        <v>2842</v>
      </c>
      <c r="AN1833" s="271" t="s">
        <v>2842</v>
      </c>
      <c r="AO1833" s="27">
        <v>3758858</v>
      </c>
      <c r="AP1833" s="27" t="s">
        <v>2842</v>
      </c>
      <c r="AQ1833" s="27">
        <v>55.276170731707325</v>
      </c>
      <c r="AR1833" s="27">
        <v>52.9</v>
      </c>
      <c r="AS1833" s="29" t="s">
        <v>2842</v>
      </c>
      <c r="AT1833" s="270" t="s">
        <v>2842</v>
      </c>
      <c r="AU1833" s="464" t="s">
        <v>2842</v>
      </c>
      <c r="AV1833" s="29">
        <v>-1.24999083653568</v>
      </c>
      <c r="AW1833" s="29">
        <v>-0.76149306371077097</v>
      </c>
      <c r="AX1833" s="29">
        <v>-1.33500070960919</v>
      </c>
      <c r="AY1833" s="29">
        <v>-1.18829710330002</v>
      </c>
      <c r="AZ1833" s="60">
        <v>-1.0941625265623101</v>
      </c>
    </row>
    <row r="1834" spans="1:52" s="287" customFormat="1" ht="15" customHeight="1">
      <c r="A1834" s="359" t="s">
        <v>466</v>
      </c>
      <c r="B1834" s="302">
        <v>2007</v>
      </c>
      <c r="C1834" s="383" t="s">
        <v>458</v>
      </c>
      <c r="D1834" s="369" t="s">
        <v>81</v>
      </c>
      <c r="E1834" s="284" t="s">
        <v>98</v>
      </c>
      <c r="F1834" s="284" t="s">
        <v>98</v>
      </c>
      <c r="G1834" s="303">
        <v>80665000</v>
      </c>
      <c r="H1834" s="303"/>
      <c r="I1834" s="303"/>
      <c r="J1834" s="303"/>
      <c r="K1834" s="284" t="s">
        <v>603</v>
      </c>
      <c r="L1834" s="304">
        <f>71.82*0.8794</f>
        <v>63.158507999999991</v>
      </c>
      <c r="M1834" s="284" t="s">
        <v>626</v>
      </c>
      <c r="N1834" s="284" t="s">
        <v>1998</v>
      </c>
      <c r="O1834" s="305">
        <f>G1834*L1834</f>
        <v>5094681047.8199997</v>
      </c>
      <c r="P1834" s="306"/>
      <c r="Q1834" s="306"/>
      <c r="R1834" s="284"/>
      <c r="S1834" s="284"/>
      <c r="T1834" s="305"/>
      <c r="U1834" s="284"/>
      <c r="V1834" s="284"/>
      <c r="W1834" s="307"/>
      <c r="X1834" s="284"/>
      <c r="Y1834" s="284"/>
      <c r="Z1834" s="284"/>
      <c r="AA1834" s="284"/>
      <c r="AB1834" s="284"/>
      <c r="AC1834" s="308">
        <v>2553350325.8307009</v>
      </c>
      <c r="AD1834" s="284">
        <v>8394688589.0541859</v>
      </c>
      <c r="AE1834" s="309">
        <v>0.30416260219110547</v>
      </c>
      <c r="AF1834" s="284" t="s">
        <v>2842</v>
      </c>
      <c r="AG1834" s="310" t="s">
        <v>2842</v>
      </c>
      <c r="AH1834" s="310" t="s">
        <v>2842</v>
      </c>
      <c r="AI1834" s="284">
        <v>118710000</v>
      </c>
      <c r="AJ1834" s="310">
        <v>21.509142665577464</v>
      </c>
      <c r="AK1834" s="284">
        <v>129762085.29274799</v>
      </c>
      <c r="AL1834" s="310">
        <v>19.677167795741333</v>
      </c>
      <c r="AM1834" s="284" t="s">
        <v>2842</v>
      </c>
      <c r="AN1834" s="311" t="s">
        <v>2842</v>
      </c>
      <c r="AO1834" s="284">
        <v>3758858</v>
      </c>
      <c r="AP1834" s="284" t="s">
        <v>2842</v>
      </c>
      <c r="AQ1834" s="284">
        <v>55.276170731707325</v>
      </c>
      <c r="AR1834" s="284">
        <v>52.9</v>
      </c>
      <c r="AS1834" s="287" t="s">
        <v>2842</v>
      </c>
      <c r="AT1834" s="312" t="s">
        <v>2842</v>
      </c>
      <c r="AU1834" s="465" t="s">
        <v>2842</v>
      </c>
      <c r="AV1834" s="287">
        <v>-1.24999083653568</v>
      </c>
      <c r="AW1834" s="287">
        <v>-0.76149306371077097</v>
      </c>
      <c r="AX1834" s="287">
        <v>-1.33500070960919</v>
      </c>
      <c r="AY1834" s="287">
        <v>-1.18829710330002</v>
      </c>
      <c r="AZ1834" s="313">
        <v>-1.0941625265623101</v>
      </c>
    </row>
    <row r="1835" spans="1:52" ht="15" customHeight="1">
      <c r="A1835" s="347" t="s">
        <v>468</v>
      </c>
      <c r="B1835" s="53">
        <v>2008</v>
      </c>
      <c r="C1835" s="146" t="s">
        <v>458</v>
      </c>
      <c r="D1835" s="69" t="s">
        <v>81</v>
      </c>
      <c r="E1835" s="27" t="s">
        <v>50</v>
      </c>
      <c r="F1835" s="27" t="s">
        <v>659</v>
      </c>
      <c r="G1835" s="43"/>
      <c r="H1835" s="43"/>
      <c r="I1835" s="43"/>
      <c r="J1835" s="43"/>
      <c r="K1835" s="27"/>
      <c r="L1835" s="28"/>
      <c r="M1835" s="27"/>
      <c r="N1835" s="27"/>
      <c r="O1835" s="18">
        <f>SUM(O1836:O1837)</f>
        <v>9945008932.4211998</v>
      </c>
      <c r="P1835" s="213">
        <v>4645910135.5534267</v>
      </c>
      <c r="Q1835" s="213">
        <v>4608048676.9085875</v>
      </c>
      <c r="R1835" s="27" t="s">
        <v>3693</v>
      </c>
      <c r="S1835" s="27"/>
      <c r="T1835" s="18"/>
      <c r="U1835" s="27" t="s">
        <v>852</v>
      </c>
      <c r="V1835" s="27"/>
      <c r="W1835" s="30">
        <v>447.81</v>
      </c>
      <c r="X1835" s="27"/>
      <c r="Y1835" s="27"/>
      <c r="Z1835" s="27">
        <v>25</v>
      </c>
      <c r="AA1835" s="27"/>
      <c r="AB1835" s="27"/>
      <c r="AC1835" s="273">
        <v>4645910135.5534267</v>
      </c>
      <c r="AD1835" s="27">
        <v>11859015180.940172</v>
      </c>
      <c r="AE1835" s="228">
        <v>0.39176188449613764</v>
      </c>
      <c r="AF1835" s="27" t="s">
        <v>2842</v>
      </c>
      <c r="AG1835" s="226" t="s">
        <v>2842</v>
      </c>
      <c r="AH1835" s="226" t="s">
        <v>2842</v>
      </c>
      <c r="AI1835" s="27">
        <v>485000000</v>
      </c>
      <c r="AJ1835" s="226">
        <v>9.5791961557802612</v>
      </c>
      <c r="AK1835" s="27">
        <v>146884916.81184202</v>
      </c>
      <c r="AL1835" s="226">
        <v>31.629592992892434</v>
      </c>
      <c r="AM1835" s="27" t="s">
        <v>2842</v>
      </c>
      <c r="AN1835" s="271" t="s">
        <v>2842</v>
      </c>
      <c r="AO1835" s="27">
        <v>3876475</v>
      </c>
      <c r="AP1835" s="27" t="s">
        <v>2842</v>
      </c>
      <c r="AQ1835" s="27">
        <v>55.934048780487807</v>
      </c>
      <c r="AR1835" s="27">
        <v>48.8</v>
      </c>
      <c r="AS1835" s="29" t="s">
        <v>2842</v>
      </c>
      <c r="AT1835" s="270" t="s">
        <v>2842</v>
      </c>
      <c r="AU1835" s="464" t="s">
        <v>2842</v>
      </c>
      <c r="AV1835" s="29">
        <v>-1.16456792286297</v>
      </c>
      <c r="AW1835" s="29">
        <v>-0.70956226130734001</v>
      </c>
      <c r="AX1835" s="29">
        <v>-1.2240844325490801</v>
      </c>
      <c r="AY1835" s="29">
        <v>-1.26042955619816</v>
      </c>
      <c r="AZ1835" s="60">
        <v>-1.1289766960638199</v>
      </c>
    </row>
    <row r="1836" spans="1:52" ht="15" customHeight="1">
      <c r="A1836" s="63" t="s">
        <v>468</v>
      </c>
      <c r="B1836" s="53">
        <v>2008</v>
      </c>
      <c r="C1836" s="146" t="s">
        <v>458</v>
      </c>
      <c r="D1836" s="69" t="s">
        <v>81</v>
      </c>
      <c r="E1836" s="27" t="s">
        <v>552</v>
      </c>
      <c r="F1836" s="27" t="s">
        <v>552</v>
      </c>
      <c r="G1836" s="43">
        <f>272000000000*0.0283168</f>
        <v>7702169600</v>
      </c>
      <c r="H1836" s="43"/>
      <c r="I1836" s="43"/>
      <c r="J1836" s="43"/>
      <c r="K1836" s="27" t="s">
        <v>599</v>
      </c>
      <c r="L1836" s="28">
        <v>0.32879700000000006</v>
      </c>
      <c r="M1836" s="27" t="s">
        <v>600</v>
      </c>
      <c r="N1836" s="27" t="s">
        <v>816</v>
      </c>
      <c r="O1836" s="18">
        <f>G1836*L1836</f>
        <v>2532450257.9712005</v>
      </c>
      <c r="P1836" s="213"/>
      <c r="Q1836" s="213"/>
      <c r="R1836" s="27"/>
      <c r="S1836" s="27"/>
      <c r="T1836" s="18"/>
      <c r="U1836" s="27"/>
      <c r="V1836" s="27"/>
      <c r="W1836" s="30"/>
      <c r="X1836" s="27"/>
      <c r="Y1836" s="27"/>
      <c r="Z1836" s="27"/>
      <c r="AA1836" s="27"/>
      <c r="AB1836" s="27"/>
      <c r="AC1836" s="273">
        <v>4645910135.5534267</v>
      </c>
      <c r="AD1836" s="27">
        <v>11859015180.940172</v>
      </c>
      <c r="AE1836" s="228">
        <v>0.39176188449613764</v>
      </c>
      <c r="AF1836" s="27" t="s">
        <v>2842</v>
      </c>
      <c r="AG1836" s="226" t="s">
        <v>2842</v>
      </c>
      <c r="AH1836" s="226" t="s">
        <v>2842</v>
      </c>
      <c r="AI1836" s="27">
        <v>485000000</v>
      </c>
      <c r="AJ1836" s="226">
        <v>9.5791961557802612</v>
      </c>
      <c r="AK1836" s="27">
        <v>146884916.81184202</v>
      </c>
      <c r="AL1836" s="226">
        <v>31.629592992892434</v>
      </c>
      <c r="AM1836" s="27" t="s">
        <v>2842</v>
      </c>
      <c r="AN1836" s="271" t="s">
        <v>2842</v>
      </c>
      <c r="AO1836" s="27">
        <v>3876475</v>
      </c>
      <c r="AP1836" s="27" t="s">
        <v>2842</v>
      </c>
      <c r="AQ1836" s="27">
        <v>55.934048780487807</v>
      </c>
      <c r="AR1836" s="27">
        <v>48.8</v>
      </c>
      <c r="AS1836" s="29" t="s">
        <v>2842</v>
      </c>
      <c r="AT1836" s="270" t="s">
        <v>2842</v>
      </c>
      <c r="AU1836" s="464" t="s">
        <v>2842</v>
      </c>
      <c r="AV1836" s="29">
        <v>-1.16456792286297</v>
      </c>
      <c r="AW1836" s="29">
        <v>-0.70956226130734001</v>
      </c>
      <c r="AX1836" s="29">
        <v>-1.2240844325490801</v>
      </c>
      <c r="AY1836" s="29">
        <v>-1.26042955619816</v>
      </c>
      <c r="AZ1836" s="60">
        <v>-1.1289766960638199</v>
      </c>
    </row>
    <row r="1837" spans="1:52" s="287" customFormat="1" ht="15" customHeight="1">
      <c r="A1837" s="359" t="s">
        <v>468</v>
      </c>
      <c r="B1837" s="302">
        <v>2008</v>
      </c>
      <c r="C1837" s="383" t="s">
        <v>458</v>
      </c>
      <c r="D1837" s="369" t="s">
        <v>81</v>
      </c>
      <c r="E1837" s="284" t="s">
        <v>98</v>
      </c>
      <c r="F1837" s="284" t="s">
        <v>98</v>
      </c>
      <c r="G1837" s="303">
        <v>85775000</v>
      </c>
      <c r="H1837" s="303"/>
      <c r="I1837" s="303"/>
      <c r="J1837" s="303"/>
      <c r="K1837" s="284" t="s">
        <v>603</v>
      </c>
      <c r="L1837" s="304">
        <f>98.27*0.8794</f>
        <v>86.418637999999987</v>
      </c>
      <c r="M1837" s="284" t="s">
        <v>626</v>
      </c>
      <c r="N1837" s="284" t="s">
        <v>1998</v>
      </c>
      <c r="O1837" s="305">
        <f>G1837*L1837</f>
        <v>7412558674.4499989</v>
      </c>
      <c r="P1837" s="306"/>
      <c r="Q1837" s="306"/>
      <c r="R1837" s="284"/>
      <c r="S1837" s="284"/>
      <c r="T1837" s="305"/>
      <c r="U1837" s="284"/>
      <c r="V1837" s="284"/>
      <c r="W1837" s="307"/>
      <c r="X1837" s="284"/>
      <c r="Y1837" s="284"/>
      <c r="Z1837" s="284"/>
      <c r="AA1837" s="284"/>
      <c r="AB1837" s="284"/>
      <c r="AC1837" s="308">
        <v>4645910135.5534267</v>
      </c>
      <c r="AD1837" s="284">
        <v>11859015180.940172</v>
      </c>
      <c r="AE1837" s="309">
        <v>0.39176188449613764</v>
      </c>
      <c r="AF1837" s="284" t="s">
        <v>2842</v>
      </c>
      <c r="AG1837" s="310" t="s">
        <v>2842</v>
      </c>
      <c r="AH1837" s="310" t="s">
        <v>2842</v>
      </c>
      <c r="AI1837" s="284">
        <v>485000000</v>
      </c>
      <c r="AJ1837" s="310">
        <v>9.5791961557802612</v>
      </c>
      <c r="AK1837" s="284">
        <v>146884916.81184202</v>
      </c>
      <c r="AL1837" s="310">
        <v>31.629592992892434</v>
      </c>
      <c r="AM1837" s="284" t="s">
        <v>2842</v>
      </c>
      <c r="AN1837" s="311" t="s">
        <v>2842</v>
      </c>
      <c r="AO1837" s="284">
        <v>3876475</v>
      </c>
      <c r="AP1837" s="284" t="s">
        <v>2842</v>
      </c>
      <c r="AQ1837" s="284">
        <v>55.934048780487807</v>
      </c>
      <c r="AR1837" s="284">
        <v>48.8</v>
      </c>
      <c r="AS1837" s="287" t="s">
        <v>2842</v>
      </c>
      <c r="AT1837" s="312" t="s">
        <v>2842</v>
      </c>
      <c r="AU1837" s="465" t="s">
        <v>2842</v>
      </c>
      <c r="AV1837" s="287">
        <v>-1.16456792286297</v>
      </c>
      <c r="AW1837" s="287">
        <v>-0.70956226130734001</v>
      </c>
      <c r="AX1837" s="287">
        <v>-1.2240844325490801</v>
      </c>
      <c r="AY1837" s="287">
        <v>-1.26042955619816</v>
      </c>
      <c r="AZ1837" s="313">
        <v>-1.1289766960638199</v>
      </c>
    </row>
    <row r="1838" spans="1:52" s="29" customFormat="1" ht="15" customHeight="1">
      <c r="A1838" s="347" t="s">
        <v>470</v>
      </c>
      <c r="B1838" s="53">
        <v>2009</v>
      </c>
      <c r="C1838" s="146" t="s">
        <v>458</v>
      </c>
      <c r="D1838" s="69" t="s">
        <v>81</v>
      </c>
      <c r="E1838" s="27" t="s">
        <v>50</v>
      </c>
      <c r="F1838" s="27" t="s">
        <v>659</v>
      </c>
      <c r="G1838" s="43"/>
      <c r="H1838" s="43"/>
      <c r="I1838" s="43"/>
      <c r="J1838" s="43"/>
      <c r="K1838" s="27"/>
      <c r="L1838" s="28"/>
      <c r="M1838" s="27"/>
      <c r="N1838" s="27"/>
      <c r="O1838" s="18">
        <f>SUM(O1839:O1840)</f>
        <v>6512047108.2436066</v>
      </c>
      <c r="P1838" s="213">
        <v>2343960552.7359438</v>
      </c>
      <c r="Q1838" s="213">
        <v>2293891127.9047532</v>
      </c>
      <c r="R1838" s="27" t="s">
        <v>3693</v>
      </c>
      <c r="S1838" s="27"/>
      <c r="T1838" s="18"/>
      <c r="U1838" s="27" t="s">
        <v>852</v>
      </c>
      <c r="V1838" s="27"/>
      <c r="W1838" s="30">
        <v>472.19</v>
      </c>
      <c r="X1838" s="27"/>
      <c r="Y1838" s="27"/>
      <c r="Z1838" s="27">
        <v>30</v>
      </c>
      <c r="AA1838" s="27"/>
      <c r="AB1838" s="27"/>
      <c r="AC1838" s="273">
        <v>2343960552.7359438</v>
      </c>
      <c r="AD1838" s="27">
        <v>9593536719.0731144</v>
      </c>
      <c r="AE1838" s="228">
        <v>0.24432705282462369</v>
      </c>
      <c r="AF1838" s="27" t="s">
        <v>2842</v>
      </c>
      <c r="AG1838" s="226" t="s">
        <v>2842</v>
      </c>
      <c r="AH1838" s="226" t="s">
        <v>2842</v>
      </c>
      <c r="AI1838" s="27">
        <v>283280000</v>
      </c>
      <c r="AJ1838" s="226">
        <v>8.2743594773225926</v>
      </c>
      <c r="AK1838" s="27">
        <v>109475859.44809492</v>
      </c>
      <c r="AL1838" s="226">
        <v>21.410752695184556</v>
      </c>
      <c r="AM1838" s="27" t="s">
        <v>2842</v>
      </c>
      <c r="AN1838" s="271" t="s">
        <v>2842</v>
      </c>
      <c r="AO1838" s="27">
        <v>3995146</v>
      </c>
      <c r="AP1838" s="27" t="s">
        <v>2842</v>
      </c>
      <c r="AQ1838" s="27">
        <v>56.584487804878052</v>
      </c>
      <c r="AR1838" s="27">
        <v>45.1</v>
      </c>
      <c r="AS1838" s="29" t="s">
        <v>2842</v>
      </c>
      <c r="AT1838" s="270" t="s">
        <v>2842</v>
      </c>
      <c r="AU1838" s="464" t="s">
        <v>2842</v>
      </c>
      <c r="AV1838" s="29">
        <v>-1.09940352897635</v>
      </c>
      <c r="AW1838" s="29">
        <v>-0.27744695734202801</v>
      </c>
      <c r="AX1838" s="29">
        <v>-1.2350143943421401</v>
      </c>
      <c r="AY1838" s="29">
        <v>-1.2816085019057899</v>
      </c>
      <c r="AZ1838" s="60">
        <v>-1.175436427155</v>
      </c>
    </row>
    <row r="1839" spans="1:52" s="29" customFormat="1" ht="15" customHeight="1">
      <c r="A1839" s="63" t="s">
        <v>470</v>
      </c>
      <c r="B1839" s="53">
        <v>2009</v>
      </c>
      <c r="C1839" s="146" t="s">
        <v>458</v>
      </c>
      <c r="D1839" s="69" t="s">
        <v>81</v>
      </c>
      <c r="E1839" s="27" t="s">
        <v>552</v>
      </c>
      <c r="F1839" s="27" t="s">
        <v>552</v>
      </c>
      <c r="G1839" s="43">
        <f>282000000000*0.0283168</f>
        <v>7985337600</v>
      </c>
      <c r="H1839" s="43"/>
      <c r="I1839" s="43"/>
      <c r="J1839" s="43"/>
      <c r="K1839" s="27" t="s">
        <v>599</v>
      </c>
      <c r="L1839" s="28">
        <v>0.14422800000000002</v>
      </c>
      <c r="M1839" s="27" t="s">
        <v>600</v>
      </c>
      <c r="N1839" s="27" t="s">
        <v>816</v>
      </c>
      <c r="O1839" s="18">
        <f>G1839*L1839</f>
        <v>1151709271.3728001</v>
      </c>
      <c r="P1839" s="213"/>
      <c r="Q1839" s="213"/>
      <c r="R1839" s="27"/>
      <c r="S1839" s="27"/>
      <c r="T1839" s="18"/>
      <c r="U1839" s="27"/>
      <c r="V1839" s="27"/>
      <c r="W1839" s="30"/>
      <c r="X1839" s="27"/>
      <c r="Y1839" s="27"/>
      <c r="Z1839" s="27"/>
      <c r="AA1839" s="27"/>
      <c r="AB1839" s="27"/>
      <c r="AC1839" s="273">
        <v>2343960552.7359438</v>
      </c>
      <c r="AD1839" s="27">
        <v>9593536719.0731144</v>
      </c>
      <c r="AE1839" s="228">
        <v>0.24432705282462369</v>
      </c>
      <c r="AF1839" s="27" t="s">
        <v>2842</v>
      </c>
      <c r="AG1839" s="226" t="s">
        <v>2842</v>
      </c>
      <c r="AH1839" s="226" t="s">
        <v>2842</v>
      </c>
      <c r="AI1839" s="27">
        <v>283280000</v>
      </c>
      <c r="AJ1839" s="226">
        <v>8.2743594773225926</v>
      </c>
      <c r="AK1839" s="27">
        <v>109475859.44809492</v>
      </c>
      <c r="AL1839" s="226">
        <v>21.410752695184556</v>
      </c>
      <c r="AM1839" s="27" t="s">
        <v>2842</v>
      </c>
      <c r="AN1839" s="271" t="s">
        <v>2842</v>
      </c>
      <c r="AO1839" s="27">
        <v>3995146</v>
      </c>
      <c r="AP1839" s="27" t="s">
        <v>2842</v>
      </c>
      <c r="AQ1839" s="27">
        <v>56.584487804878052</v>
      </c>
      <c r="AR1839" s="27">
        <v>45.1</v>
      </c>
      <c r="AS1839" s="29" t="s">
        <v>2842</v>
      </c>
      <c r="AT1839" s="270" t="s">
        <v>2842</v>
      </c>
      <c r="AU1839" s="464" t="s">
        <v>2842</v>
      </c>
      <c r="AV1839" s="29">
        <v>-1.09940352897635</v>
      </c>
      <c r="AW1839" s="29">
        <v>-0.27744695734202801</v>
      </c>
      <c r="AX1839" s="29">
        <v>-1.2350143943421401</v>
      </c>
      <c r="AY1839" s="29">
        <v>-1.2816085019057899</v>
      </c>
      <c r="AZ1839" s="60">
        <v>-1.175436427155</v>
      </c>
    </row>
    <row r="1840" spans="1:52" s="287" customFormat="1" ht="15" customHeight="1">
      <c r="A1840" s="359" t="s">
        <v>470</v>
      </c>
      <c r="B1840" s="302">
        <v>2009</v>
      </c>
      <c r="C1840" s="383" t="s">
        <v>458</v>
      </c>
      <c r="D1840" s="369" t="s">
        <v>81</v>
      </c>
      <c r="E1840" s="284" t="s">
        <v>98</v>
      </c>
      <c r="F1840" s="284" t="s">
        <v>98</v>
      </c>
      <c r="G1840" s="303">
        <v>98185000</v>
      </c>
      <c r="H1840" s="303"/>
      <c r="I1840" s="303"/>
      <c r="J1840" s="303"/>
      <c r="K1840" s="284" t="s">
        <v>603</v>
      </c>
      <c r="L1840" s="304">
        <f>62.0812648*0.8794</f>
        <v>54.594264265119996</v>
      </c>
      <c r="M1840" s="284" t="s">
        <v>626</v>
      </c>
      <c r="N1840" s="284" t="s">
        <v>1998</v>
      </c>
      <c r="O1840" s="305">
        <f>G1840*L1840</f>
        <v>5360337836.8708067</v>
      </c>
      <c r="P1840" s="306"/>
      <c r="Q1840" s="306"/>
      <c r="R1840" s="284"/>
      <c r="S1840" s="284"/>
      <c r="T1840" s="305"/>
      <c r="U1840" s="284"/>
      <c r="V1840" s="284"/>
      <c r="W1840" s="307"/>
      <c r="X1840" s="284"/>
      <c r="Y1840" s="284"/>
      <c r="Z1840" s="284"/>
      <c r="AA1840" s="284"/>
      <c r="AB1840" s="284"/>
      <c r="AC1840" s="308">
        <v>2343960552.7359438</v>
      </c>
      <c r="AD1840" s="284">
        <v>9593536719.0731144</v>
      </c>
      <c r="AE1840" s="309">
        <v>0.24432705282462369</v>
      </c>
      <c r="AF1840" s="284" t="s">
        <v>2842</v>
      </c>
      <c r="AG1840" s="310" t="s">
        <v>2842</v>
      </c>
      <c r="AH1840" s="310" t="s">
        <v>2842</v>
      </c>
      <c r="AI1840" s="284">
        <v>283280000</v>
      </c>
      <c r="AJ1840" s="310">
        <v>8.2743594773225926</v>
      </c>
      <c r="AK1840" s="284">
        <v>109475859.44809492</v>
      </c>
      <c r="AL1840" s="310">
        <v>21.410752695184556</v>
      </c>
      <c r="AM1840" s="284" t="s">
        <v>2842</v>
      </c>
      <c r="AN1840" s="311" t="s">
        <v>2842</v>
      </c>
      <c r="AO1840" s="284">
        <v>3995146</v>
      </c>
      <c r="AP1840" s="284" t="s">
        <v>2842</v>
      </c>
      <c r="AQ1840" s="284">
        <v>56.584487804878052</v>
      </c>
      <c r="AR1840" s="284">
        <v>45.1</v>
      </c>
      <c r="AS1840" s="287" t="s">
        <v>2842</v>
      </c>
      <c r="AT1840" s="312" t="s">
        <v>2842</v>
      </c>
      <c r="AU1840" s="465" t="s">
        <v>2842</v>
      </c>
      <c r="AV1840" s="287">
        <v>-1.09940352897635</v>
      </c>
      <c r="AW1840" s="287">
        <v>-0.27744695734202801</v>
      </c>
      <c r="AX1840" s="287">
        <v>-1.2350143943421401</v>
      </c>
      <c r="AY1840" s="287">
        <v>-1.2816085019057899</v>
      </c>
      <c r="AZ1840" s="313">
        <v>-1.175436427155</v>
      </c>
    </row>
    <row r="1841" spans="1:52" ht="15" customHeight="1">
      <c r="A1841" s="347" t="s">
        <v>472</v>
      </c>
      <c r="B1841" s="53">
        <v>2010</v>
      </c>
      <c r="C1841" s="146" t="s">
        <v>458</v>
      </c>
      <c r="D1841" s="69" t="s">
        <v>81</v>
      </c>
      <c r="E1841" s="27" t="s">
        <v>50</v>
      </c>
      <c r="F1841" s="27" t="s">
        <v>659</v>
      </c>
      <c r="G1841" s="43"/>
      <c r="H1841" s="43"/>
      <c r="I1841" s="43"/>
      <c r="J1841" s="43"/>
      <c r="K1841" s="27"/>
      <c r="L1841" s="28"/>
      <c r="M1841" s="27"/>
      <c r="N1841" s="27"/>
      <c r="O1841" s="18">
        <f>SUM(O1842:O1843)</f>
        <v>6911955014.2825518</v>
      </c>
      <c r="P1841" s="214">
        <v>3195780380.0319676</v>
      </c>
      <c r="Q1841" s="214">
        <v>3419011268.8920569</v>
      </c>
      <c r="R1841" s="27" t="s">
        <v>3693</v>
      </c>
      <c r="S1841" s="18" t="s">
        <v>1999</v>
      </c>
      <c r="T1841" s="18">
        <f>1391390061000/W1841</f>
        <v>2862253451.329618</v>
      </c>
      <c r="U1841" s="27" t="s">
        <v>852</v>
      </c>
      <c r="V1841" s="27" t="s">
        <v>853</v>
      </c>
      <c r="W1841" s="30">
        <v>486.11700000000002</v>
      </c>
      <c r="X1841" s="27">
        <v>24</v>
      </c>
      <c r="Y1841" s="27" t="s">
        <v>2000</v>
      </c>
      <c r="Z1841" s="27">
        <v>16</v>
      </c>
      <c r="AA1841" s="27" t="s">
        <v>2001</v>
      </c>
      <c r="AB1841" s="27" t="s">
        <v>2002</v>
      </c>
      <c r="AC1841" s="273">
        <v>3195780380.0319676</v>
      </c>
      <c r="AD1841" s="27">
        <v>12007880067.439547</v>
      </c>
      <c r="AE1841" s="228">
        <v>0.2661402647331243</v>
      </c>
      <c r="AF1841" s="27" t="s">
        <v>2842</v>
      </c>
      <c r="AG1841" s="226" t="s">
        <v>2842</v>
      </c>
      <c r="AH1841" s="226" t="s">
        <v>2842</v>
      </c>
      <c r="AI1841" s="27">
        <v>1311500000</v>
      </c>
      <c r="AJ1841" s="226">
        <v>2.43673685095842</v>
      </c>
      <c r="AK1841" s="27">
        <v>166498739.91367117</v>
      </c>
      <c r="AL1841" s="226">
        <v>19.194021418354069</v>
      </c>
      <c r="AM1841" s="27">
        <v>746985002.44727266</v>
      </c>
      <c r="AN1841" s="271">
        <v>4.2782390135838746</v>
      </c>
      <c r="AO1841" s="27">
        <v>4111715</v>
      </c>
      <c r="AP1841" s="27" t="s">
        <v>2842</v>
      </c>
      <c r="AQ1841" s="27">
        <v>57.204024390243902</v>
      </c>
      <c r="AR1841" s="27">
        <v>42</v>
      </c>
      <c r="AS1841" s="29" t="s">
        <v>2842</v>
      </c>
      <c r="AT1841" s="270" t="s">
        <v>2842</v>
      </c>
      <c r="AU1841" s="464" t="s">
        <v>2842</v>
      </c>
      <c r="AV1841" s="29">
        <v>-1.05759514323022</v>
      </c>
      <c r="AW1841" s="29">
        <v>-0.33049749599117101</v>
      </c>
      <c r="AX1841" s="29">
        <v>-1.2339884209024099</v>
      </c>
      <c r="AY1841" s="29">
        <v>-1.2672029824801001</v>
      </c>
      <c r="AZ1841" s="60">
        <v>-1.1149697397604399</v>
      </c>
    </row>
    <row r="1842" spans="1:52" ht="15" customHeight="1">
      <c r="A1842" s="63" t="s">
        <v>472</v>
      </c>
      <c r="B1842" s="53">
        <v>2010</v>
      </c>
      <c r="C1842" s="146" t="s">
        <v>458</v>
      </c>
      <c r="D1842" s="69" t="s">
        <v>81</v>
      </c>
      <c r="E1842" s="27" t="s">
        <v>552</v>
      </c>
      <c r="F1842" s="27" t="s">
        <v>552</v>
      </c>
      <c r="G1842" s="43">
        <f>298000000000*0.0283168</f>
        <v>8438406400</v>
      </c>
      <c r="H1842" s="43"/>
      <c r="I1842" s="43"/>
      <c r="J1842" s="43"/>
      <c r="K1842" s="27" t="s">
        <v>599</v>
      </c>
      <c r="L1842" s="28">
        <v>0.1741077336927683</v>
      </c>
      <c r="M1842" s="27" t="s">
        <v>600</v>
      </c>
      <c r="N1842" s="27" t="s">
        <v>816</v>
      </c>
      <c r="O1842" s="18">
        <f>G1842*L1842</f>
        <v>1469191814.2825518</v>
      </c>
      <c r="P1842" s="213"/>
      <c r="Q1842" s="213"/>
      <c r="R1842" s="27"/>
      <c r="S1842" s="18"/>
      <c r="T1842" s="18"/>
      <c r="U1842" s="27"/>
      <c r="V1842" s="27"/>
      <c r="W1842" s="30"/>
      <c r="X1842" s="27"/>
      <c r="Y1842" s="27"/>
      <c r="Z1842" s="27"/>
      <c r="AA1842" s="27"/>
      <c r="AB1842" s="27"/>
      <c r="AC1842" s="273">
        <v>3195780380.0319676</v>
      </c>
      <c r="AD1842" s="27">
        <v>12007880067.439547</v>
      </c>
      <c r="AE1842" s="228">
        <v>0.2661402647331243</v>
      </c>
      <c r="AF1842" s="27" t="s">
        <v>2842</v>
      </c>
      <c r="AG1842" s="226" t="s">
        <v>2842</v>
      </c>
      <c r="AH1842" s="226" t="s">
        <v>2842</v>
      </c>
      <c r="AI1842" s="27">
        <v>1311500000</v>
      </c>
      <c r="AJ1842" s="226">
        <v>2.43673685095842</v>
      </c>
      <c r="AK1842" s="27">
        <v>166498739.91367117</v>
      </c>
      <c r="AL1842" s="226">
        <v>19.194021418354069</v>
      </c>
      <c r="AM1842" s="27">
        <v>746985002.44727266</v>
      </c>
      <c r="AN1842" s="271">
        <v>4.2782390135838746</v>
      </c>
      <c r="AO1842" s="27">
        <v>4111715</v>
      </c>
      <c r="AP1842" s="27" t="s">
        <v>2842</v>
      </c>
      <c r="AQ1842" s="27">
        <v>57.204024390243902</v>
      </c>
      <c r="AR1842" s="27">
        <v>42</v>
      </c>
      <c r="AS1842" s="29" t="s">
        <v>2842</v>
      </c>
      <c r="AT1842" s="270" t="s">
        <v>2842</v>
      </c>
      <c r="AU1842" s="464" t="s">
        <v>2842</v>
      </c>
      <c r="AV1842" s="29">
        <v>-1.05759514323022</v>
      </c>
      <c r="AW1842" s="29">
        <v>-0.33049749599117101</v>
      </c>
      <c r="AX1842" s="29">
        <v>-1.2339884209024099</v>
      </c>
      <c r="AY1842" s="29">
        <v>-1.2672029824801001</v>
      </c>
      <c r="AZ1842" s="60">
        <v>-1.1149697397604399</v>
      </c>
    </row>
    <row r="1843" spans="1:52" s="287" customFormat="1" ht="15" customHeight="1">
      <c r="A1843" s="359" t="s">
        <v>472</v>
      </c>
      <c r="B1843" s="302">
        <v>2010</v>
      </c>
      <c r="C1843" s="383" t="s">
        <v>458</v>
      </c>
      <c r="D1843" s="369" t="s">
        <v>81</v>
      </c>
      <c r="E1843" s="284" t="s">
        <v>98</v>
      </c>
      <c r="F1843" s="284" t="s">
        <v>98</v>
      </c>
      <c r="G1843" s="303">
        <v>107310000</v>
      </c>
      <c r="H1843" s="303"/>
      <c r="I1843" s="303"/>
      <c r="J1843" s="303"/>
      <c r="K1843" s="284" t="s">
        <v>603</v>
      </c>
      <c r="L1843" s="304">
        <v>50.72</v>
      </c>
      <c r="M1843" s="284" t="s">
        <v>626</v>
      </c>
      <c r="N1843" s="284" t="s">
        <v>2003</v>
      </c>
      <c r="O1843" s="305">
        <f>G1843*L1843</f>
        <v>5442763200</v>
      </c>
      <c r="P1843" s="346"/>
      <c r="Q1843" s="346"/>
      <c r="R1843" s="284"/>
      <c r="S1843" s="305" t="s">
        <v>1999</v>
      </c>
      <c r="T1843" s="305">
        <f>1391390061000/W1841</f>
        <v>2862253451.329618</v>
      </c>
      <c r="U1843" s="284"/>
      <c r="V1843" s="284"/>
      <c r="W1843" s="307"/>
      <c r="X1843" s="284"/>
      <c r="Y1843" s="284"/>
      <c r="Z1843" s="284"/>
      <c r="AA1843" s="284"/>
      <c r="AB1843" s="284"/>
      <c r="AC1843" s="308">
        <v>3195780380.0319676</v>
      </c>
      <c r="AD1843" s="284">
        <v>12007880067.439547</v>
      </c>
      <c r="AE1843" s="309">
        <v>0.2661402647331243</v>
      </c>
      <c r="AF1843" s="284" t="s">
        <v>2842</v>
      </c>
      <c r="AG1843" s="310" t="s">
        <v>2842</v>
      </c>
      <c r="AH1843" s="310" t="s">
        <v>2842</v>
      </c>
      <c r="AI1843" s="284">
        <v>1311500000</v>
      </c>
      <c r="AJ1843" s="310">
        <v>2.43673685095842</v>
      </c>
      <c r="AK1843" s="284">
        <v>166498739.91367117</v>
      </c>
      <c r="AL1843" s="310">
        <v>19.194021418354069</v>
      </c>
      <c r="AM1843" s="284">
        <v>746985002.44727266</v>
      </c>
      <c r="AN1843" s="311">
        <v>4.2782390135838746</v>
      </c>
      <c r="AO1843" s="284">
        <v>4111715</v>
      </c>
      <c r="AP1843" s="284" t="s">
        <v>2842</v>
      </c>
      <c r="AQ1843" s="284">
        <v>57.204024390243902</v>
      </c>
      <c r="AR1843" s="284">
        <v>42</v>
      </c>
      <c r="AS1843" s="287" t="s">
        <v>2842</v>
      </c>
      <c r="AT1843" s="312" t="s">
        <v>2842</v>
      </c>
      <c r="AU1843" s="465" t="s">
        <v>2842</v>
      </c>
      <c r="AV1843" s="287">
        <v>-1.05759514323022</v>
      </c>
      <c r="AW1843" s="287">
        <v>-0.33049749599117101</v>
      </c>
      <c r="AX1843" s="287">
        <v>-1.2339884209024099</v>
      </c>
      <c r="AY1843" s="287">
        <v>-1.2672029824801001</v>
      </c>
      <c r="AZ1843" s="313">
        <v>-1.1149697397604399</v>
      </c>
    </row>
    <row r="1844" spans="1:52" s="29" customFormat="1" ht="15" customHeight="1">
      <c r="A1844" s="347" t="s">
        <v>474</v>
      </c>
      <c r="B1844" s="53">
        <v>2011</v>
      </c>
      <c r="C1844" s="146" t="s">
        <v>458</v>
      </c>
      <c r="D1844" s="69" t="s">
        <v>81</v>
      </c>
      <c r="E1844" s="27" t="s">
        <v>50</v>
      </c>
      <c r="F1844" s="27" t="s">
        <v>659</v>
      </c>
      <c r="G1844" s="43"/>
      <c r="H1844" s="43"/>
      <c r="I1844" s="43"/>
      <c r="J1844" s="43"/>
      <c r="K1844" s="27"/>
      <c r="L1844" s="28"/>
      <c r="M1844" s="27"/>
      <c r="N1844" s="27"/>
      <c r="O1844" s="18">
        <f>SUM(O1845:O1846)</f>
        <v>12742985192.604099</v>
      </c>
      <c r="P1844" s="214">
        <v>5529544307</v>
      </c>
      <c r="Q1844" s="214">
        <v>5551437090.9858561</v>
      </c>
      <c r="R1844" s="27" t="s">
        <v>3693</v>
      </c>
      <c r="S1844" s="18" t="s">
        <v>2004</v>
      </c>
      <c r="T1844" s="27" t="s">
        <v>2005</v>
      </c>
      <c r="U1844" s="27" t="s">
        <v>852</v>
      </c>
      <c r="V1844" s="27" t="s">
        <v>853</v>
      </c>
      <c r="W1844" s="30">
        <v>473.7</v>
      </c>
      <c r="X1844" s="27">
        <v>17</v>
      </c>
      <c r="Y1844" s="27" t="s">
        <v>2006</v>
      </c>
      <c r="Z1844" s="27">
        <v>17</v>
      </c>
      <c r="AA1844" s="421" t="s">
        <v>2007</v>
      </c>
      <c r="AB1844" s="27" t="s">
        <v>2008</v>
      </c>
      <c r="AC1844" s="273">
        <v>5529544307</v>
      </c>
      <c r="AD1844" s="27">
        <v>14425606793.365059</v>
      </c>
      <c r="AE1844" s="228">
        <v>0.38331450359116048</v>
      </c>
      <c r="AF1844" s="27" t="s">
        <v>2842</v>
      </c>
      <c r="AG1844" s="226" t="s">
        <v>2842</v>
      </c>
      <c r="AH1844" s="226" t="s">
        <v>2842</v>
      </c>
      <c r="AI1844" s="27">
        <v>259790000.00000003</v>
      </c>
      <c r="AJ1844" s="226">
        <v>21.284669567727779</v>
      </c>
      <c r="AK1844" s="27">
        <v>243013781.24635947</v>
      </c>
      <c r="AL1844" s="226">
        <v>22.754035917799772</v>
      </c>
      <c r="AM1844" s="27" t="s">
        <v>2842</v>
      </c>
      <c r="AN1844" s="271" t="s">
        <v>2842</v>
      </c>
      <c r="AO1844" s="27">
        <v>4225359</v>
      </c>
      <c r="AP1844" s="27">
        <v>46.5</v>
      </c>
      <c r="AQ1844" s="27">
        <v>57.775219512195129</v>
      </c>
      <c r="AR1844" s="27">
        <v>39.4</v>
      </c>
      <c r="AS1844" s="29" t="s">
        <v>2842</v>
      </c>
      <c r="AT1844" s="270" t="s">
        <v>2842</v>
      </c>
      <c r="AU1844" s="464" t="s">
        <v>2842</v>
      </c>
      <c r="AV1844" s="29">
        <v>-1.1115959611163999</v>
      </c>
      <c r="AW1844" s="29">
        <v>-0.36229556506272098</v>
      </c>
      <c r="AX1844" s="29">
        <v>-1.1967315038065001</v>
      </c>
      <c r="AY1844" s="29">
        <v>-1.25942308549802</v>
      </c>
      <c r="AZ1844" s="60">
        <v>-1.0777492176586001</v>
      </c>
    </row>
    <row r="1845" spans="1:52" s="29" customFormat="1" ht="15" customHeight="1">
      <c r="A1845" s="63" t="s">
        <v>474</v>
      </c>
      <c r="B1845" s="53">
        <v>2011</v>
      </c>
      <c r="C1845" s="146" t="s">
        <v>458</v>
      </c>
      <c r="D1845" s="69" t="s">
        <v>81</v>
      </c>
      <c r="E1845" s="27" t="s">
        <v>552</v>
      </c>
      <c r="F1845" s="27" t="s">
        <v>552</v>
      </c>
      <c r="G1845" s="43">
        <f>334000000000*0.0283168</f>
        <v>9457811200</v>
      </c>
      <c r="H1845" s="43"/>
      <c r="I1845" s="43"/>
      <c r="J1845" s="43"/>
      <c r="K1845" s="27" t="s">
        <v>599</v>
      </c>
      <c r="L1845" s="28">
        <v>0.19666043794616025</v>
      </c>
      <c r="M1845" s="27" t="s">
        <v>600</v>
      </c>
      <c r="N1845" s="27" t="s">
        <v>816</v>
      </c>
      <c r="O1845" s="18">
        <f>G1845*L1845</f>
        <v>1859977292.6040995</v>
      </c>
      <c r="P1845" s="213"/>
      <c r="Q1845" s="213"/>
      <c r="R1845" s="27"/>
      <c r="S1845" s="18"/>
      <c r="T1845" s="18"/>
      <c r="U1845" s="27"/>
      <c r="V1845" s="27"/>
      <c r="W1845" s="30"/>
      <c r="X1845" s="27"/>
      <c r="Y1845" s="27"/>
      <c r="Z1845" s="27"/>
      <c r="AA1845" s="27"/>
      <c r="AB1845" s="27"/>
      <c r="AC1845" s="273">
        <v>5529544307</v>
      </c>
      <c r="AD1845" s="27">
        <v>14425606793.365059</v>
      </c>
      <c r="AE1845" s="228">
        <v>0.38331450359116048</v>
      </c>
      <c r="AF1845" s="27" t="s">
        <v>2842</v>
      </c>
      <c r="AG1845" s="226" t="s">
        <v>2842</v>
      </c>
      <c r="AH1845" s="226" t="s">
        <v>2842</v>
      </c>
      <c r="AI1845" s="27">
        <v>259790000.00000003</v>
      </c>
      <c r="AJ1845" s="226">
        <v>21.284669567727779</v>
      </c>
      <c r="AK1845" s="27">
        <v>243013781.24635947</v>
      </c>
      <c r="AL1845" s="226">
        <v>22.754035917799772</v>
      </c>
      <c r="AM1845" s="27" t="s">
        <v>2842</v>
      </c>
      <c r="AN1845" s="271" t="s">
        <v>2842</v>
      </c>
      <c r="AO1845" s="27">
        <v>4225359</v>
      </c>
      <c r="AP1845" s="27">
        <v>46.5</v>
      </c>
      <c r="AQ1845" s="27">
        <v>57.775219512195129</v>
      </c>
      <c r="AR1845" s="27">
        <v>39.4</v>
      </c>
      <c r="AS1845" s="29" t="s">
        <v>2842</v>
      </c>
      <c r="AT1845" s="270" t="s">
        <v>2842</v>
      </c>
      <c r="AU1845" s="464" t="s">
        <v>2842</v>
      </c>
      <c r="AV1845" s="29">
        <v>-1.1115959611163999</v>
      </c>
      <c r="AW1845" s="29">
        <v>-0.36229556506272098</v>
      </c>
      <c r="AX1845" s="29">
        <v>-1.1967315038065001</v>
      </c>
      <c r="AY1845" s="29">
        <v>-1.25942308549802</v>
      </c>
      <c r="AZ1845" s="60">
        <v>-1.0777492176586001</v>
      </c>
    </row>
    <row r="1846" spans="1:52" s="287" customFormat="1" ht="15" customHeight="1">
      <c r="A1846" s="359" t="s">
        <v>474</v>
      </c>
      <c r="B1846" s="302">
        <v>2011</v>
      </c>
      <c r="C1846" s="383" t="s">
        <v>458</v>
      </c>
      <c r="D1846" s="369" t="s">
        <v>81</v>
      </c>
      <c r="E1846" s="284" t="s">
        <v>98</v>
      </c>
      <c r="F1846" s="284" t="s">
        <v>98</v>
      </c>
      <c r="G1846" s="303">
        <v>110230000</v>
      </c>
      <c r="H1846" s="303"/>
      <c r="I1846" s="303"/>
      <c r="J1846" s="303"/>
      <c r="K1846" s="284" t="s">
        <v>603</v>
      </c>
      <c r="L1846" s="304">
        <v>98.73</v>
      </c>
      <c r="M1846" s="284" t="s">
        <v>626</v>
      </c>
      <c r="N1846" s="284" t="s">
        <v>2003</v>
      </c>
      <c r="O1846" s="305">
        <f>G1846*L1846</f>
        <v>10883007900</v>
      </c>
      <c r="P1846" s="306"/>
      <c r="Q1846" s="306"/>
      <c r="R1846" s="284"/>
      <c r="S1846" s="305" t="s">
        <v>2004</v>
      </c>
      <c r="T1846" s="284" t="s">
        <v>2005</v>
      </c>
      <c r="U1846" s="284"/>
      <c r="V1846" s="284"/>
      <c r="W1846" s="307"/>
      <c r="X1846" s="284"/>
      <c r="Y1846" s="284"/>
      <c r="Z1846" s="284"/>
      <c r="AA1846" s="284"/>
      <c r="AB1846" s="284"/>
      <c r="AC1846" s="308">
        <v>5529544307</v>
      </c>
      <c r="AD1846" s="284">
        <v>14425606793.365059</v>
      </c>
      <c r="AE1846" s="309">
        <v>0.38331450359116048</v>
      </c>
      <c r="AF1846" s="284" t="s">
        <v>2842</v>
      </c>
      <c r="AG1846" s="310" t="s">
        <v>2842</v>
      </c>
      <c r="AH1846" s="310" t="s">
        <v>2842</v>
      </c>
      <c r="AI1846" s="284">
        <v>259790000.00000003</v>
      </c>
      <c r="AJ1846" s="310">
        <v>21.284669567727779</v>
      </c>
      <c r="AK1846" s="284">
        <v>243013781.24635947</v>
      </c>
      <c r="AL1846" s="310">
        <v>22.754035917799772</v>
      </c>
      <c r="AM1846" s="284" t="s">
        <v>2842</v>
      </c>
      <c r="AN1846" s="311" t="s">
        <v>2842</v>
      </c>
      <c r="AO1846" s="284">
        <v>4225359</v>
      </c>
      <c r="AP1846" s="284">
        <v>46.5</v>
      </c>
      <c r="AQ1846" s="284">
        <v>57.775219512195129</v>
      </c>
      <c r="AR1846" s="284">
        <v>39.4</v>
      </c>
      <c r="AS1846" s="287" t="s">
        <v>2842</v>
      </c>
      <c r="AT1846" s="312" t="s">
        <v>2842</v>
      </c>
      <c r="AU1846" s="465" t="s">
        <v>2842</v>
      </c>
      <c r="AV1846" s="287">
        <v>-1.1115959611163999</v>
      </c>
      <c r="AW1846" s="287">
        <v>-0.36229556506272098</v>
      </c>
      <c r="AX1846" s="287">
        <v>-1.1967315038065001</v>
      </c>
      <c r="AY1846" s="287">
        <v>-1.25942308549802</v>
      </c>
      <c r="AZ1846" s="313">
        <v>-1.0777492176586001</v>
      </c>
    </row>
    <row r="1847" spans="1:52" s="29" customFormat="1" ht="15" customHeight="1">
      <c r="A1847" s="347" t="s">
        <v>476</v>
      </c>
      <c r="B1847" s="53">
        <v>2012</v>
      </c>
      <c r="C1847" s="146" t="s">
        <v>458</v>
      </c>
      <c r="D1847" s="69" t="s">
        <v>81</v>
      </c>
      <c r="E1847" s="27" t="s">
        <v>30</v>
      </c>
      <c r="F1847" s="27" t="s">
        <v>659</v>
      </c>
      <c r="G1847" s="43"/>
      <c r="H1847" s="43"/>
      <c r="I1847" s="43"/>
      <c r="J1847" s="43"/>
      <c r="K1847" s="27"/>
      <c r="L1847" s="28"/>
      <c r="M1847" s="27"/>
      <c r="N1847" s="27"/>
      <c r="O1847" s="18">
        <f>O1848+O1851</f>
        <v>12526814546.70013</v>
      </c>
      <c r="P1847" s="214">
        <v>3185676000</v>
      </c>
      <c r="Q1847" s="214">
        <v>3210830000</v>
      </c>
      <c r="R1847" s="27" t="s">
        <v>3693</v>
      </c>
      <c r="S1847" s="18" t="s">
        <v>2010</v>
      </c>
      <c r="T1847" s="18" t="s">
        <v>2011</v>
      </c>
      <c r="U1847" s="27" t="s">
        <v>803</v>
      </c>
      <c r="V1847" s="27" t="s">
        <v>2009</v>
      </c>
      <c r="W1847" s="41">
        <v>510.53</v>
      </c>
      <c r="X1847" s="27">
        <v>24</v>
      </c>
      <c r="Y1847" s="27" t="s">
        <v>2012</v>
      </c>
      <c r="Z1847" s="27">
        <v>21</v>
      </c>
      <c r="AA1847" s="27" t="s">
        <v>2013</v>
      </c>
      <c r="AB1847" s="27" t="s">
        <v>2014</v>
      </c>
      <c r="AC1847" s="273">
        <v>3185676000</v>
      </c>
      <c r="AD1847" s="27">
        <v>13677929161.714231</v>
      </c>
      <c r="AE1847" s="228">
        <v>0.23290630930572423</v>
      </c>
      <c r="AF1847" s="27" t="s">
        <v>2842</v>
      </c>
      <c r="AG1847" s="226" t="s">
        <v>2842</v>
      </c>
      <c r="AH1847" s="226" t="s">
        <v>2842</v>
      </c>
      <c r="AI1847" s="27">
        <v>138600000</v>
      </c>
      <c r="AJ1847" s="226">
        <v>22.984675324675326</v>
      </c>
      <c r="AK1847" s="27">
        <v>319823669.81408089</v>
      </c>
      <c r="AL1847" s="226">
        <v>9.9607261771834761</v>
      </c>
      <c r="AM1847" s="27" t="s">
        <v>2842</v>
      </c>
      <c r="AN1847" s="271" t="s">
        <v>2842</v>
      </c>
      <c r="AO1847" s="27">
        <v>4337051</v>
      </c>
      <c r="AP1847" s="27" t="s">
        <v>2842</v>
      </c>
      <c r="AQ1847" s="27">
        <v>58.296560975609758</v>
      </c>
      <c r="AR1847" s="27">
        <v>37.299999999999997</v>
      </c>
      <c r="AS1847" s="29" t="s">
        <v>2842</v>
      </c>
      <c r="AT1847" s="270" t="s">
        <v>2842</v>
      </c>
      <c r="AU1847" s="464" t="s">
        <v>2842</v>
      </c>
      <c r="AV1847" s="29">
        <v>-1.1557730958198</v>
      </c>
      <c r="AW1847" s="29">
        <v>-0.47834038681802699</v>
      </c>
      <c r="AX1847" s="29">
        <v>-1.2017292175155401</v>
      </c>
      <c r="AY1847" s="29">
        <v>-1.37830012516968</v>
      </c>
      <c r="AZ1847" s="60">
        <v>-1.1913743032773401</v>
      </c>
    </row>
    <row r="1848" spans="1:52" ht="15" customHeight="1">
      <c r="A1848" s="63" t="s">
        <v>476</v>
      </c>
      <c r="B1848" s="53">
        <v>2012</v>
      </c>
      <c r="C1848" s="146" t="s">
        <v>458</v>
      </c>
      <c r="D1848" s="69" t="s">
        <v>81</v>
      </c>
      <c r="E1848" s="27" t="s">
        <v>50</v>
      </c>
      <c r="F1848" s="27" t="s">
        <v>597</v>
      </c>
      <c r="G1848" s="43"/>
      <c r="H1848" s="43"/>
      <c r="I1848" s="43"/>
      <c r="J1848" s="43"/>
      <c r="K1848" s="27"/>
      <c r="L1848" s="28"/>
      <c r="M1848" s="27"/>
      <c r="N1848" s="27"/>
      <c r="O1848" s="18">
        <f>SUM(O1849:O1850)</f>
        <v>12501521631.413208</v>
      </c>
      <c r="P1848" s="214">
        <v>3182873000</v>
      </c>
      <c r="Q1848" s="214">
        <v>3210427000</v>
      </c>
      <c r="R1848" s="27"/>
      <c r="S1848" s="18"/>
      <c r="T1848" s="18"/>
      <c r="U1848" s="27"/>
      <c r="V1848" s="27"/>
      <c r="W1848" s="30"/>
      <c r="X1848" s="27"/>
      <c r="Y1848" s="27"/>
      <c r="Z1848" s="27"/>
      <c r="AA1848" s="27"/>
      <c r="AB1848" s="27"/>
      <c r="AC1848" s="273">
        <v>3185676000</v>
      </c>
      <c r="AD1848" s="27">
        <v>13677929161.714231</v>
      </c>
      <c r="AE1848" s="228">
        <v>0.23290630930572423</v>
      </c>
      <c r="AF1848" s="27" t="s">
        <v>2842</v>
      </c>
      <c r="AG1848" s="226" t="s">
        <v>2842</v>
      </c>
      <c r="AH1848" s="226" t="s">
        <v>2842</v>
      </c>
      <c r="AI1848" s="27">
        <v>138600000</v>
      </c>
      <c r="AJ1848" s="226">
        <v>22.984675324675326</v>
      </c>
      <c r="AK1848" s="27">
        <v>319823669.81408089</v>
      </c>
      <c r="AL1848" s="226">
        <v>9.9607261771834761</v>
      </c>
      <c r="AM1848" s="27" t="s">
        <v>2842</v>
      </c>
      <c r="AN1848" s="271" t="s">
        <v>2842</v>
      </c>
      <c r="AO1848" s="27">
        <v>4337051</v>
      </c>
      <c r="AP1848" s="27" t="s">
        <v>2842</v>
      </c>
      <c r="AQ1848" s="27">
        <v>58.296560975609758</v>
      </c>
      <c r="AR1848" s="27">
        <v>37.299999999999997</v>
      </c>
      <c r="AS1848" s="29" t="s">
        <v>2842</v>
      </c>
      <c r="AT1848" s="270" t="s">
        <v>2842</v>
      </c>
      <c r="AU1848" s="464" t="s">
        <v>2842</v>
      </c>
      <c r="AV1848" s="29">
        <v>-1.1557730958198</v>
      </c>
      <c r="AW1848" s="29">
        <v>-0.47834038681802699</v>
      </c>
      <c r="AX1848" s="29">
        <v>-1.2017292175155401</v>
      </c>
      <c r="AY1848" s="29">
        <v>-1.37830012516968</v>
      </c>
      <c r="AZ1848" s="60">
        <v>-1.1913743032773401</v>
      </c>
    </row>
    <row r="1849" spans="1:52" ht="15" customHeight="1">
      <c r="A1849" s="63" t="s">
        <v>476</v>
      </c>
      <c r="B1849" s="53">
        <v>2012</v>
      </c>
      <c r="C1849" s="146" t="s">
        <v>458</v>
      </c>
      <c r="D1849" s="69" t="s">
        <v>81</v>
      </c>
      <c r="E1849" s="27" t="s">
        <v>552</v>
      </c>
      <c r="F1849" s="27" t="s">
        <v>552</v>
      </c>
      <c r="G1849" s="43">
        <f>335000000000*0.0283168</f>
        <v>9486128000</v>
      </c>
      <c r="H1849" s="43"/>
      <c r="I1849" s="43"/>
      <c r="J1849" s="43"/>
      <c r="K1849" s="27" t="s">
        <v>599</v>
      </c>
      <c r="L1849" s="28">
        <v>0.17241089108361263</v>
      </c>
      <c r="M1849" s="27" t="s">
        <v>600</v>
      </c>
      <c r="N1849" s="27" t="s">
        <v>816</v>
      </c>
      <c r="O1849" s="18">
        <f>G1849*L1849</f>
        <v>1635511781.413208</v>
      </c>
      <c r="P1849" s="213"/>
      <c r="Q1849" s="213"/>
      <c r="R1849" s="27"/>
      <c r="S1849" s="18"/>
      <c r="T1849" s="18"/>
      <c r="U1849" s="27"/>
      <c r="V1849" s="27"/>
      <c r="W1849" s="30"/>
      <c r="X1849" s="27"/>
      <c r="Y1849" s="27"/>
      <c r="Z1849" s="27"/>
      <c r="AA1849" s="27"/>
      <c r="AB1849" s="27"/>
      <c r="AC1849" s="273">
        <v>3185676000</v>
      </c>
      <c r="AD1849" s="27">
        <v>13677929161.714231</v>
      </c>
      <c r="AE1849" s="228">
        <v>0.23290630930572423</v>
      </c>
      <c r="AF1849" s="27" t="s">
        <v>2842</v>
      </c>
      <c r="AG1849" s="226" t="s">
        <v>2842</v>
      </c>
      <c r="AH1849" s="226" t="s">
        <v>2842</v>
      </c>
      <c r="AI1849" s="27">
        <v>138600000</v>
      </c>
      <c r="AJ1849" s="226">
        <v>22.984675324675326</v>
      </c>
      <c r="AK1849" s="27">
        <v>319823669.81408089</v>
      </c>
      <c r="AL1849" s="226">
        <v>9.9607261771834761</v>
      </c>
      <c r="AM1849" s="27" t="s">
        <v>2842</v>
      </c>
      <c r="AN1849" s="271" t="s">
        <v>2842</v>
      </c>
      <c r="AO1849" s="27">
        <v>4337051</v>
      </c>
      <c r="AP1849" s="27" t="s">
        <v>2842</v>
      </c>
      <c r="AQ1849" s="27">
        <v>58.296560975609758</v>
      </c>
      <c r="AR1849" s="27">
        <v>37.299999999999997</v>
      </c>
      <c r="AS1849" s="29" t="s">
        <v>2842</v>
      </c>
      <c r="AT1849" s="270" t="s">
        <v>2842</v>
      </c>
      <c r="AU1849" s="464" t="s">
        <v>2842</v>
      </c>
      <c r="AV1849" s="29">
        <v>-1.1557730958198</v>
      </c>
      <c r="AW1849" s="29">
        <v>-0.47834038681802699</v>
      </c>
      <c r="AX1849" s="29">
        <v>-1.2017292175155401</v>
      </c>
      <c r="AY1849" s="29">
        <v>-1.37830012516968</v>
      </c>
      <c r="AZ1849" s="60">
        <v>-1.1913743032773401</v>
      </c>
    </row>
    <row r="1850" spans="1:52" ht="15" customHeight="1">
      <c r="A1850" s="63" t="s">
        <v>476</v>
      </c>
      <c r="B1850" s="53">
        <v>2012</v>
      </c>
      <c r="C1850" s="146" t="s">
        <v>458</v>
      </c>
      <c r="D1850" s="69" t="s">
        <v>81</v>
      </c>
      <c r="E1850" s="27" t="s">
        <v>98</v>
      </c>
      <c r="F1850" s="27" t="s">
        <v>98</v>
      </c>
      <c r="G1850" s="43">
        <v>105485000</v>
      </c>
      <c r="H1850" s="43"/>
      <c r="I1850" s="43"/>
      <c r="J1850" s="43"/>
      <c r="K1850" s="27" t="s">
        <v>603</v>
      </c>
      <c r="L1850" s="28">
        <v>103.01</v>
      </c>
      <c r="M1850" s="27" t="s">
        <v>626</v>
      </c>
      <c r="N1850" s="27" t="s">
        <v>2003</v>
      </c>
      <c r="O1850" s="18">
        <f>G1850*L1850</f>
        <v>10866009850</v>
      </c>
      <c r="P1850" s="213"/>
      <c r="Q1850" s="213"/>
      <c r="R1850" s="27"/>
      <c r="S1850" s="18" t="s">
        <v>2010</v>
      </c>
      <c r="T1850" s="18" t="s">
        <v>2011</v>
      </c>
      <c r="U1850" s="27"/>
      <c r="V1850" s="27"/>
      <c r="W1850" s="30"/>
      <c r="X1850" s="27"/>
      <c r="Y1850" s="27"/>
      <c r="Z1850" s="27"/>
      <c r="AA1850" s="27"/>
      <c r="AB1850" s="27" t="s">
        <v>2015</v>
      </c>
      <c r="AC1850" s="273">
        <v>3185676000</v>
      </c>
      <c r="AD1850" s="27">
        <v>13677929161.714231</v>
      </c>
      <c r="AE1850" s="228">
        <v>0.23290630930572423</v>
      </c>
      <c r="AF1850" s="27" t="s">
        <v>2842</v>
      </c>
      <c r="AG1850" s="226" t="s">
        <v>2842</v>
      </c>
      <c r="AH1850" s="226" t="s">
        <v>2842</v>
      </c>
      <c r="AI1850" s="27">
        <v>138600000</v>
      </c>
      <c r="AJ1850" s="226">
        <v>22.984675324675326</v>
      </c>
      <c r="AK1850" s="27">
        <v>319823669.81408089</v>
      </c>
      <c r="AL1850" s="226">
        <v>9.9607261771834761</v>
      </c>
      <c r="AM1850" s="27" t="s">
        <v>2842</v>
      </c>
      <c r="AN1850" s="271" t="s">
        <v>2842</v>
      </c>
      <c r="AO1850" s="27">
        <v>4337051</v>
      </c>
      <c r="AP1850" s="27" t="s">
        <v>2842</v>
      </c>
      <c r="AQ1850" s="27">
        <v>58.296560975609758</v>
      </c>
      <c r="AR1850" s="27">
        <v>37.299999999999997</v>
      </c>
      <c r="AS1850" s="29" t="s">
        <v>2842</v>
      </c>
      <c r="AT1850" s="270" t="s">
        <v>2842</v>
      </c>
      <c r="AU1850" s="464" t="s">
        <v>2842</v>
      </c>
      <c r="AV1850" s="29">
        <v>-1.1557730958198</v>
      </c>
      <c r="AW1850" s="29">
        <v>-0.47834038681802699</v>
      </c>
      <c r="AX1850" s="29">
        <v>-1.2017292175155401</v>
      </c>
      <c r="AY1850" s="29">
        <v>-1.37830012516968</v>
      </c>
      <c r="AZ1850" s="60">
        <v>-1.1913743032773401</v>
      </c>
    </row>
    <row r="1851" spans="1:52" ht="15" customHeight="1">
      <c r="A1851" s="63" t="s">
        <v>476</v>
      </c>
      <c r="B1851" s="53">
        <v>2012</v>
      </c>
      <c r="C1851" s="146" t="s">
        <v>458</v>
      </c>
      <c r="D1851" s="69" t="s">
        <v>81</v>
      </c>
      <c r="E1851" s="27" t="s">
        <v>19</v>
      </c>
      <c r="F1851" s="27" t="s">
        <v>559</v>
      </c>
      <c r="G1851" s="43"/>
      <c r="H1851" s="43"/>
      <c r="I1851" s="43"/>
      <c r="J1851" s="43"/>
      <c r="K1851" s="27"/>
      <c r="L1851" s="28"/>
      <c r="M1851" s="27"/>
      <c r="N1851" s="27"/>
      <c r="O1851" s="18">
        <f>SUM(O1852:O1854)</f>
        <v>25292915.286923066</v>
      </c>
      <c r="P1851" s="214">
        <v>2803000</v>
      </c>
      <c r="Q1851" s="214">
        <v>403000</v>
      </c>
      <c r="R1851" s="27"/>
      <c r="S1851" s="18"/>
      <c r="T1851" s="18"/>
      <c r="U1851" s="27"/>
      <c r="V1851" s="27"/>
      <c r="W1851" s="30"/>
      <c r="X1851" s="27"/>
      <c r="Y1851" s="27"/>
      <c r="Z1851" s="27"/>
      <c r="AA1851" s="27"/>
      <c r="AB1851" s="27"/>
      <c r="AC1851" s="273">
        <v>3185676000</v>
      </c>
      <c r="AD1851" s="27">
        <v>13677929161.714231</v>
      </c>
      <c r="AE1851" s="228">
        <v>0.23290630930572423</v>
      </c>
      <c r="AF1851" s="27" t="s">
        <v>2842</v>
      </c>
      <c r="AG1851" s="226" t="s">
        <v>2842</v>
      </c>
      <c r="AH1851" s="226" t="s">
        <v>2842</v>
      </c>
      <c r="AI1851" s="27">
        <v>138600000</v>
      </c>
      <c r="AJ1851" s="226">
        <v>22.984675324675326</v>
      </c>
      <c r="AK1851" s="27">
        <v>319823669.81408089</v>
      </c>
      <c r="AL1851" s="226">
        <v>9.9607261771834761</v>
      </c>
      <c r="AM1851" s="27" t="s">
        <v>2842</v>
      </c>
      <c r="AN1851" s="271" t="s">
        <v>2842</v>
      </c>
      <c r="AO1851" s="27">
        <v>4337051</v>
      </c>
      <c r="AP1851" s="27" t="s">
        <v>2842</v>
      </c>
      <c r="AQ1851" s="27">
        <v>58.296560975609758</v>
      </c>
      <c r="AR1851" s="27">
        <v>37.299999999999997</v>
      </c>
      <c r="AS1851" s="29" t="s">
        <v>2842</v>
      </c>
      <c r="AT1851" s="270" t="s">
        <v>2842</v>
      </c>
      <c r="AU1851" s="464" t="s">
        <v>2842</v>
      </c>
      <c r="AV1851" s="29">
        <v>-1.1557730958198</v>
      </c>
      <c r="AW1851" s="29">
        <v>-0.47834038681802699</v>
      </c>
      <c r="AX1851" s="29">
        <v>-1.2017292175155401</v>
      </c>
      <c r="AY1851" s="29">
        <v>-1.37830012516968</v>
      </c>
      <c r="AZ1851" s="60">
        <v>-1.1913743032773401</v>
      </c>
    </row>
    <row r="1852" spans="1:52" ht="15" customHeight="1">
      <c r="A1852" s="63" t="s">
        <v>476</v>
      </c>
      <c r="B1852" s="53">
        <v>2012</v>
      </c>
      <c r="C1852" s="146" t="s">
        <v>458</v>
      </c>
      <c r="D1852" s="69" t="s">
        <v>81</v>
      </c>
      <c r="E1852" s="27" t="s">
        <v>19</v>
      </c>
      <c r="F1852" s="27" t="s">
        <v>566</v>
      </c>
      <c r="G1852" s="43">
        <v>150000</v>
      </c>
      <c r="H1852" s="43"/>
      <c r="I1852" s="43"/>
      <c r="J1852" s="43"/>
      <c r="K1852" s="27" t="s">
        <v>567</v>
      </c>
      <c r="L1852" s="28">
        <v>89.5</v>
      </c>
      <c r="M1852" s="27" t="s">
        <v>568</v>
      </c>
      <c r="N1852" s="27" t="s">
        <v>1122</v>
      </c>
      <c r="O1852" s="18">
        <f>G1852*L1852</f>
        <v>13425000</v>
      </c>
      <c r="P1852" s="214"/>
      <c r="Q1852" s="214"/>
      <c r="R1852" s="27"/>
      <c r="S1852" s="18"/>
      <c r="T1852" s="18"/>
      <c r="U1852" s="27"/>
      <c r="V1852" s="27"/>
      <c r="W1852" s="30"/>
      <c r="X1852" s="27"/>
      <c r="Y1852" s="27"/>
      <c r="Z1852" s="27"/>
      <c r="AA1852" s="27"/>
      <c r="AB1852" s="27"/>
      <c r="AC1852" s="273">
        <v>3185676000</v>
      </c>
      <c r="AD1852" s="27">
        <v>13677929161.714231</v>
      </c>
      <c r="AE1852" s="228">
        <v>0.23290630930572423</v>
      </c>
      <c r="AF1852" s="27" t="s">
        <v>2842</v>
      </c>
      <c r="AG1852" s="226" t="s">
        <v>2842</v>
      </c>
      <c r="AH1852" s="226" t="s">
        <v>2842</v>
      </c>
      <c r="AI1852" s="27">
        <v>138600000</v>
      </c>
      <c r="AJ1852" s="226">
        <v>22.984675324675326</v>
      </c>
      <c r="AK1852" s="27">
        <v>319823669.81408089</v>
      </c>
      <c r="AL1852" s="226">
        <v>9.9607261771834761</v>
      </c>
      <c r="AM1852" s="27" t="s">
        <v>2842</v>
      </c>
      <c r="AN1852" s="271" t="s">
        <v>2842</v>
      </c>
      <c r="AO1852" s="27">
        <v>4337051</v>
      </c>
      <c r="AP1852" s="27" t="s">
        <v>2842</v>
      </c>
      <c r="AQ1852" s="27">
        <v>58.296560975609758</v>
      </c>
      <c r="AR1852" s="27">
        <v>37.299999999999997</v>
      </c>
      <c r="AS1852" s="29" t="s">
        <v>2842</v>
      </c>
      <c r="AT1852" s="270" t="s">
        <v>2842</v>
      </c>
      <c r="AU1852" s="464" t="s">
        <v>2842</v>
      </c>
      <c r="AV1852" s="29">
        <v>-1.1557730958198</v>
      </c>
      <c r="AW1852" s="29">
        <v>-0.47834038681802699</v>
      </c>
      <c r="AX1852" s="29">
        <v>-1.2017292175155401</v>
      </c>
      <c r="AY1852" s="29">
        <v>-1.37830012516968</v>
      </c>
      <c r="AZ1852" s="60">
        <v>-1.1913743032773401</v>
      </c>
    </row>
    <row r="1853" spans="1:52" ht="15" customHeight="1">
      <c r="A1853" s="63" t="s">
        <v>476</v>
      </c>
      <c r="B1853" s="53">
        <v>2012</v>
      </c>
      <c r="C1853" s="146" t="s">
        <v>458</v>
      </c>
      <c r="D1853" s="69" t="s">
        <v>81</v>
      </c>
      <c r="E1853" s="27" t="s">
        <v>19</v>
      </c>
      <c r="F1853" s="27" t="s">
        <v>904</v>
      </c>
      <c r="G1853" s="43">
        <v>51588</v>
      </c>
      <c r="H1853" s="43"/>
      <c r="I1853" s="43"/>
      <c r="J1853" s="43"/>
      <c r="K1853" s="27" t="s">
        <v>905</v>
      </c>
      <c r="L1853" s="28">
        <v>73.98</v>
      </c>
      <c r="M1853" s="27" t="s">
        <v>906</v>
      </c>
      <c r="N1853" s="27" t="s">
        <v>2016</v>
      </c>
      <c r="O1853" s="18">
        <f>G1853*L1853</f>
        <v>3816480.24</v>
      </c>
      <c r="P1853" s="214"/>
      <c r="Q1853" s="214"/>
      <c r="R1853" s="27"/>
      <c r="S1853" s="18"/>
      <c r="T1853" s="18"/>
      <c r="U1853" s="27"/>
      <c r="V1853" s="27"/>
      <c r="W1853" s="30"/>
      <c r="X1853" s="27"/>
      <c r="Y1853" s="27"/>
      <c r="Z1853" s="27"/>
      <c r="AA1853" s="27"/>
      <c r="AB1853" s="27"/>
      <c r="AC1853" s="273">
        <v>3185676000</v>
      </c>
      <c r="AD1853" s="27">
        <v>13677929161.714231</v>
      </c>
      <c r="AE1853" s="228">
        <v>0.23290630930572423</v>
      </c>
      <c r="AF1853" s="27" t="s">
        <v>2842</v>
      </c>
      <c r="AG1853" s="226" t="s">
        <v>2842</v>
      </c>
      <c r="AH1853" s="226" t="s">
        <v>2842</v>
      </c>
      <c r="AI1853" s="27">
        <v>138600000</v>
      </c>
      <c r="AJ1853" s="226">
        <v>22.984675324675326</v>
      </c>
      <c r="AK1853" s="27">
        <v>319823669.81408089</v>
      </c>
      <c r="AL1853" s="226">
        <v>9.9607261771834761</v>
      </c>
      <c r="AM1853" s="27" t="s">
        <v>2842</v>
      </c>
      <c r="AN1853" s="271" t="s">
        <v>2842</v>
      </c>
      <c r="AO1853" s="27">
        <v>4337051</v>
      </c>
      <c r="AP1853" s="27" t="s">
        <v>2842</v>
      </c>
      <c r="AQ1853" s="27">
        <v>58.296560975609758</v>
      </c>
      <c r="AR1853" s="27">
        <v>37.299999999999997</v>
      </c>
      <c r="AS1853" s="29" t="s">
        <v>2842</v>
      </c>
      <c r="AT1853" s="270" t="s">
        <v>2842</v>
      </c>
      <c r="AU1853" s="464" t="s">
        <v>2842</v>
      </c>
      <c r="AV1853" s="29">
        <v>-1.1557730958198</v>
      </c>
      <c r="AW1853" s="29">
        <v>-0.47834038681802699</v>
      </c>
      <c r="AX1853" s="29">
        <v>-1.2017292175155401</v>
      </c>
      <c r="AY1853" s="29">
        <v>-1.37830012516968</v>
      </c>
      <c r="AZ1853" s="60">
        <v>-1.1913743032773401</v>
      </c>
    </row>
    <row r="1854" spans="1:52" s="287" customFormat="1" ht="15" customHeight="1">
      <c r="A1854" s="359" t="s">
        <v>476</v>
      </c>
      <c r="B1854" s="302">
        <v>2012</v>
      </c>
      <c r="C1854" s="383" t="s">
        <v>458</v>
      </c>
      <c r="D1854" s="369" t="s">
        <v>81</v>
      </c>
      <c r="E1854" s="284" t="s">
        <v>19</v>
      </c>
      <c r="F1854" s="284" t="s">
        <v>730</v>
      </c>
      <c r="G1854" s="303">
        <f>150*32.1507431265</f>
        <v>4822.6114689749993</v>
      </c>
      <c r="H1854" s="303"/>
      <c r="I1854" s="303"/>
      <c r="J1854" s="303"/>
      <c r="K1854" s="284" t="s">
        <v>731</v>
      </c>
      <c r="L1854" s="304">
        <v>1669.51766666667</v>
      </c>
      <c r="M1854" s="284" t="s">
        <v>732</v>
      </c>
      <c r="N1854" s="284" t="s">
        <v>733</v>
      </c>
      <c r="O1854" s="305">
        <f>G1854*L1854</f>
        <v>8051435.0469230628</v>
      </c>
      <c r="P1854" s="346"/>
      <c r="Q1854" s="346"/>
      <c r="R1854" s="284"/>
      <c r="S1854" s="305"/>
      <c r="T1854" s="305"/>
      <c r="U1854" s="284"/>
      <c r="V1854" s="284"/>
      <c r="W1854" s="307"/>
      <c r="X1854" s="284"/>
      <c r="Y1854" s="284"/>
      <c r="Z1854" s="284"/>
      <c r="AA1854" s="284"/>
      <c r="AB1854" s="284"/>
      <c r="AC1854" s="308">
        <v>3185676000</v>
      </c>
      <c r="AD1854" s="284">
        <v>13677929161.714231</v>
      </c>
      <c r="AE1854" s="309">
        <v>0.23290630930572423</v>
      </c>
      <c r="AF1854" s="284" t="s">
        <v>2842</v>
      </c>
      <c r="AG1854" s="310" t="s">
        <v>2842</v>
      </c>
      <c r="AH1854" s="310" t="s">
        <v>2842</v>
      </c>
      <c r="AI1854" s="284">
        <v>138600000</v>
      </c>
      <c r="AJ1854" s="310">
        <v>22.984675324675326</v>
      </c>
      <c r="AK1854" s="284">
        <v>319823669.81408089</v>
      </c>
      <c r="AL1854" s="310">
        <v>9.9607261771834761</v>
      </c>
      <c r="AM1854" s="284" t="s">
        <v>2842</v>
      </c>
      <c r="AN1854" s="311" t="s">
        <v>2842</v>
      </c>
      <c r="AO1854" s="284">
        <v>4337051</v>
      </c>
      <c r="AP1854" s="284" t="s">
        <v>2842</v>
      </c>
      <c r="AQ1854" s="284">
        <v>58.296560975609758</v>
      </c>
      <c r="AR1854" s="284">
        <v>37.299999999999997</v>
      </c>
      <c r="AS1854" s="287" t="s">
        <v>2842</v>
      </c>
      <c r="AT1854" s="312" t="s">
        <v>2842</v>
      </c>
      <c r="AU1854" s="465" t="s">
        <v>2842</v>
      </c>
      <c r="AV1854" s="287">
        <v>-1.1557730958198</v>
      </c>
      <c r="AW1854" s="287">
        <v>-0.47834038681802699</v>
      </c>
      <c r="AX1854" s="287">
        <v>-1.2017292175155401</v>
      </c>
      <c r="AY1854" s="287">
        <v>-1.37830012516968</v>
      </c>
      <c r="AZ1854" s="313">
        <v>-1.1913743032773401</v>
      </c>
    </row>
    <row r="1855" spans="1:52" ht="15" customHeight="1">
      <c r="A1855" s="332" t="s">
        <v>478</v>
      </c>
      <c r="B1855" s="27">
        <v>2013</v>
      </c>
      <c r="C1855" s="27" t="s">
        <v>458</v>
      </c>
      <c r="D1855" s="27" t="s">
        <v>81</v>
      </c>
      <c r="E1855" s="27" t="s">
        <v>50</v>
      </c>
      <c r="F1855" s="27" t="s">
        <v>2017</v>
      </c>
      <c r="G1855" s="176"/>
      <c r="H1855" s="176"/>
      <c r="I1855" s="27"/>
      <c r="J1855" s="176"/>
      <c r="K1855" s="27"/>
      <c r="L1855" s="28"/>
      <c r="M1855" s="27"/>
      <c r="N1855" s="27" t="s">
        <v>674</v>
      </c>
      <c r="O1855" s="18">
        <v>9000000000</v>
      </c>
      <c r="P1855" s="214">
        <v>3041615000</v>
      </c>
      <c r="Q1855" s="214">
        <v>3044743000</v>
      </c>
      <c r="R1855" s="27" t="s">
        <v>3693</v>
      </c>
      <c r="S1855" s="27"/>
      <c r="T1855" s="18"/>
      <c r="U1855" s="27"/>
      <c r="V1855" s="27" t="s">
        <v>853</v>
      </c>
      <c r="W1855" s="30">
        <v>493.887</v>
      </c>
      <c r="X1855" s="27">
        <v>96</v>
      </c>
      <c r="Y1855" s="27" t="s">
        <v>2018</v>
      </c>
      <c r="Z1855" s="27">
        <v>96</v>
      </c>
      <c r="AA1855" s="27"/>
      <c r="AB1855" s="27" t="s">
        <v>2019</v>
      </c>
      <c r="AC1855" s="273">
        <v>3041615000</v>
      </c>
      <c r="AD1855" s="27">
        <v>14085852120.476074</v>
      </c>
      <c r="AE1855" s="228">
        <v>0.21593404317929182</v>
      </c>
      <c r="AF1855" s="27" t="s">
        <v>2842</v>
      </c>
      <c r="AG1855" s="226" t="s">
        <v>2842</v>
      </c>
      <c r="AH1855" s="226" t="s">
        <v>2842</v>
      </c>
      <c r="AI1855" s="27" t="s">
        <v>2842</v>
      </c>
      <c r="AJ1855" s="226" t="s">
        <v>2842</v>
      </c>
      <c r="AK1855" s="27" t="s">
        <v>2842</v>
      </c>
      <c r="AL1855" s="226" t="s">
        <v>2842</v>
      </c>
      <c r="AM1855" s="27" t="s">
        <v>2842</v>
      </c>
      <c r="AN1855" s="271" t="s">
        <v>2842</v>
      </c>
      <c r="AO1855" s="27">
        <v>4447632</v>
      </c>
      <c r="AP1855" s="27" t="s">
        <v>2842</v>
      </c>
      <c r="AQ1855" s="27" t="s">
        <v>2842</v>
      </c>
      <c r="AR1855" s="27">
        <v>35.6</v>
      </c>
      <c r="AS1855" s="29" t="s">
        <v>2842</v>
      </c>
      <c r="AT1855" s="270" t="s">
        <v>2842</v>
      </c>
      <c r="AU1855" s="464" t="s">
        <v>2842</v>
      </c>
      <c r="AV1855" s="29">
        <v>-1.1248090267181401</v>
      </c>
      <c r="AW1855" s="29">
        <v>-0.466122686862946</v>
      </c>
      <c r="AX1855" s="29">
        <v>-1.2225868701934799</v>
      </c>
      <c r="AY1855" s="29">
        <v>-1.3572151660919201</v>
      </c>
      <c r="AZ1855" s="60">
        <v>-1.1871302127838099</v>
      </c>
    </row>
    <row r="1856" spans="1:52" ht="15" customHeight="1">
      <c r="A1856" s="59" t="s">
        <v>478</v>
      </c>
      <c r="B1856" s="27">
        <v>2013</v>
      </c>
      <c r="C1856" s="27" t="s">
        <v>458</v>
      </c>
      <c r="D1856" s="27" t="s">
        <v>81</v>
      </c>
      <c r="E1856" s="27" t="s">
        <v>98</v>
      </c>
      <c r="F1856" s="27" t="s">
        <v>98</v>
      </c>
      <c r="G1856" s="176"/>
      <c r="H1856" s="176"/>
      <c r="I1856" s="18">
        <v>88384000</v>
      </c>
      <c r="J1856" s="176"/>
      <c r="K1856" s="27" t="s">
        <v>603</v>
      </c>
      <c r="L1856" s="28"/>
      <c r="M1856" s="27"/>
      <c r="N1856" s="27"/>
      <c r="O1856" s="27"/>
      <c r="P1856" s="244"/>
      <c r="Q1856" s="244"/>
      <c r="R1856" s="27"/>
      <c r="S1856" s="27"/>
      <c r="T1856" s="18"/>
      <c r="U1856" s="27"/>
      <c r="V1856" s="27"/>
      <c r="W1856" s="30"/>
      <c r="X1856" s="27"/>
      <c r="Y1856" s="27"/>
      <c r="Z1856" s="27"/>
      <c r="AA1856" s="27"/>
      <c r="AB1856" s="27"/>
      <c r="AC1856" s="273">
        <v>3041615000</v>
      </c>
      <c r="AD1856" s="27">
        <v>14085852120.476074</v>
      </c>
      <c r="AE1856" s="228">
        <v>0.21593404317929182</v>
      </c>
      <c r="AF1856" s="27" t="s">
        <v>2842</v>
      </c>
      <c r="AG1856" s="226" t="s">
        <v>2842</v>
      </c>
      <c r="AH1856" s="226" t="s">
        <v>2842</v>
      </c>
      <c r="AI1856" s="27" t="s">
        <v>2842</v>
      </c>
      <c r="AJ1856" s="226" t="s">
        <v>2842</v>
      </c>
      <c r="AK1856" s="27" t="s">
        <v>2842</v>
      </c>
      <c r="AL1856" s="226" t="s">
        <v>2842</v>
      </c>
      <c r="AM1856" s="27" t="s">
        <v>2842</v>
      </c>
      <c r="AN1856" s="271" t="s">
        <v>2842</v>
      </c>
      <c r="AO1856" s="27">
        <v>4447632</v>
      </c>
      <c r="AP1856" s="27" t="s">
        <v>2842</v>
      </c>
      <c r="AQ1856" s="27" t="s">
        <v>2842</v>
      </c>
      <c r="AR1856" s="27">
        <v>35.6</v>
      </c>
      <c r="AS1856" s="29" t="s">
        <v>2842</v>
      </c>
      <c r="AT1856" s="270" t="s">
        <v>2842</v>
      </c>
      <c r="AU1856" s="464" t="s">
        <v>2842</v>
      </c>
      <c r="AV1856" s="29">
        <v>-1.1248090267181401</v>
      </c>
      <c r="AW1856" s="29">
        <v>-0.466122686862946</v>
      </c>
      <c r="AX1856" s="29">
        <v>-1.2225868701934799</v>
      </c>
      <c r="AY1856" s="29">
        <v>-1.3572151660919201</v>
      </c>
      <c r="AZ1856" s="60">
        <v>-1.1871302127838099</v>
      </c>
    </row>
    <row r="1857" spans="1:52" s="232" customFormat="1" ht="15" customHeight="1" thickBot="1">
      <c r="A1857" s="360" t="s">
        <v>478</v>
      </c>
      <c r="B1857" s="230">
        <v>2013</v>
      </c>
      <c r="C1857" s="230" t="s">
        <v>458</v>
      </c>
      <c r="D1857" s="230" t="s">
        <v>81</v>
      </c>
      <c r="E1857" s="230" t="s">
        <v>552</v>
      </c>
      <c r="F1857" s="230" t="s">
        <v>552</v>
      </c>
      <c r="G1857" s="317"/>
      <c r="H1857" s="317"/>
      <c r="I1857" s="285">
        <v>1500000</v>
      </c>
      <c r="J1857" s="317"/>
      <c r="K1857" s="230" t="s">
        <v>603</v>
      </c>
      <c r="L1857" s="298"/>
      <c r="M1857" s="230"/>
      <c r="N1857" s="230"/>
      <c r="O1857" s="230"/>
      <c r="P1857" s="318"/>
      <c r="Q1857" s="318"/>
      <c r="R1857" s="230"/>
      <c r="S1857" s="230"/>
      <c r="T1857" s="285"/>
      <c r="U1857" s="230"/>
      <c r="V1857" s="230"/>
      <c r="W1857" s="300"/>
      <c r="X1857" s="230"/>
      <c r="Y1857" s="230"/>
      <c r="Z1857" s="230"/>
      <c r="AA1857" s="230"/>
      <c r="AB1857" s="230"/>
      <c r="AC1857" s="274">
        <v>3041615000</v>
      </c>
      <c r="AD1857" s="230">
        <v>14085852120.476074</v>
      </c>
      <c r="AE1857" s="229">
        <v>0.21593404317929182</v>
      </c>
      <c r="AF1857" s="230" t="s">
        <v>2842</v>
      </c>
      <c r="AG1857" s="231" t="s">
        <v>2842</v>
      </c>
      <c r="AH1857" s="231" t="s">
        <v>2842</v>
      </c>
      <c r="AI1857" s="230" t="s">
        <v>2842</v>
      </c>
      <c r="AJ1857" s="231" t="s">
        <v>2842</v>
      </c>
      <c r="AK1857" s="230" t="s">
        <v>2842</v>
      </c>
      <c r="AL1857" s="231" t="s">
        <v>2842</v>
      </c>
      <c r="AM1857" s="230" t="s">
        <v>2842</v>
      </c>
      <c r="AN1857" s="275" t="s">
        <v>2842</v>
      </c>
      <c r="AO1857" s="230">
        <v>4447632</v>
      </c>
      <c r="AP1857" s="230" t="s">
        <v>2842</v>
      </c>
      <c r="AQ1857" s="230" t="s">
        <v>2842</v>
      </c>
      <c r="AR1857" s="230">
        <v>35.6</v>
      </c>
      <c r="AS1857" s="232" t="s">
        <v>2842</v>
      </c>
      <c r="AT1857" s="276" t="s">
        <v>2842</v>
      </c>
      <c r="AU1857" s="466" t="s">
        <v>2842</v>
      </c>
      <c r="AV1857" s="232">
        <v>-1.1248090267181401</v>
      </c>
      <c r="AW1857" s="232">
        <v>-0.466122686862946</v>
      </c>
      <c r="AX1857" s="232">
        <v>-1.2225868701934799</v>
      </c>
      <c r="AY1857" s="232">
        <v>-1.3572151660919201</v>
      </c>
      <c r="AZ1857" s="293">
        <v>-1.1871302127838099</v>
      </c>
    </row>
    <row r="1858" spans="1:52" s="29" customFormat="1" ht="15" customHeight="1">
      <c r="A1858" s="332" t="s">
        <v>2020</v>
      </c>
      <c r="B1858" s="27">
        <v>2006</v>
      </c>
      <c r="C1858" s="27" t="s">
        <v>481</v>
      </c>
      <c r="D1858" s="27" t="s">
        <v>81</v>
      </c>
      <c r="E1858" s="27" t="s">
        <v>19</v>
      </c>
      <c r="F1858" s="27" t="s">
        <v>659</v>
      </c>
      <c r="G1858" s="43"/>
      <c r="H1858" s="43"/>
      <c r="I1858" s="43"/>
      <c r="J1858" s="43"/>
      <c r="K1858" s="27"/>
      <c r="L1858" s="28"/>
      <c r="M1858" s="27"/>
      <c r="N1858" s="27"/>
      <c r="O1858" s="18">
        <f>SUM(O1859:O1866)-SUM(O1864:O1866)</f>
        <v>192970526.33591437</v>
      </c>
      <c r="P1858" s="213">
        <v>7255694.5761567</v>
      </c>
      <c r="Q1858" s="213">
        <v>7650039.54407294</v>
      </c>
      <c r="R1858" s="27" t="s">
        <v>619</v>
      </c>
      <c r="S1858" s="27"/>
      <c r="T1858" s="18"/>
      <c r="U1858" s="27" t="s">
        <v>590</v>
      </c>
      <c r="V1858" s="27" t="s">
        <v>2022</v>
      </c>
      <c r="W1858" s="30">
        <v>2961</v>
      </c>
      <c r="X1858" s="27">
        <v>9</v>
      </c>
      <c r="Y1858" s="27" t="s">
        <v>2023</v>
      </c>
      <c r="Z1858" s="27">
        <v>9</v>
      </c>
      <c r="AA1858" s="27">
        <v>23</v>
      </c>
      <c r="AB1858" s="27" t="s">
        <v>2025</v>
      </c>
      <c r="AC1858" s="273">
        <v>7255694.5761567</v>
      </c>
      <c r="AD1858" s="27">
        <v>1887429109.5129781</v>
      </c>
      <c r="AE1858" s="228">
        <v>3.8442209774060972E-3</v>
      </c>
      <c r="AF1858" s="27">
        <v>263787092.34553382</v>
      </c>
      <c r="AG1858" s="226">
        <v>2.7505874194376768E-2</v>
      </c>
      <c r="AH1858" s="226" t="s">
        <v>2842</v>
      </c>
      <c r="AI1858" s="27">
        <v>380470000</v>
      </c>
      <c r="AJ1858" s="226">
        <v>1.9070346088145451E-2</v>
      </c>
      <c r="AK1858" s="27">
        <v>36746247.205817461</v>
      </c>
      <c r="AL1858" s="226">
        <v>0.19745402940107634</v>
      </c>
      <c r="AM1858" s="27" t="s">
        <v>2842</v>
      </c>
      <c r="AN1858" s="271" t="s">
        <v>2842</v>
      </c>
      <c r="AO1858" s="27">
        <v>5280909</v>
      </c>
      <c r="AP1858" s="27" t="s">
        <v>2842</v>
      </c>
      <c r="AQ1858" s="27">
        <v>42.882536585365855</v>
      </c>
      <c r="AR1858" s="27">
        <v>124.8</v>
      </c>
      <c r="AS1858" s="29" t="s">
        <v>2842</v>
      </c>
      <c r="AT1858" s="270">
        <v>31</v>
      </c>
      <c r="AU1858" s="464">
        <v>45.714168725457164</v>
      </c>
      <c r="AV1858" s="29">
        <v>-0.384186283734269</v>
      </c>
      <c r="AW1858" s="29">
        <v>-0.25657404298681802</v>
      </c>
      <c r="AX1858" s="29">
        <v>-1.1642917328430999</v>
      </c>
      <c r="AY1858" s="29">
        <v>-1.16081623685993</v>
      </c>
      <c r="AZ1858" s="60">
        <v>-1.0502475518389001</v>
      </c>
    </row>
    <row r="1859" spans="1:52" s="29" customFormat="1" ht="15" customHeight="1">
      <c r="A1859" s="59" t="s">
        <v>2020</v>
      </c>
      <c r="B1859" s="27">
        <v>2006</v>
      </c>
      <c r="C1859" s="27" t="s">
        <v>481</v>
      </c>
      <c r="D1859" s="27" t="s">
        <v>81</v>
      </c>
      <c r="E1859" s="27" t="s">
        <v>19</v>
      </c>
      <c r="F1859" s="27" t="s">
        <v>1049</v>
      </c>
      <c r="G1859" s="43">
        <v>1072000</v>
      </c>
      <c r="H1859" s="43"/>
      <c r="I1859" s="43"/>
      <c r="J1859" s="43"/>
      <c r="K1859" s="27" t="s">
        <v>567</v>
      </c>
      <c r="L1859" s="28">
        <v>28.1</v>
      </c>
      <c r="M1859" s="27" t="s">
        <v>568</v>
      </c>
      <c r="N1859" s="27" t="s">
        <v>2026</v>
      </c>
      <c r="O1859" s="18">
        <f>G1859*L1859</f>
        <v>30123200</v>
      </c>
      <c r="P1859" s="213">
        <f>711258+(177500229/2961)</f>
        <v>771204.04154002026</v>
      </c>
      <c r="Q1859" s="213">
        <f>731722+(177500229/2961)</f>
        <v>791668.04154002026</v>
      </c>
      <c r="R1859" s="27"/>
      <c r="S1859" s="27"/>
      <c r="T1859" s="18"/>
      <c r="U1859" s="27"/>
      <c r="V1859" s="27"/>
      <c r="W1859" s="30"/>
      <c r="X1859" s="27">
        <v>1</v>
      </c>
      <c r="Y1859" s="27" t="s">
        <v>2027</v>
      </c>
      <c r="Z1859" s="27">
        <v>1</v>
      </c>
      <c r="AA1859" s="27">
        <v>23</v>
      </c>
      <c r="AB1859" s="27"/>
      <c r="AC1859" s="273">
        <v>7255694.5761567</v>
      </c>
      <c r="AD1859" s="27">
        <v>1887429109.5129781</v>
      </c>
      <c r="AE1859" s="228">
        <v>3.8442209774060972E-3</v>
      </c>
      <c r="AF1859" s="27">
        <v>263787092.34553382</v>
      </c>
      <c r="AG1859" s="226">
        <v>2.7505874194376768E-2</v>
      </c>
      <c r="AH1859" s="226" t="s">
        <v>2842</v>
      </c>
      <c r="AI1859" s="27">
        <v>380470000</v>
      </c>
      <c r="AJ1859" s="226">
        <v>1.9070346088145451E-2</v>
      </c>
      <c r="AK1859" s="27">
        <v>36746247.205817461</v>
      </c>
      <c r="AL1859" s="226">
        <v>0.19745402940107634</v>
      </c>
      <c r="AM1859" s="27" t="s">
        <v>2842</v>
      </c>
      <c r="AN1859" s="271" t="s">
        <v>2842</v>
      </c>
      <c r="AO1859" s="27">
        <v>5280909</v>
      </c>
      <c r="AP1859" s="27" t="s">
        <v>2842</v>
      </c>
      <c r="AQ1859" s="27">
        <v>42.882536585365855</v>
      </c>
      <c r="AR1859" s="27">
        <v>124.8</v>
      </c>
      <c r="AS1859" s="29" t="s">
        <v>2842</v>
      </c>
      <c r="AT1859" s="270">
        <v>31</v>
      </c>
      <c r="AU1859" s="464">
        <v>45.714168725457164</v>
      </c>
      <c r="AV1859" s="29">
        <v>-0.384186283734269</v>
      </c>
      <c r="AW1859" s="29">
        <v>-0.25657404298681802</v>
      </c>
      <c r="AX1859" s="29">
        <v>-1.1642917328430999</v>
      </c>
      <c r="AY1859" s="29">
        <v>-1.16081623685993</v>
      </c>
      <c r="AZ1859" s="60">
        <v>-1.0502475518389001</v>
      </c>
    </row>
    <row r="1860" spans="1:52" s="29" customFormat="1" ht="15" customHeight="1">
      <c r="A1860" s="59" t="s">
        <v>2020</v>
      </c>
      <c r="B1860" s="27">
        <v>2006</v>
      </c>
      <c r="C1860" s="27" t="s">
        <v>481</v>
      </c>
      <c r="D1860" s="27" t="s">
        <v>81</v>
      </c>
      <c r="E1860" s="27" t="s">
        <v>19</v>
      </c>
      <c r="F1860" s="27" t="s">
        <v>904</v>
      </c>
      <c r="G1860" s="43">
        <v>603566</v>
      </c>
      <c r="H1860" s="43"/>
      <c r="I1860" s="43"/>
      <c r="J1860" s="43"/>
      <c r="K1860" s="27" t="s">
        <v>905</v>
      </c>
      <c r="L1860" s="28">
        <v>207.61</v>
      </c>
      <c r="M1860" s="27" t="s">
        <v>906</v>
      </c>
      <c r="N1860" s="27" t="s">
        <v>907</v>
      </c>
      <c r="O1860" s="18">
        <f>G1860*L1860</f>
        <v>125306337.26000001</v>
      </c>
      <c r="P1860" s="213">
        <f>1593421+734973+1270745+((2319547492+57050000)/2961)</f>
        <v>4401772.398176292</v>
      </c>
      <c r="Q1860" s="213">
        <f>1593421+734973+1496346+((6000000+7200000+2497683614)/2961)</f>
        <v>4672725.0097939884</v>
      </c>
      <c r="R1860" s="27"/>
      <c r="S1860" s="27"/>
      <c r="T1860" s="18"/>
      <c r="U1860" s="18"/>
      <c r="V1860" s="27"/>
      <c r="W1860" s="30"/>
      <c r="X1860" s="27">
        <v>4</v>
      </c>
      <c r="Y1860" s="27" t="s">
        <v>2028</v>
      </c>
      <c r="Z1860" s="27">
        <v>4</v>
      </c>
      <c r="AA1860" s="27">
        <v>23</v>
      </c>
      <c r="AB1860" s="27"/>
      <c r="AC1860" s="273">
        <v>7255694.5761567</v>
      </c>
      <c r="AD1860" s="27">
        <v>1887429109.5129781</v>
      </c>
      <c r="AE1860" s="228">
        <v>3.8442209774060972E-3</v>
      </c>
      <c r="AF1860" s="27">
        <v>263787092.34553382</v>
      </c>
      <c r="AG1860" s="226">
        <v>2.7505874194376768E-2</v>
      </c>
      <c r="AH1860" s="226" t="s">
        <v>2842</v>
      </c>
      <c r="AI1860" s="27">
        <v>380470000</v>
      </c>
      <c r="AJ1860" s="226">
        <v>1.9070346088145451E-2</v>
      </c>
      <c r="AK1860" s="27">
        <v>36746247.205817461</v>
      </c>
      <c r="AL1860" s="226">
        <v>0.19745402940107634</v>
      </c>
      <c r="AM1860" s="27" t="s">
        <v>2842</v>
      </c>
      <c r="AN1860" s="271" t="s">
        <v>2842</v>
      </c>
      <c r="AO1860" s="27">
        <v>5280909</v>
      </c>
      <c r="AP1860" s="27" t="s">
        <v>2842</v>
      </c>
      <c r="AQ1860" s="27">
        <v>42.882536585365855</v>
      </c>
      <c r="AR1860" s="27">
        <v>124.8</v>
      </c>
      <c r="AS1860" s="29" t="s">
        <v>2842</v>
      </c>
      <c r="AT1860" s="270">
        <v>31</v>
      </c>
      <c r="AU1860" s="464">
        <v>45.714168725457164</v>
      </c>
      <c r="AV1860" s="29">
        <v>-0.384186283734269</v>
      </c>
      <c r="AW1860" s="29">
        <v>-0.25657404298681802</v>
      </c>
      <c r="AX1860" s="29">
        <v>-1.1642917328430999</v>
      </c>
      <c r="AY1860" s="29">
        <v>-1.16081623685993</v>
      </c>
      <c r="AZ1860" s="60">
        <v>-1.0502475518389001</v>
      </c>
    </row>
    <row r="1861" spans="1:52" s="29" customFormat="1" ht="15" customHeight="1">
      <c r="A1861" s="59" t="s">
        <v>2020</v>
      </c>
      <c r="B1861" s="27">
        <v>2006</v>
      </c>
      <c r="C1861" s="27" t="s">
        <v>481</v>
      </c>
      <c r="D1861" s="27" t="s">
        <v>81</v>
      </c>
      <c r="E1861" s="27" t="s">
        <v>19</v>
      </c>
      <c r="F1861" s="27" t="s">
        <v>730</v>
      </c>
      <c r="G1861" s="43">
        <f>71*32.1507431265</f>
        <v>2282.7027619814999</v>
      </c>
      <c r="H1861" s="43"/>
      <c r="I1861" s="43"/>
      <c r="J1861" s="43"/>
      <c r="K1861" s="27" t="s">
        <v>731</v>
      </c>
      <c r="L1861" s="28">
        <v>604.33583333333002</v>
      </c>
      <c r="M1861" s="27" t="s">
        <v>732</v>
      </c>
      <c r="N1861" s="27" t="s">
        <v>908</v>
      </c>
      <c r="O1861" s="18">
        <f>G1861*L1861</f>
        <v>1379519.0759143839</v>
      </c>
      <c r="P1861" s="213">
        <f>21200+(33679001/2961)</f>
        <v>32574.198243836541</v>
      </c>
      <c r="Q1861" s="213">
        <f>21200+(37263032/2961)</f>
        <v>33784.6106045255</v>
      </c>
      <c r="R1861" s="27"/>
      <c r="S1861" s="27"/>
      <c r="T1861" s="18"/>
      <c r="U1861" s="18"/>
      <c r="V1861" s="27"/>
      <c r="W1861" s="30"/>
      <c r="X1861" s="27">
        <v>1</v>
      </c>
      <c r="Y1861" s="27" t="s">
        <v>2029</v>
      </c>
      <c r="Z1861" s="27">
        <v>1</v>
      </c>
      <c r="AA1861" s="27">
        <v>23</v>
      </c>
      <c r="AB1861" s="27"/>
      <c r="AC1861" s="273">
        <v>7255694.5761567</v>
      </c>
      <c r="AD1861" s="27">
        <v>1887429109.5129781</v>
      </c>
      <c r="AE1861" s="228">
        <v>3.8442209774060972E-3</v>
      </c>
      <c r="AF1861" s="27">
        <v>263787092.34553382</v>
      </c>
      <c r="AG1861" s="226">
        <v>2.7505874194376768E-2</v>
      </c>
      <c r="AH1861" s="226" t="s">
        <v>2842</v>
      </c>
      <c r="AI1861" s="27">
        <v>380470000</v>
      </c>
      <c r="AJ1861" s="226">
        <v>1.9070346088145451E-2</v>
      </c>
      <c r="AK1861" s="27">
        <v>36746247.205817461</v>
      </c>
      <c r="AL1861" s="226">
        <v>0.19745402940107634</v>
      </c>
      <c r="AM1861" s="27" t="s">
        <v>2842</v>
      </c>
      <c r="AN1861" s="271" t="s">
        <v>2842</v>
      </c>
      <c r="AO1861" s="27">
        <v>5280909</v>
      </c>
      <c r="AP1861" s="27" t="s">
        <v>2842</v>
      </c>
      <c r="AQ1861" s="27">
        <v>42.882536585365855</v>
      </c>
      <c r="AR1861" s="27">
        <v>124.8</v>
      </c>
      <c r="AS1861" s="29" t="s">
        <v>2842</v>
      </c>
      <c r="AT1861" s="270">
        <v>31</v>
      </c>
      <c r="AU1861" s="464">
        <v>45.714168725457164</v>
      </c>
      <c r="AV1861" s="29">
        <v>-0.384186283734269</v>
      </c>
      <c r="AW1861" s="29">
        <v>-0.25657404298681802</v>
      </c>
      <c r="AX1861" s="29">
        <v>-1.1642917328430999</v>
      </c>
      <c r="AY1861" s="29">
        <v>-1.16081623685993</v>
      </c>
      <c r="AZ1861" s="60">
        <v>-1.0502475518389001</v>
      </c>
    </row>
    <row r="1862" spans="1:52" s="29" customFormat="1" ht="15" customHeight="1">
      <c r="A1862" s="59" t="s">
        <v>2020</v>
      </c>
      <c r="B1862" s="27">
        <v>2006</v>
      </c>
      <c r="C1862" s="27" t="s">
        <v>481</v>
      </c>
      <c r="D1862" s="27" t="s">
        <v>81</v>
      </c>
      <c r="E1862" s="27" t="s">
        <v>19</v>
      </c>
      <c r="F1862" s="27" t="s">
        <v>1133</v>
      </c>
      <c r="G1862" s="43">
        <v>0</v>
      </c>
      <c r="H1862" s="43"/>
      <c r="I1862" s="43"/>
      <c r="J1862" s="43"/>
      <c r="K1862" s="27" t="s">
        <v>567</v>
      </c>
      <c r="L1862" s="28"/>
      <c r="M1862" s="27"/>
      <c r="N1862" s="27" t="s">
        <v>2030</v>
      </c>
      <c r="O1862" s="18">
        <f>G1862*L1862</f>
        <v>0</v>
      </c>
      <c r="P1862" s="213">
        <f>1032349+25000+(1054356992/2961)</f>
        <v>1413430.3887200269</v>
      </c>
      <c r="Q1862" s="213">
        <f>1032349+25000+(1402642787/2961)</f>
        <v>1531054.7706855792</v>
      </c>
      <c r="R1862" s="27"/>
      <c r="S1862" s="27"/>
      <c r="T1862" s="18"/>
      <c r="U1862" s="27"/>
      <c r="V1862" s="27"/>
      <c r="W1862" s="30"/>
      <c r="X1862" s="27">
        <v>2</v>
      </c>
      <c r="Y1862" s="27" t="s">
        <v>2031</v>
      </c>
      <c r="Z1862" s="27">
        <v>2</v>
      </c>
      <c r="AA1862" s="27">
        <v>23</v>
      </c>
      <c r="AB1862" s="27"/>
      <c r="AC1862" s="273">
        <v>7255694.5761567</v>
      </c>
      <c r="AD1862" s="27">
        <v>1887429109.5129781</v>
      </c>
      <c r="AE1862" s="228">
        <v>3.8442209774060972E-3</v>
      </c>
      <c r="AF1862" s="27">
        <v>263787092.34553382</v>
      </c>
      <c r="AG1862" s="226">
        <v>2.7505874194376768E-2</v>
      </c>
      <c r="AH1862" s="226" t="s">
        <v>2842</v>
      </c>
      <c r="AI1862" s="27">
        <v>380470000</v>
      </c>
      <c r="AJ1862" s="226">
        <v>1.9070346088145451E-2</v>
      </c>
      <c r="AK1862" s="27">
        <v>36746247.205817461</v>
      </c>
      <c r="AL1862" s="226">
        <v>0.19745402940107634</v>
      </c>
      <c r="AM1862" s="27" t="s">
        <v>2842</v>
      </c>
      <c r="AN1862" s="271" t="s">
        <v>2842</v>
      </c>
      <c r="AO1862" s="27">
        <v>5280909</v>
      </c>
      <c r="AP1862" s="27" t="s">
        <v>2842</v>
      </c>
      <c r="AQ1862" s="27">
        <v>42.882536585365855</v>
      </c>
      <c r="AR1862" s="27">
        <v>124.8</v>
      </c>
      <c r="AS1862" s="29" t="s">
        <v>2842</v>
      </c>
      <c r="AT1862" s="270">
        <v>31</v>
      </c>
      <c r="AU1862" s="464">
        <v>45.714168725457164</v>
      </c>
      <c r="AV1862" s="29">
        <v>-0.384186283734269</v>
      </c>
      <c r="AW1862" s="29">
        <v>-0.25657404298681802</v>
      </c>
      <c r="AX1862" s="29">
        <v>-1.1642917328430999</v>
      </c>
      <c r="AY1862" s="29">
        <v>-1.16081623685993</v>
      </c>
      <c r="AZ1862" s="60">
        <v>-1.0502475518389001</v>
      </c>
    </row>
    <row r="1863" spans="1:52" s="29" customFormat="1" ht="15" customHeight="1">
      <c r="A1863" s="59" t="s">
        <v>2020</v>
      </c>
      <c r="B1863" s="27">
        <v>2006</v>
      </c>
      <c r="C1863" s="27" t="s">
        <v>481</v>
      </c>
      <c r="D1863" s="27" t="s">
        <v>81</v>
      </c>
      <c r="E1863" s="27" t="s">
        <v>19</v>
      </c>
      <c r="F1863" s="27" t="s">
        <v>2032</v>
      </c>
      <c r="G1863" s="43"/>
      <c r="H1863" s="43"/>
      <c r="I1863" s="43"/>
      <c r="J1863" s="43"/>
      <c r="K1863" s="27"/>
      <c r="L1863" s="28"/>
      <c r="M1863" s="27"/>
      <c r="N1863" s="27"/>
      <c r="O1863" s="18">
        <f>SUM(O1864:O1866)</f>
        <v>36161470</v>
      </c>
      <c r="P1863" s="213">
        <f>338631+(882619469/2961)</f>
        <v>636712.54981425195</v>
      </c>
      <c r="Q1863" s="213">
        <f>337721+(912242976/2961)</f>
        <v>645807.11144883488</v>
      </c>
      <c r="R1863" s="27"/>
      <c r="S1863" s="27"/>
      <c r="T1863" s="18"/>
      <c r="U1863" s="27"/>
      <c r="V1863" s="27"/>
      <c r="W1863" s="30"/>
      <c r="X1863" s="27">
        <v>1</v>
      </c>
      <c r="Y1863" s="27" t="s">
        <v>2033</v>
      </c>
      <c r="Z1863" s="27">
        <v>1</v>
      </c>
      <c r="AA1863" s="27">
        <v>23</v>
      </c>
      <c r="AB1863" s="27"/>
      <c r="AC1863" s="273">
        <v>7255694.5761567</v>
      </c>
      <c r="AD1863" s="27">
        <v>1887429109.5129781</v>
      </c>
      <c r="AE1863" s="228">
        <v>3.8442209774060972E-3</v>
      </c>
      <c r="AF1863" s="27">
        <v>263787092.34553382</v>
      </c>
      <c r="AG1863" s="226">
        <v>2.7505874194376768E-2</v>
      </c>
      <c r="AH1863" s="226" t="s">
        <v>2842</v>
      </c>
      <c r="AI1863" s="27">
        <v>380470000</v>
      </c>
      <c r="AJ1863" s="226">
        <v>1.9070346088145451E-2</v>
      </c>
      <c r="AK1863" s="27">
        <v>36746247.205817461</v>
      </c>
      <c r="AL1863" s="226">
        <v>0.19745402940107634</v>
      </c>
      <c r="AM1863" s="27" t="s">
        <v>2842</v>
      </c>
      <c r="AN1863" s="271" t="s">
        <v>2842</v>
      </c>
      <c r="AO1863" s="27">
        <v>5280909</v>
      </c>
      <c r="AP1863" s="27" t="s">
        <v>2842</v>
      </c>
      <c r="AQ1863" s="27">
        <v>42.882536585365855</v>
      </c>
      <c r="AR1863" s="27">
        <v>124.8</v>
      </c>
      <c r="AS1863" s="29" t="s">
        <v>2842</v>
      </c>
      <c r="AT1863" s="270">
        <v>31</v>
      </c>
      <c r="AU1863" s="464">
        <v>45.714168725457164</v>
      </c>
      <c r="AV1863" s="29">
        <v>-0.384186283734269</v>
      </c>
      <c r="AW1863" s="29">
        <v>-0.25657404298681802</v>
      </c>
      <c r="AX1863" s="29">
        <v>-1.1642917328430999</v>
      </c>
      <c r="AY1863" s="29">
        <v>-1.16081623685993</v>
      </c>
      <c r="AZ1863" s="60">
        <v>-1.0502475518389001</v>
      </c>
    </row>
    <row r="1864" spans="1:52" s="29" customFormat="1" ht="15" customHeight="1">
      <c r="A1864" s="59" t="s">
        <v>2020</v>
      </c>
      <c r="B1864" s="27">
        <v>2006</v>
      </c>
      <c r="C1864" s="27" t="s">
        <v>481</v>
      </c>
      <c r="D1864" s="27" t="s">
        <v>81</v>
      </c>
      <c r="E1864" s="27" t="s">
        <v>19</v>
      </c>
      <c r="F1864" s="27" t="s">
        <v>2034</v>
      </c>
      <c r="G1864" s="43">
        <v>13819</v>
      </c>
      <c r="H1864" s="43"/>
      <c r="I1864" s="43"/>
      <c r="J1864" s="43"/>
      <c r="K1864" s="27" t="s">
        <v>567</v>
      </c>
      <c r="L1864" s="28">
        <v>80</v>
      </c>
      <c r="M1864" s="27" t="s">
        <v>568</v>
      </c>
      <c r="N1864" s="27" t="s">
        <v>2035</v>
      </c>
      <c r="O1864" s="18">
        <f>G1864*L1864</f>
        <v>1105520</v>
      </c>
      <c r="P1864" s="213"/>
      <c r="Q1864" s="213"/>
      <c r="R1864" s="27"/>
      <c r="S1864" s="27"/>
      <c r="T1864" s="18"/>
      <c r="U1864" s="27"/>
      <c r="V1864" s="27"/>
      <c r="W1864" s="30"/>
      <c r="X1864" s="27"/>
      <c r="Y1864" s="27"/>
      <c r="Z1864" s="27"/>
      <c r="AA1864" s="27"/>
      <c r="AB1864" s="27"/>
      <c r="AC1864" s="273">
        <v>7255694.5761567</v>
      </c>
      <c r="AD1864" s="27">
        <v>1887429109.5129781</v>
      </c>
      <c r="AE1864" s="228">
        <v>3.8442209774060972E-3</v>
      </c>
      <c r="AF1864" s="27">
        <v>263787092.34553382</v>
      </c>
      <c r="AG1864" s="226">
        <v>2.7505874194376768E-2</v>
      </c>
      <c r="AH1864" s="226" t="s">
        <v>2842</v>
      </c>
      <c r="AI1864" s="27">
        <v>380470000</v>
      </c>
      <c r="AJ1864" s="226">
        <v>1.9070346088145451E-2</v>
      </c>
      <c r="AK1864" s="27">
        <v>36746247.205817461</v>
      </c>
      <c r="AL1864" s="226">
        <v>0.19745402940107634</v>
      </c>
      <c r="AM1864" s="27" t="s">
        <v>2842</v>
      </c>
      <c r="AN1864" s="271" t="s">
        <v>2842</v>
      </c>
      <c r="AO1864" s="27">
        <v>5280909</v>
      </c>
      <c r="AP1864" s="27" t="s">
        <v>2842</v>
      </c>
      <c r="AQ1864" s="27">
        <v>42.882536585365855</v>
      </c>
      <c r="AR1864" s="27">
        <v>124.8</v>
      </c>
      <c r="AS1864" s="29" t="s">
        <v>2842</v>
      </c>
      <c r="AT1864" s="270">
        <v>31</v>
      </c>
      <c r="AU1864" s="464">
        <v>45.714168725457164</v>
      </c>
      <c r="AV1864" s="29">
        <v>-0.384186283734269</v>
      </c>
      <c r="AW1864" s="29">
        <v>-0.25657404298681802</v>
      </c>
      <c r="AX1864" s="29">
        <v>-1.1642917328430999</v>
      </c>
      <c r="AY1864" s="29">
        <v>-1.16081623685993</v>
      </c>
      <c r="AZ1864" s="60">
        <v>-1.0502475518389001</v>
      </c>
    </row>
    <row r="1865" spans="1:52" s="29" customFormat="1" ht="15" customHeight="1">
      <c r="A1865" s="59" t="s">
        <v>2020</v>
      </c>
      <c r="B1865" s="27">
        <v>2006</v>
      </c>
      <c r="C1865" s="27" t="s">
        <v>481</v>
      </c>
      <c r="D1865" s="27" t="s">
        <v>81</v>
      </c>
      <c r="E1865" s="27" t="s">
        <v>19</v>
      </c>
      <c r="F1865" s="27" t="s">
        <v>2036</v>
      </c>
      <c r="G1865" s="43">
        <v>73802</v>
      </c>
      <c r="H1865" s="43"/>
      <c r="I1865" s="43"/>
      <c r="J1865" s="43"/>
      <c r="K1865" s="27" t="s">
        <v>567</v>
      </c>
      <c r="L1865" s="28">
        <v>475</v>
      </c>
      <c r="M1865" s="27" t="s">
        <v>568</v>
      </c>
      <c r="N1865" s="27" t="s">
        <v>2037</v>
      </c>
      <c r="O1865" s="18">
        <f>G1865*L1865</f>
        <v>35055950</v>
      </c>
      <c r="P1865" s="213"/>
      <c r="Q1865" s="213"/>
      <c r="R1865" s="27"/>
      <c r="S1865" s="27"/>
      <c r="T1865" s="18"/>
      <c r="U1865" s="27"/>
      <c r="V1865" s="27"/>
      <c r="W1865" s="30"/>
      <c r="X1865" s="27"/>
      <c r="Y1865" s="27"/>
      <c r="Z1865" s="27"/>
      <c r="AA1865" s="27"/>
      <c r="AB1865" s="27"/>
      <c r="AC1865" s="273">
        <v>7255694.5761567</v>
      </c>
      <c r="AD1865" s="27">
        <v>1887429109.5129781</v>
      </c>
      <c r="AE1865" s="228">
        <v>3.8442209774060972E-3</v>
      </c>
      <c r="AF1865" s="27">
        <v>263787092.34553382</v>
      </c>
      <c r="AG1865" s="226">
        <v>2.7505874194376768E-2</v>
      </c>
      <c r="AH1865" s="226" t="s">
        <v>2842</v>
      </c>
      <c r="AI1865" s="27">
        <v>380470000</v>
      </c>
      <c r="AJ1865" s="226">
        <v>1.9070346088145451E-2</v>
      </c>
      <c r="AK1865" s="27">
        <v>36746247.205817461</v>
      </c>
      <c r="AL1865" s="226">
        <v>0.19745402940107634</v>
      </c>
      <c r="AM1865" s="27" t="s">
        <v>2842</v>
      </c>
      <c r="AN1865" s="271" t="s">
        <v>2842</v>
      </c>
      <c r="AO1865" s="27">
        <v>5280909</v>
      </c>
      <c r="AP1865" s="27" t="s">
        <v>2842</v>
      </c>
      <c r="AQ1865" s="27">
        <v>42.882536585365855</v>
      </c>
      <c r="AR1865" s="27">
        <v>124.8</v>
      </c>
      <c r="AS1865" s="29" t="s">
        <v>2842</v>
      </c>
      <c r="AT1865" s="270">
        <v>31</v>
      </c>
      <c r="AU1865" s="464">
        <v>45.714168725457164</v>
      </c>
      <c r="AV1865" s="29">
        <v>-0.384186283734269</v>
      </c>
      <c r="AW1865" s="29">
        <v>-0.25657404298681802</v>
      </c>
      <c r="AX1865" s="29">
        <v>-1.1642917328430999</v>
      </c>
      <c r="AY1865" s="29">
        <v>-1.16081623685993</v>
      </c>
      <c r="AZ1865" s="60">
        <v>-1.0502475518389001</v>
      </c>
    </row>
    <row r="1866" spans="1:52" s="287" customFormat="1" ht="15" customHeight="1">
      <c r="A1866" s="344" t="s">
        <v>2020</v>
      </c>
      <c r="B1866" s="284">
        <v>2006</v>
      </c>
      <c r="C1866" s="284" t="s">
        <v>481</v>
      </c>
      <c r="D1866" s="284" t="s">
        <v>81</v>
      </c>
      <c r="E1866" s="284" t="s">
        <v>19</v>
      </c>
      <c r="F1866" s="284" t="s">
        <v>2038</v>
      </c>
      <c r="G1866" s="303"/>
      <c r="H1866" s="303"/>
      <c r="I1866" s="303"/>
      <c r="J1866" s="303"/>
      <c r="K1866" s="284"/>
      <c r="L1866" s="304"/>
      <c r="M1866" s="284"/>
      <c r="N1866" s="284"/>
      <c r="O1866" s="305"/>
      <c r="P1866" s="306"/>
      <c r="Q1866" s="306"/>
      <c r="R1866" s="284"/>
      <c r="S1866" s="284"/>
      <c r="T1866" s="305"/>
      <c r="U1866" s="284"/>
      <c r="V1866" s="284"/>
      <c r="W1866" s="307"/>
      <c r="X1866" s="284"/>
      <c r="Y1866" s="284"/>
      <c r="Z1866" s="284"/>
      <c r="AA1866" s="284"/>
      <c r="AB1866" s="284" t="s">
        <v>2039</v>
      </c>
      <c r="AC1866" s="308">
        <v>7255694.5761567</v>
      </c>
      <c r="AD1866" s="284">
        <v>1887429109.5129781</v>
      </c>
      <c r="AE1866" s="309">
        <v>3.8442209774060972E-3</v>
      </c>
      <c r="AF1866" s="284">
        <v>263787092.34553382</v>
      </c>
      <c r="AG1866" s="310">
        <v>2.7505874194376768E-2</v>
      </c>
      <c r="AH1866" s="310" t="s">
        <v>2842</v>
      </c>
      <c r="AI1866" s="284">
        <v>380470000</v>
      </c>
      <c r="AJ1866" s="310">
        <v>1.9070346088145451E-2</v>
      </c>
      <c r="AK1866" s="284">
        <v>36746247.205817461</v>
      </c>
      <c r="AL1866" s="310">
        <v>0.19745402940107634</v>
      </c>
      <c r="AM1866" s="284" t="s">
        <v>2842</v>
      </c>
      <c r="AN1866" s="311" t="s">
        <v>2842</v>
      </c>
      <c r="AO1866" s="284">
        <v>5280909</v>
      </c>
      <c r="AP1866" s="284" t="s">
        <v>2842</v>
      </c>
      <c r="AQ1866" s="284">
        <v>42.882536585365855</v>
      </c>
      <c r="AR1866" s="284">
        <v>124.8</v>
      </c>
      <c r="AS1866" s="287" t="s">
        <v>2842</v>
      </c>
      <c r="AT1866" s="312">
        <v>31</v>
      </c>
      <c r="AU1866" s="465">
        <v>45.714168725457164</v>
      </c>
      <c r="AV1866" s="287">
        <v>-0.384186283734269</v>
      </c>
      <c r="AW1866" s="287">
        <v>-0.25657404298681802</v>
      </c>
      <c r="AX1866" s="287">
        <v>-1.1642917328430999</v>
      </c>
      <c r="AY1866" s="287">
        <v>-1.16081623685993</v>
      </c>
      <c r="AZ1866" s="313">
        <v>-1.0502475518389001</v>
      </c>
    </row>
    <row r="1867" spans="1:52" ht="15" customHeight="1">
      <c r="A1867" s="332" t="s">
        <v>2040</v>
      </c>
      <c r="B1867" s="27">
        <v>2007</v>
      </c>
      <c r="C1867" s="27" t="s">
        <v>481</v>
      </c>
      <c r="D1867" s="27" t="s">
        <v>81</v>
      </c>
      <c r="E1867" s="27" t="s">
        <v>19</v>
      </c>
      <c r="F1867" s="27" t="s">
        <v>659</v>
      </c>
      <c r="G1867" s="43"/>
      <c r="H1867" s="43"/>
      <c r="I1867" s="43"/>
      <c r="J1867" s="43"/>
      <c r="K1867" s="27"/>
      <c r="L1867" s="28"/>
      <c r="M1867" s="27"/>
      <c r="N1867" s="27"/>
      <c r="O1867" s="18">
        <f>SUM(O1868:O1875)-SUM(O1873:O1875)</f>
        <v>233476345.83322155</v>
      </c>
      <c r="P1867" s="213">
        <v>10201528.665884711</v>
      </c>
      <c r="Q1867" s="213">
        <v>10475495.659182299</v>
      </c>
      <c r="R1867" s="27" t="s">
        <v>619</v>
      </c>
      <c r="S1867" s="27"/>
      <c r="T1867" s="18"/>
      <c r="U1867" s="27" t="s">
        <v>590</v>
      </c>
      <c r="V1867" s="27" t="s">
        <v>2022</v>
      </c>
      <c r="W1867" s="30">
        <v>2984</v>
      </c>
      <c r="X1867" s="27">
        <v>9</v>
      </c>
      <c r="Y1867" s="27" t="s">
        <v>2023</v>
      </c>
      <c r="Z1867" s="27">
        <v>9</v>
      </c>
      <c r="AA1867" s="27">
        <v>23</v>
      </c>
      <c r="AB1867" s="27" t="s">
        <v>2025</v>
      </c>
      <c r="AC1867" s="273">
        <v>10201528.665884711</v>
      </c>
      <c r="AD1867" s="27">
        <v>2158653216.1733117</v>
      </c>
      <c r="AE1867" s="228">
        <v>4.7258765740840801E-3</v>
      </c>
      <c r="AF1867" s="27">
        <v>328244808.05131376</v>
      </c>
      <c r="AG1867" s="226">
        <v>3.1079025214284361E-2</v>
      </c>
      <c r="AH1867" s="226" t="s">
        <v>2842</v>
      </c>
      <c r="AI1867" s="27">
        <v>549780000</v>
      </c>
      <c r="AJ1867" s="226">
        <v>1.8555656200452384E-2</v>
      </c>
      <c r="AK1867" s="27">
        <v>35093393.817595243</v>
      </c>
      <c r="AL1867" s="226">
        <v>0.2906965544258599</v>
      </c>
      <c r="AM1867" s="27">
        <v>55243389.647020921</v>
      </c>
      <c r="AN1867" s="271">
        <v>0.18466514692649463</v>
      </c>
      <c r="AO1867" s="27">
        <v>5416015</v>
      </c>
      <c r="AP1867" s="27" t="s">
        <v>2842</v>
      </c>
      <c r="AQ1867" s="27">
        <v>43.526487804878052</v>
      </c>
      <c r="AR1867" s="27">
        <v>122.2</v>
      </c>
      <c r="AS1867" s="29" t="s">
        <v>2842</v>
      </c>
      <c r="AT1867" s="270">
        <v>31</v>
      </c>
      <c r="AU1867" s="464">
        <v>45.714168725457164</v>
      </c>
      <c r="AV1867" s="29">
        <v>-0.253095004679247</v>
      </c>
      <c r="AW1867" s="29">
        <v>-2.1623866857450699E-2</v>
      </c>
      <c r="AX1867" s="29">
        <v>-1.17297915843723</v>
      </c>
      <c r="AY1867" s="29">
        <v>-1.06972063928095</v>
      </c>
      <c r="AZ1867" s="60">
        <v>-0.89561071596991204</v>
      </c>
    </row>
    <row r="1868" spans="1:52" ht="15" customHeight="1">
      <c r="A1868" s="59" t="s">
        <v>2040</v>
      </c>
      <c r="B1868" s="27">
        <v>2007</v>
      </c>
      <c r="C1868" s="27" t="s">
        <v>481</v>
      </c>
      <c r="D1868" s="27" t="s">
        <v>81</v>
      </c>
      <c r="E1868" s="27" t="s">
        <v>19</v>
      </c>
      <c r="F1868" s="27" t="s">
        <v>1049</v>
      </c>
      <c r="G1868" s="43">
        <v>1169000</v>
      </c>
      <c r="H1868" s="43"/>
      <c r="I1868" s="43"/>
      <c r="J1868" s="43"/>
      <c r="K1868" s="27" t="s">
        <v>567</v>
      </c>
      <c r="L1868" s="28">
        <v>31.2</v>
      </c>
      <c r="M1868" s="27" t="s">
        <v>568</v>
      </c>
      <c r="N1868" s="27" t="s">
        <v>2026</v>
      </c>
      <c r="O1868" s="18">
        <f>G1868*L1868</f>
        <v>36472800</v>
      </c>
      <c r="P1868" s="213">
        <f>1805600+(593522720/2984)</f>
        <v>2004501.7158176943</v>
      </c>
      <c r="Q1868" s="213">
        <f>1817309+(621097799/2984)</f>
        <v>2025451.6940348526</v>
      </c>
      <c r="R1868" s="27"/>
      <c r="S1868" s="27"/>
      <c r="T1868" s="18"/>
      <c r="U1868" s="27"/>
      <c r="V1868" s="27"/>
      <c r="W1868" s="30"/>
      <c r="X1868" s="27">
        <v>1</v>
      </c>
      <c r="Y1868" s="27" t="s">
        <v>2027</v>
      </c>
      <c r="Z1868" s="27">
        <v>1</v>
      </c>
      <c r="AA1868" s="27">
        <v>23</v>
      </c>
      <c r="AB1868" s="27"/>
      <c r="AC1868" s="273">
        <v>10201528.665884711</v>
      </c>
      <c r="AD1868" s="27">
        <v>2158653216.1733117</v>
      </c>
      <c r="AE1868" s="228">
        <v>4.7258765740840801E-3</v>
      </c>
      <c r="AF1868" s="27">
        <v>328244808.05131376</v>
      </c>
      <c r="AG1868" s="226">
        <v>3.1079025214284361E-2</v>
      </c>
      <c r="AH1868" s="226" t="s">
        <v>2842</v>
      </c>
      <c r="AI1868" s="27">
        <v>549780000</v>
      </c>
      <c r="AJ1868" s="226">
        <v>1.8555656200452384E-2</v>
      </c>
      <c r="AK1868" s="27">
        <v>35093393.817595243</v>
      </c>
      <c r="AL1868" s="226">
        <v>0.2906965544258599</v>
      </c>
      <c r="AM1868" s="27">
        <v>55243389.647020921</v>
      </c>
      <c r="AN1868" s="271">
        <v>0.18466514692649463</v>
      </c>
      <c r="AO1868" s="27">
        <v>5416015</v>
      </c>
      <c r="AP1868" s="27" t="s">
        <v>2842</v>
      </c>
      <c r="AQ1868" s="27">
        <v>43.526487804878052</v>
      </c>
      <c r="AR1868" s="27">
        <v>122.2</v>
      </c>
      <c r="AS1868" s="29" t="s">
        <v>2842</v>
      </c>
      <c r="AT1868" s="270">
        <v>31</v>
      </c>
      <c r="AU1868" s="464">
        <v>45.714168725457164</v>
      </c>
      <c r="AV1868" s="29">
        <v>-0.253095004679247</v>
      </c>
      <c r="AW1868" s="29">
        <v>-2.1623866857450699E-2</v>
      </c>
      <c r="AX1868" s="29">
        <v>-1.17297915843723</v>
      </c>
      <c r="AY1868" s="29">
        <v>-1.06972063928095</v>
      </c>
      <c r="AZ1868" s="60">
        <v>-0.89561071596991204</v>
      </c>
    </row>
    <row r="1869" spans="1:52" ht="15" customHeight="1">
      <c r="A1869" s="59" t="s">
        <v>2040</v>
      </c>
      <c r="B1869" s="27">
        <v>2007</v>
      </c>
      <c r="C1869" s="27" t="s">
        <v>481</v>
      </c>
      <c r="D1869" s="27" t="s">
        <v>81</v>
      </c>
      <c r="E1869" s="27" t="s">
        <v>19</v>
      </c>
      <c r="F1869" s="27" t="s">
        <v>904</v>
      </c>
      <c r="G1869" s="43">
        <v>603623</v>
      </c>
      <c r="H1869" s="43"/>
      <c r="I1869" s="43"/>
      <c r="J1869" s="43"/>
      <c r="K1869" s="27" t="s">
        <v>905</v>
      </c>
      <c r="L1869" s="28">
        <v>234.53</v>
      </c>
      <c r="M1869" s="27" t="s">
        <v>906</v>
      </c>
      <c r="N1869" s="27" t="s">
        <v>2041</v>
      </c>
      <c r="O1869" s="18">
        <f>G1869*L1869</f>
        <v>141567702.19</v>
      </c>
      <c r="P1869" s="213">
        <f>1716069+807376+1925759+((159005000+2615450496+102690000)/2984)</f>
        <v>5413394.8498659516</v>
      </c>
      <c r="Q1869" s="213">
        <f>1716068+807367+1949203+((6000000+7200000+2876814828)/2984)</f>
        <v>5441141.6286863275</v>
      </c>
      <c r="R1869" s="27"/>
      <c r="S1869" s="27"/>
      <c r="T1869" s="18"/>
      <c r="U1869" s="27"/>
      <c r="V1869" s="18"/>
      <c r="W1869" s="30"/>
      <c r="X1869" s="27">
        <v>4</v>
      </c>
      <c r="Y1869" s="27" t="s">
        <v>2028</v>
      </c>
      <c r="Z1869" s="27">
        <v>4</v>
      </c>
      <c r="AA1869" s="27">
        <v>23</v>
      </c>
      <c r="AB1869" s="27"/>
      <c r="AC1869" s="273">
        <v>10201528.665884711</v>
      </c>
      <c r="AD1869" s="27">
        <v>2158653216.1733117</v>
      </c>
      <c r="AE1869" s="228">
        <v>4.7258765740840801E-3</v>
      </c>
      <c r="AF1869" s="27">
        <v>328244808.05131376</v>
      </c>
      <c r="AG1869" s="226">
        <v>3.1079025214284361E-2</v>
      </c>
      <c r="AH1869" s="226" t="s">
        <v>2842</v>
      </c>
      <c r="AI1869" s="27">
        <v>549780000</v>
      </c>
      <c r="AJ1869" s="226">
        <v>1.8555656200452384E-2</v>
      </c>
      <c r="AK1869" s="27">
        <v>35093393.817595243</v>
      </c>
      <c r="AL1869" s="226">
        <v>0.2906965544258599</v>
      </c>
      <c r="AM1869" s="27">
        <v>55243389.647020921</v>
      </c>
      <c r="AN1869" s="271">
        <v>0.18466514692649463</v>
      </c>
      <c r="AO1869" s="27">
        <v>5416015</v>
      </c>
      <c r="AP1869" s="27" t="s">
        <v>2842</v>
      </c>
      <c r="AQ1869" s="27">
        <v>43.526487804878052</v>
      </c>
      <c r="AR1869" s="27">
        <v>122.2</v>
      </c>
      <c r="AS1869" s="29" t="s">
        <v>2842</v>
      </c>
      <c r="AT1869" s="270">
        <v>31</v>
      </c>
      <c r="AU1869" s="464">
        <v>45.714168725457164</v>
      </c>
      <c r="AV1869" s="29">
        <v>-0.253095004679247</v>
      </c>
      <c r="AW1869" s="29">
        <v>-2.1623866857450699E-2</v>
      </c>
      <c r="AX1869" s="29">
        <v>-1.17297915843723</v>
      </c>
      <c r="AY1869" s="29">
        <v>-1.06972063928095</v>
      </c>
      <c r="AZ1869" s="60">
        <v>-0.89561071596991204</v>
      </c>
    </row>
    <row r="1870" spans="1:52" ht="15" customHeight="1">
      <c r="A1870" s="59" t="s">
        <v>2040</v>
      </c>
      <c r="B1870" s="27">
        <v>2007</v>
      </c>
      <c r="C1870" s="27" t="s">
        <v>481</v>
      </c>
      <c r="D1870" s="27" t="s">
        <v>81</v>
      </c>
      <c r="E1870" s="27" t="s">
        <v>19</v>
      </c>
      <c r="F1870" s="27" t="s">
        <v>730</v>
      </c>
      <c r="G1870" s="43">
        <f>212*32.1507431265</f>
        <v>6815.9575428179996</v>
      </c>
      <c r="H1870" s="43"/>
      <c r="I1870" s="43"/>
      <c r="J1870" s="43"/>
      <c r="K1870" s="27" t="s">
        <v>731</v>
      </c>
      <c r="L1870" s="28">
        <v>696.72024999999996</v>
      </c>
      <c r="M1870" s="27" t="s">
        <v>732</v>
      </c>
      <c r="N1870" s="27" t="s">
        <v>908</v>
      </c>
      <c r="O1870" s="18">
        <f>G1870*L1870</f>
        <v>4748815.6432215422</v>
      </c>
      <c r="P1870" s="213">
        <f>31400+(50759174/2984)</f>
        <v>48410.447050938339</v>
      </c>
      <c r="Q1870" s="213">
        <f>31400+(171394111/2984)</f>
        <v>88837.704758713138</v>
      </c>
      <c r="R1870" s="27"/>
      <c r="S1870" s="27"/>
      <c r="T1870" s="18"/>
      <c r="U1870" s="27"/>
      <c r="V1870" s="18"/>
      <c r="W1870" s="30"/>
      <c r="X1870" s="27">
        <v>1</v>
      </c>
      <c r="Y1870" s="27" t="s">
        <v>2029</v>
      </c>
      <c r="Z1870" s="27">
        <v>1</v>
      </c>
      <c r="AA1870" s="27">
        <v>23</v>
      </c>
      <c r="AB1870" s="27"/>
      <c r="AC1870" s="273">
        <v>10201528.665884711</v>
      </c>
      <c r="AD1870" s="27">
        <v>2158653216.1733117</v>
      </c>
      <c r="AE1870" s="228">
        <v>4.7258765740840801E-3</v>
      </c>
      <c r="AF1870" s="27">
        <v>328244808.05131376</v>
      </c>
      <c r="AG1870" s="226">
        <v>3.1079025214284361E-2</v>
      </c>
      <c r="AH1870" s="226" t="s">
        <v>2842</v>
      </c>
      <c r="AI1870" s="27">
        <v>549780000</v>
      </c>
      <c r="AJ1870" s="226">
        <v>1.8555656200452384E-2</v>
      </c>
      <c r="AK1870" s="27">
        <v>35093393.817595243</v>
      </c>
      <c r="AL1870" s="226">
        <v>0.2906965544258599</v>
      </c>
      <c r="AM1870" s="27">
        <v>55243389.647020921</v>
      </c>
      <c r="AN1870" s="271">
        <v>0.18466514692649463</v>
      </c>
      <c r="AO1870" s="27">
        <v>5416015</v>
      </c>
      <c r="AP1870" s="27" t="s">
        <v>2842</v>
      </c>
      <c r="AQ1870" s="27">
        <v>43.526487804878052</v>
      </c>
      <c r="AR1870" s="27">
        <v>122.2</v>
      </c>
      <c r="AS1870" s="29" t="s">
        <v>2842</v>
      </c>
      <c r="AT1870" s="270">
        <v>31</v>
      </c>
      <c r="AU1870" s="464">
        <v>45.714168725457164</v>
      </c>
      <c r="AV1870" s="29">
        <v>-0.253095004679247</v>
      </c>
      <c r="AW1870" s="29">
        <v>-2.1623866857450699E-2</v>
      </c>
      <c r="AX1870" s="29">
        <v>-1.17297915843723</v>
      </c>
      <c r="AY1870" s="29">
        <v>-1.06972063928095</v>
      </c>
      <c r="AZ1870" s="60">
        <v>-0.89561071596991204</v>
      </c>
    </row>
    <row r="1871" spans="1:52" ht="15" customHeight="1">
      <c r="A1871" s="59" t="s">
        <v>2040</v>
      </c>
      <c r="B1871" s="27">
        <v>2007</v>
      </c>
      <c r="C1871" s="27" t="s">
        <v>481</v>
      </c>
      <c r="D1871" s="27" t="s">
        <v>81</v>
      </c>
      <c r="E1871" s="27" t="s">
        <v>19</v>
      </c>
      <c r="F1871" s="27" t="s">
        <v>1133</v>
      </c>
      <c r="G1871" s="43">
        <v>0</v>
      </c>
      <c r="H1871" s="43"/>
      <c r="I1871" s="43"/>
      <c r="J1871" s="43"/>
      <c r="K1871" s="27" t="s">
        <v>567</v>
      </c>
      <c r="L1871" s="28"/>
      <c r="M1871" s="27"/>
      <c r="N1871" s="27" t="s">
        <v>2030</v>
      </c>
      <c r="O1871" s="18">
        <f>G1871*L1871</f>
        <v>0</v>
      </c>
      <c r="P1871" s="213">
        <f>1090395+125000+((2078180757+257805446)/2984)</f>
        <v>1998232.1993967828</v>
      </c>
      <c r="Q1871" s="213">
        <f>1291496+125000+((1813309350+353538001)/2984)</f>
        <v>2142651.2784852549</v>
      </c>
      <c r="R1871" s="27"/>
      <c r="S1871" s="27"/>
      <c r="T1871" s="18"/>
      <c r="U1871" s="27"/>
      <c r="V1871" s="27"/>
      <c r="W1871" s="30"/>
      <c r="X1871" s="27">
        <v>2</v>
      </c>
      <c r="Y1871" s="27" t="s">
        <v>2031</v>
      </c>
      <c r="Z1871" s="27">
        <v>2</v>
      </c>
      <c r="AA1871" s="27">
        <v>23</v>
      </c>
      <c r="AB1871" s="27"/>
      <c r="AC1871" s="273">
        <v>10201528.665884711</v>
      </c>
      <c r="AD1871" s="27">
        <v>2158653216.1733117</v>
      </c>
      <c r="AE1871" s="228">
        <v>4.7258765740840801E-3</v>
      </c>
      <c r="AF1871" s="27">
        <v>328244808.05131376</v>
      </c>
      <c r="AG1871" s="226">
        <v>3.1079025214284361E-2</v>
      </c>
      <c r="AH1871" s="226" t="s">
        <v>2842</v>
      </c>
      <c r="AI1871" s="27">
        <v>549780000</v>
      </c>
      <c r="AJ1871" s="226">
        <v>1.8555656200452384E-2</v>
      </c>
      <c r="AK1871" s="27">
        <v>35093393.817595243</v>
      </c>
      <c r="AL1871" s="226">
        <v>0.2906965544258599</v>
      </c>
      <c r="AM1871" s="27">
        <v>55243389.647020921</v>
      </c>
      <c r="AN1871" s="271">
        <v>0.18466514692649463</v>
      </c>
      <c r="AO1871" s="27">
        <v>5416015</v>
      </c>
      <c r="AP1871" s="27" t="s">
        <v>2842</v>
      </c>
      <c r="AQ1871" s="27">
        <v>43.526487804878052</v>
      </c>
      <c r="AR1871" s="27">
        <v>122.2</v>
      </c>
      <c r="AS1871" s="29" t="s">
        <v>2842</v>
      </c>
      <c r="AT1871" s="270">
        <v>31</v>
      </c>
      <c r="AU1871" s="464">
        <v>45.714168725457164</v>
      </c>
      <c r="AV1871" s="29">
        <v>-0.253095004679247</v>
      </c>
      <c r="AW1871" s="29">
        <v>-2.1623866857450699E-2</v>
      </c>
      <c r="AX1871" s="29">
        <v>-1.17297915843723</v>
      </c>
      <c r="AY1871" s="29">
        <v>-1.06972063928095</v>
      </c>
      <c r="AZ1871" s="60">
        <v>-0.89561071596991204</v>
      </c>
    </row>
    <row r="1872" spans="1:52" ht="15" customHeight="1">
      <c r="A1872" s="59" t="s">
        <v>2040</v>
      </c>
      <c r="B1872" s="27">
        <v>2007</v>
      </c>
      <c r="C1872" s="27" t="s">
        <v>481</v>
      </c>
      <c r="D1872" s="27" t="s">
        <v>81</v>
      </c>
      <c r="E1872" s="27" t="s">
        <v>19</v>
      </c>
      <c r="F1872" s="27" t="s">
        <v>2032</v>
      </c>
      <c r="G1872" s="43"/>
      <c r="H1872" s="43"/>
      <c r="I1872" s="43"/>
      <c r="J1872" s="43"/>
      <c r="K1872" s="27"/>
      <c r="L1872" s="28"/>
      <c r="M1872" s="27"/>
      <c r="N1872" s="27"/>
      <c r="O1872" s="18">
        <f>SUM(O1873:O1875)</f>
        <v>50687028</v>
      </c>
      <c r="P1872" s="213">
        <f>418225+(951193131/2984)</f>
        <v>736989.45408847183</v>
      </c>
      <c r="Q1872" s="213">
        <f>417133+(1075082542/2984)</f>
        <v>777415.35321715823</v>
      </c>
      <c r="R1872" s="27"/>
      <c r="S1872" s="27"/>
      <c r="T1872" s="18"/>
      <c r="U1872" s="27"/>
      <c r="V1872" s="27"/>
      <c r="W1872" s="30"/>
      <c r="X1872" s="27">
        <v>1</v>
      </c>
      <c r="Y1872" s="27" t="s">
        <v>2033</v>
      </c>
      <c r="Z1872" s="27">
        <v>1</v>
      </c>
      <c r="AA1872" s="27">
        <v>23</v>
      </c>
      <c r="AB1872" s="27"/>
      <c r="AC1872" s="273">
        <v>10201528.665884711</v>
      </c>
      <c r="AD1872" s="27">
        <v>2158653216.1733117</v>
      </c>
      <c r="AE1872" s="228">
        <v>4.7258765740840801E-3</v>
      </c>
      <c r="AF1872" s="27">
        <v>328244808.05131376</v>
      </c>
      <c r="AG1872" s="226">
        <v>3.1079025214284361E-2</v>
      </c>
      <c r="AH1872" s="226" t="s">
        <v>2842</v>
      </c>
      <c r="AI1872" s="27">
        <v>549780000</v>
      </c>
      <c r="AJ1872" s="226">
        <v>1.8555656200452384E-2</v>
      </c>
      <c r="AK1872" s="27">
        <v>35093393.817595243</v>
      </c>
      <c r="AL1872" s="226">
        <v>0.2906965544258599</v>
      </c>
      <c r="AM1872" s="27">
        <v>55243389.647020921</v>
      </c>
      <c r="AN1872" s="271">
        <v>0.18466514692649463</v>
      </c>
      <c r="AO1872" s="27">
        <v>5416015</v>
      </c>
      <c r="AP1872" s="27" t="s">
        <v>2842</v>
      </c>
      <c r="AQ1872" s="27">
        <v>43.526487804878052</v>
      </c>
      <c r="AR1872" s="27">
        <v>122.2</v>
      </c>
      <c r="AS1872" s="29" t="s">
        <v>2842</v>
      </c>
      <c r="AT1872" s="270">
        <v>31</v>
      </c>
      <c r="AU1872" s="464">
        <v>45.714168725457164</v>
      </c>
      <c r="AV1872" s="29">
        <v>-0.253095004679247</v>
      </c>
      <c r="AW1872" s="29">
        <v>-2.1623866857450699E-2</v>
      </c>
      <c r="AX1872" s="29">
        <v>-1.17297915843723</v>
      </c>
      <c r="AY1872" s="29">
        <v>-1.06972063928095</v>
      </c>
      <c r="AZ1872" s="60">
        <v>-0.89561071596991204</v>
      </c>
    </row>
    <row r="1873" spans="1:52" ht="15" customHeight="1">
      <c r="A1873" s="59" t="s">
        <v>2040</v>
      </c>
      <c r="B1873" s="27">
        <v>2007</v>
      </c>
      <c r="C1873" s="27" t="s">
        <v>481</v>
      </c>
      <c r="D1873" s="27" t="s">
        <v>81</v>
      </c>
      <c r="E1873" s="27" t="s">
        <v>19</v>
      </c>
      <c r="F1873" s="27" t="s">
        <v>2034</v>
      </c>
      <c r="G1873" s="43">
        <v>15570</v>
      </c>
      <c r="H1873" s="43"/>
      <c r="I1873" s="43"/>
      <c r="J1873" s="43"/>
      <c r="K1873" s="27" t="s">
        <v>567</v>
      </c>
      <c r="L1873" s="28">
        <v>107</v>
      </c>
      <c r="M1873" s="27" t="s">
        <v>568</v>
      </c>
      <c r="N1873" s="27" t="s">
        <v>2035</v>
      </c>
      <c r="O1873" s="18">
        <f>G1873*L1873</f>
        <v>1665990</v>
      </c>
      <c r="P1873" s="213"/>
      <c r="Q1873" s="213"/>
      <c r="R1873" s="27"/>
      <c r="S1873" s="27"/>
      <c r="T1873" s="18"/>
      <c r="U1873" s="27"/>
      <c r="V1873" s="27"/>
      <c r="W1873" s="30"/>
      <c r="X1873" s="27"/>
      <c r="Y1873" s="27"/>
      <c r="Z1873" s="27"/>
      <c r="AA1873" s="27"/>
      <c r="AB1873" s="27"/>
      <c r="AC1873" s="273">
        <v>10201528.665884711</v>
      </c>
      <c r="AD1873" s="27">
        <v>2158653216.1733117</v>
      </c>
      <c r="AE1873" s="228">
        <v>4.7258765740840801E-3</v>
      </c>
      <c r="AF1873" s="27">
        <v>328244808.05131376</v>
      </c>
      <c r="AG1873" s="226">
        <v>3.1079025214284361E-2</v>
      </c>
      <c r="AH1873" s="226" t="s">
        <v>2842</v>
      </c>
      <c r="AI1873" s="27">
        <v>549780000</v>
      </c>
      <c r="AJ1873" s="226">
        <v>1.8555656200452384E-2</v>
      </c>
      <c r="AK1873" s="27">
        <v>35093393.817595243</v>
      </c>
      <c r="AL1873" s="226">
        <v>0.2906965544258599</v>
      </c>
      <c r="AM1873" s="27">
        <v>55243389.647020921</v>
      </c>
      <c r="AN1873" s="271">
        <v>0.18466514692649463</v>
      </c>
      <c r="AO1873" s="27">
        <v>5416015</v>
      </c>
      <c r="AP1873" s="27" t="s">
        <v>2842</v>
      </c>
      <c r="AQ1873" s="27">
        <v>43.526487804878052</v>
      </c>
      <c r="AR1873" s="27">
        <v>122.2</v>
      </c>
      <c r="AS1873" s="29" t="s">
        <v>2842</v>
      </c>
      <c r="AT1873" s="270">
        <v>31</v>
      </c>
      <c r="AU1873" s="464">
        <v>45.714168725457164</v>
      </c>
      <c r="AV1873" s="29">
        <v>-0.253095004679247</v>
      </c>
      <c r="AW1873" s="29">
        <v>-2.1623866857450699E-2</v>
      </c>
      <c r="AX1873" s="29">
        <v>-1.17297915843723</v>
      </c>
      <c r="AY1873" s="29">
        <v>-1.06972063928095</v>
      </c>
      <c r="AZ1873" s="60">
        <v>-0.89561071596991204</v>
      </c>
    </row>
    <row r="1874" spans="1:52" ht="15" customHeight="1">
      <c r="A1874" s="59" t="s">
        <v>2040</v>
      </c>
      <c r="B1874" s="27">
        <v>2007</v>
      </c>
      <c r="C1874" s="27" t="s">
        <v>481</v>
      </c>
      <c r="D1874" s="27" t="s">
        <v>81</v>
      </c>
      <c r="E1874" s="27" t="s">
        <v>19</v>
      </c>
      <c r="F1874" s="27" t="s">
        <v>2036</v>
      </c>
      <c r="G1874" s="43">
        <v>82527</v>
      </c>
      <c r="H1874" s="43"/>
      <c r="I1874" s="43"/>
      <c r="J1874" s="43"/>
      <c r="K1874" s="27" t="s">
        <v>567</v>
      </c>
      <c r="L1874" s="28">
        <v>594</v>
      </c>
      <c r="M1874" s="27" t="s">
        <v>568</v>
      </c>
      <c r="N1874" s="27" t="s">
        <v>2037</v>
      </c>
      <c r="O1874" s="18">
        <f>G1874*L1874</f>
        <v>49021038</v>
      </c>
      <c r="P1874" s="213"/>
      <c r="Q1874" s="213"/>
      <c r="R1874" s="27"/>
      <c r="S1874" s="27"/>
      <c r="T1874" s="18"/>
      <c r="U1874" s="27"/>
      <c r="V1874" s="27"/>
      <c r="W1874" s="30"/>
      <c r="X1874" s="27"/>
      <c r="Y1874" s="27"/>
      <c r="Z1874" s="27"/>
      <c r="AA1874" s="27"/>
      <c r="AB1874" s="27"/>
      <c r="AC1874" s="273">
        <v>10201528.665884711</v>
      </c>
      <c r="AD1874" s="27">
        <v>2158653216.1733117</v>
      </c>
      <c r="AE1874" s="228">
        <v>4.7258765740840801E-3</v>
      </c>
      <c r="AF1874" s="27">
        <v>328244808.05131376</v>
      </c>
      <c r="AG1874" s="226">
        <v>3.1079025214284361E-2</v>
      </c>
      <c r="AH1874" s="226" t="s">
        <v>2842</v>
      </c>
      <c r="AI1874" s="27">
        <v>549780000</v>
      </c>
      <c r="AJ1874" s="226">
        <v>1.8555656200452384E-2</v>
      </c>
      <c r="AK1874" s="27">
        <v>35093393.817595243</v>
      </c>
      <c r="AL1874" s="226">
        <v>0.2906965544258599</v>
      </c>
      <c r="AM1874" s="27">
        <v>55243389.647020921</v>
      </c>
      <c r="AN1874" s="271">
        <v>0.18466514692649463</v>
      </c>
      <c r="AO1874" s="27">
        <v>5416015</v>
      </c>
      <c r="AP1874" s="27" t="s">
        <v>2842</v>
      </c>
      <c r="AQ1874" s="27">
        <v>43.526487804878052</v>
      </c>
      <c r="AR1874" s="27">
        <v>122.2</v>
      </c>
      <c r="AS1874" s="29" t="s">
        <v>2842</v>
      </c>
      <c r="AT1874" s="270">
        <v>31</v>
      </c>
      <c r="AU1874" s="464">
        <v>45.714168725457164</v>
      </c>
      <c r="AV1874" s="29">
        <v>-0.253095004679247</v>
      </c>
      <c r="AW1874" s="29">
        <v>-2.1623866857450699E-2</v>
      </c>
      <c r="AX1874" s="29">
        <v>-1.17297915843723</v>
      </c>
      <c r="AY1874" s="29">
        <v>-1.06972063928095</v>
      </c>
      <c r="AZ1874" s="60">
        <v>-0.89561071596991204</v>
      </c>
    </row>
    <row r="1875" spans="1:52" s="287" customFormat="1" ht="15" customHeight="1">
      <c r="A1875" s="344" t="s">
        <v>2040</v>
      </c>
      <c r="B1875" s="284">
        <v>2007</v>
      </c>
      <c r="C1875" s="284" t="s">
        <v>481</v>
      </c>
      <c r="D1875" s="284" t="s">
        <v>81</v>
      </c>
      <c r="E1875" s="284" t="s">
        <v>19</v>
      </c>
      <c r="F1875" s="284" t="s">
        <v>2038</v>
      </c>
      <c r="G1875" s="303"/>
      <c r="H1875" s="303"/>
      <c r="I1875" s="303"/>
      <c r="J1875" s="303"/>
      <c r="K1875" s="284"/>
      <c r="L1875" s="304"/>
      <c r="M1875" s="284"/>
      <c r="N1875" s="284"/>
      <c r="O1875" s="305"/>
      <c r="P1875" s="306"/>
      <c r="Q1875" s="306"/>
      <c r="R1875" s="284"/>
      <c r="S1875" s="284"/>
      <c r="T1875" s="305"/>
      <c r="U1875" s="284"/>
      <c r="V1875" s="284"/>
      <c r="W1875" s="307"/>
      <c r="X1875" s="284"/>
      <c r="Y1875" s="284"/>
      <c r="Z1875" s="284"/>
      <c r="AA1875" s="284"/>
      <c r="AB1875" s="284" t="s">
        <v>2039</v>
      </c>
      <c r="AC1875" s="308">
        <v>10201528.665884711</v>
      </c>
      <c r="AD1875" s="284">
        <v>2158653216.1733117</v>
      </c>
      <c r="AE1875" s="309">
        <v>4.7258765740840801E-3</v>
      </c>
      <c r="AF1875" s="284">
        <v>328244808.05131376</v>
      </c>
      <c r="AG1875" s="310">
        <v>3.1079025214284361E-2</v>
      </c>
      <c r="AH1875" s="310" t="s">
        <v>2842</v>
      </c>
      <c r="AI1875" s="284">
        <v>549780000</v>
      </c>
      <c r="AJ1875" s="310">
        <v>1.8555656200452384E-2</v>
      </c>
      <c r="AK1875" s="284">
        <v>35093393.817595243</v>
      </c>
      <c r="AL1875" s="310">
        <v>0.2906965544258599</v>
      </c>
      <c r="AM1875" s="284">
        <v>55243389.647020921</v>
      </c>
      <c r="AN1875" s="311">
        <v>0.18466514692649463</v>
      </c>
      <c r="AO1875" s="284">
        <v>5416015</v>
      </c>
      <c r="AP1875" s="284" t="s">
        <v>2842</v>
      </c>
      <c r="AQ1875" s="284">
        <v>43.526487804878052</v>
      </c>
      <c r="AR1875" s="284">
        <v>122.2</v>
      </c>
      <c r="AS1875" s="287" t="s">
        <v>2842</v>
      </c>
      <c r="AT1875" s="312">
        <v>31</v>
      </c>
      <c r="AU1875" s="465">
        <v>45.714168725457164</v>
      </c>
      <c r="AV1875" s="287">
        <v>-0.253095004679247</v>
      </c>
      <c r="AW1875" s="287">
        <v>-2.1623866857450699E-2</v>
      </c>
      <c r="AX1875" s="287">
        <v>-1.17297915843723</v>
      </c>
      <c r="AY1875" s="287">
        <v>-1.06972063928095</v>
      </c>
      <c r="AZ1875" s="313">
        <v>-0.89561071596991204</v>
      </c>
    </row>
    <row r="1876" spans="1:52" s="29" customFormat="1" ht="15" customHeight="1">
      <c r="A1876" s="332" t="s">
        <v>2042</v>
      </c>
      <c r="B1876" s="27">
        <v>2008</v>
      </c>
      <c r="C1876" s="27" t="s">
        <v>481</v>
      </c>
      <c r="D1876" s="27" t="s">
        <v>81</v>
      </c>
      <c r="E1876" s="27" t="s">
        <v>30</v>
      </c>
      <c r="F1876" s="27" t="s">
        <v>659</v>
      </c>
      <c r="G1876" s="43"/>
      <c r="H1876" s="43"/>
      <c r="I1876" s="43"/>
      <c r="J1876" s="43"/>
      <c r="K1876" s="27"/>
      <c r="L1876" s="28"/>
      <c r="M1876" s="27"/>
      <c r="N1876" s="27"/>
      <c r="O1876" s="18">
        <f>O1877+O1880</f>
        <v>172713489.90236521</v>
      </c>
      <c r="P1876" s="213">
        <f>SUM(P1877:P1880)</f>
        <v>4427564.2110363245</v>
      </c>
      <c r="Q1876" s="213">
        <v>7476297.1408309368</v>
      </c>
      <c r="R1876" s="27" t="s">
        <v>619</v>
      </c>
      <c r="S1876" s="27"/>
      <c r="T1876" s="18"/>
      <c r="U1876" s="27" t="s">
        <v>590</v>
      </c>
      <c r="V1876" s="27" t="s">
        <v>2022</v>
      </c>
      <c r="W1876" s="30">
        <v>4359.0600000000004</v>
      </c>
      <c r="X1876" s="27">
        <v>12</v>
      </c>
      <c r="Y1876" s="27" t="s">
        <v>2043</v>
      </c>
      <c r="Z1876" s="27">
        <v>12</v>
      </c>
      <c r="AA1876" s="27" t="s">
        <v>2044</v>
      </c>
      <c r="AB1876" s="27" t="s">
        <v>2045</v>
      </c>
      <c r="AC1876" s="273">
        <v>4427564.2110363245</v>
      </c>
      <c r="AD1876" s="27">
        <v>2505620416.4952998</v>
      </c>
      <c r="AE1876" s="228">
        <v>1.7670530547597132E-3</v>
      </c>
      <c r="AF1876" s="27">
        <v>359631698.37957036</v>
      </c>
      <c r="AG1876" s="226">
        <v>1.2311384761093244E-2</v>
      </c>
      <c r="AH1876" s="226" t="s">
        <v>2842</v>
      </c>
      <c r="AI1876" s="27">
        <v>378210000</v>
      </c>
      <c r="AJ1876" s="226">
        <v>1.1706629150568004E-2</v>
      </c>
      <c r="AK1876" s="27">
        <v>44021728.529067926</v>
      </c>
      <c r="AL1876" s="226">
        <v>0.10057679148406827</v>
      </c>
      <c r="AM1876" s="27">
        <v>60490938.657071188</v>
      </c>
      <c r="AN1876" s="271">
        <v>7.3193842075035431E-2</v>
      </c>
      <c r="AO1876" s="27">
        <v>5532139</v>
      </c>
      <c r="AP1876" s="27" t="s">
        <v>2842</v>
      </c>
      <c r="AQ1876" s="27">
        <v>44.067463414634155</v>
      </c>
      <c r="AR1876" s="27">
        <v>119.6</v>
      </c>
      <c r="AS1876" s="29" t="s">
        <v>2842</v>
      </c>
      <c r="AT1876" s="270">
        <v>31</v>
      </c>
      <c r="AU1876" s="464">
        <v>45.714168725457164</v>
      </c>
      <c r="AV1876" s="29">
        <v>-0.17373054822474901</v>
      </c>
      <c r="AW1876" s="29">
        <v>-0.20801576080579801</v>
      </c>
      <c r="AX1876" s="29">
        <v>-1.1616686772434499</v>
      </c>
      <c r="AY1876" s="29">
        <v>-0.96684715899475004</v>
      </c>
      <c r="AZ1876" s="60">
        <v>-0.96305171369739495</v>
      </c>
    </row>
    <row r="1877" spans="1:52" s="29" customFormat="1" ht="15" customHeight="1">
      <c r="A1877" s="59" t="s">
        <v>2042</v>
      </c>
      <c r="B1877" s="27">
        <v>2008</v>
      </c>
      <c r="C1877" s="27" t="s">
        <v>481</v>
      </c>
      <c r="D1877" s="27" t="s">
        <v>81</v>
      </c>
      <c r="E1877" s="27" t="s">
        <v>50</v>
      </c>
      <c r="F1877" s="27" t="s">
        <v>597</v>
      </c>
      <c r="G1877" s="43"/>
      <c r="H1877" s="43"/>
      <c r="I1877" s="43"/>
      <c r="J1877" s="43"/>
      <c r="K1877" s="18"/>
      <c r="L1877" s="28"/>
      <c r="M1877" s="18"/>
      <c r="N1877" s="18"/>
      <c r="O1877" s="18">
        <f>SUM(O1878:O1879)</f>
        <v>0</v>
      </c>
      <c r="P1877" s="213">
        <v>1072246</v>
      </c>
      <c r="Q1877" s="213">
        <v>726850</v>
      </c>
      <c r="R1877" s="18"/>
      <c r="S1877" s="27"/>
      <c r="T1877" s="18"/>
      <c r="U1877" s="18"/>
      <c r="V1877" s="18"/>
      <c r="W1877" s="30"/>
      <c r="X1877" s="27">
        <v>3</v>
      </c>
      <c r="Y1877" s="27" t="s">
        <v>2046</v>
      </c>
      <c r="Z1877" s="27">
        <v>3</v>
      </c>
      <c r="AA1877" s="27" t="s">
        <v>2044</v>
      </c>
      <c r="AB1877" s="27"/>
      <c r="AC1877" s="273">
        <v>4427564.2110363245</v>
      </c>
      <c r="AD1877" s="27">
        <v>2505620416.4952998</v>
      </c>
      <c r="AE1877" s="228">
        <v>1.7670530547597132E-3</v>
      </c>
      <c r="AF1877" s="27">
        <v>359631698.37957036</v>
      </c>
      <c r="AG1877" s="226">
        <v>1.2311384761093244E-2</v>
      </c>
      <c r="AH1877" s="226" t="s">
        <v>2842</v>
      </c>
      <c r="AI1877" s="27">
        <v>378210000</v>
      </c>
      <c r="AJ1877" s="226">
        <v>1.1706629150568004E-2</v>
      </c>
      <c r="AK1877" s="27">
        <v>44021728.529067926</v>
      </c>
      <c r="AL1877" s="226">
        <v>0.10057679148406827</v>
      </c>
      <c r="AM1877" s="27">
        <v>60490938.657071188</v>
      </c>
      <c r="AN1877" s="271">
        <v>7.3193842075035431E-2</v>
      </c>
      <c r="AO1877" s="27">
        <v>5532139</v>
      </c>
      <c r="AP1877" s="27" t="s">
        <v>2842</v>
      </c>
      <c r="AQ1877" s="27">
        <v>44.067463414634155</v>
      </c>
      <c r="AR1877" s="27">
        <v>119.6</v>
      </c>
      <c r="AS1877" s="29" t="s">
        <v>2842</v>
      </c>
      <c r="AT1877" s="270">
        <v>31</v>
      </c>
      <c r="AU1877" s="464">
        <v>45.714168725457164</v>
      </c>
      <c r="AV1877" s="29">
        <v>-0.17373054822474901</v>
      </c>
      <c r="AW1877" s="29">
        <v>-0.20801576080579801</v>
      </c>
      <c r="AX1877" s="29">
        <v>-1.1616686772434499</v>
      </c>
      <c r="AY1877" s="29">
        <v>-0.96684715899475004</v>
      </c>
      <c r="AZ1877" s="60">
        <v>-0.96305171369739495</v>
      </c>
    </row>
    <row r="1878" spans="1:52" s="29" customFormat="1" ht="15" customHeight="1">
      <c r="A1878" s="59" t="s">
        <v>2042</v>
      </c>
      <c r="B1878" s="27">
        <v>2008</v>
      </c>
      <c r="C1878" s="27" t="s">
        <v>481</v>
      </c>
      <c r="D1878" s="27" t="s">
        <v>81</v>
      </c>
      <c r="E1878" s="27" t="s">
        <v>552</v>
      </c>
      <c r="F1878" s="27" t="s">
        <v>552</v>
      </c>
      <c r="G1878" s="43">
        <v>0</v>
      </c>
      <c r="H1878" s="43"/>
      <c r="I1878" s="43"/>
      <c r="J1878" s="43"/>
      <c r="K1878" s="27" t="s">
        <v>2047</v>
      </c>
      <c r="L1878" s="28"/>
      <c r="M1878" s="18"/>
      <c r="N1878" s="18" t="s">
        <v>2048</v>
      </c>
      <c r="O1878" s="18">
        <f>G1878*L1878</f>
        <v>0</v>
      </c>
      <c r="P1878" s="213"/>
      <c r="Q1878" s="213"/>
      <c r="R1878" s="18"/>
      <c r="S1878" s="27"/>
      <c r="T1878" s="18"/>
      <c r="U1878" s="18"/>
      <c r="V1878" s="18"/>
      <c r="W1878" s="30"/>
      <c r="X1878" s="27"/>
      <c r="Y1878" s="27"/>
      <c r="Z1878" s="27"/>
      <c r="AA1878" s="27"/>
      <c r="AB1878" s="27"/>
      <c r="AC1878" s="273">
        <v>4427564.2110363245</v>
      </c>
      <c r="AD1878" s="27">
        <v>2505620416.4952998</v>
      </c>
      <c r="AE1878" s="228">
        <v>1.7670530547597132E-3</v>
      </c>
      <c r="AF1878" s="27">
        <v>359631698.37957036</v>
      </c>
      <c r="AG1878" s="226">
        <v>1.2311384761093244E-2</v>
      </c>
      <c r="AH1878" s="226" t="s">
        <v>2842</v>
      </c>
      <c r="AI1878" s="27">
        <v>378210000</v>
      </c>
      <c r="AJ1878" s="226">
        <v>1.1706629150568004E-2</v>
      </c>
      <c r="AK1878" s="27">
        <v>44021728.529067926</v>
      </c>
      <c r="AL1878" s="226">
        <v>0.10057679148406827</v>
      </c>
      <c r="AM1878" s="27">
        <v>60490938.657071188</v>
      </c>
      <c r="AN1878" s="271">
        <v>7.3193842075035431E-2</v>
      </c>
      <c r="AO1878" s="27">
        <v>5532139</v>
      </c>
      <c r="AP1878" s="27" t="s">
        <v>2842</v>
      </c>
      <c r="AQ1878" s="27">
        <v>44.067463414634155</v>
      </c>
      <c r="AR1878" s="27">
        <v>119.6</v>
      </c>
      <c r="AS1878" s="29" t="s">
        <v>2842</v>
      </c>
      <c r="AT1878" s="270">
        <v>31</v>
      </c>
      <c r="AU1878" s="464">
        <v>45.714168725457164</v>
      </c>
      <c r="AV1878" s="29">
        <v>-0.17373054822474901</v>
      </c>
      <c r="AW1878" s="29">
        <v>-0.20801576080579801</v>
      </c>
      <c r="AX1878" s="29">
        <v>-1.1616686772434499</v>
      </c>
      <c r="AY1878" s="29">
        <v>-0.96684715899475004</v>
      </c>
      <c r="AZ1878" s="60">
        <v>-0.96305171369739495</v>
      </c>
    </row>
    <row r="1879" spans="1:52" s="29" customFormat="1" ht="15" customHeight="1">
      <c r="A1879" s="59" t="s">
        <v>2042</v>
      </c>
      <c r="B1879" s="27">
        <v>2008</v>
      </c>
      <c r="C1879" s="27" t="s">
        <v>481</v>
      </c>
      <c r="D1879" s="27" t="s">
        <v>81</v>
      </c>
      <c r="E1879" s="27" t="s">
        <v>98</v>
      </c>
      <c r="F1879" s="27" t="s">
        <v>98</v>
      </c>
      <c r="G1879" s="43">
        <v>0</v>
      </c>
      <c r="H1879" s="43"/>
      <c r="I1879" s="43"/>
      <c r="J1879" s="43"/>
      <c r="K1879" s="27" t="s">
        <v>603</v>
      </c>
      <c r="L1879" s="28"/>
      <c r="M1879" s="18"/>
      <c r="N1879" s="18" t="s">
        <v>2048</v>
      </c>
      <c r="O1879" s="18">
        <f>G1879*L1879</f>
        <v>0</v>
      </c>
      <c r="P1879" s="213"/>
      <c r="Q1879" s="213"/>
      <c r="R1879" s="18"/>
      <c r="S1879" s="27"/>
      <c r="T1879" s="18"/>
      <c r="U1879" s="18"/>
      <c r="V1879" s="18"/>
      <c r="W1879" s="30"/>
      <c r="X1879" s="27"/>
      <c r="Y1879" s="27"/>
      <c r="Z1879" s="27"/>
      <c r="AA1879" s="27"/>
      <c r="AB1879" s="27"/>
      <c r="AC1879" s="273">
        <v>4427564.2110363245</v>
      </c>
      <c r="AD1879" s="27">
        <v>2505620416.4952998</v>
      </c>
      <c r="AE1879" s="228">
        <v>1.7670530547597132E-3</v>
      </c>
      <c r="AF1879" s="27">
        <v>359631698.37957036</v>
      </c>
      <c r="AG1879" s="226">
        <v>1.2311384761093244E-2</v>
      </c>
      <c r="AH1879" s="226" t="s">
        <v>2842</v>
      </c>
      <c r="AI1879" s="27">
        <v>378210000</v>
      </c>
      <c r="AJ1879" s="226">
        <v>1.1706629150568004E-2</v>
      </c>
      <c r="AK1879" s="27">
        <v>44021728.529067926</v>
      </c>
      <c r="AL1879" s="226">
        <v>0.10057679148406827</v>
      </c>
      <c r="AM1879" s="27">
        <v>60490938.657071188</v>
      </c>
      <c r="AN1879" s="271">
        <v>7.3193842075035431E-2</v>
      </c>
      <c r="AO1879" s="27">
        <v>5532139</v>
      </c>
      <c r="AP1879" s="27" t="s">
        <v>2842</v>
      </c>
      <c r="AQ1879" s="27">
        <v>44.067463414634155</v>
      </c>
      <c r="AR1879" s="27">
        <v>119.6</v>
      </c>
      <c r="AS1879" s="29" t="s">
        <v>2842</v>
      </c>
      <c r="AT1879" s="270">
        <v>31</v>
      </c>
      <c r="AU1879" s="464">
        <v>45.714168725457164</v>
      </c>
      <c r="AV1879" s="29">
        <v>-0.17373054822474901</v>
      </c>
      <c r="AW1879" s="29">
        <v>-0.20801576080579801</v>
      </c>
      <c r="AX1879" s="29">
        <v>-1.1616686772434499</v>
      </c>
      <c r="AY1879" s="29">
        <v>-0.96684715899475004</v>
      </c>
      <c r="AZ1879" s="60">
        <v>-0.96305171369739495</v>
      </c>
    </row>
    <row r="1880" spans="1:52" s="29" customFormat="1" ht="15" customHeight="1">
      <c r="A1880" s="59" t="s">
        <v>2042</v>
      </c>
      <c r="B1880" s="27">
        <v>2008</v>
      </c>
      <c r="C1880" s="27" t="s">
        <v>481</v>
      </c>
      <c r="D1880" s="27" t="s">
        <v>81</v>
      </c>
      <c r="E1880" s="27" t="s">
        <v>19</v>
      </c>
      <c r="F1880" s="27" t="s">
        <v>559</v>
      </c>
      <c r="G1880" s="43"/>
      <c r="H1880" s="43"/>
      <c r="I1880" s="43"/>
      <c r="J1880" s="43"/>
      <c r="K1880" s="27"/>
      <c r="L1880" s="28"/>
      <c r="M1880" s="27"/>
      <c r="N1880" s="27"/>
      <c r="O1880" s="18">
        <f>SUM(O1881:O1888)-SUM(O1886:O1888)</f>
        <v>172713489.90236521</v>
      </c>
      <c r="P1880" s="213">
        <f>SUM(P1881:P1885)</f>
        <v>3355318.2110363245</v>
      </c>
      <c r="Q1880" s="213">
        <v>6749447.1408309368</v>
      </c>
      <c r="R1880" s="27"/>
      <c r="S1880" s="27"/>
      <c r="T1880" s="18"/>
      <c r="U1880" s="27"/>
      <c r="V1880" s="27"/>
      <c r="W1880" s="30"/>
      <c r="X1880" s="27">
        <v>9</v>
      </c>
      <c r="Y1880" s="27" t="s">
        <v>2049</v>
      </c>
      <c r="Z1880" s="27">
        <v>9</v>
      </c>
      <c r="AA1880" s="27" t="s">
        <v>2044</v>
      </c>
      <c r="AB1880" s="27"/>
      <c r="AC1880" s="273">
        <v>4427564.2110363245</v>
      </c>
      <c r="AD1880" s="27">
        <v>2505620416.4952998</v>
      </c>
      <c r="AE1880" s="228">
        <v>1.7670530547597132E-3</v>
      </c>
      <c r="AF1880" s="27">
        <v>359631698.37957036</v>
      </c>
      <c r="AG1880" s="226">
        <v>1.2311384761093244E-2</v>
      </c>
      <c r="AH1880" s="226" t="s">
        <v>2842</v>
      </c>
      <c r="AI1880" s="27">
        <v>378210000</v>
      </c>
      <c r="AJ1880" s="226">
        <v>1.1706629150568004E-2</v>
      </c>
      <c r="AK1880" s="27">
        <v>44021728.529067926</v>
      </c>
      <c r="AL1880" s="226">
        <v>0.10057679148406827</v>
      </c>
      <c r="AM1880" s="27">
        <v>60490938.657071188</v>
      </c>
      <c r="AN1880" s="271">
        <v>7.3193842075035431E-2</v>
      </c>
      <c r="AO1880" s="27">
        <v>5532139</v>
      </c>
      <c r="AP1880" s="27" t="s">
        <v>2842</v>
      </c>
      <c r="AQ1880" s="27">
        <v>44.067463414634155</v>
      </c>
      <c r="AR1880" s="27">
        <v>119.6</v>
      </c>
      <c r="AS1880" s="29" t="s">
        <v>2842</v>
      </c>
      <c r="AT1880" s="270">
        <v>31</v>
      </c>
      <c r="AU1880" s="464">
        <v>45.714168725457164</v>
      </c>
      <c r="AV1880" s="29">
        <v>-0.17373054822474901</v>
      </c>
      <c r="AW1880" s="29">
        <v>-0.20801576080579801</v>
      </c>
      <c r="AX1880" s="29">
        <v>-1.1616686772434499</v>
      </c>
      <c r="AY1880" s="29">
        <v>-0.96684715899475004</v>
      </c>
      <c r="AZ1880" s="60">
        <v>-0.96305171369739495</v>
      </c>
    </row>
    <row r="1881" spans="1:52" s="29" customFormat="1" ht="15" customHeight="1">
      <c r="A1881" s="59" t="s">
        <v>2042</v>
      </c>
      <c r="B1881" s="27">
        <v>2008</v>
      </c>
      <c r="C1881" s="27" t="s">
        <v>481</v>
      </c>
      <c r="D1881" s="27" t="s">
        <v>81</v>
      </c>
      <c r="E1881" s="27" t="s">
        <v>19</v>
      </c>
      <c r="F1881" s="27" t="s">
        <v>1049</v>
      </c>
      <c r="G1881" s="43">
        <v>954000</v>
      </c>
      <c r="H1881" s="43"/>
      <c r="I1881" s="43"/>
      <c r="J1881" s="43"/>
      <c r="K1881" s="27" t="s">
        <v>567</v>
      </c>
      <c r="L1881" s="28">
        <v>26.43</v>
      </c>
      <c r="M1881" s="27" t="s">
        <v>568</v>
      </c>
      <c r="N1881" s="27" t="s">
        <v>2050</v>
      </c>
      <c r="O1881" s="18">
        <f>G1881*L1881</f>
        <v>25214220</v>
      </c>
      <c r="P1881" s="213">
        <v>286131</v>
      </c>
      <c r="Q1881" s="213">
        <v>941518.16780682071</v>
      </c>
      <c r="R1881" s="18"/>
      <c r="S1881" s="27"/>
      <c r="T1881" s="18"/>
      <c r="U1881" s="27"/>
      <c r="V1881" s="18"/>
      <c r="W1881" s="30"/>
      <c r="X1881" s="27">
        <v>1</v>
      </c>
      <c r="Y1881" s="27" t="s">
        <v>2051</v>
      </c>
      <c r="Z1881" s="27">
        <v>1</v>
      </c>
      <c r="AA1881" s="27" t="s">
        <v>2044</v>
      </c>
      <c r="AB1881" s="27"/>
      <c r="AC1881" s="273">
        <v>4427564.2110363245</v>
      </c>
      <c r="AD1881" s="27">
        <v>2505620416.4952998</v>
      </c>
      <c r="AE1881" s="228">
        <v>1.7670530547597132E-3</v>
      </c>
      <c r="AF1881" s="27">
        <v>359631698.37957036</v>
      </c>
      <c r="AG1881" s="226">
        <v>1.2311384761093244E-2</v>
      </c>
      <c r="AH1881" s="226" t="s">
        <v>2842</v>
      </c>
      <c r="AI1881" s="27">
        <v>378210000</v>
      </c>
      <c r="AJ1881" s="226">
        <v>1.1706629150568004E-2</v>
      </c>
      <c r="AK1881" s="27">
        <v>44021728.529067926</v>
      </c>
      <c r="AL1881" s="226">
        <v>0.10057679148406827</v>
      </c>
      <c r="AM1881" s="27">
        <v>60490938.657071188</v>
      </c>
      <c r="AN1881" s="271">
        <v>7.3193842075035431E-2</v>
      </c>
      <c r="AO1881" s="27">
        <v>5532139</v>
      </c>
      <c r="AP1881" s="27" t="s">
        <v>2842</v>
      </c>
      <c r="AQ1881" s="27">
        <v>44.067463414634155</v>
      </c>
      <c r="AR1881" s="27">
        <v>119.6</v>
      </c>
      <c r="AS1881" s="29" t="s">
        <v>2842</v>
      </c>
      <c r="AT1881" s="270">
        <v>31</v>
      </c>
      <c r="AU1881" s="464">
        <v>45.714168725457164</v>
      </c>
      <c r="AV1881" s="29">
        <v>-0.17373054822474901</v>
      </c>
      <c r="AW1881" s="29">
        <v>-0.20801576080579801</v>
      </c>
      <c r="AX1881" s="29">
        <v>-1.1616686772434499</v>
      </c>
      <c r="AY1881" s="29">
        <v>-0.96684715899475004</v>
      </c>
      <c r="AZ1881" s="60">
        <v>-0.96305171369739495</v>
      </c>
    </row>
    <row r="1882" spans="1:52" s="29" customFormat="1" ht="15" customHeight="1">
      <c r="A1882" s="59" t="s">
        <v>2042</v>
      </c>
      <c r="B1882" s="27">
        <v>2008</v>
      </c>
      <c r="C1882" s="27" t="s">
        <v>481</v>
      </c>
      <c r="D1882" s="27" t="s">
        <v>81</v>
      </c>
      <c r="E1882" s="27" t="s">
        <v>19</v>
      </c>
      <c r="F1882" s="27" t="s">
        <v>904</v>
      </c>
      <c r="G1882" s="43">
        <v>371261</v>
      </c>
      <c r="H1882" s="43"/>
      <c r="I1882" s="43"/>
      <c r="J1882" s="43"/>
      <c r="K1882" s="27" t="s">
        <v>905</v>
      </c>
      <c r="L1882" s="28">
        <v>266.05</v>
      </c>
      <c r="M1882" s="27" t="s">
        <v>906</v>
      </c>
      <c r="N1882" s="27" t="s">
        <v>2052</v>
      </c>
      <c r="O1882" s="18">
        <f>G1882*L1882</f>
        <v>98773989.049999997</v>
      </c>
      <c r="P1882" s="213">
        <v>2379770</v>
      </c>
      <c r="Q1882" s="213">
        <v>2726162.0803958885</v>
      </c>
      <c r="R1882" s="18"/>
      <c r="S1882" s="27"/>
      <c r="T1882" s="18"/>
      <c r="U1882" s="18"/>
      <c r="V1882" s="18"/>
      <c r="W1882" s="30"/>
      <c r="X1882" s="27">
        <v>3</v>
      </c>
      <c r="Y1882" s="27" t="s">
        <v>2053</v>
      </c>
      <c r="Z1882" s="27">
        <v>3</v>
      </c>
      <c r="AA1882" s="27" t="s">
        <v>2044</v>
      </c>
      <c r="AB1882" s="27"/>
      <c r="AC1882" s="273">
        <v>4427564.2110363245</v>
      </c>
      <c r="AD1882" s="27">
        <v>2505620416.4952998</v>
      </c>
      <c r="AE1882" s="228">
        <v>1.7670530547597132E-3</v>
      </c>
      <c r="AF1882" s="27">
        <v>359631698.37957036</v>
      </c>
      <c r="AG1882" s="226">
        <v>1.2311384761093244E-2</v>
      </c>
      <c r="AH1882" s="226" t="s">
        <v>2842</v>
      </c>
      <c r="AI1882" s="27">
        <v>378210000</v>
      </c>
      <c r="AJ1882" s="226">
        <v>1.1706629150568004E-2</v>
      </c>
      <c r="AK1882" s="27">
        <v>44021728.529067926</v>
      </c>
      <c r="AL1882" s="226">
        <v>0.10057679148406827</v>
      </c>
      <c r="AM1882" s="27">
        <v>60490938.657071188</v>
      </c>
      <c r="AN1882" s="271">
        <v>7.3193842075035431E-2</v>
      </c>
      <c r="AO1882" s="27">
        <v>5532139</v>
      </c>
      <c r="AP1882" s="27" t="s">
        <v>2842</v>
      </c>
      <c r="AQ1882" s="27">
        <v>44.067463414634155</v>
      </c>
      <c r="AR1882" s="27">
        <v>119.6</v>
      </c>
      <c r="AS1882" s="29" t="s">
        <v>2842</v>
      </c>
      <c r="AT1882" s="270">
        <v>31</v>
      </c>
      <c r="AU1882" s="464">
        <v>45.714168725457164</v>
      </c>
      <c r="AV1882" s="29">
        <v>-0.17373054822474901</v>
      </c>
      <c r="AW1882" s="29">
        <v>-0.20801576080579801</v>
      </c>
      <c r="AX1882" s="29">
        <v>-1.1616686772434499</v>
      </c>
      <c r="AY1882" s="29">
        <v>-0.96684715899475004</v>
      </c>
      <c r="AZ1882" s="60">
        <v>-0.96305171369739495</v>
      </c>
    </row>
    <row r="1883" spans="1:52" s="29" customFormat="1" ht="15" customHeight="1">
      <c r="A1883" s="59" t="s">
        <v>2042</v>
      </c>
      <c r="B1883" s="27">
        <v>2008</v>
      </c>
      <c r="C1883" s="27" t="s">
        <v>481</v>
      </c>
      <c r="D1883" s="27" t="s">
        <v>81</v>
      </c>
      <c r="E1883" s="27" t="s">
        <v>19</v>
      </c>
      <c r="F1883" s="27" t="s">
        <v>730</v>
      </c>
      <c r="G1883" s="43">
        <f>191*32.1507431265</f>
        <v>6140.7919371614989</v>
      </c>
      <c r="H1883" s="43"/>
      <c r="I1883" s="43"/>
      <c r="J1883" s="43"/>
      <c r="K1883" s="27" t="s">
        <v>731</v>
      </c>
      <c r="L1883" s="28">
        <v>871.70725000000004</v>
      </c>
      <c r="M1883" s="27" t="s">
        <v>732</v>
      </c>
      <c r="N1883" s="27" t="s">
        <v>733</v>
      </c>
      <c r="O1883" s="18">
        <f>G1883*L1883</f>
        <v>5352972.8523652237</v>
      </c>
      <c r="P1883" s="213">
        <v>194863.68597816958</v>
      </c>
      <c r="Q1883" s="213">
        <v>279590</v>
      </c>
      <c r="R1883" s="18"/>
      <c r="S1883" s="27"/>
      <c r="T1883" s="18"/>
      <c r="U1883" s="27"/>
      <c r="V1883" s="18"/>
      <c r="W1883" s="30"/>
      <c r="X1883" s="27">
        <v>2</v>
      </c>
      <c r="Y1883" s="27" t="s">
        <v>2054</v>
      </c>
      <c r="Z1883" s="27">
        <v>2</v>
      </c>
      <c r="AA1883" s="27" t="s">
        <v>2044</v>
      </c>
      <c r="AB1883" s="27"/>
      <c r="AC1883" s="273">
        <v>4427564.2110363245</v>
      </c>
      <c r="AD1883" s="27">
        <v>2505620416.4952998</v>
      </c>
      <c r="AE1883" s="228">
        <v>1.7670530547597132E-3</v>
      </c>
      <c r="AF1883" s="27">
        <v>359631698.37957036</v>
      </c>
      <c r="AG1883" s="226">
        <v>1.2311384761093244E-2</v>
      </c>
      <c r="AH1883" s="226" t="s">
        <v>2842</v>
      </c>
      <c r="AI1883" s="27">
        <v>378210000</v>
      </c>
      <c r="AJ1883" s="226">
        <v>1.1706629150568004E-2</v>
      </c>
      <c r="AK1883" s="27">
        <v>44021728.529067926</v>
      </c>
      <c r="AL1883" s="226">
        <v>0.10057679148406827</v>
      </c>
      <c r="AM1883" s="27">
        <v>60490938.657071188</v>
      </c>
      <c r="AN1883" s="271">
        <v>7.3193842075035431E-2</v>
      </c>
      <c r="AO1883" s="27">
        <v>5532139</v>
      </c>
      <c r="AP1883" s="27" t="s">
        <v>2842</v>
      </c>
      <c r="AQ1883" s="27">
        <v>44.067463414634155</v>
      </c>
      <c r="AR1883" s="27">
        <v>119.6</v>
      </c>
      <c r="AS1883" s="29" t="s">
        <v>2842</v>
      </c>
      <c r="AT1883" s="270">
        <v>31</v>
      </c>
      <c r="AU1883" s="464">
        <v>45.714168725457164</v>
      </c>
      <c r="AV1883" s="29">
        <v>-0.17373054822474901</v>
      </c>
      <c r="AW1883" s="29">
        <v>-0.20801576080579801</v>
      </c>
      <c r="AX1883" s="29">
        <v>-1.1616686772434499</v>
      </c>
      <c r="AY1883" s="29">
        <v>-0.96684715899475004</v>
      </c>
      <c r="AZ1883" s="60">
        <v>-0.96305171369739495</v>
      </c>
    </row>
    <row r="1884" spans="1:52" s="29" customFormat="1" ht="15" customHeight="1">
      <c r="A1884" s="59" t="s">
        <v>2042</v>
      </c>
      <c r="B1884" s="27">
        <v>2008</v>
      </c>
      <c r="C1884" s="27" t="s">
        <v>481</v>
      </c>
      <c r="D1884" s="27" t="s">
        <v>81</v>
      </c>
      <c r="E1884" s="27" t="s">
        <v>19</v>
      </c>
      <c r="F1884" s="27" t="s">
        <v>1133</v>
      </c>
      <c r="G1884" s="43">
        <v>0</v>
      </c>
      <c r="H1884" s="43"/>
      <c r="I1884" s="43"/>
      <c r="J1884" s="43"/>
      <c r="K1884" s="27" t="s">
        <v>567</v>
      </c>
      <c r="L1884" s="28"/>
      <c r="M1884" s="27"/>
      <c r="N1884" s="27" t="s">
        <v>636</v>
      </c>
      <c r="O1884" s="18">
        <f>G1884*L1884</f>
        <v>0</v>
      </c>
      <c r="P1884" s="213">
        <v>33754.525058154737</v>
      </c>
      <c r="Q1884" s="213">
        <v>2234995</v>
      </c>
      <c r="R1884" s="18"/>
      <c r="S1884" s="27"/>
      <c r="T1884" s="18"/>
      <c r="U1884" s="27"/>
      <c r="V1884" s="18"/>
      <c r="W1884" s="30"/>
      <c r="X1884" s="27">
        <v>2</v>
      </c>
      <c r="Y1884" s="27" t="s">
        <v>2055</v>
      </c>
      <c r="Z1884" s="27">
        <v>2</v>
      </c>
      <c r="AA1884" s="27" t="s">
        <v>2044</v>
      </c>
      <c r="AB1884" s="27"/>
      <c r="AC1884" s="273">
        <v>4427564.2110363245</v>
      </c>
      <c r="AD1884" s="27">
        <v>2505620416.4952998</v>
      </c>
      <c r="AE1884" s="228">
        <v>1.7670530547597132E-3</v>
      </c>
      <c r="AF1884" s="27">
        <v>359631698.37957036</v>
      </c>
      <c r="AG1884" s="226">
        <v>1.2311384761093244E-2</v>
      </c>
      <c r="AH1884" s="226" t="s">
        <v>2842</v>
      </c>
      <c r="AI1884" s="27">
        <v>378210000</v>
      </c>
      <c r="AJ1884" s="226">
        <v>1.1706629150568004E-2</v>
      </c>
      <c r="AK1884" s="27">
        <v>44021728.529067926</v>
      </c>
      <c r="AL1884" s="226">
        <v>0.10057679148406827</v>
      </c>
      <c r="AM1884" s="27">
        <v>60490938.657071188</v>
      </c>
      <c r="AN1884" s="271">
        <v>7.3193842075035431E-2</v>
      </c>
      <c r="AO1884" s="27">
        <v>5532139</v>
      </c>
      <c r="AP1884" s="27" t="s">
        <v>2842</v>
      </c>
      <c r="AQ1884" s="27">
        <v>44.067463414634155</v>
      </c>
      <c r="AR1884" s="27">
        <v>119.6</v>
      </c>
      <c r="AS1884" s="29" t="s">
        <v>2842</v>
      </c>
      <c r="AT1884" s="270">
        <v>31</v>
      </c>
      <c r="AU1884" s="464">
        <v>45.714168725457164</v>
      </c>
      <c r="AV1884" s="29">
        <v>-0.17373054822474901</v>
      </c>
      <c r="AW1884" s="29">
        <v>-0.20801576080579801</v>
      </c>
      <c r="AX1884" s="29">
        <v>-1.1616686772434499</v>
      </c>
      <c r="AY1884" s="29">
        <v>-0.96684715899475004</v>
      </c>
      <c r="AZ1884" s="60">
        <v>-0.96305171369739495</v>
      </c>
    </row>
    <row r="1885" spans="1:52" s="29" customFormat="1" ht="15" customHeight="1">
      <c r="A1885" s="59" t="s">
        <v>2042</v>
      </c>
      <c r="B1885" s="27">
        <v>2008</v>
      </c>
      <c r="C1885" s="27" t="s">
        <v>481</v>
      </c>
      <c r="D1885" s="27" t="s">
        <v>81</v>
      </c>
      <c r="E1885" s="27" t="s">
        <v>19</v>
      </c>
      <c r="F1885" s="27" t="s">
        <v>2032</v>
      </c>
      <c r="G1885" s="43"/>
      <c r="H1885" s="43"/>
      <c r="I1885" s="43"/>
      <c r="J1885" s="43"/>
      <c r="K1885" s="27"/>
      <c r="L1885" s="28"/>
      <c r="M1885" s="27"/>
      <c r="N1885" s="27"/>
      <c r="O1885" s="18">
        <f>SUM(O1886:O1888)</f>
        <v>43372308</v>
      </c>
      <c r="P1885" s="213">
        <v>460799</v>
      </c>
      <c r="Q1885" s="213">
        <v>567181.89262822713</v>
      </c>
      <c r="R1885" s="18"/>
      <c r="S1885" s="27"/>
      <c r="T1885" s="18"/>
      <c r="U1885" s="27"/>
      <c r="V1885" s="18"/>
      <c r="W1885" s="30"/>
      <c r="X1885" s="27">
        <v>1</v>
      </c>
      <c r="Y1885" s="27" t="s">
        <v>2056</v>
      </c>
      <c r="Z1885" s="27">
        <v>1</v>
      </c>
      <c r="AA1885" s="27" t="s">
        <v>2044</v>
      </c>
      <c r="AB1885" s="27"/>
      <c r="AC1885" s="273">
        <v>4427564.2110363245</v>
      </c>
      <c r="AD1885" s="27">
        <v>2505620416.4952998</v>
      </c>
      <c r="AE1885" s="228">
        <v>1.7670530547597132E-3</v>
      </c>
      <c r="AF1885" s="27">
        <v>359631698.37957036</v>
      </c>
      <c r="AG1885" s="226">
        <v>1.2311384761093244E-2</v>
      </c>
      <c r="AH1885" s="226" t="s">
        <v>2842</v>
      </c>
      <c r="AI1885" s="27">
        <v>378210000</v>
      </c>
      <c r="AJ1885" s="226">
        <v>1.1706629150568004E-2</v>
      </c>
      <c r="AK1885" s="27">
        <v>44021728.529067926</v>
      </c>
      <c r="AL1885" s="226">
        <v>0.10057679148406827</v>
      </c>
      <c r="AM1885" s="27">
        <v>60490938.657071188</v>
      </c>
      <c r="AN1885" s="271">
        <v>7.3193842075035431E-2</v>
      </c>
      <c r="AO1885" s="27">
        <v>5532139</v>
      </c>
      <c r="AP1885" s="27" t="s">
        <v>2842</v>
      </c>
      <c r="AQ1885" s="27">
        <v>44.067463414634155</v>
      </c>
      <c r="AR1885" s="27">
        <v>119.6</v>
      </c>
      <c r="AS1885" s="29" t="s">
        <v>2842</v>
      </c>
      <c r="AT1885" s="270">
        <v>31</v>
      </c>
      <c r="AU1885" s="464">
        <v>45.714168725457164</v>
      </c>
      <c r="AV1885" s="29">
        <v>-0.17373054822474901</v>
      </c>
      <c r="AW1885" s="29">
        <v>-0.20801576080579801</v>
      </c>
      <c r="AX1885" s="29">
        <v>-1.1616686772434499</v>
      </c>
      <c r="AY1885" s="29">
        <v>-0.96684715899475004</v>
      </c>
      <c r="AZ1885" s="60">
        <v>-0.96305171369739495</v>
      </c>
    </row>
    <row r="1886" spans="1:52" s="29" customFormat="1" ht="15" customHeight="1">
      <c r="A1886" s="59" t="s">
        <v>2042</v>
      </c>
      <c r="B1886" s="27">
        <v>2008</v>
      </c>
      <c r="C1886" s="27" t="s">
        <v>481</v>
      </c>
      <c r="D1886" s="27" t="s">
        <v>81</v>
      </c>
      <c r="E1886" s="27" t="s">
        <v>19</v>
      </c>
      <c r="F1886" s="27" t="s">
        <v>2034</v>
      </c>
      <c r="G1886" s="43">
        <v>17528</v>
      </c>
      <c r="H1886" s="43"/>
      <c r="I1886" s="43"/>
      <c r="J1886" s="43"/>
      <c r="K1886" s="27" t="s">
        <v>567</v>
      </c>
      <c r="L1886" s="28">
        <v>111</v>
      </c>
      <c r="M1886" s="27" t="s">
        <v>568</v>
      </c>
      <c r="N1886" s="27" t="s">
        <v>1546</v>
      </c>
      <c r="O1886" s="18">
        <f>G1886*L1886</f>
        <v>1945608</v>
      </c>
      <c r="P1886" s="213"/>
      <c r="Q1886" s="213"/>
      <c r="R1886" s="27"/>
      <c r="S1886" s="27"/>
      <c r="T1886" s="18"/>
      <c r="U1886" s="27"/>
      <c r="V1886" s="27"/>
      <c r="W1886" s="30"/>
      <c r="X1886" s="27"/>
      <c r="Y1886" s="27"/>
      <c r="Z1886" s="27"/>
      <c r="AA1886" s="27"/>
      <c r="AB1886" s="27"/>
      <c r="AC1886" s="273">
        <v>4427564.2110363245</v>
      </c>
      <c r="AD1886" s="27">
        <v>2505620416.4952998</v>
      </c>
      <c r="AE1886" s="228">
        <v>1.7670530547597132E-3</v>
      </c>
      <c r="AF1886" s="27">
        <v>359631698.37957036</v>
      </c>
      <c r="AG1886" s="226">
        <v>1.2311384761093244E-2</v>
      </c>
      <c r="AH1886" s="226" t="s">
        <v>2842</v>
      </c>
      <c r="AI1886" s="27">
        <v>378210000</v>
      </c>
      <c r="AJ1886" s="226">
        <v>1.1706629150568004E-2</v>
      </c>
      <c r="AK1886" s="27">
        <v>44021728.529067926</v>
      </c>
      <c r="AL1886" s="226">
        <v>0.10057679148406827</v>
      </c>
      <c r="AM1886" s="27">
        <v>60490938.657071188</v>
      </c>
      <c r="AN1886" s="271">
        <v>7.3193842075035431E-2</v>
      </c>
      <c r="AO1886" s="27">
        <v>5532139</v>
      </c>
      <c r="AP1886" s="27" t="s">
        <v>2842</v>
      </c>
      <c r="AQ1886" s="27">
        <v>44.067463414634155</v>
      </c>
      <c r="AR1886" s="27">
        <v>119.6</v>
      </c>
      <c r="AS1886" s="29" t="s">
        <v>2842</v>
      </c>
      <c r="AT1886" s="270">
        <v>31</v>
      </c>
      <c r="AU1886" s="464">
        <v>45.714168725457164</v>
      </c>
      <c r="AV1886" s="29">
        <v>-0.17373054822474901</v>
      </c>
      <c r="AW1886" s="29">
        <v>-0.20801576080579801</v>
      </c>
      <c r="AX1886" s="29">
        <v>-1.1616686772434499</v>
      </c>
      <c r="AY1886" s="29">
        <v>-0.96684715899475004</v>
      </c>
      <c r="AZ1886" s="60">
        <v>-0.96305171369739495</v>
      </c>
    </row>
    <row r="1887" spans="1:52" s="29" customFormat="1" ht="15" customHeight="1">
      <c r="A1887" s="59" t="s">
        <v>2042</v>
      </c>
      <c r="B1887" s="27">
        <v>2008</v>
      </c>
      <c r="C1887" s="27" t="s">
        <v>481</v>
      </c>
      <c r="D1887" s="27" t="s">
        <v>81</v>
      </c>
      <c r="E1887" s="27" t="s">
        <v>19</v>
      </c>
      <c r="F1887" s="27" t="s">
        <v>2036</v>
      </c>
      <c r="G1887" s="43">
        <v>78908</v>
      </c>
      <c r="H1887" s="43"/>
      <c r="I1887" s="43"/>
      <c r="J1887" s="43"/>
      <c r="K1887" s="27" t="s">
        <v>567</v>
      </c>
      <c r="L1887" s="28">
        <v>525</v>
      </c>
      <c r="M1887" s="27" t="s">
        <v>568</v>
      </c>
      <c r="N1887" s="27" t="s">
        <v>1748</v>
      </c>
      <c r="O1887" s="18">
        <f>G1887*L1887</f>
        <v>41426700</v>
      </c>
      <c r="P1887" s="213"/>
      <c r="Q1887" s="213"/>
      <c r="R1887" s="27"/>
      <c r="S1887" s="27"/>
      <c r="T1887" s="18"/>
      <c r="U1887" s="27"/>
      <c r="V1887" s="27"/>
      <c r="W1887" s="30"/>
      <c r="X1887" s="27"/>
      <c r="Y1887" s="27"/>
      <c r="Z1887" s="27"/>
      <c r="AA1887" s="27"/>
      <c r="AB1887" s="27"/>
      <c r="AC1887" s="273">
        <v>4427564.2110363245</v>
      </c>
      <c r="AD1887" s="27">
        <v>2505620416.4952998</v>
      </c>
      <c r="AE1887" s="228">
        <v>1.7670530547597132E-3</v>
      </c>
      <c r="AF1887" s="27">
        <v>359631698.37957036</v>
      </c>
      <c r="AG1887" s="226">
        <v>1.2311384761093244E-2</v>
      </c>
      <c r="AH1887" s="226" t="s">
        <v>2842</v>
      </c>
      <c r="AI1887" s="27">
        <v>378210000</v>
      </c>
      <c r="AJ1887" s="226">
        <v>1.1706629150568004E-2</v>
      </c>
      <c r="AK1887" s="27">
        <v>44021728.529067926</v>
      </c>
      <c r="AL1887" s="226">
        <v>0.10057679148406827</v>
      </c>
      <c r="AM1887" s="27">
        <v>60490938.657071188</v>
      </c>
      <c r="AN1887" s="271">
        <v>7.3193842075035431E-2</v>
      </c>
      <c r="AO1887" s="27">
        <v>5532139</v>
      </c>
      <c r="AP1887" s="27" t="s">
        <v>2842</v>
      </c>
      <c r="AQ1887" s="27">
        <v>44.067463414634155</v>
      </c>
      <c r="AR1887" s="27">
        <v>119.6</v>
      </c>
      <c r="AS1887" s="29" t="s">
        <v>2842</v>
      </c>
      <c r="AT1887" s="270">
        <v>31</v>
      </c>
      <c r="AU1887" s="464">
        <v>45.714168725457164</v>
      </c>
      <c r="AV1887" s="29">
        <v>-0.17373054822474901</v>
      </c>
      <c r="AW1887" s="29">
        <v>-0.20801576080579801</v>
      </c>
      <c r="AX1887" s="29">
        <v>-1.1616686772434499</v>
      </c>
      <c r="AY1887" s="29">
        <v>-0.96684715899475004</v>
      </c>
      <c r="AZ1887" s="60">
        <v>-0.96305171369739495</v>
      </c>
    </row>
    <row r="1888" spans="1:52" s="287" customFormat="1" ht="15" customHeight="1">
      <c r="A1888" s="344" t="s">
        <v>2042</v>
      </c>
      <c r="B1888" s="284">
        <v>2008</v>
      </c>
      <c r="C1888" s="284" t="s">
        <v>481</v>
      </c>
      <c r="D1888" s="284" t="s">
        <v>81</v>
      </c>
      <c r="E1888" s="284" t="s">
        <v>19</v>
      </c>
      <c r="F1888" s="284" t="s">
        <v>2038</v>
      </c>
      <c r="G1888" s="303">
        <v>0</v>
      </c>
      <c r="H1888" s="303"/>
      <c r="I1888" s="303"/>
      <c r="J1888" s="303"/>
      <c r="K1888" s="284" t="s">
        <v>567</v>
      </c>
      <c r="L1888" s="304"/>
      <c r="M1888" s="284"/>
      <c r="N1888" s="284" t="s">
        <v>636</v>
      </c>
      <c r="O1888" s="305"/>
      <c r="P1888" s="306"/>
      <c r="Q1888" s="306"/>
      <c r="R1888" s="284"/>
      <c r="S1888" s="284"/>
      <c r="T1888" s="305"/>
      <c r="U1888" s="284"/>
      <c r="V1888" s="284"/>
      <c r="W1888" s="307"/>
      <c r="X1888" s="284"/>
      <c r="Y1888" s="284"/>
      <c r="Z1888" s="284"/>
      <c r="AA1888" s="284"/>
      <c r="AB1888" s="284"/>
      <c r="AC1888" s="308">
        <v>4427564.2110363245</v>
      </c>
      <c r="AD1888" s="284">
        <v>2505620416.4952998</v>
      </c>
      <c r="AE1888" s="309">
        <v>1.7670530547597132E-3</v>
      </c>
      <c r="AF1888" s="284">
        <v>359631698.37957036</v>
      </c>
      <c r="AG1888" s="310">
        <v>1.2311384761093244E-2</v>
      </c>
      <c r="AH1888" s="310" t="s">
        <v>2842</v>
      </c>
      <c r="AI1888" s="284">
        <v>378210000</v>
      </c>
      <c r="AJ1888" s="310">
        <v>1.1706629150568004E-2</v>
      </c>
      <c r="AK1888" s="284">
        <v>44021728.529067926</v>
      </c>
      <c r="AL1888" s="310">
        <v>0.10057679148406827</v>
      </c>
      <c r="AM1888" s="284">
        <v>60490938.657071188</v>
      </c>
      <c r="AN1888" s="311">
        <v>7.3193842075035431E-2</v>
      </c>
      <c r="AO1888" s="284">
        <v>5532139</v>
      </c>
      <c r="AP1888" s="284" t="s">
        <v>2842</v>
      </c>
      <c r="AQ1888" s="284">
        <v>44.067463414634155</v>
      </c>
      <c r="AR1888" s="284">
        <v>119.6</v>
      </c>
      <c r="AS1888" s="287" t="s">
        <v>2842</v>
      </c>
      <c r="AT1888" s="312">
        <v>31</v>
      </c>
      <c r="AU1888" s="465">
        <v>45.714168725457164</v>
      </c>
      <c r="AV1888" s="287">
        <v>-0.17373054822474901</v>
      </c>
      <c r="AW1888" s="287">
        <v>-0.20801576080579801</v>
      </c>
      <c r="AX1888" s="287">
        <v>-1.1616686772434499</v>
      </c>
      <c r="AY1888" s="287">
        <v>-0.96684715899475004</v>
      </c>
      <c r="AZ1888" s="313">
        <v>-0.96305171369739495</v>
      </c>
    </row>
    <row r="1889" spans="1:52" ht="15" customHeight="1">
      <c r="A1889" s="332" t="s">
        <v>2057</v>
      </c>
      <c r="B1889" s="27">
        <v>2009</v>
      </c>
      <c r="C1889" s="27" t="s">
        <v>481</v>
      </c>
      <c r="D1889" s="27" t="s">
        <v>81</v>
      </c>
      <c r="E1889" s="27" t="s">
        <v>30</v>
      </c>
      <c r="F1889" s="27" t="s">
        <v>659</v>
      </c>
      <c r="G1889" s="43"/>
      <c r="H1889" s="43"/>
      <c r="I1889" s="43"/>
      <c r="J1889" s="43"/>
      <c r="K1889" s="27"/>
      <c r="L1889" s="28"/>
      <c r="M1889" s="27"/>
      <c r="N1889" s="27"/>
      <c r="O1889" s="18">
        <f>O1890+O1893</f>
        <v>145767005.57944161</v>
      </c>
      <c r="P1889" s="213">
        <v>5875777.9977596682</v>
      </c>
      <c r="Q1889" s="213">
        <v>6091293.3647605022</v>
      </c>
      <c r="R1889" s="27" t="s">
        <v>619</v>
      </c>
      <c r="S1889" s="27"/>
      <c r="T1889" s="18"/>
      <c r="U1889" s="27" t="s">
        <v>590</v>
      </c>
      <c r="V1889" s="27" t="s">
        <v>2022</v>
      </c>
      <c r="W1889" s="30">
        <v>4691.2700000000004</v>
      </c>
      <c r="X1889" s="27">
        <v>13</v>
      </c>
      <c r="Y1889" s="27" t="s">
        <v>2058</v>
      </c>
      <c r="Z1889" s="27">
        <v>12</v>
      </c>
      <c r="AA1889" s="27" t="s">
        <v>2059</v>
      </c>
      <c r="AB1889" s="27" t="s">
        <v>2060</v>
      </c>
      <c r="AC1889" s="273">
        <v>5875777.9977596682</v>
      </c>
      <c r="AD1889" s="27">
        <v>2453972925.4943657</v>
      </c>
      <c r="AE1889" s="228">
        <v>2.3943939791332301E-3</v>
      </c>
      <c r="AF1889" s="27">
        <v>386525275.49461758</v>
      </c>
      <c r="AG1889" s="226">
        <v>1.5201536277907624E-2</v>
      </c>
      <c r="AH1889" s="226" t="s">
        <v>2842</v>
      </c>
      <c r="AI1889" s="27">
        <v>448260000</v>
      </c>
      <c r="AJ1889" s="226">
        <v>1.3107968584659948E-2</v>
      </c>
      <c r="AK1889" s="27">
        <v>53337976.127104692</v>
      </c>
      <c r="AL1889" s="226">
        <v>0.11016124765884736</v>
      </c>
      <c r="AM1889" s="27">
        <v>68157380.22455816</v>
      </c>
      <c r="AN1889" s="271">
        <v>8.6208976612668201E-2</v>
      </c>
      <c r="AO1889" s="27">
        <v>5641182</v>
      </c>
      <c r="AP1889" s="27" t="s">
        <v>2842</v>
      </c>
      <c r="AQ1889" s="27">
        <v>44.501439024390251</v>
      </c>
      <c r="AR1889" s="27">
        <v>116.9</v>
      </c>
      <c r="AS1889" s="29" t="s">
        <v>2842</v>
      </c>
      <c r="AT1889" s="270">
        <v>31</v>
      </c>
      <c r="AU1889" s="464">
        <v>45.714168725457164</v>
      </c>
      <c r="AV1889" s="29">
        <v>-0.26388929326647997</v>
      </c>
      <c r="AW1889" s="29">
        <v>-0.29656773131597203</v>
      </c>
      <c r="AX1889" s="29">
        <v>-1.2154466944479101</v>
      </c>
      <c r="AY1889" s="29">
        <v>-0.77737053623886399</v>
      </c>
      <c r="AZ1889" s="60">
        <v>-0.93853103018099204</v>
      </c>
    </row>
    <row r="1890" spans="1:52" ht="15" customHeight="1">
      <c r="A1890" s="59" t="s">
        <v>2057</v>
      </c>
      <c r="B1890" s="27">
        <v>2009</v>
      </c>
      <c r="C1890" s="27" t="s">
        <v>481</v>
      </c>
      <c r="D1890" s="27" t="s">
        <v>81</v>
      </c>
      <c r="E1890" s="27" t="s">
        <v>50</v>
      </c>
      <c r="F1890" s="27" t="s">
        <v>597</v>
      </c>
      <c r="G1890" s="43"/>
      <c r="H1890" s="43"/>
      <c r="I1890" s="43"/>
      <c r="J1890" s="43"/>
      <c r="K1890" s="18"/>
      <c r="L1890" s="28"/>
      <c r="M1890" s="18"/>
      <c r="N1890" s="18"/>
      <c r="O1890" s="18">
        <f>SUM(O1891:O1892)</f>
        <v>0</v>
      </c>
      <c r="P1890" s="213">
        <v>1032767</v>
      </c>
      <c r="Q1890" s="213">
        <v>1032767</v>
      </c>
      <c r="R1890" s="18"/>
      <c r="S1890" s="27"/>
      <c r="T1890" s="18"/>
      <c r="U1890" s="18"/>
      <c r="V1890" s="18"/>
      <c r="W1890" s="30"/>
      <c r="X1890" s="27">
        <v>3</v>
      </c>
      <c r="Y1890" s="27" t="s">
        <v>2046</v>
      </c>
      <c r="Z1890" s="27">
        <v>3</v>
      </c>
      <c r="AA1890" s="27" t="s">
        <v>2059</v>
      </c>
      <c r="AB1890" s="27"/>
      <c r="AC1890" s="273">
        <v>5875777.9977596682</v>
      </c>
      <c r="AD1890" s="27">
        <v>2453972925.4943657</v>
      </c>
      <c r="AE1890" s="228">
        <v>2.3943939791332301E-3</v>
      </c>
      <c r="AF1890" s="27">
        <v>386525275.49461758</v>
      </c>
      <c r="AG1890" s="226">
        <v>1.5201536277907624E-2</v>
      </c>
      <c r="AH1890" s="226" t="s">
        <v>2842</v>
      </c>
      <c r="AI1890" s="27">
        <v>448260000</v>
      </c>
      <c r="AJ1890" s="226">
        <v>1.3107968584659948E-2</v>
      </c>
      <c r="AK1890" s="27">
        <v>53337976.127104692</v>
      </c>
      <c r="AL1890" s="226">
        <v>0.11016124765884736</v>
      </c>
      <c r="AM1890" s="27">
        <v>68157380.22455816</v>
      </c>
      <c r="AN1890" s="271">
        <v>8.6208976612668201E-2</v>
      </c>
      <c r="AO1890" s="27">
        <v>5641182</v>
      </c>
      <c r="AP1890" s="27" t="s">
        <v>2842</v>
      </c>
      <c r="AQ1890" s="27">
        <v>44.501439024390251</v>
      </c>
      <c r="AR1890" s="27">
        <v>116.9</v>
      </c>
      <c r="AS1890" s="29" t="s">
        <v>2842</v>
      </c>
      <c r="AT1890" s="270">
        <v>31</v>
      </c>
      <c r="AU1890" s="464">
        <v>45.714168725457164</v>
      </c>
      <c r="AV1890" s="29">
        <v>-0.26388929326647997</v>
      </c>
      <c r="AW1890" s="29">
        <v>-0.29656773131597203</v>
      </c>
      <c r="AX1890" s="29">
        <v>-1.2154466944479101</v>
      </c>
      <c r="AY1890" s="29">
        <v>-0.77737053623886399</v>
      </c>
      <c r="AZ1890" s="60">
        <v>-0.93853103018099204</v>
      </c>
    </row>
    <row r="1891" spans="1:52" ht="15" customHeight="1">
      <c r="A1891" s="59" t="s">
        <v>2057</v>
      </c>
      <c r="B1891" s="27">
        <v>2009</v>
      </c>
      <c r="C1891" s="27" t="s">
        <v>481</v>
      </c>
      <c r="D1891" s="27" t="s">
        <v>81</v>
      </c>
      <c r="E1891" s="27" t="s">
        <v>552</v>
      </c>
      <c r="F1891" s="27" t="s">
        <v>552</v>
      </c>
      <c r="G1891" s="43">
        <v>0</v>
      </c>
      <c r="H1891" s="43"/>
      <c r="I1891" s="43"/>
      <c r="J1891" s="43"/>
      <c r="K1891" s="27" t="s">
        <v>2047</v>
      </c>
      <c r="L1891" s="28"/>
      <c r="M1891" s="18"/>
      <c r="N1891" s="18" t="s">
        <v>2048</v>
      </c>
      <c r="O1891" s="18">
        <f>G1891*L1891</f>
        <v>0</v>
      </c>
      <c r="P1891" s="213"/>
      <c r="Q1891" s="213"/>
      <c r="R1891" s="18"/>
      <c r="S1891" s="27"/>
      <c r="T1891" s="18"/>
      <c r="U1891" s="18"/>
      <c r="V1891" s="18"/>
      <c r="W1891" s="30"/>
      <c r="X1891" s="27"/>
      <c r="Y1891" s="27"/>
      <c r="Z1891" s="27"/>
      <c r="AA1891" s="27"/>
      <c r="AB1891" s="27"/>
      <c r="AC1891" s="273">
        <v>5875777.9977596682</v>
      </c>
      <c r="AD1891" s="27">
        <v>2453972925.4943657</v>
      </c>
      <c r="AE1891" s="228">
        <v>2.3943939791332301E-3</v>
      </c>
      <c r="AF1891" s="27">
        <v>386525275.49461758</v>
      </c>
      <c r="AG1891" s="226">
        <v>1.5201536277907624E-2</v>
      </c>
      <c r="AH1891" s="226" t="s">
        <v>2842</v>
      </c>
      <c r="AI1891" s="27">
        <v>448260000</v>
      </c>
      <c r="AJ1891" s="226">
        <v>1.3107968584659948E-2</v>
      </c>
      <c r="AK1891" s="27">
        <v>53337976.127104692</v>
      </c>
      <c r="AL1891" s="226">
        <v>0.11016124765884736</v>
      </c>
      <c r="AM1891" s="27">
        <v>68157380.22455816</v>
      </c>
      <c r="AN1891" s="271">
        <v>8.6208976612668201E-2</v>
      </c>
      <c r="AO1891" s="27">
        <v>5641182</v>
      </c>
      <c r="AP1891" s="27" t="s">
        <v>2842</v>
      </c>
      <c r="AQ1891" s="27">
        <v>44.501439024390251</v>
      </c>
      <c r="AR1891" s="27">
        <v>116.9</v>
      </c>
      <c r="AS1891" s="29" t="s">
        <v>2842</v>
      </c>
      <c r="AT1891" s="270">
        <v>31</v>
      </c>
      <c r="AU1891" s="464">
        <v>45.714168725457164</v>
      </c>
      <c r="AV1891" s="29">
        <v>-0.26388929326647997</v>
      </c>
      <c r="AW1891" s="29">
        <v>-0.29656773131597203</v>
      </c>
      <c r="AX1891" s="29">
        <v>-1.2154466944479101</v>
      </c>
      <c r="AY1891" s="29">
        <v>-0.77737053623886399</v>
      </c>
      <c r="AZ1891" s="60">
        <v>-0.93853103018099204</v>
      </c>
    </row>
    <row r="1892" spans="1:52" ht="15" customHeight="1">
      <c r="A1892" s="59" t="s">
        <v>2057</v>
      </c>
      <c r="B1892" s="27">
        <v>2009</v>
      </c>
      <c r="C1892" s="27" t="s">
        <v>481</v>
      </c>
      <c r="D1892" s="27" t="s">
        <v>81</v>
      </c>
      <c r="E1892" s="27" t="s">
        <v>98</v>
      </c>
      <c r="F1892" s="27" t="s">
        <v>98</v>
      </c>
      <c r="G1892" s="43">
        <v>0</v>
      </c>
      <c r="H1892" s="43"/>
      <c r="I1892" s="43"/>
      <c r="J1892" s="43"/>
      <c r="K1892" s="27" t="s">
        <v>603</v>
      </c>
      <c r="L1892" s="28"/>
      <c r="M1892" s="18"/>
      <c r="N1892" s="18" t="s">
        <v>2048</v>
      </c>
      <c r="O1892" s="18">
        <f>G1892*L1892</f>
        <v>0</v>
      </c>
      <c r="P1892" s="213"/>
      <c r="Q1892" s="213"/>
      <c r="R1892" s="18"/>
      <c r="S1892" s="27"/>
      <c r="T1892" s="18"/>
      <c r="U1892" s="18"/>
      <c r="V1892" s="18"/>
      <c r="W1892" s="30"/>
      <c r="X1892" s="27"/>
      <c r="Y1892" s="27"/>
      <c r="Z1892" s="27"/>
      <c r="AA1892" s="27"/>
      <c r="AB1892" s="27"/>
      <c r="AC1892" s="273">
        <v>5875777.9977596682</v>
      </c>
      <c r="AD1892" s="27">
        <v>2453972925.4943657</v>
      </c>
      <c r="AE1892" s="228">
        <v>2.3943939791332301E-3</v>
      </c>
      <c r="AF1892" s="27">
        <v>386525275.49461758</v>
      </c>
      <c r="AG1892" s="226">
        <v>1.5201536277907624E-2</v>
      </c>
      <c r="AH1892" s="226" t="s">
        <v>2842</v>
      </c>
      <c r="AI1892" s="27">
        <v>448260000</v>
      </c>
      <c r="AJ1892" s="226">
        <v>1.3107968584659948E-2</v>
      </c>
      <c r="AK1892" s="27">
        <v>53337976.127104692</v>
      </c>
      <c r="AL1892" s="226">
        <v>0.11016124765884736</v>
      </c>
      <c r="AM1892" s="27">
        <v>68157380.22455816</v>
      </c>
      <c r="AN1892" s="271">
        <v>8.6208976612668201E-2</v>
      </c>
      <c r="AO1892" s="27">
        <v>5641182</v>
      </c>
      <c r="AP1892" s="27" t="s">
        <v>2842</v>
      </c>
      <c r="AQ1892" s="27">
        <v>44.501439024390251</v>
      </c>
      <c r="AR1892" s="27">
        <v>116.9</v>
      </c>
      <c r="AS1892" s="29" t="s">
        <v>2842</v>
      </c>
      <c r="AT1892" s="270">
        <v>31</v>
      </c>
      <c r="AU1892" s="464">
        <v>45.714168725457164</v>
      </c>
      <c r="AV1892" s="29">
        <v>-0.26388929326647997</v>
      </c>
      <c r="AW1892" s="29">
        <v>-0.29656773131597203</v>
      </c>
      <c r="AX1892" s="29">
        <v>-1.2154466944479101</v>
      </c>
      <c r="AY1892" s="29">
        <v>-0.77737053623886399</v>
      </c>
      <c r="AZ1892" s="60">
        <v>-0.93853103018099204</v>
      </c>
    </row>
    <row r="1893" spans="1:52" ht="15" customHeight="1">
      <c r="A1893" s="59" t="s">
        <v>2057</v>
      </c>
      <c r="B1893" s="27">
        <v>2009</v>
      </c>
      <c r="C1893" s="27" t="s">
        <v>481</v>
      </c>
      <c r="D1893" s="27" t="s">
        <v>81</v>
      </c>
      <c r="E1893" s="27" t="s">
        <v>19</v>
      </c>
      <c r="F1893" s="27" t="s">
        <v>559</v>
      </c>
      <c r="G1893" s="43"/>
      <c r="H1893" s="43"/>
      <c r="I1893" s="43"/>
      <c r="J1893" s="43"/>
      <c r="K1893" s="27"/>
      <c r="L1893" s="28"/>
      <c r="M1893" s="27"/>
      <c r="N1893" s="27"/>
      <c r="O1893" s="18">
        <f>SUM(O1894:O1901)-SUM(O1899:O1901)</f>
        <v>145767005.57944161</v>
      </c>
      <c r="P1893" s="213">
        <v>4843010.9977596682</v>
      </c>
      <c r="Q1893" s="213">
        <v>5058526.3647605022</v>
      </c>
      <c r="R1893" s="27"/>
      <c r="S1893" s="27"/>
      <c r="T1893" s="18"/>
      <c r="U1893" s="27"/>
      <c r="V1893" s="27"/>
      <c r="W1893" s="30"/>
      <c r="X1893" s="27">
        <v>10</v>
      </c>
      <c r="Y1893" s="27" t="s">
        <v>2061</v>
      </c>
      <c r="Z1893" s="27">
        <v>9</v>
      </c>
      <c r="AA1893" s="27" t="s">
        <v>2059</v>
      </c>
      <c r="AB1893" s="27"/>
      <c r="AC1893" s="273">
        <v>5875777.9977596682</v>
      </c>
      <c r="AD1893" s="27">
        <v>2453972925.4943657</v>
      </c>
      <c r="AE1893" s="228">
        <v>2.3943939791332301E-3</v>
      </c>
      <c r="AF1893" s="27">
        <v>386525275.49461758</v>
      </c>
      <c r="AG1893" s="226">
        <v>1.5201536277907624E-2</v>
      </c>
      <c r="AH1893" s="226" t="s">
        <v>2842</v>
      </c>
      <c r="AI1893" s="27">
        <v>448260000</v>
      </c>
      <c r="AJ1893" s="226">
        <v>1.3107968584659948E-2</v>
      </c>
      <c r="AK1893" s="27">
        <v>53337976.127104692</v>
      </c>
      <c r="AL1893" s="226">
        <v>0.11016124765884736</v>
      </c>
      <c r="AM1893" s="27">
        <v>68157380.22455816</v>
      </c>
      <c r="AN1893" s="271">
        <v>8.6208976612668201E-2</v>
      </c>
      <c r="AO1893" s="27">
        <v>5641182</v>
      </c>
      <c r="AP1893" s="27" t="s">
        <v>2842</v>
      </c>
      <c r="AQ1893" s="27">
        <v>44.501439024390251</v>
      </c>
      <c r="AR1893" s="27">
        <v>116.9</v>
      </c>
      <c r="AS1893" s="29" t="s">
        <v>2842</v>
      </c>
      <c r="AT1893" s="270">
        <v>31</v>
      </c>
      <c r="AU1893" s="464">
        <v>45.714168725457164</v>
      </c>
      <c r="AV1893" s="29">
        <v>-0.26388929326647997</v>
      </c>
      <c r="AW1893" s="29">
        <v>-0.29656773131597203</v>
      </c>
      <c r="AX1893" s="29">
        <v>-1.2154466944479101</v>
      </c>
      <c r="AY1893" s="29">
        <v>-0.77737053623886399</v>
      </c>
      <c r="AZ1893" s="60">
        <v>-0.93853103018099204</v>
      </c>
    </row>
    <row r="1894" spans="1:52" ht="15" customHeight="1">
      <c r="A1894" s="59" t="s">
        <v>2057</v>
      </c>
      <c r="B1894" s="27">
        <v>2009</v>
      </c>
      <c r="C1894" s="27" t="s">
        <v>481</v>
      </c>
      <c r="D1894" s="27" t="s">
        <v>81</v>
      </c>
      <c r="E1894" s="27" t="s">
        <v>19</v>
      </c>
      <c r="F1894" s="27" t="s">
        <v>1049</v>
      </c>
      <c r="G1894" s="43">
        <v>757000</v>
      </c>
      <c r="H1894" s="43"/>
      <c r="I1894" s="43"/>
      <c r="J1894" s="43"/>
      <c r="K1894" s="27" t="s">
        <v>567</v>
      </c>
      <c r="L1894" s="28">
        <v>29.8</v>
      </c>
      <c r="M1894" s="27" t="s">
        <v>568</v>
      </c>
      <c r="N1894" s="27" t="s">
        <v>1221</v>
      </c>
      <c r="O1894" s="18">
        <f>G1894*L1894</f>
        <v>22558600</v>
      </c>
      <c r="P1894" s="213">
        <v>388273.5833878672</v>
      </c>
      <c r="Q1894" s="213">
        <v>781583.39067033026</v>
      </c>
      <c r="R1894" s="18"/>
      <c r="S1894" s="18"/>
      <c r="T1894" s="18"/>
      <c r="U1894" s="27"/>
      <c r="V1894" s="18"/>
      <c r="W1894" s="30"/>
      <c r="X1894" s="27">
        <v>1</v>
      </c>
      <c r="Y1894" s="27" t="s">
        <v>2051</v>
      </c>
      <c r="Z1894" s="27">
        <v>1</v>
      </c>
      <c r="AA1894" s="27" t="s">
        <v>2059</v>
      </c>
      <c r="AB1894" s="27"/>
      <c r="AC1894" s="273">
        <v>5875777.9977596682</v>
      </c>
      <c r="AD1894" s="27">
        <v>2453972925.4943657</v>
      </c>
      <c r="AE1894" s="228">
        <v>2.3943939791332301E-3</v>
      </c>
      <c r="AF1894" s="27">
        <v>386525275.49461758</v>
      </c>
      <c r="AG1894" s="226">
        <v>1.5201536277907624E-2</v>
      </c>
      <c r="AH1894" s="226" t="s">
        <v>2842</v>
      </c>
      <c r="AI1894" s="27">
        <v>448260000</v>
      </c>
      <c r="AJ1894" s="226">
        <v>1.3107968584659948E-2</v>
      </c>
      <c r="AK1894" s="27">
        <v>53337976.127104692</v>
      </c>
      <c r="AL1894" s="226">
        <v>0.11016124765884736</v>
      </c>
      <c r="AM1894" s="27">
        <v>68157380.22455816</v>
      </c>
      <c r="AN1894" s="271">
        <v>8.6208976612668201E-2</v>
      </c>
      <c r="AO1894" s="27">
        <v>5641182</v>
      </c>
      <c r="AP1894" s="27" t="s">
        <v>2842</v>
      </c>
      <c r="AQ1894" s="27">
        <v>44.501439024390251</v>
      </c>
      <c r="AR1894" s="27">
        <v>116.9</v>
      </c>
      <c r="AS1894" s="29" t="s">
        <v>2842</v>
      </c>
      <c r="AT1894" s="270">
        <v>31</v>
      </c>
      <c r="AU1894" s="464">
        <v>45.714168725457164</v>
      </c>
      <c r="AV1894" s="29">
        <v>-0.26388929326647997</v>
      </c>
      <c r="AW1894" s="29">
        <v>-0.29656773131597203</v>
      </c>
      <c r="AX1894" s="29">
        <v>-1.2154466944479101</v>
      </c>
      <c r="AY1894" s="29">
        <v>-0.77737053623886399</v>
      </c>
      <c r="AZ1894" s="60">
        <v>-0.93853103018099204</v>
      </c>
    </row>
    <row r="1895" spans="1:52" ht="15" customHeight="1">
      <c r="A1895" s="59" t="s">
        <v>2057</v>
      </c>
      <c r="B1895" s="27">
        <v>2009</v>
      </c>
      <c r="C1895" s="27" t="s">
        <v>481</v>
      </c>
      <c r="D1895" s="27" t="s">
        <v>81</v>
      </c>
      <c r="E1895" s="27" t="s">
        <v>19</v>
      </c>
      <c r="F1895" s="27" t="s">
        <v>904</v>
      </c>
      <c r="G1895" s="43">
        <v>400843</v>
      </c>
      <c r="H1895" s="43"/>
      <c r="I1895" s="43"/>
      <c r="J1895" s="43"/>
      <c r="K1895" s="27" t="s">
        <v>905</v>
      </c>
      <c r="L1895" s="28">
        <v>195.65</v>
      </c>
      <c r="M1895" s="18" t="s">
        <v>906</v>
      </c>
      <c r="N1895" s="27" t="s">
        <v>2062</v>
      </c>
      <c r="O1895" s="18">
        <f>G1895*L1895</f>
        <v>78424932.950000003</v>
      </c>
      <c r="P1895" s="213">
        <v>1832306.5898445409</v>
      </c>
      <c r="Q1895" s="213">
        <v>2057580.1560110589</v>
      </c>
      <c r="R1895" s="18"/>
      <c r="S1895" s="18"/>
      <c r="T1895" s="18"/>
      <c r="U1895" s="18"/>
      <c r="V1895" s="18"/>
      <c r="W1895" s="30"/>
      <c r="X1895" s="27">
        <v>3</v>
      </c>
      <c r="Y1895" s="27" t="s">
        <v>2053</v>
      </c>
      <c r="Z1895" s="27">
        <v>3</v>
      </c>
      <c r="AA1895" s="27" t="s">
        <v>2059</v>
      </c>
      <c r="AB1895" s="27"/>
      <c r="AC1895" s="273">
        <v>5875777.9977596682</v>
      </c>
      <c r="AD1895" s="27">
        <v>2453972925.4943657</v>
      </c>
      <c r="AE1895" s="228">
        <v>2.3943939791332301E-3</v>
      </c>
      <c r="AF1895" s="27">
        <v>386525275.49461758</v>
      </c>
      <c r="AG1895" s="226">
        <v>1.5201536277907624E-2</v>
      </c>
      <c r="AH1895" s="226" t="s">
        <v>2842</v>
      </c>
      <c r="AI1895" s="27">
        <v>448260000</v>
      </c>
      <c r="AJ1895" s="226">
        <v>1.3107968584659948E-2</v>
      </c>
      <c r="AK1895" s="27">
        <v>53337976.127104692</v>
      </c>
      <c r="AL1895" s="226">
        <v>0.11016124765884736</v>
      </c>
      <c r="AM1895" s="27">
        <v>68157380.22455816</v>
      </c>
      <c r="AN1895" s="271">
        <v>8.6208976612668201E-2</v>
      </c>
      <c r="AO1895" s="27">
        <v>5641182</v>
      </c>
      <c r="AP1895" s="27" t="s">
        <v>2842</v>
      </c>
      <c r="AQ1895" s="27">
        <v>44.501439024390251</v>
      </c>
      <c r="AR1895" s="27">
        <v>116.9</v>
      </c>
      <c r="AS1895" s="29" t="s">
        <v>2842</v>
      </c>
      <c r="AT1895" s="270">
        <v>31</v>
      </c>
      <c r="AU1895" s="464">
        <v>45.714168725457164</v>
      </c>
      <c r="AV1895" s="29">
        <v>-0.26388929326647997</v>
      </c>
      <c r="AW1895" s="29">
        <v>-0.29656773131597203</v>
      </c>
      <c r="AX1895" s="29">
        <v>-1.2154466944479101</v>
      </c>
      <c r="AY1895" s="29">
        <v>-0.77737053623886399</v>
      </c>
      <c r="AZ1895" s="60">
        <v>-0.93853103018099204</v>
      </c>
    </row>
    <row r="1896" spans="1:52" ht="15" customHeight="1">
      <c r="A1896" s="59" t="s">
        <v>2057</v>
      </c>
      <c r="B1896" s="27">
        <v>2009</v>
      </c>
      <c r="C1896" s="27" t="s">
        <v>481</v>
      </c>
      <c r="D1896" s="27" t="s">
        <v>81</v>
      </c>
      <c r="E1896" s="27" t="s">
        <v>19</v>
      </c>
      <c r="F1896" s="27" t="s">
        <v>730</v>
      </c>
      <c r="G1896" s="43">
        <f>157*32.1507431265</f>
        <v>5047.6666708604998</v>
      </c>
      <c r="H1896" s="43"/>
      <c r="I1896" s="43"/>
      <c r="J1896" s="43"/>
      <c r="K1896" s="27" t="s">
        <v>731</v>
      </c>
      <c r="L1896" s="28">
        <v>972.96591666666995</v>
      </c>
      <c r="M1896" s="27" t="s">
        <v>732</v>
      </c>
      <c r="N1896" s="27" t="s">
        <v>733</v>
      </c>
      <c r="O1896" s="18">
        <f>G1896*L1896</f>
        <v>4911207.6294415845</v>
      </c>
      <c r="P1896" s="213">
        <v>421054.85508188611</v>
      </c>
      <c r="Q1896" s="213">
        <v>276000</v>
      </c>
      <c r="R1896" s="18"/>
      <c r="S1896" s="18"/>
      <c r="T1896" s="18"/>
      <c r="U1896" s="27"/>
      <c r="V1896" s="18"/>
      <c r="W1896" s="30"/>
      <c r="X1896" s="27">
        <v>3</v>
      </c>
      <c r="Y1896" s="27" t="s">
        <v>2063</v>
      </c>
      <c r="Z1896" s="27">
        <v>2</v>
      </c>
      <c r="AA1896" s="27" t="s">
        <v>2059</v>
      </c>
      <c r="AB1896" s="27"/>
      <c r="AC1896" s="273">
        <v>5875777.9977596682</v>
      </c>
      <c r="AD1896" s="27">
        <v>2453972925.4943657</v>
      </c>
      <c r="AE1896" s="228">
        <v>2.3943939791332301E-3</v>
      </c>
      <c r="AF1896" s="27">
        <v>386525275.49461758</v>
      </c>
      <c r="AG1896" s="226">
        <v>1.5201536277907624E-2</v>
      </c>
      <c r="AH1896" s="226" t="s">
        <v>2842</v>
      </c>
      <c r="AI1896" s="27">
        <v>448260000</v>
      </c>
      <c r="AJ1896" s="226">
        <v>1.3107968584659948E-2</v>
      </c>
      <c r="AK1896" s="27">
        <v>53337976.127104692</v>
      </c>
      <c r="AL1896" s="226">
        <v>0.11016124765884736</v>
      </c>
      <c r="AM1896" s="27">
        <v>68157380.22455816</v>
      </c>
      <c r="AN1896" s="271">
        <v>8.6208976612668201E-2</v>
      </c>
      <c r="AO1896" s="27">
        <v>5641182</v>
      </c>
      <c r="AP1896" s="27" t="s">
        <v>2842</v>
      </c>
      <c r="AQ1896" s="27">
        <v>44.501439024390251</v>
      </c>
      <c r="AR1896" s="27">
        <v>116.9</v>
      </c>
      <c r="AS1896" s="29" t="s">
        <v>2842</v>
      </c>
      <c r="AT1896" s="270">
        <v>31</v>
      </c>
      <c r="AU1896" s="464">
        <v>45.714168725457164</v>
      </c>
      <c r="AV1896" s="29">
        <v>-0.26388929326647997</v>
      </c>
      <c r="AW1896" s="29">
        <v>-0.29656773131597203</v>
      </c>
      <c r="AX1896" s="29">
        <v>-1.2154466944479101</v>
      </c>
      <c r="AY1896" s="29">
        <v>-0.77737053623886399</v>
      </c>
      <c r="AZ1896" s="60">
        <v>-0.93853103018099204</v>
      </c>
    </row>
    <row r="1897" spans="1:52" ht="15" customHeight="1">
      <c r="A1897" s="59" t="s">
        <v>2057</v>
      </c>
      <c r="B1897" s="27">
        <v>2009</v>
      </c>
      <c r="C1897" s="27" t="s">
        <v>481</v>
      </c>
      <c r="D1897" s="27" t="s">
        <v>81</v>
      </c>
      <c r="E1897" s="27" t="s">
        <v>19</v>
      </c>
      <c r="F1897" s="27" t="s">
        <v>1133</v>
      </c>
      <c r="G1897" s="43">
        <v>0</v>
      </c>
      <c r="H1897" s="43"/>
      <c r="I1897" s="43"/>
      <c r="J1897" s="43"/>
      <c r="K1897" s="27" t="s">
        <v>567</v>
      </c>
      <c r="L1897" s="28"/>
      <c r="M1897" s="27"/>
      <c r="N1897" s="27" t="s">
        <v>636</v>
      </c>
      <c r="O1897" s="18">
        <f>G1897*L1897</f>
        <v>0</v>
      </c>
      <c r="P1897" s="213">
        <v>1447234.6452026849</v>
      </c>
      <c r="Q1897" s="213">
        <v>1186782</v>
      </c>
      <c r="R1897" s="18"/>
      <c r="S1897" s="18"/>
      <c r="T1897" s="18"/>
      <c r="U1897" s="27"/>
      <c r="V1897" s="29"/>
      <c r="W1897" s="30"/>
      <c r="X1897" s="27">
        <v>2</v>
      </c>
      <c r="Y1897" s="27" t="s">
        <v>2055</v>
      </c>
      <c r="Z1897" s="27">
        <v>2</v>
      </c>
      <c r="AA1897" s="27" t="s">
        <v>2059</v>
      </c>
      <c r="AB1897" s="27"/>
      <c r="AC1897" s="273">
        <v>5875777.9977596682</v>
      </c>
      <c r="AD1897" s="27">
        <v>2453972925.4943657</v>
      </c>
      <c r="AE1897" s="228">
        <v>2.3943939791332301E-3</v>
      </c>
      <c r="AF1897" s="27">
        <v>386525275.49461758</v>
      </c>
      <c r="AG1897" s="226">
        <v>1.5201536277907624E-2</v>
      </c>
      <c r="AH1897" s="226" t="s">
        <v>2842</v>
      </c>
      <c r="AI1897" s="27">
        <v>448260000</v>
      </c>
      <c r="AJ1897" s="226">
        <v>1.3107968584659948E-2</v>
      </c>
      <c r="AK1897" s="27">
        <v>53337976.127104692</v>
      </c>
      <c r="AL1897" s="226">
        <v>0.11016124765884736</v>
      </c>
      <c r="AM1897" s="27">
        <v>68157380.22455816</v>
      </c>
      <c r="AN1897" s="271">
        <v>8.6208976612668201E-2</v>
      </c>
      <c r="AO1897" s="27">
        <v>5641182</v>
      </c>
      <c r="AP1897" s="27" t="s">
        <v>2842</v>
      </c>
      <c r="AQ1897" s="27">
        <v>44.501439024390251</v>
      </c>
      <c r="AR1897" s="27">
        <v>116.9</v>
      </c>
      <c r="AS1897" s="29" t="s">
        <v>2842</v>
      </c>
      <c r="AT1897" s="270">
        <v>31</v>
      </c>
      <c r="AU1897" s="464">
        <v>45.714168725457164</v>
      </c>
      <c r="AV1897" s="29">
        <v>-0.26388929326647997</v>
      </c>
      <c r="AW1897" s="29">
        <v>-0.29656773131597203</v>
      </c>
      <c r="AX1897" s="29">
        <v>-1.2154466944479101</v>
      </c>
      <c r="AY1897" s="29">
        <v>-0.77737053623886399</v>
      </c>
      <c r="AZ1897" s="60">
        <v>-0.93853103018099204</v>
      </c>
    </row>
    <row r="1898" spans="1:52" ht="15" customHeight="1">
      <c r="A1898" s="59" t="s">
        <v>2057</v>
      </c>
      <c r="B1898" s="27">
        <v>2009</v>
      </c>
      <c r="C1898" s="27" t="s">
        <v>481</v>
      </c>
      <c r="D1898" s="27" t="s">
        <v>81</v>
      </c>
      <c r="E1898" s="27" t="s">
        <v>19</v>
      </c>
      <c r="F1898" s="27" t="s">
        <v>2032</v>
      </c>
      <c r="G1898" s="43"/>
      <c r="H1898" s="43"/>
      <c r="I1898" s="43"/>
      <c r="J1898" s="43"/>
      <c r="K1898" s="27"/>
      <c r="L1898" s="28"/>
      <c r="M1898" s="27"/>
      <c r="N1898" s="27"/>
      <c r="O1898" s="18">
        <f>SUM(O1899:O1901)</f>
        <v>39872265</v>
      </c>
      <c r="P1898" s="213">
        <v>754141.32424268906</v>
      </c>
      <c r="Q1898" s="213">
        <v>756580.8180791128</v>
      </c>
      <c r="R1898" s="18"/>
      <c r="S1898" s="18"/>
      <c r="T1898" s="18"/>
      <c r="U1898" s="27"/>
      <c r="V1898" s="18"/>
      <c r="W1898" s="30"/>
      <c r="X1898" s="27">
        <v>1</v>
      </c>
      <c r="Y1898" s="27" t="s">
        <v>2056</v>
      </c>
      <c r="Z1898" s="27">
        <v>1</v>
      </c>
      <c r="AA1898" s="27" t="s">
        <v>2059</v>
      </c>
      <c r="AB1898" s="27"/>
      <c r="AC1898" s="273">
        <v>5875777.9977596682</v>
      </c>
      <c r="AD1898" s="27">
        <v>2453972925.4943657</v>
      </c>
      <c r="AE1898" s="228">
        <v>2.3943939791332301E-3</v>
      </c>
      <c r="AF1898" s="27">
        <v>386525275.49461758</v>
      </c>
      <c r="AG1898" s="226">
        <v>1.5201536277907624E-2</v>
      </c>
      <c r="AH1898" s="226" t="s">
        <v>2842</v>
      </c>
      <c r="AI1898" s="27">
        <v>448260000</v>
      </c>
      <c r="AJ1898" s="226">
        <v>1.3107968584659948E-2</v>
      </c>
      <c r="AK1898" s="27">
        <v>53337976.127104692</v>
      </c>
      <c r="AL1898" s="226">
        <v>0.11016124765884736</v>
      </c>
      <c r="AM1898" s="27">
        <v>68157380.22455816</v>
      </c>
      <c r="AN1898" s="271">
        <v>8.6208976612668201E-2</v>
      </c>
      <c r="AO1898" s="27">
        <v>5641182</v>
      </c>
      <c r="AP1898" s="27" t="s">
        <v>2842</v>
      </c>
      <c r="AQ1898" s="27">
        <v>44.501439024390251</v>
      </c>
      <c r="AR1898" s="27">
        <v>116.9</v>
      </c>
      <c r="AS1898" s="29" t="s">
        <v>2842</v>
      </c>
      <c r="AT1898" s="270">
        <v>31</v>
      </c>
      <c r="AU1898" s="464">
        <v>45.714168725457164</v>
      </c>
      <c r="AV1898" s="29">
        <v>-0.26388929326647997</v>
      </c>
      <c r="AW1898" s="29">
        <v>-0.29656773131597203</v>
      </c>
      <c r="AX1898" s="29">
        <v>-1.2154466944479101</v>
      </c>
      <c r="AY1898" s="29">
        <v>-0.77737053623886399</v>
      </c>
      <c r="AZ1898" s="60">
        <v>-0.93853103018099204</v>
      </c>
    </row>
    <row r="1899" spans="1:52" ht="15" customHeight="1">
      <c r="A1899" s="59" t="s">
        <v>2057</v>
      </c>
      <c r="B1899" s="27">
        <v>2009</v>
      </c>
      <c r="C1899" s="27" t="s">
        <v>481</v>
      </c>
      <c r="D1899" s="27" t="s">
        <v>81</v>
      </c>
      <c r="E1899" s="27" t="s">
        <v>19</v>
      </c>
      <c r="F1899" s="27" t="s">
        <v>2034</v>
      </c>
      <c r="G1899" s="43">
        <v>15161</v>
      </c>
      <c r="H1899" s="43"/>
      <c r="I1899" s="43"/>
      <c r="J1899" s="43"/>
      <c r="K1899" s="27" t="s">
        <v>567</v>
      </c>
      <c r="L1899" s="28">
        <v>73</v>
      </c>
      <c r="M1899" s="27" t="s">
        <v>568</v>
      </c>
      <c r="N1899" s="27" t="s">
        <v>1546</v>
      </c>
      <c r="O1899" s="18">
        <f>G1899*L1899</f>
        <v>1106753</v>
      </c>
      <c r="P1899" s="213"/>
      <c r="Q1899" s="213"/>
      <c r="R1899" s="27"/>
      <c r="S1899" s="27"/>
      <c r="T1899" s="18"/>
      <c r="U1899" s="27"/>
      <c r="V1899" s="27"/>
      <c r="W1899" s="30"/>
      <c r="X1899" s="27"/>
      <c r="Y1899" s="27"/>
      <c r="Z1899" s="27"/>
      <c r="AA1899" s="27"/>
      <c r="AB1899" s="27"/>
      <c r="AC1899" s="273">
        <v>5875777.9977596682</v>
      </c>
      <c r="AD1899" s="27">
        <v>2453972925.4943657</v>
      </c>
      <c r="AE1899" s="228">
        <v>2.3943939791332301E-3</v>
      </c>
      <c r="AF1899" s="27">
        <v>386525275.49461758</v>
      </c>
      <c r="AG1899" s="226">
        <v>1.5201536277907624E-2</v>
      </c>
      <c r="AH1899" s="226" t="s">
        <v>2842</v>
      </c>
      <c r="AI1899" s="27">
        <v>448260000</v>
      </c>
      <c r="AJ1899" s="226">
        <v>1.3107968584659948E-2</v>
      </c>
      <c r="AK1899" s="27">
        <v>53337976.127104692</v>
      </c>
      <c r="AL1899" s="226">
        <v>0.11016124765884736</v>
      </c>
      <c r="AM1899" s="27">
        <v>68157380.22455816</v>
      </c>
      <c r="AN1899" s="271">
        <v>8.6208976612668201E-2</v>
      </c>
      <c r="AO1899" s="27">
        <v>5641182</v>
      </c>
      <c r="AP1899" s="27" t="s">
        <v>2842</v>
      </c>
      <c r="AQ1899" s="27">
        <v>44.501439024390251</v>
      </c>
      <c r="AR1899" s="27">
        <v>116.9</v>
      </c>
      <c r="AS1899" s="29" t="s">
        <v>2842</v>
      </c>
      <c r="AT1899" s="270">
        <v>31</v>
      </c>
      <c r="AU1899" s="464">
        <v>45.714168725457164</v>
      </c>
      <c r="AV1899" s="29">
        <v>-0.26388929326647997</v>
      </c>
      <c r="AW1899" s="29">
        <v>-0.29656773131597203</v>
      </c>
      <c r="AX1899" s="29">
        <v>-1.2154466944479101</v>
      </c>
      <c r="AY1899" s="29">
        <v>-0.77737053623886399</v>
      </c>
      <c r="AZ1899" s="60">
        <v>-0.93853103018099204</v>
      </c>
    </row>
    <row r="1900" spans="1:52" ht="15" customHeight="1">
      <c r="A1900" s="59" t="s">
        <v>2057</v>
      </c>
      <c r="B1900" s="27">
        <v>2009</v>
      </c>
      <c r="C1900" s="27" t="s">
        <v>481</v>
      </c>
      <c r="D1900" s="27" t="s">
        <v>81</v>
      </c>
      <c r="E1900" s="27" t="s">
        <v>19</v>
      </c>
      <c r="F1900" s="27" t="s">
        <v>2036</v>
      </c>
      <c r="G1900" s="43">
        <v>63864</v>
      </c>
      <c r="H1900" s="43"/>
      <c r="I1900" s="43"/>
      <c r="J1900" s="43"/>
      <c r="K1900" s="27" t="s">
        <v>567</v>
      </c>
      <c r="L1900" s="28">
        <v>533</v>
      </c>
      <c r="M1900" s="27" t="s">
        <v>568</v>
      </c>
      <c r="N1900" s="27" t="s">
        <v>1748</v>
      </c>
      <c r="O1900" s="18">
        <f>G1900*L1900</f>
        <v>34039512</v>
      </c>
      <c r="P1900" s="213"/>
      <c r="Q1900" s="213"/>
      <c r="R1900" s="27"/>
      <c r="S1900" s="27"/>
      <c r="T1900" s="18"/>
      <c r="U1900" s="27"/>
      <c r="V1900" s="27"/>
      <c r="W1900" s="30"/>
      <c r="X1900" s="27"/>
      <c r="Y1900" s="27"/>
      <c r="Z1900" s="27"/>
      <c r="AA1900" s="27"/>
      <c r="AB1900" s="27"/>
      <c r="AC1900" s="273">
        <v>5875777.9977596682</v>
      </c>
      <c r="AD1900" s="27">
        <v>2453972925.4943657</v>
      </c>
      <c r="AE1900" s="228">
        <v>2.3943939791332301E-3</v>
      </c>
      <c r="AF1900" s="27">
        <v>386525275.49461758</v>
      </c>
      <c r="AG1900" s="226">
        <v>1.5201536277907624E-2</v>
      </c>
      <c r="AH1900" s="226" t="s">
        <v>2842</v>
      </c>
      <c r="AI1900" s="27">
        <v>448260000</v>
      </c>
      <c r="AJ1900" s="226">
        <v>1.3107968584659948E-2</v>
      </c>
      <c r="AK1900" s="27">
        <v>53337976.127104692</v>
      </c>
      <c r="AL1900" s="226">
        <v>0.11016124765884736</v>
      </c>
      <c r="AM1900" s="27">
        <v>68157380.22455816</v>
      </c>
      <c r="AN1900" s="271">
        <v>8.6208976612668201E-2</v>
      </c>
      <c r="AO1900" s="27">
        <v>5641182</v>
      </c>
      <c r="AP1900" s="27" t="s">
        <v>2842</v>
      </c>
      <c r="AQ1900" s="27">
        <v>44.501439024390251</v>
      </c>
      <c r="AR1900" s="27">
        <v>116.9</v>
      </c>
      <c r="AS1900" s="29" t="s">
        <v>2842</v>
      </c>
      <c r="AT1900" s="270">
        <v>31</v>
      </c>
      <c r="AU1900" s="464">
        <v>45.714168725457164</v>
      </c>
      <c r="AV1900" s="29">
        <v>-0.26388929326647997</v>
      </c>
      <c r="AW1900" s="29">
        <v>-0.29656773131597203</v>
      </c>
      <c r="AX1900" s="29">
        <v>-1.2154466944479101</v>
      </c>
      <c r="AY1900" s="29">
        <v>-0.77737053623886399</v>
      </c>
      <c r="AZ1900" s="60">
        <v>-0.93853103018099204</v>
      </c>
    </row>
    <row r="1901" spans="1:52" s="287" customFormat="1" ht="15" customHeight="1">
      <c r="A1901" s="344" t="s">
        <v>2057</v>
      </c>
      <c r="B1901" s="284">
        <v>2009</v>
      </c>
      <c r="C1901" s="284" t="s">
        <v>481</v>
      </c>
      <c r="D1901" s="284" t="s">
        <v>81</v>
      </c>
      <c r="E1901" s="284" t="s">
        <v>19</v>
      </c>
      <c r="F1901" s="284" t="s">
        <v>2038</v>
      </c>
      <c r="G1901" s="303">
        <v>5560</v>
      </c>
      <c r="H1901" s="303"/>
      <c r="I1901" s="303"/>
      <c r="J1901" s="303"/>
      <c r="K1901" s="284" t="s">
        <v>567</v>
      </c>
      <c r="L1901" s="304">
        <v>850</v>
      </c>
      <c r="M1901" s="284" t="s">
        <v>568</v>
      </c>
      <c r="N1901" s="284" t="s">
        <v>1750</v>
      </c>
      <c r="O1901" s="305">
        <f>G1901*L1901</f>
        <v>4726000</v>
      </c>
      <c r="P1901" s="306"/>
      <c r="Q1901" s="306"/>
      <c r="R1901" s="284"/>
      <c r="S1901" s="284"/>
      <c r="T1901" s="305"/>
      <c r="U1901" s="284"/>
      <c r="V1901" s="284"/>
      <c r="W1901" s="307"/>
      <c r="X1901" s="284"/>
      <c r="Y1901" s="284"/>
      <c r="Z1901" s="284"/>
      <c r="AA1901" s="284"/>
      <c r="AB1901" s="284"/>
      <c r="AC1901" s="308">
        <v>5875777.9977596682</v>
      </c>
      <c r="AD1901" s="284">
        <v>2453972925.4943657</v>
      </c>
      <c r="AE1901" s="309">
        <v>2.3943939791332301E-3</v>
      </c>
      <c r="AF1901" s="284">
        <v>386525275.49461758</v>
      </c>
      <c r="AG1901" s="310">
        <v>1.5201536277907624E-2</v>
      </c>
      <c r="AH1901" s="310" t="s">
        <v>2842</v>
      </c>
      <c r="AI1901" s="284">
        <v>448260000</v>
      </c>
      <c r="AJ1901" s="310">
        <v>1.3107968584659948E-2</v>
      </c>
      <c r="AK1901" s="284">
        <v>53337976.127104692</v>
      </c>
      <c r="AL1901" s="310">
        <v>0.11016124765884736</v>
      </c>
      <c r="AM1901" s="284">
        <v>68157380.22455816</v>
      </c>
      <c r="AN1901" s="311">
        <v>8.6208976612668201E-2</v>
      </c>
      <c r="AO1901" s="284">
        <v>5641182</v>
      </c>
      <c r="AP1901" s="284" t="s">
        <v>2842</v>
      </c>
      <c r="AQ1901" s="284">
        <v>44.501439024390251</v>
      </c>
      <c r="AR1901" s="284">
        <v>116.9</v>
      </c>
      <c r="AS1901" s="287" t="s">
        <v>2842</v>
      </c>
      <c r="AT1901" s="312">
        <v>31</v>
      </c>
      <c r="AU1901" s="465">
        <v>45.714168725457164</v>
      </c>
      <c r="AV1901" s="287">
        <v>-0.26388929326647997</v>
      </c>
      <c r="AW1901" s="287">
        <v>-0.29656773131597203</v>
      </c>
      <c r="AX1901" s="287">
        <v>-1.2154466944479101</v>
      </c>
      <c r="AY1901" s="287">
        <v>-0.77737053623886399</v>
      </c>
      <c r="AZ1901" s="313">
        <v>-0.93853103018099204</v>
      </c>
    </row>
    <row r="1902" spans="1:52" s="29" customFormat="1" ht="15" customHeight="1">
      <c r="A1902" s="332" t="s">
        <v>2064</v>
      </c>
      <c r="B1902" s="27">
        <v>2010</v>
      </c>
      <c r="C1902" s="27" t="s">
        <v>481</v>
      </c>
      <c r="D1902" s="27" t="s">
        <v>81</v>
      </c>
      <c r="E1902" s="27" t="s">
        <v>30</v>
      </c>
      <c r="F1902" s="27" t="s">
        <v>659</v>
      </c>
      <c r="G1902" s="43"/>
      <c r="H1902" s="43"/>
      <c r="I1902" s="43"/>
      <c r="J1902" s="43"/>
      <c r="K1902" s="27"/>
      <c r="L1902" s="28"/>
      <c r="M1902" s="27"/>
      <c r="N1902" s="27"/>
      <c r="O1902" s="18">
        <f>O1903+O1906</f>
        <v>193112882.46384859</v>
      </c>
      <c r="P1902" s="213">
        <v>7586792.5651504043</v>
      </c>
      <c r="Q1902" s="213">
        <v>8273470.9751235368</v>
      </c>
      <c r="R1902" s="27" t="s">
        <v>619</v>
      </c>
      <c r="S1902" s="27"/>
      <c r="T1902" s="18"/>
      <c r="U1902" s="27" t="s">
        <v>590</v>
      </c>
      <c r="V1902" s="27" t="s">
        <v>2022</v>
      </c>
      <c r="W1902" s="30">
        <v>5322.3</v>
      </c>
      <c r="X1902" s="27">
        <v>14</v>
      </c>
      <c r="Y1902" s="27" t="s">
        <v>2065</v>
      </c>
      <c r="Z1902" s="27">
        <v>13</v>
      </c>
      <c r="AA1902" s="27" t="s">
        <v>2066</v>
      </c>
      <c r="AB1902" s="27" t="s">
        <v>2067</v>
      </c>
      <c r="AC1902" s="273">
        <v>7586792.5651504043</v>
      </c>
      <c r="AD1902" s="27">
        <v>2578159495.5592995</v>
      </c>
      <c r="AE1902" s="228">
        <v>2.9427165302294629E-3</v>
      </c>
      <c r="AF1902" s="27">
        <v>415083678.78504723</v>
      </c>
      <c r="AG1902" s="226">
        <v>1.8277742423785482E-2</v>
      </c>
      <c r="AH1902" s="226" t="s">
        <v>2842</v>
      </c>
      <c r="AI1902" s="27">
        <v>466850000</v>
      </c>
      <c r="AJ1902" s="226">
        <v>1.6251028307058806E-2</v>
      </c>
      <c r="AK1902" s="27">
        <v>61032687.126715317</v>
      </c>
      <c r="AL1902" s="226">
        <v>0.124307038118751</v>
      </c>
      <c r="AM1902" s="27">
        <v>66805784.480831683</v>
      </c>
      <c r="AN1902" s="271">
        <v>0.11356490495710371</v>
      </c>
      <c r="AO1902" s="27">
        <v>5751976</v>
      </c>
      <c r="AP1902" s="27" t="s">
        <v>2842</v>
      </c>
      <c r="AQ1902" s="27">
        <v>44.838951219512197</v>
      </c>
      <c r="AR1902" s="27">
        <v>114.4</v>
      </c>
      <c r="AS1902" s="29" t="s">
        <v>2842</v>
      </c>
      <c r="AT1902" s="270">
        <v>31</v>
      </c>
      <c r="AU1902" s="464">
        <v>45.714168725457164</v>
      </c>
      <c r="AV1902" s="29">
        <v>-0.18426051083702899</v>
      </c>
      <c r="AW1902" s="29">
        <v>-0.24059077761397499</v>
      </c>
      <c r="AX1902" s="29">
        <v>-1.2099461631278601</v>
      </c>
      <c r="AY1902" s="29">
        <v>-0.72483633482770204</v>
      </c>
      <c r="AZ1902" s="60">
        <v>-0.77319034381493701</v>
      </c>
    </row>
    <row r="1903" spans="1:52" s="29" customFormat="1" ht="15" customHeight="1">
      <c r="A1903" s="59" t="s">
        <v>2064</v>
      </c>
      <c r="B1903" s="27">
        <v>2010</v>
      </c>
      <c r="C1903" s="27" t="s">
        <v>481</v>
      </c>
      <c r="D1903" s="27" t="s">
        <v>81</v>
      </c>
      <c r="E1903" s="27" t="s">
        <v>50</v>
      </c>
      <c r="F1903" s="27" t="s">
        <v>597</v>
      </c>
      <c r="G1903" s="43"/>
      <c r="H1903" s="43"/>
      <c r="I1903" s="43"/>
      <c r="J1903" s="43"/>
      <c r="K1903" s="27"/>
      <c r="L1903" s="28"/>
      <c r="M1903" s="27"/>
      <c r="N1903" s="27"/>
      <c r="O1903" s="18">
        <f>SUM(O1904:O1905)</f>
        <v>0</v>
      </c>
      <c r="P1903" s="213">
        <v>1173808</v>
      </c>
      <c r="Q1903" s="213">
        <v>1173918</v>
      </c>
      <c r="R1903" s="18"/>
      <c r="S1903" s="27"/>
      <c r="T1903" s="18"/>
      <c r="U1903" s="18"/>
      <c r="V1903" s="18"/>
      <c r="W1903" s="30"/>
      <c r="X1903" s="27">
        <v>2</v>
      </c>
      <c r="Y1903" s="27" t="s">
        <v>2068</v>
      </c>
      <c r="Z1903" s="27">
        <v>2</v>
      </c>
      <c r="AA1903" s="27" t="s">
        <v>2066</v>
      </c>
      <c r="AB1903" s="27"/>
      <c r="AC1903" s="273">
        <v>7586792.5651504043</v>
      </c>
      <c r="AD1903" s="27">
        <v>2578159495.5592995</v>
      </c>
      <c r="AE1903" s="228">
        <v>2.9427165302294629E-3</v>
      </c>
      <c r="AF1903" s="27">
        <v>415083678.78504723</v>
      </c>
      <c r="AG1903" s="226">
        <v>1.8277742423785482E-2</v>
      </c>
      <c r="AH1903" s="226" t="s">
        <v>2842</v>
      </c>
      <c r="AI1903" s="27">
        <v>466850000</v>
      </c>
      <c r="AJ1903" s="226">
        <v>1.6251028307058806E-2</v>
      </c>
      <c r="AK1903" s="27">
        <v>61032687.126715317</v>
      </c>
      <c r="AL1903" s="226">
        <v>0.124307038118751</v>
      </c>
      <c r="AM1903" s="27">
        <v>66805784.480831683</v>
      </c>
      <c r="AN1903" s="271">
        <v>0.11356490495710371</v>
      </c>
      <c r="AO1903" s="27">
        <v>5751976</v>
      </c>
      <c r="AP1903" s="27" t="s">
        <v>2842</v>
      </c>
      <c r="AQ1903" s="27">
        <v>44.838951219512197</v>
      </c>
      <c r="AR1903" s="27">
        <v>114.4</v>
      </c>
      <c r="AS1903" s="29" t="s">
        <v>2842</v>
      </c>
      <c r="AT1903" s="270">
        <v>31</v>
      </c>
      <c r="AU1903" s="464">
        <v>45.714168725457164</v>
      </c>
      <c r="AV1903" s="29">
        <v>-0.18426051083702899</v>
      </c>
      <c r="AW1903" s="29">
        <v>-0.24059077761397499</v>
      </c>
      <c r="AX1903" s="29">
        <v>-1.2099461631278601</v>
      </c>
      <c r="AY1903" s="29">
        <v>-0.72483633482770204</v>
      </c>
      <c r="AZ1903" s="60">
        <v>-0.77319034381493701</v>
      </c>
    </row>
    <row r="1904" spans="1:52" s="29" customFormat="1" ht="15" customHeight="1">
      <c r="A1904" s="59" t="s">
        <v>2064</v>
      </c>
      <c r="B1904" s="27">
        <v>2010</v>
      </c>
      <c r="C1904" s="27" t="s">
        <v>481</v>
      </c>
      <c r="D1904" s="27" t="s">
        <v>81</v>
      </c>
      <c r="E1904" s="27" t="s">
        <v>98</v>
      </c>
      <c r="F1904" s="27" t="s">
        <v>552</v>
      </c>
      <c r="G1904" s="43">
        <v>0</v>
      </c>
      <c r="H1904" s="43"/>
      <c r="I1904" s="43"/>
      <c r="J1904" s="43"/>
      <c r="K1904" s="27" t="s">
        <v>2047</v>
      </c>
      <c r="L1904" s="28"/>
      <c r="M1904" s="18"/>
      <c r="N1904" s="18" t="s">
        <v>2048</v>
      </c>
      <c r="O1904" s="18">
        <f>G1904*L1904</f>
        <v>0</v>
      </c>
      <c r="P1904" s="213"/>
      <c r="Q1904" s="213"/>
      <c r="R1904" s="18"/>
      <c r="S1904" s="27"/>
      <c r="T1904" s="18"/>
      <c r="U1904" s="18"/>
      <c r="V1904" s="18"/>
      <c r="W1904" s="30"/>
      <c r="X1904" s="27"/>
      <c r="Y1904" s="27"/>
      <c r="Z1904" s="27"/>
      <c r="AA1904" s="27"/>
      <c r="AB1904" s="27"/>
      <c r="AC1904" s="273">
        <v>7586792.5651504043</v>
      </c>
      <c r="AD1904" s="27">
        <v>2578159495.5592995</v>
      </c>
      <c r="AE1904" s="228">
        <v>2.9427165302294629E-3</v>
      </c>
      <c r="AF1904" s="27">
        <v>415083678.78504723</v>
      </c>
      <c r="AG1904" s="226">
        <v>1.8277742423785482E-2</v>
      </c>
      <c r="AH1904" s="226" t="s">
        <v>2842</v>
      </c>
      <c r="AI1904" s="27">
        <v>466850000</v>
      </c>
      <c r="AJ1904" s="226">
        <v>1.6251028307058806E-2</v>
      </c>
      <c r="AK1904" s="27">
        <v>61032687.126715317</v>
      </c>
      <c r="AL1904" s="226">
        <v>0.124307038118751</v>
      </c>
      <c r="AM1904" s="27">
        <v>66805784.480831683</v>
      </c>
      <c r="AN1904" s="271">
        <v>0.11356490495710371</v>
      </c>
      <c r="AO1904" s="27">
        <v>5751976</v>
      </c>
      <c r="AP1904" s="27" t="s">
        <v>2842</v>
      </c>
      <c r="AQ1904" s="27">
        <v>44.838951219512197</v>
      </c>
      <c r="AR1904" s="27">
        <v>114.4</v>
      </c>
      <c r="AS1904" s="29" t="s">
        <v>2842</v>
      </c>
      <c r="AT1904" s="270">
        <v>31</v>
      </c>
      <c r="AU1904" s="464">
        <v>45.714168725457164</v>
      </c>
      <c r="AV1904" s="29">
        <v>-0.18426051083702899</v>
      </c>
      <c r="AW1904" s="29">
        <v>-0.24059077761397499</v>
      </c>
      <c r="AX1904" s="29">
        <v>-1.2099461631278601</v>
      </c>
      <c r="AY1904" s="29">
        <v>-0.72483633482770204</v>
      </c>
      <c r="AZ1904" s="60">
        <v>-0.77319034381493701</v>
      </c>
    </row>
    <row r="1905" spans="1:52" s="29" customFormat="1" ht="15" customHeight="1">
      <c r="A1905" s="59" t="s">
        <v>2064</v>
      </c>
      <c r="B1905" s="27">
        <v>2010</v>
      </c>
      <c r="C1905" s="27" t="s">
        <v>481</v>
      </c>
      <c r="D1905" s="27" t="s">
        <v>81</v>
      </c>
      <c r="E1905" s="27" t="s">
        <v>552</v>
      </c>
      <c r="F1905" s="27" t="s">
        <v>98</v>
      </c>
      <c r="G1905" s="43">
        <v>0</v>
      </c>
      <c r="H1905" s="43"/>
      <c r="I1905" s="43"/>
      <c r="J1905" s="43"/>
      <c r="K1905" s="27" t="s">
        <v>603</v>
      </c>
      <c r="L1905" s="28"/>
      <c r="M1905" s="18"/>
      <c r="N1905" s="18" t="s">
        <v>2048</v>
      </c>
      <c r="O1905" s="18">
        <f>G1905*L1905</f>
        <v>0</v>
      </c>
      <c r="P1905" s="213"/>
      <c r="Q1905" s="213"/>
      <c r="R1905" s="18"/>
      <c r="S1905" s="27"/>
      <c r="T1905" s="18"/>
      <c r="U1905" s="18"/>
      <c r="V1905" s="18"/>
      <c r="W1905" s="30"/>
      <c r="X1905" s="27"/>
      <c r="Y1905" s="27"/>
      <c r="Z1905" s="27"/>
      <c r="AA1905" s="27"/>
      <c r="AB1905" s="27"/>
      <c r="AC1905" s="273">
        <v>7586792.5651504043</v>
      </c>
      <c r="AD1905" s="27">
        <v>2578159495.5592995</v>
      </c>
      <c r="AE1905" s="228">
        <v>2.9427165302294629E-3</v>
      </c>
      <c r="AF1905" s="27">
        <v>415083678.78504723</v>
      </c>
      <c r="AG1905" s="226">
        <v>1.8277742423785482E-2</v>
      </c>
      <c r="AH1905" s="226" t="s">
        <v>2842</v>
      </c>
      <c r="AI1905" s="27">
        <v>466850000</v>
      </c>
      <c r="AJ1905" s="226">
        <v>1.6251028307058806E-2</v>
      </c>
      <c r="AK1905" s="27">
        <v>61032687.126715317</v>
      </c>
      <c r="AL1905" s="226">
        <v>0.124307038118751</v>
      </c>
      <c r="AM1905" s="27">
        <v>66805784.480831683</v>
      </c>
      <c r="AN1905" s="271">
        <v>0.11356490495710371</v>
      </c>
      <c r="AO1905" s="27">
        <v>5751976</v>
      </c>
      <c r="AP1905" s="27" t="s">
        <v>2842</v>
      </c>
      <c r="AQ1905" s="27">
        <v>44.838951219512197</v>
      </c>
      <c r="AR1905" s="27">
        <v>114.4</v>
      </c>
      <c r="AS1905" s="29" t="s">
        <v>2842</v>
      </c>
      <c r="AT1905" s="270">
        <v>31</v>
      </c>
      <c r="AU1905" s="464">
        <v>45.714168725457164</v>
      </c>
      <c r="AV1905" s="29">
        <v>-0.18426051083702899</v>
      </c>
      <c r="AW1905" s="29">
        <v>-0.24059077761397499</v>
      </c>
      <c r="AX1905" s="29">
        <v>-1.2099461631278601</v>
      </c>
      <c r="AY1905" s="29">
        <v>-0.72483633482770204</v>
      </c>
      <c r="AZ1905" s="60">
        <v>-0.77319034381493701</v>
      </c>
    </row>
    <row r="1906" spans="1:52" s="29" customFormat="1" ht="15" customHeight="1">
      <c r="A1906" s="59" t="s">
        <v>2064</v>
      </c>
      <c r="B1906" s="27">
        <v>2010</v>
      </c>
      <c r="C1906" s="27" t="s">
        <v>481</v>
      </c>
      <c r="D1906" s="27" t="s">
        <v>81</v>
      </c>
      <c r="E1906" s="27" t="s">
        <v>19</v>
      </c>
      <c r="F1906" s="27" t="s">
        <v>559</v>
      </c>
      <c r="G1906" s="43"/>
      <c r="H1906" s="43"/>
      <c r="I1906" s="43"/>
      <c r="J1906" s="43"/>
      <c r="K1906" s="27"/>
      <c r="L1906" s="28"/>
      <c r="M1906" s="27"/>
      <c r="N1906" s="27"/>
      <c r="O1906" s="18">
        <f>SUM(O1907:O1914)-SUM(O1912:O1914)</f>
        <v>193112882.46384859</v>
      </c>
      <c r="P1906" s="213">
        <v>6412984.5651504043</v>
      </c>
      <c r="Q1906" s="213">
        <v>7099552.9751235368</v>
      </c>
      <c r="R1906" s="27"/>
      <c r="S1906" s="27"/>
      <c r="T1906" s="18"/>
      <c r="U1906" s="27"/>
      <c r="V1906" s="27"/>
      <c r="W1906" s="30"/>
      <c r="X1906" s="27">
        <v>12</v>
      </c>
      <c r="Y1906" s="27" t="s">
        <v>2069</v>
      </c>
      <c r="Z1906" s="27">
        <v>11</v>
      </c>
      <c r="AA1906" s="27" t="s">
        <v>2066</v>
      </c>
      <c r="AB1906" s="27"/>
      <c r="AC1906" s="273">
        <v>7586792.5651504043</v>
      </c>
      <c r="AD1906" s="27">
        <v>2578159495.5592995</v>
      </c>
      <c r="AE1906" s="228">
        <v>2.9427165302294629E-3</v>
      </c>
      <c r="AF1906" s="27">
        <v>415083678.78504723</v>
      </c>
      <c r="AG1906" s="226">
        <v>1.8277742423785482E-2</v>
      </c>
      <c r="AH1906" s="226" t="s">
        <v>2842</v>
      </c>
      <c r="AI1906" s="27">
        <v>466850000</v>
      </c>
      <c r="AJ1906" s="226">
        <v>1.6251028307058806E-2</v>
      </c>
      <c r="AK1906" s="27">
        <v>61032687.126715317</v>
      </c>
      <c r="AL1906" s="226">
        <v>0.124307038118751</v>
      </c>
      <c r="AM1906" s="27">
        <v>66805784.480831683</v>
      </c>
      <c r="AN1906" s="271">
        <v>0.11356490495710371</v>
      </c>
      <c r="AO1906" s="27">
        <v>5751976</v>
      </c>
      <c r="AP1906" s="27" t="s">
        <v>2842</v>
      </c>
      <c r="AQ1906" s="27">
        <v>44.838951219512197</v>
      </c>
      <c r="AR1906" s="27">
        <v>114.4</v>
      </c>
      <c r="AS1906" s="29" t="s">
        <v>2842</v>
      </c>
      <c r="AT1906" s="270">
        <v>31</v>
      </c>
      <c r="AU1906" s="464">
        <v>45.714168725457164</v>
      </c>
      <c r="AV1906" s="29">
        <v>-0.18426051083702899</v>
      </c>
      <c r="AW1906" s="29">
        <v>-0.24059077761397499</v>
      </c>
      <c r="AX1906" s="29">
        <v>-1.2099461631278601</v>
      </c>
      <c r="AY1906" s="29">
        <v>-0.72483633482770204</v>
      </c>
      <c r="AZ1906" s="60">
        <v>-0.77319034381493701</v>
      </c>
    </row>
    <row r="1907" spans="1:52" s="29" customFormat="1" ht="15" customHeight="1">
      <c r="A1907" s="59" t="s">
        <v>2064</v>
      </c>
      <c r="B1907" s="27">
        <v>2010</v>
      </c>
      <c r="C1907" s="27" t="s">
        <v>481</v>
      </c>
      <c r="D1907" s="27" t="s">
        <v>81</v>
      </c>
      <c r="E1907" s="27" t="s">
        <v>19</v>
      </c>
      <c r="F1907" s="27" t="s">
        <v>1049</v>
      </c>
      <c r="G1907" s="43">
        <v>1090000</v>
      </c>
      <c r="H1907" s="43"/>
      <c r="I1907" s="43"/>
      <c r="J1907" s="43"/>
      <c r="K1907" s="27" t="s">
        <v>567</v>
      </c>
      <c r="L1907" s="28">
        <v>29.41</v>
      </c>
      <c r="M1907" s="27" t="s">
        <v>568</v>
      </c>
      <c r="N1907" s="27" t="s">
        <v>1221</v>
      </c>
      <c r="O1907" s="18">
        <f>G1907*L1907</f>
        <v>32056900</v>
      </c>
      <c r="P1907" s="213">
        <v>600110.54487721471</v>
      </c>
      <c r="Q1907" s="213">
        <v>1077880.9682655996</v>
      </c>
      <c r="R1907" s="18"/>
      <c r="S1907" s="18"/>
      <c r="T1907" s="18"/>
      <c r="U1907" s="27"/>
      <c r="V1907" s="18"/>
      <c r="W1907" s="30"/>
      <c r="X1907" s="27">
        <v>1</v>
      </c>
      <c r="Y1907" s="27" t="s">
        <v>2051</v>
      </c>
      <c r="Z1907" s="27">
        <v>1</v>
      </c>
      <c r="AA1907" s="27" t="s">
        <v>2066</v>
      </c>
      <c r="AB1907" s="27"/>
      <c r="AC1907" s="273">
        <v>7586792.5651504043</v>
      </c>
      <c r="AD1907" s="27">
        <v>2578159495.5592995</v>
      </c>
      <c r="AE1907" s="228">
        <v>2.9427165302294629E-3</v>
      </c>
      <c r="AF1907" s="27">
        <v>415083678.78504723</v>
      </c>
      <c r="AG1907" s="226">
        <v>1.8277742423785482E-2</v>
      </c>
      <c r="AH1907" s="226" t="s">
        <v>2842</v>
      </c>
      <c r="AI1907" s="27">
        <v>466850000</v>
      </c>
      <c r="AJ1907" s="226">
        <v>1.6251028307058806E-2</v>
      </c>
      <c r="AK1907" s="27">
        <v>61032687.126715317</v>
      </c>
      <c r="AL1907" s="226">
        <v>0.124307038118751</v>
      </c>
      <c r="AM1907" s="27">
        <v>66805784.480831683</v>
      </c>
      <c r="AN1907" s="271">
        <v>0.11356490495710371</v>
      </c>
      <c r="AO1907" s="27">
        <v>5751976</v>
      </c>
      <c r="AP1907" s="27" t="s">
        <v>2842</v>
      </c>
      <c r="AQ1907" s="27">
        <v>44.838951219512197</v>
      </c>
      <c r="AR1907" s="27">
        <v>114.4</v>
      </c>
      <c r="AS1907" s="29" t="s">
        <v>2842</v>
      </c>
      <c r="AT1907" s="270">
        <v>31</v>
      </c>
      <c r="AU1907" s="464">
        <v>45.714168725457164</v>
      </c>
      <c r="AV1907" s="29">
        <v>-0.18426051083702899</v>
      </c>
      <c r="AW1907" s="29">
        <v>-0.24059077761397499</v>
      </c>
      <c r="AX1907" s="29">
        <v>-1.2099461631278601</v>
      </c>
      <c r="AY1907" s="29">
        <v>-0.72483633482770204</v>
      </c>
      <c r="AZ1907" s="60">
        <v>-0.77319034381493701</v>
      </c>
    </row>
    <row r="1908" spans="1:52" s="29" customFormat="1" ht="15" customHeight="1">
      <c r="A1908" s="59" t="s">
        <v>2064</v>
      </c>
      <c r="B1908" s="27">
        <v>2010</v>
      </c>
      <c r="C1908" s="27" t="s">
        <v>481</v>
      </c>
      <c r="D1908" s="27" t="s">
        <v>81</v>
      </c>
      <c r="E1908" s="27" t="s">
        <v>19</v>
      </c>
      <c r="F1908" s="27" t="s">
        <v>904</v>
      </c>
      <c r="G1908" s="43">
        <v>437516</v>
      </c>
      <c r="H1908" s="43"/>
      <c r="I1908" s="43"/>
      <c r="J1908" s="43"/>
      <c r="K1908" s="27" t="s">
        <v>905</v>
      </c>
      <c r="L1908" s="28">
        <v>242.42</v>
      </c>
      <c r="M1908" s="18" t="s">
        <v>906</v>
      </c>
      <c r="N1908" s="27" t="s">
        <v>2070</v>
      </c>
      <c r="O1908" s="18">
        <f>G1908*L1908</f>
        <v>106062628.72</v>
      </c>
      <c r="P1908" s="213">
        <v>3267098.9551509684</v>
      </c>
      <c r="Q1908" s="213">
        <v>3395978.2792401779</v>
      </c>
      <c r="R1908" s="18"/>
      <c r="S1908" s="18"/>
      <c r="T1908" s="18"/>
      <c r="U1908" s="18"/>
      <c r="V1908" s="18"/>
      <c r="W1908" s="30"/>
      <c r="X1908" s="27">
        <v>3</v>
      </c>
      <c r="Y1908" s="27" t="s">
        <v>2053</v>
      </c>
      <c r="Z1908" s="27">
        <v>3</v>
      </c>
      <c r="AA1908" s="27" t="s">
        <v>2066</v>
      </c>
      <c r="AB1908" s="27"/>
      <c r="AC1908" s="273">
        <v>7586792.5651504043</v>
      </c>
      <c r="AD1908" s="27">
        <v>2578159495.5592995</v>
      </c>
      <c r="AE1908" s="228">
        <v>2.9427165302294629E-3</v>
      </c>
      <c r="AF1908" s="27">
        <v>415083678.78504723</v>
      </c>
      <c r="AG1908" s="226">
        <v>1.8277742423785482E-2</v>
      </c>
      <c r="AH1908" s="226" t="s">
        <v>2842</v>
      </c>
      <c r="AI1908" s="27">
        <v>466850000</v>
      </c>
      <c r="AJ1908" s="226">
        <v>1.6251028307058806E-2</v>
      </c>
      <c r="AK1908" s="27">
        <v>61032687.126715317</v>
      </c>
      <c r="AL1908" s="226">
        <v>0.124307038118751</v>
      </c>
      <c r="AM1908" s="27">
        <v>66805784.480831683</v>
      </c>
      <c r="AN1908" s="271">
        <v>0.11356490495710371</v>
      </c>
      <c r="AO1908" s="27">
        <v>5751976</v>
      </c>
      <c r="AP1908" s="27" t="s">
        <v>2842</v>
      </c>
      <c r="AQ1908" s="27">
        <v>44.838951219512197</v>
      </c>
      <c r="AR1908" s="27">
        <v>114.4</v>
      </c>
      <c r="AS1908" s="29" t="s">
        <v>2842</v>
      </c>
      <c r="AT1908" s="270">
        <v>31</v>
      </c>
      <c r="AU1908" s="464">
        <v>45.714168725457164</v>
      </c>
      <c r="AV1908" s="29">
        <v>-0.18426051083702899</v>
      </c>
      <c r="AW1908" s="29">
        <v>-0.24059077761397499</v>
      </c>
      <c r="AX1908" s="29">
        <v>-1.2099461631278601</v>
      </c>
      <c r="AY1908" s="29">
        <v>-0.72483633482770204</v>
      </c>
      <c r="AZ1908" s="60">
        <v>-0.77319034381493701</v>
      </c>
    </row>
    <row r="1909" spans="1:52" s="29" customFormat="1" ht="15" customHeight="1">
      <c r="A1909" s="59" t="s">
        <v>2064</v>
      </c>
      <c r="B1909" s="27">
        <v>2010</v>
      </c>
      <c r="C1909" s="27" t="s">
        <v>481</v>
      </c>
      <c r="D1909" s="27" t="s">
        <v>81</v>
      </c>
      <c r="E1909" s="27" t="s">
        <v>19</v>
      </c>
      <c r="F1909" s="27" t="s">
        <v>730</v>
      </c>
      <c r="G1909" s="43">
        <f>270*32.1507431265</f>
        <v>8680.7006441549984</v>
      </c>
      <c r="H1909" s="43"/>
      <c r="I1909" s="43"/>
      <c r="J1909" s="43"/>
      <c r="K1909" s="27" t="s">
        <v>731</v>
      </c>
      <c r="L1909" s="28">
        <v>1224.66425</v>
      </c>
      <c r="M1909" s="27" t="s">
        <v>732</v>
      </c>
      <c r="N1909" s="27" t="s">
        <v>733</v>
      </c>
      <c r="O1909" s="18">
        <f>G1909*L1909</f>
        <v>10630943.743848598</v>
      </c>
      <c r="P1909" s="213">
        <v>515372.17293275462</v>
      </c>
      <c r="Q1909" s="213">
        <v>367230.47291584464</v>
      </c>
      <c r="R1909" s="18"/>
      <c r="S1909" s="18"/>
      <c r="T1909" s="18"/>
      <c r="U1909" s="18"/>
      <c r="V1909" s="18"/>
      <c r="W1909" s="30"/>
      <c r="X1909" s="27">
        <v>3</v>
      </c>
      <c r="Y1909" s="27" t="s">
        <v>2063</v>
      </c>
      <c r="Z1909" s="27">
        <v>2</v>
      </c>
      <c r="AA1909" s="27" t="s">
        <v>2066</v>
      </c>
      <c r="AB1909" s="27"/>
      <c r="AC1909" s="273">
        <v>7586792.5651504043</v>
      </c>
      <c r="AD1909" s="27">
        <v>2578159495.5592995</v>
      </c>
      <c r="AE1909" s="228">
        <v>2.9427165302294629E-3</v>
      </c>
      <c r="AF1909" s="27">
        <v>415083678.78504723</v>
      </c>
      <c r="AG1909" s="226">
        <v>1.8277742423785482E-2</v>
      </c>
      <c r="AH1909" s="226" t="s">
        <v>2842</v>
      </c>
      <c r="AI1909" s="27">
        <v>466850000</v>
      </c>
      <c r="AJ1909" s="226">
        <v>1.6251028307058806E-2</v>
      </c>
      <c r="AK1909" s="27">
        <v>61032687.126715317</v>
      </c>
      <c r="AL1909" s="226">
        <v>0.124307038118751</v>
      </c>
      <c r="AM1909" s="27">
        <v>66805784.480831683</v>
      </c>
      <c r="AN1909" s="271">
        <v>0.11356490495710371</v>
      </c>
      <c r="AO1909" s="27">
        <v>5751976</v>
      </c>
      <c r="AP1909" s="27" t="s">
        <v>2842</v>
      </c>
      <c r="AQ1909" s="27">
        <v>44.838951219512197</v>
      </c>
      <c r="AR1909" s="27">
        <v>114.4</v>
      </c>
      <c r="AS1909" s="29" t="s">
        <v>2842</v>
      </c>
      <c r="AT1909" s="270">
        <v>31</v>
      </c>
      <c r="AU1909" s="464">
        <v>45.714168725457164</v>
      </c>
      <c r="AV1909" s="29">
        <v>-0.18426051083702899</v>
      </c>
      <c r="AW1909" s="29">
        <v>-0.24059077761397499</v>
      </c>
      <c r="AX1909" s="29">
        <v>-1.2099461631278601</v>
      </c>
      <c r="AY1909" s="29">
        <v>-0.72483633482770204</v>
      </c>
      <c r="AZ1909" s="60">
        <v>-0.77319034381493701</v>
      </c>
    </row>
    <row r="1910" spans="1:52" s="29" customFormat="1" ht="15" customHeight="1">
      <c r="A1910" s="59" t="s">
        <v>2064</v>
      </c>
      <c r="B1910" s="27">
        <v>2010</v>
      </c>
      <c r="C1910" s="27" t="s">
        <v>481</v>
      </c>
      <c r="D1910" s="27" t="s">
        <v>81</v>
      </c>
      <c r="E1910" s="27" t="s">
        <v>19</v>
      </c>
      <c r="F1910" s="27" t="s">
        <v>1133</v>
      </c>
      <c r="G1910" s="43">
        <v>0</v>
      </c>
      <c r="H1910" s="43"/>
      <c r="I1910" s="43"/>
      <c r="J1910" s="43"/>
      <c r="K1910" s="27" t="s">
        <v>567</v>
      </c>
      <c r="L1910" s="28"/>
      <c r="M1910" s="18"/>
      <c r="N1910" s="27" t="s">
        <v>636</v>
      </c>
      <c r="O1910" s="18">
        <f>G1910*L1910</f>
        <v>0</v>
      </c>
      <c r="P1910" s="213">
        <v>1187517.525975612</v>
      </c>
      <c r="Q1910" s="213">
        <v>1199830</v>
      </c>
      <c r="R1910" s="18"/>
      <c r="S1910" s="18"/>
      <c r="T1910" s="18"/>
      <c r="U1910" s="18"/>
      <c r="V1910" s="18"/>
      <c r="W1910" s="30"/>
      <c r="X1910" s="27">
        <v>3</v>
      </c>
      <c r="Y1910" s="27" t="s">
        <v>2071</v>
      </c>
      <c r="Z1910" s="27">
        <v>3</v>
      </c>
      <c r="AA1910" s="27" t="s">
        <v>2066</v>
      </c>
      <c r="AB1910" s="27"/>
      <c r="AC1910" s="273">
        <v>7586792.5651504043</v>
      </c>
      <c r="AD1910" s="27">
        <v>2578159495.5592995</v>
      </c>
      <c r="AE1910" s="228">
        <v>2.9427165302294629E-3</v>
      </c>
      <c r="AF1910" s="27">
        <v>415083678.78504723</v>
      </c>
      <c r="AG1910" s="226">
        <v>1.8277742423785482E-2</v>
      </c>
      <c r="AH1910" s="226" t="s">
        <v>2842</v>
      </c>
      <c r="AI1910" s="27">
        <v>466850000</v>
      </c>
      <c r="AJ1910" s="226">
        <v>1.6251028307058806E-2</v>
      </c>
      <c r="AK1910" s="27">
        <v>61032687.126715317</v>
      </c>
      <c r="AL1910" s="226">
        <v>0.124307038118751</v>
      </c>
      <c r="AM1910" s="27">
        <v>66805784.480831683</v>
      </c>
      <c r="AN1910" s="271">
        <v>0.11356490495710371</v>
      </c>
      <c r="AO1910" s="27">
        <v>5751976</v>
      </c>
      <c r="AP1910" s="27" t="s">
        <v>2842</v>
      </c>
      <c r="AQ1910" s="27">
        <v>44.838951219512197</v>
      </c>
      <c r="AR1910" s="27">
        <v>114.4</v>
      </c>
      <c r="AS1910" s="29" t="s">
        <v>2842</v>
      </c>
      <c r="AT1910" s="270">
        <v>31</v>
      </c>
      <c r="AU1910" s="464">
        <v>45.714168725457164</v>
      </c>
      <c r="AV1910" s="29">
        <v>-0.18426051083702899</v>
      </c>
      <c r="AW1910" s="29">
        <v>-0.24059077761397499</v>
      </c>
      <c r="AX1910" s="29">
        <v>-1.2099461631278601</v>
      </c>
      <c r="AY1910" s="29">
        <v>-0.72483633482770204</v>
      </c>
      <c r="AZ1910" s="60">
        <v>-0.77319034381493701</v>
      </c>
    </row>
    <row r="1911" spans="1:52" s="29" customFormat="1" ht="15" customHeight="1">
      <c r="A1911" s="59" t="s">
        <v>2064</v>
      </c>
      <c r="B1911" s="27">
        <v>2010</v>
      </c>
      <c r="C1911" s="27" t="s">
        <v>481</v>
      </c>
      <c r="D1911" s="27" t="s">
        <v>81</v>
      </c>
      <c r="E1911" s="27" t="s">
        <v>19</v>
      </c>
      <c r="F1911" s="27" t="s">
        <v>2032</v>
      </c>
      <c r="G1911" s="43"/>
      <c r="H1911" s="43"/>
      <c r="I1911" s="43"/>
      <c r="J1911" s="43"/>
      <c r="K1911" s="27"/>
      <c r="L1911" s="28"/>
      <c r="M1911" s="27"/>
      <c r="N1911" s="27"/>
      <c r="O1911" s="18">
        <f>SUM(O1912:O1914)</f>
        <v>44362410</v>
      </c>
      <c r="P1911" s="246">
        <v>842885.36621385464</v>
      </c>
      <c r="Q1911" s="213">
        <v>1058633.2547019145</v>
      </c>
      <c r="R1911" s="18"/>
      <c r="S1911" s="18"/>
      <c r="T1911" s="18"/>
      <c r="U1911" s="27"/>
      <c r="V1911" s="18"/>
      <c r="W1911" s="30"/>
      <c r="X1911" s="27">
        <v>2</v>
      </c>
      <c r="Y1911" s="27" t="s">
        <v>2072</v>
      </c>
      <c r="Z1911" s="27">
        <v>2</v>
      </c>
      <c r="AA1911" s="27" t="s">
        <v>2066</v>
      </c>
      <c r="AB1911" s="27"/>
      <c r="AC1911" s="273">
        <v>7586792.5651504043</v>
      </c>
      <c r="AD1911" s="27">
        <v>2578159495.5592995</v>
      </c>
      <c r="AE1911" s="228">
        <v>2.9427165302294629E-3</v>
      </c>
      <c r="AF1911" s="27">
        <v>415083678.78504723</v>
      </c>
      <c r="AG1911" s="226">
        <v>1.8277742423785482E-2</v>
      </c>
      <c r="AH1911" s="226" t="s">
        <v>2842</v>
      </c>
      <c r="AI1911" s="27">
        <v>466850000</v>
      </c>
      <c r="AJ1911" s="226">
        <v>1.6251028307058806E-2</v>
      </c>
      <c r="AK1911" s="27">
        <v>61032687.126715317</v>
      </c>
      <c r="AL1911" s="226">
        <v>0.124307038118751</v>
      </c>
      <c r="AM1911" s="27">
        <v>66805784.480831683</v>
      </c>
      <c r="AN1911" s="271">
        <v>0.11356490495710371</v>
      </c>
      <c r="AO1911" s="27">
        <v>5751976</v>
      </c>
      <c r="AP1911" s="27" t="s">
        <v>2842</v>
      </c>
      <c r="AQ1911" s="27">
        <v>44.838951219512197</v>
      </c>
      <c r="AR1911" s="27">
        <v>114.4</v>
      </c>
      <c r="AS1911" s="29" t="s">
        <v>2842</v>
      </c>
      <c r="AT1911" s="270">
        <v>31</v>
      </c>
      <c r="AU1911" s="464">
        <v>45.714168725457164</v>
      </c>
      <c r="AV1911" s="29">
        <v>-0.18426051083702899</v>
      </c>
      <c r="AW1911" s="29">
        <v>-0.24059077761397499</v>
      </c>
      <c r="AX1911" s="29">
        <v>-1.2099461631278601</v>
      </c>
      <c r="AY1911" s="29">
        <v>-0.72483633482770204</v>
      </c>
      <c r="AZ1911" s="60">
        <v>-0.77319034381493701</v>
      </c>
    </row>
    <row r="1912" spans="1:52" s="29" customFormat="1" ht="15" customHeight="1">
      <c r="A1912" s="59" t="s">
        <v>2064</v>
      </c>
      <c r="B1912" s="27">
        <v>2010</v>
      </c>
      <c r="C1912" s="27" t="s">
        <v>481</v>
      </c>
      <c r="D1912" s="27" t="s">
        <v>81</v>
      </c>
      <c r="E1912" s="27" t="s">
        <v>19</v>
      </c>
      <c r="F1912" s="27" t="s">
        <v>2034</v>
      </c>
      <c r="G1912" s="43">
        <v>18206</v>
      </c>
      <c r="H1912" s="43"/>
      <c r="I1912" s="43"/>
      <c r="J1912" s="43"/>
      <c r="K1912" s="27" t="s">
        <v>567</v>
      </c>
      <c r="L1912" s="28">
        <v>75</v>
      </c>
      <c r="M1912" s="27" t="s">
        <v>568</v>
      </c>
      <c r="N1912" s="27" t="s">
        <v>1546</v>
      </c>
      <c r="O1912" s="18">
        <f>G1912*L1912</f>
        <v>1365450</v>
      </c>
      <c r="P1912" s="213"/>
      <c r="Q1912" s="213"/>
      <c r="R1912" s="27"/>
      <c r="S1912" s="27"/>
      <c r="T1912" s="18"/>
      <c r="U1912" s="27"/>
      <c r="V1912" s="27"/>
      <c r="W1912" s="30"/>
      <c r="X1912" s="27"/>
      <c r="Y1912" s="27"/>
      <c r="Z1912" s="27"/>
      <c r="AA1912" s="27"/>
      <c r="AB1912" s="27"/>
      <c r="AC1912" s="273">
        <v>7586792.5651504043</v>
      </c>
      <c r="AD1912" s="27">
        <v>2578159495.5592995</v>
      </c>
      <c r="AE1912" s="228">
        <v>2.9427165302294629E-3</v>
      </c>
      <c r="AF1912" s="27">
        <v>415083678.78504723</v>
      </c>
      <c r="AG1912" s="226">
        <v>1.8277742423785482E-2</v>
      </c>
      <c r="AH1912" s="226" t="s">
        <v>2842</v>
      </c>
      <c r="AI1912" s="27">
        <v>466850000</v>
      </c>
      <c r="AJ1912" s="226">
        <v>1.6251028307058806E-2</v>
      </c>
      <c r="AK1912" s="27">
        <v>61032687.126715317</v>
      </c>
      <c r="AL1912" s="226">
        <v>0.124307038118751</v>
      </c>
      <c r="AM1912" s="27">
        <v>66805784.480831683</v>
      </c>
      <c r="AN1912" s="271">
        <v>0.11356490495710371</v>
      </c>
      <c r="AO1912" s="27">
        <v>5751976</v>
      </c>
      <c r="AP1912" s="27" t="s">
        <v>2842</v>
      </c>
      <c r="AQ1912" s="27">
        <v>44.838951219512197</v>
      </c>
      <c r="AR1912" s="27">
        <v>114.4</v>
      </c>
      <c r="AS1912" s="29" t="s">
        <v>2842</v>
      </c>
      <c r="AT1912" s="270">
        <v>31</v>
      </c>
      <c r="AU1912" s="464">
        <v>45.714168725457164</v>
      </c>
      <c r="AV1912" s="29">
        <v>-0.18426051083702899</v>
      </c>
      <c r="AW1912" s="29">
        <v>-0.24059077761397499</v>
      </c>
      <c r="AX1912" s="29">
        <v>-1.2099461631278601</v>
      </c>
      <c r="AY1912" s="29">
        <v>-0.72483633482770204</v>
      </c>
      <c r="AZ1912" s="60">
        <v>-0.77319034381493701</v>
      </c>
    </row>
    <row r="1913" spans="1:52" s="29" customFormat="1" ht="15" customHeight="1">
      <c r="A1913" s="59" t="s">
        <v>2064</v>
      </c>
      <c r="B1913" s="27">
        <v>2010</v>
      </c>
      <c r="C1913" s="27" t="s">
        <v>481</v>
      </c>
      <c r="D1913" s="27" t="s">
        <v>81</v>
      </c>
      <c r="E1913" s="27" t="s">
        <v>19</v>
      </c>
      <c r="F1913" s="27" t="s">
        <v>2036</v>
      </c>
      <c r="G1913" s="43">
        <v>68198</v>
      </c>
      <c r="H1913" s="43"/>
      <c r="I1913" s="43"/>
      <c r="J1913" s="43"/>
      <c r="K1913" s="27" t="s">
        <v>567</v>
      </c>
      <c r="L1913" s="28">
        <v>540</v>
      </c>
      <c r="M1913" s="27" t="s">
        <v>568</v>
      </c>
      <c r="N1913" s="27" t="s">
        <v>1748</v>
      </c>
      <c r="O1913" s="18">
        <f>G1913*L1913</f>
        <v>36826920</v>
      </c>
      <c r="P1913" s="213"/>
      <c r="Q1913" s="213"/>
      <c r="R1913" s="27"/>
      <c r="S1913" s="27"/>
      <c r="T1913" s="18"/>
      <c r="U1913" s="27"/>
      <c r="V1913" s="27"/>
      <c r="W1913" s="30"/>
      <c r="X1913" s="27"/>
      <c r="Y1913" s="27"/>
      <c r="Z1913" s="27"/>
      <c r="AA1913" s="27"/>
      <c r="AB1913" s="27"/>
      <c r="AC1913" s="273">
        <v>7586792.5651504043</v>
      </c>
      <c r="AD1913" s="27">
        <v>2578159495.5592995</v>
      </c>
      <c r="AE1913" s="228">
        <v>2.9427165302294629E-3</v>
      </c>
      <c r="AF1913" s="27">
        <v>415083678.78504723</v>
      </c>
      <c r="AG1913" s="226">
        <v>1.8277742423785482E-2</v>
      </c>
      <c r="AH1913" s="226" t="s">
        <v>2842</v>
      </c>
      <c r="AI1913" s="27">
        <v>466850000</v>
      </c>
      <c r="AJ1913" s="226">
        <v>1.6251028307058806E-2</v>
      </c>
      <c r="AK1913" s="27">
        <v>61032687.126715317</v>
      </c>
      <c r="AL1913" s="226">
        <v>0.124307038118751</v>
      </c>
      <c r="AM1913" s="27">
        <v>66805784.480831683</v>
      </c>
      <c r="AN1913" s="271">
        <v>0.11356490495710371</v>
      </c>
      <c r="AO1913" s="27">
        <v>5751976</v>
      </c>
      <c r="AP1913" s="27" t="s">
        <v>2842</v>
      </c>
      <c r="AQ1913" s="27">
        <v>44.838951219512197</v>
      </c>
      <c r="AR1913" s="27">
        <v>114.4</v>
      </c>
      <c r="AS1913" s="29" t="s">
        <v>2842</v>
      </c>
      <c r="AT1913" s="270">
        <v>31</v>
      </c>
      <c r="AU1913" s="464">
        <v>45.714168725457164</v>
      </c>
      <c r="AV1913" s="29">
        <v>-0.18426051083702899</v>
      </c>
      <c r="AW1913" s="29">
        <v>-0.24059077761397499</v>
      </c>
      <c r="AX1913" s="29">
        <v>-1.2099461631278601</v>
      </c>
      <c r="AY1913" s="29">
        <v>-0.72483633482770204</v>
      </c>
      <c r="AZ1913" s="60">
        <v>-0.77319034381493701</v>
      </c>
    </row>
    <row r="1914" spans="1:52" s="287" customFormat="1" ht="15" customHeight="1">
      <c r="A1914" s="344" t="s">
        <v>2064</v>
      </c>
      <c r="B1914" s="284">
        <v>2010</v>
      </c>
      <c r="C1914" s="284" t="s">
        <v>481</v>
      </c>
      <c r="D1914" s="284" t="s">
        <v>81</v>
      </c>
      <c r="E1914" s="284" t="s">
        <v>19</v>
      </c>
      <c r="F1914" s="284" t="s">
        <v>2038</v>
      </c>
      <c r="G1914" s="303">
        <v>7092</v>
      </c>
      <c r="H1914" s="303"/>
      <c r="I1914" s="303"/>
      <c r="J1914" s="303"/>
      <c r="K1914" s="284" t="s">
        <v>567</v>
      </c>
      <c r="L1914" s="304">
        <v>870</v>
      </c>
      <c r="M1914" s="284" t="s">
        <v>568</v>
      </c>
      <c r="N1914" s="284" t="s">
        <v>1750</v>
      </c>
      <c r="O1914" s="305">
        <f>G1914*L1914</f>
        <v>6170040</v>
      </c>
      <c r="P1914" s="306"/>
      <c r="Q1914" s="306"/>
      <c r="R1914" s="284"/>
      <c r="S1914" s="284"/>
      <c r="T1914" s="305"/>
      <c r="U1914" s="284"/>
      <c r="V1914" s="284"/>
      <c r="W1914" s="307"/>
      <c r="X1914" s="284"/>
      <c r="Y1914" s="284"/>
      <c r="Z1914" s="284"/>
      <c r="AA1914" s="284"/>
      <c r="AB1914" s="284"/>
      <c r="AC1914" s="308">
        <v>7586792.5651504043</v>
      </c>
      <c r="AD1914" s="284">
        <v>2578159495.5592995</v>
      </c>
      <c r="AE1914" s="309">
        <v>2.9427165302294629E-3</v>
      </c>
      <c r="AF1914" s="284">
        <v>415083678.78504723</v>
      </c>
      <c r="AG1914" s="310">
        <v>1.8277742423785482E-2</v>
      </c>
      <c r="AH1914" s="310" t="s">
        <v>2842</v>
      </c>
      <c r="AI1914" s="284">
        <v>466850000</v>
      </c>
      <c r="AJ1914" s="310">
        <v>1.6251028307058806E-2</v>
      </c>
      <c r="AK1914" s="284">
        <v>61032687.126715317</v>
      </c>
      <c r="AL1914" s="310">
        <v>0.124307038118751</v>
      </c>
      <c r="AM1914" s="284">
        <v>66805784.480831683</v>
      </c>
      <c r="AN1914" s="311">
        <v>0.11356490495710371</v>
      </c>
      <c r="AO1914" s="284">
        <v>5751976</v>
      </c>
      <c r="AP1914" s="284" t="s">
        <v>2842</v>
      </c>
      <c r="AQ1914" s="284">
        <v>44.838951219512197</v>
      </c>
      <c r="AR1914" s="284">
        <v>114.4</v>
      </c>
      <c r="AS1914" s="287" t="s">
        <v>2842</v>
      </c>
      <c r="AT1914" s="312">
        <v>31</v>
      </c>
      <c r="AU1914" s="465">
        <v>45.714168725457164</v>
      </c>
      <c r="AV1914" s="287">
        <v>-0.18426051083702899</v>
      </c>
      <c r="AW1914" s="287">
        <v>-0.24059077761397499</v>
      </c>
      <c r="AX1914" s="287">
        <v>-1.2099461631278601</v>
      </c>
      <c r="AY1914" s="287">
        <v>-0.72483633482770204</v>
      </c>
      <c r="AZ1914" s="313">
        <v>-0.77319034381493701</v>
      </c>
    </row>
    <row r="1915" spans="1:52" ht="15" customHeight="1">
      <c r="A1915" s="332" t="s">
        <v>2073</v>
      </c>
      <c r="B1915" s="27">
        <v>2011</v>
      </c>
      <c r="C1915" s="27" t="s">
        <v>481</v>
      </c>
      <c r="D1915" s="27" t="s">
        <v>81</v>
      </c>
      <c r="E1915" s="27" t="s">
        <v>30</v>
      </c>
      <c r="F1915" s="27" t="s">
        <v>659</v>
      </c>
      <c r="G1915" s="43"/>
      <c r="H1915" s="43"/>
      <c r="I1915" s="43"/>
      <c r="J1915" s="43"/>
      <c r="K1915" s="27"/>
      <c r="L1915" s="28"/>
      <c r="M1915" s="27"/>
      <c r="N1915" s="27"/>
      <c r="O1915" s="18">
        <f>O1916+O1919</f>
        <v>509572462.55053759</v>
      </c>
      <c r="P1915" s="213">
        <v>27621406</v>
      </c>
      <c r="Q1915" s="213">
        <v>26293141</v>
      </c>
      <c r="R1915" s="27" t="s">
        <v>619</v>
      </c>
      <c r="S1915" s="27"/>
      <c r="T1915" s="18"/>
      <c r="U1915" s="27" t="s">
        <v>560</v>
      </c>
      <c r="V1915" s="27" t="s">
        <v>802</v>
      </c>
      <c r="W1915" s="30"/>
      <c r="X1915" s="27">
        <v>25</v>
      </c>
      <c r="Y1915" s="27" t="s">
        <v>2074</v>
      </c>
      <c r="Z1915" s="27">
        <v>19</v>
      </c>
      <c r="AA1915" s="27" t="s">
        <v>1068</v>
      </c>
      <c r="AB1915" s="27" t="s">
        <v>2075</v>
      </c>
      <c r="AC1915" s="273">
        <v>27621406</v>
      </c>
      <c r="AD1915" s="27">
        <v>2925391429.7983232</v>
      </c>
      <c r="AE1915" s="228">
        <v>9.4419521841233468E-3</v>
      </c>
      <c r="AF1915" s="27">
        <v>440710218.89911741</v>
      </c>
      <c r="AG1915" s="226">
        <v>6.2674757279278778E-2</v>
      </c>
      <c r="AH1915" s="226" t="s">
        <v>2842</v>
      </c>
      <c r="AI1915" s="27">
        <v>425300000</v>
      </c>
      <c r="AJ1915" s="226">
        <v>6.49456995062309E-2</v>
      </c>
      <c r="AK1915" s="27">
        <v>77258184.211918116</v>
      </c>
      <c r="AL1915" s="226">
        <v>0.3575207763650628</v>
      </c>
      <c r="AM1915" s="27">
        <v>78176990.413358465</v>
      </c>
      <c r="AN1915" s="271">
        <v>0.35331887111479549</v>
      </c>
      <c r="AO1915" s="27">
        <v>5865491</v>
      </c>
      <c r="AP1915" s="27">
        <v>52.9</v>
      </c>
      <c r="AQ1915" s="27">
        <v>45.102585365853663</v>
      </c>
      <c r="AR1915" s="27">
        <v>112</v>
      </c>
      <c r="AS1915" s="29" t="s">
        <v>2842</v>
      </c>
      <c r="AT1915" s="270">
        <v>31</v>
      </c>
      <c r="AU1915" s="464">
        <v>45.714168725457164</v>
      </c>
      <c r="AV1915" s="29">
        <v>-0.24013659840957499</v>
      </c>
      <c r="AW1915" s="29">
        <v>-0.17063506320649199</v>
      </c>
      <c r="AX1915" s="29">
        <v>-1.18918654562767</v>
      </c>
      <c r="AY1915" s="29">
        <v>-0.70221252140498902</v>
      </c>
      <c r="AZ1915" s="60">
        <v>-0.81445926646891498</v>
      </c>
    </row>
    <row r="1916" spans="1:52" ht="15" customHeight="1">
      <c r="A1916" s="59" t="s">
        <v>2073</v>
      </c>
      <c r="B1916" s="27">
        <v>2011</v>
      </c>
      <c r="C1916" s="27" t="s">
        <v>481</v>
      </c>
      <c r="D1916" s="27" t="s">
        <v>81</v>
      </c>
      <c r="E1916" s="18" t="s">
        <v>50</v>
      </c>
      <c r="F1916" s="27" t="s">
        <v>597</v>
      </c>
      <c r="G1916" s="43"/>
      <c r="H1916" s="43"/>
      <c r="I1916" s="43"/>
      <c r="J1916" s="43"/>
      <c r="K1916" s="27"/>
      <c r="L1916" s="28"/>
      <c r="M1916" s="27"/>
      <c r="N1916" s="27"/>
      <c r="O1916" s="18">
        <f>SUM(O1917:O1918)</f>
        <v>0</v>
      </c>
      <c r="P1916" s="213">
        <v>15376455</v>
      </c>
      <c r="Q1916" s="213">
        <v>15194339</v>
      </c>
      <c r="R1916" s="18"/>
      <c r="S1916" s="27"/>
      <c r="T1916" s="18"/>
      <c r="U1916" s="18"/>
      <c r="V1916" s="18"/>
      <c r="W1916" s="30"/>
      <c r="X1916" s="27">
        <v>4</v>
      </c>
      <c r="Y1916" s="27" t="s">
        <v>2076</v>
      </c>
      <c r="Z1916" s="27">
        <v>4</v>
      </c>
      <c r="AA1916" s="27" t="s">
        <v>1068</v>
      </c>
      <c r="AB1916" s="27"/>
      <c r="AC1916" s="273">
        <v>27621406</v>
      </c>
      <c r="AD1916" s="27">
        <v>2925391429.7983232</v>
      </c>
      <c r="AE1916" s="228">
        <v>9.4419521841233468E-3</v>
      </c>
      <c r="AF1916" s="27">
        <v>440710218.89911741</v>
      </c>
      <c r="AG1916" s="226">
        <v>6.2674757279278778E-2</v>
      </c>
      <c r="AH1916" s="226" t="s">
        <v>2842</v>
      </c>
      <c r="AI1916" s="27">
        <v>425300000</v>
      </c>
      <c r="AJ1916" s="226">
        <v>6.49456995062309E-2</v>
      </c>
      <c r="AK1916" s="27">
        <v>77258184.211918116</v>
      </c>
      <c r="AL1916" s="226">
        <v>0.3575207763650628</v>
      </c>
      <c r="AM1916" s="27">
        <v>78176990.413358465</v>
      </c>
      <c r="AN1916" s="271">
        <v>0.35331887111479549</v>
      </c>
      <c r="AO1916" s="27">
        <v>5865491</v>
      </c>
      <c r="AP1916" s="27">
        <v>52.9</v>
      </c>
      <c r="AQ1916" s="27">
        <v>45.102585365853663</v>
      </c>
      <c r="AR1916" s="27">
        <v>112</v>
      </c>
      <c r="AS1916" s="29" t="s">
        <v>2842</v>
      </c>
      <c r="AT1916" s="270">
        <v>31</v>
      </c>
      <c r="AU1916" s="464">
        <v>45.714168725457164</v>
      </c>
      <c r="AV1916" s="29">
        <v>-0.24013659840957499</v>
      </c>
      <c r="AW1916" s="29">
        <v>-0.17063506320649199</v>
      </c>
      <c r="AX1916" s="29">
        <v>-1.18918654562767</v>
      </c>
      <c r="AY1916" s="29">
        <v>-0.70221252140498902</v>
      </c>
      <c r="AZ1916" s="60">
        <v>-0.81445926646891498</v>
      </c>
    </row>
    <row r="1917" spans="1:52" ht="15" customHeight="1">
      <c r="A1917" s="59" t="s">
        <v>2073</v>
      </c>
      <c r="B1917" s="27">
        <v>2011</v>
      </c>
      <c r="C1917" s="27" t="s">
        <v>481</v>
      </c>
      <c r="D1917" s="27" t="s">
        <v>81</v>
      </c>
      <c r="E1917" s="27" t="s">
        <v>552</v>
      </c>
      <c r="F1917" s="27" t="s">
        <v>552</v>
      </c>
      <c r="G1917" s="43">
        <v>0</v>
      </c>
      <c r="H1917" s="43"/>
      <c r="I1917" s="43"/>
      <c r="J1917" s="43"/>
      <c r="K1917" s="27" t="s">
        <v>2047</v>
      </c>
      <c r="L1917" s="28"/>
      <c r="M1917" s="18"/>
      <c r="N1917" s="18" t="s">
        <v>2048</v>
      </c>
      <c r="O1917" s="18">
        <f>G1917*L1917</f>
        <v>0</v>
      </c>
      <c r="P1917" s="213"/>
      <c r="Q1917" s="213"/>
      <c r="R1917" s="18"/>
      <c r="S1917" s="27"/>
      <c r="T1917" s="18"/>
      <c r="U1917" s="18"/>
      <c r="V1917" s="18"/>
      <c r="W1917" s="30"/>
      <c r="X1917" s="27"/>
      <c r="Y1917" s="27"/>
      <c r="Z1917" s="27"/>
      <c r="AA1917" s="27"/>
      <c r="AB1917" s="27"/>
      <c r="AC1917" s="273">
        <v>27621406</v>
      </c>
      <c r="AD1917" s="27">
        <v>2925391429.7983232</v>
      </c>
      <c r="AE1917" s="228">
        <v>9.4419521841233468E-3</v>
      </c>
      <c r="AF1917" s="27">
        <v>440710218.89911741</v>
      </c>
      <c r="AG1917" s="226">
        <v>6.2674757279278778E-2</v>
      </c>
      <c r="AH1917" s="226" t="s">
        <v>2842</v>
      </c>
      <c r="AI1917" s="27">
        <v>425300000</v>
      </c>
      <c r="AJ1917" s="226">
        <v>6.49456995062309E-2</v>
      </c>
      <c r="AK1917" s="27">
        <v>77258184.211918116</v>
      </c>
      <c r="AL1917" s="226">
        <v>0.3575207763650628</v>
      </c>
      <c r="AM1917" s="27">
        <v>78176990.413358465</v>
      </c>
      <c r="AN1917" s="271">
        <v>0.35331887111479549</v>
      </c>
      <c r="AO1917" s="27">
        <v>5865491</v>
      </c>
      <c r="AP1917" s="27">
        <v>52.9</v>
      </c>
      <c r="AQ1917" s="27">
        <v>45.102585365853663</v>
      </c>
      <c r="AR1917" s="27">
        <v>112</v>
      </c>
      <c r="AS1917" s="29" t="s">
        <v>2842</v>
      </c>
      <c r="AT1917" s="270">
        <v>31</v>
      </c>
      <c r="AU1917" s="464">
        <v>45.714168725457164</v>
      </c>
      <c r="AV1917" s="29">
        <v>-0.24013659840957499</v>
      </c>
      <c r="AW1917" s="29">
        <v>-0.17063506320649199</v>
      </c>
      <c r="AX1917" s="29">
        <v>-1.18918654562767</v>
      </c>
      <c r="AY1917" s="29">
        <v>-0.70221252140498902</v>
      </c>
      <c r="AZ1917" s="60">
        <v>-0.81445926646891498</v>
      </c>
    </row>
    <row r="1918" spans="1:52" ht="15" customHeight="1">
      <c r="A1918" s="59" t="s">
        <v>2073</v>
      </c>
      <c r="B1918" s="27">
        <v>2011</v>
      </c>
      <c r="C1918" s="27" t="s">
        <v>481</v>
      </c>
      <c r="D1918" s="27" t="s">
        <v>81</v>
      </c>
      <c r="E1918" s="27" t="s">
        <v>98</v>
      </c>
      <c r="F1918" s="27" t="s">
        <v>98</v>
      </c>
      <c r="G1918" s="43">
        <v>0</v>
      </c>
      <c r="H1918" s="43"/>
      <c r="I1918" s="43"/>
      <c r="J1918" s="43"/>
      <c r="K1918" s="27" t="s">
        <v>603</v>
      </c>
      <c r="L1918" s="28"/>
      <c r="M1918" s="18"/>
      <c r="N1918" s="18" t="s">
        <v>2048</v>
      </c>
      <c r="O1918" s="18">
        <f>G1918*L1918</f>
        <v>0</v>
      </c>
      <c r="P1918" s="213"/>
      <c r="Q1918" s="213"/>
      <c r="R1918" s="18"/>
      <c r="S1918" s="27"/>
      <c r="T1918" s="18"/>
      <c r="U1918" s="18"/>
      <c r="V1918" s="18"/>
      <c r="W1918" s="30"/>
      <c r="X1918" s="27"/>
      <c r="Y1918" s="27"/>
      <c r="Z1918" s="27"/>
      <c r="AA1918" s="27"/>
      <c r="AB1918" s="27"/>
      <c r="AC1918" s="273">
        <v>27621406</v>
      </c>
      <c r="AD1918" s="27">
        <v>2925391429.7983232</v>
      </c>
      <c r="AE1918" s="228">
        <v>9.4419521841233468E-3</v>
      </c>
      <c r="AF1918" s="27">
        <v>440710218.89911741</v>
      </c>
      <c r="AG1918" s="226">
        <v>6.2674757279278778E-2</v>
      </c>
      <c r="AH1918" s="226" t="s">
        <v>2842</v>
      </c>
      <c r="AI1918" s="27">
        <v>425300000</v>
      </c>
      <c r="AJ1918" s="226">
        <v>6.49456995062309E-2</v>
      </c>
      <c r="AK1918" s="27">
        <v>77258184.211918116</v>
      </c>
      <c r="AL1918" s="226">
        <v>0.3575207763650628</v>
      </c>
      <c r="AM1918" s="27">
        <v>78176990.413358465</v>
      </c>
      <c r="AN1918" s="271">
        <v>0.35331887111479549</v>
      </c>
      <c r="AO1918" s="27">
        <v>5865491</v>
      </c>
      <c r="AP1918" s="27">
        <v>52.9</v>
      </c>
      <c r="AQ1918" s="27">
        <v>45.102585365853663</v>
      </c>
      <c r="AR1918" s="27">
        <v>112</v>
      </c>
      <c r="AS1918" s="29" t="s">
        <v>2842</v>
      </c>
      <c r="AT1918" s="270">
        <v>31</v>
      </c>
      <c r="AU1918" s="464">
        <v>45.714168725457164</v>
      </c>
      <c r="AV1918" s="29">
        <v>-0.24013659840957499</v>
      </c>
      <c r="AW1918" s="29">
        <v>-0.17063506320649199</v>
      </c>
      <c r="AX1918" s="29">
        <v>-1.18918654562767</v>
      </c>
      <c r="AY1918" s="29">
        <v>-0.70221252140498902</v>
      </c>
      <c r="AZ1918" s="60">
        <v>-0.81445926646891498</v>
      </c>
    </row>
    <row r="1919" spans="1:52" ht="15" customHeight="1">
      <c r="A1919" s="59" t="s">
        <v>2073</v>
      </c>
      <c r="B1919" s="27">
        <v>2011</v>
      </c>
      <c r="C1919" s="27" t="s">
        <v>481</v>
      </c>
      <c r="D1919" s="27" t="s">
        <v>81</v>
      </c>
      <c r="E1919" s="18" t="s">
        <v>19</v>
      </c>
      <c r="F1919" s="27" t="s">
        <v>559</v>
      </c>
      <c r="G1919" s="43"/>
      <c r="H1919" s="43"/>
      <c r="I1919" s="43"/>
      <c r="J1919" s="43"/>
      <c r="K1919" s="27"/>
      <c r="L1919" s="28"/>
      <c r="M1919" s="27"/>
      <c r="N1919" s="27"/>
      <c r="O1919" s="18">
        <f>SUM(O1920:O1927)-SUM(O1925:O1927)</f>
        <v>509572462.55053759</v>
      </c>
      <c r="P1919" s="213">
        <v>12244951</v>
      </c>
      <c r="Q1919" s="213">
        <v>11098802</v>
      </c>
      <c r="R1919" s="27"/>
      <c r="S1919" s="27"/>
      <c r="T1919" s="18"/>
      <c r="U1919" s="27"/>
      <c r="V1919" s="27"/>
      <c r="W1919" s="30"/>
      <c r="X1919" s="27">
        <v>21</v>
      </c>
      <c r="Y1919" s="27" t="s">
        <v>2077</v>
      </c>
      <c r="Z1919" s="27">
        <v>15</v>
      </c>
      <c r="AA1919" s="27" t="s">
        <v>1068</v>
      </c>
      <c r="AB1919" s="27"/>
      <c r="AC1919" s="273">
        <v>27621406</v>
      </c>
      <c r="AD1919" s="27">
        <v>2925391429.7983232</v>
      </c>
      <c r="AE1919" s="228">
        <v>9.4419521841233468E-3</v>
      </c>
      <c r="AF1919" s="27">
        <v>440710218.89911741</v>
      </c>
      <c r="AG1919" s="226">
        <v>6.2674757279278778E-2</v>
      </c>
      <c r="AH1919" s="226" t="s">
        <v>2842</v>
      </c>
      <c r="AI1919" s="27">
        <v>425300000</v>
      </c>
      <c r="AJ1919" s="226">
        <v>6.49456995062309E-2</v>
      </c>
      <c r="AK1919" s="27">
        <v>77258184.211918116</v>
      </c>
      <c r="AL1919" s="226">
        <v>0.3575207763650628</v>
      </c>
      <c r="AM1919" s="27">
        <v>78176990.413358465</v>
      </c>
      <c r="AN1919" s="271">
        <v>0.35331887111479549</v>
      </c>
      <c r="AO1919" s="27">
        <v>5865491</v>
      </c>
      <c r="AP1919" s="27">
        <v>52.9</v>
      </c>
      <c r="AQ1919" s="27">
        <v>45.102585365853663</v>
      </c>
      <c r="AR1919" s="27">
        <v>112</v>
      </c>
      <c r="AS1919" s="29" t="s">
        <v>2842</v>
      </c>
      <c r="AT1919" s="270">
        <v>31</v>
      </c>
      <c r="AU1919" s="464">
        <v>45.714168725457164</v>
      </c>
      <c r="AV1919" s="29">
        <v>-0.24013659840957499</v>
      </c>
      <c r="AW1919" s="29">
        <v>-0.17063506320649199</v>
      </c>
      <c r="AX1919" s="29">
        <v>-1.18918654562767</v>
      </c>
      <c r="AY1919" s="29">
        <v>-0.70221252140498902</v>
      </c>
      <c r="AZ1919" s="60">
        <v>-0.81445926646891498</v>
      </c>
    </row>
    <row r="1920" spans="1:52" ht="15" customHeight="1">
      <c r="A1920" s="59" t="s">
        <v>2073</v>
      </c>
      <c r="B1920" s="27">
        <v>2011</v>
      </c>
      <c r="C1920" s="27" t="s">
        <v>481</v>
      </c>
      <c r="D1920" s="27" t="s">
        <v>81</v>
      </c>
      <c r="E1920" s="18" t="s">
        <v>19</v>
      </c>
      <c r="F1920" s="27" t="s">
        <v>1049</v>
      </c>
      <c r="G1920" s="43">
        <v>1300000</v>
      </c>
      <c r="H1920" s="43"/>
      <c r="I1920" s="43"/>
      <c r="J1920" s="43"/>
      <c r="K1920" s="27" t="s">
        <v>567</v>
      </c>
      <c r="L1920" s="28">
        <v>30.49</v>
      </c>
      <c r="M1920" s="27" t="s">
        <v>568</v>
      </c>
      <c r="N1920" s="27" t="s">
        <v>1263</v>
      </c>
      <c r="O1920" s="18">
        <f>G1920*L1920</f>
        <v>39637000</v>
      </c>
      <c r="P1920" s="213">
        <v>1286069</v>
      </c>
      <c r="Q1920" s="213">
        <v>1286077</v>
      </c>
      <c r="R1920" s="18"/>
      <c r="S1920" s="18"/>
      <c r="T1920" s="18"/>
      <c r="U1920" s="27"/>
      <c r="V1920" s="18"/>
      <c r="W1920" s="30"/>
      <c r="X1920" s="27">
        <v>1</v>
      </c>
      <c r="Y1920" s="27" t="s">
        <v>2051</v>
      </c>
      <c r="Z1920" s="27">
        <v>1</v>
      </c>
      <c r="AA1920" s="27" t="s">
        <v>1068</v>
      </c>
      <c r="AB1920" s="27"/>
      <c r="AC1920" s="273">
        <v>27621406</v>
      </c>
      <c r="AD1920" s="27">
        <v>2925391429.7983232</v>
      </c>
      <c r="AE1920" s="228">
        <v>9.4419521841233468E-3</v>
      </c>
      <c r="AF1920" s="27">
        <v>440710218.89911741</v>
      </c>
      <c r="AG1920" s="226">
        <v>6.2674757279278778E-2</v>
      </c>
      <c r="AH1920" s="226" t="s">
        <v>2842</v>
      </c>
      <c r="AI1920" s="27">
        <v>425300000</v>
      </c>
      <c r="AJ1920" s="226">
        <v>6.49456995062309E-2</v>
      </c>
      <c r="AK1920" s="27">
        <v>77258184.211918116</v>
      </c>
      <c r="AL1920" s="226">
        <v>0.3575207763650628</v>
      </c>
      <c r="AM1920" s="27">
        <v>78176990.413358465</v>
      </c>
      <c r="AN1920" s="271">
        <v>0.35331887111479549</v>
      </c>
      <c r="AO1920" s="27">
        <v>5865491</v>
      </c>
      <c r="AP1920" s="27">
        <v>52.9</v>
      </c>
      <c r="AQ1920" s="27">
        <v>45.102585365853663</v>
      </c>
      <c r="AR1920" s="27">
        <v>112</v>
      </c>
      <c r="AS1920" s="29" t="s">
        <v>2842</v>
      </c>
      <c r="AT1920" s="270">
        <v>31</v>
      </c>
      <c r="AU1920" s="464">
        <v>45.714168725457164</v>
      </c>
      <c r="AV1920" s="29">
        <v>-0.24013659840957499</v>
      </c>
      <c r="AW1920" s="29">
        <v>-0.17063506320649199</v>
      </c>
      <c r="AX1920" s="29">
        <v>-1.18918654562767</v>
      </c>
      <c r="AY1920" s="29">
        <v>-0.70221252140498902</v>
      </c>
      <c r="AZ1920" s="60">
        <v>-0.81445926646891498</v>
      </c>
    </row>
    <row r="1921" spans="1:52" ht="15" customHeight="1">
      <c r="A1921" s="59" t="s">
        <v>2073</v>
      </c>
      <c r="B1921" s="27">
        <v>2011</v>
      </c>
      <c r="C1921" s="27" t="s">
        <v>481</v>
      </c>
      <c r="D1921" s="27" t="s">
        <v>81</v>
      </c>
      <c r="E1921" s="18" t="s">
        <v>19</v>
      </c>
      <c r="F1921" s="27" t="s">
        <v>1112</v>
      </c>
      <c r="G1921" s="43">
        <v>357161</v>
      </c>
      <c r="H1921" s="43"/>
      <c r="I1921" s="43"/>
      <c r="J1921" s="43"/>
      <c r="K1921" s="27" t="s">
        <v>905</v>
      </c>
      <c r="L1921" s="28">
        <v>347.6</v>
      </c>
      <c r="M1921" s="18" t="s">
        <v>906</v>
      </c>
      <c r="N1921" s="27" t="s">
        <v>2078</v>
      </c>
      <c r="O1921" s="18">
        <f>G1921*L1921</f>
        <v>124149163.60000001</v>
      </c>
      <c r="P1921" s="213">
        <v>5845518</v>
      </c>
      <c r="Q1921" s="213">
        <v>4699007</v>
      </c>
      <c r="R1921" s="18"/>
      <c r="S1921" s="18"/>
      <c r="T1921" s="18"/>
      <c r="U1921" s="18"/>
      <c r="V1921" s="18"/>
      <c r="W1921" s="30"/>
      <c r="X1921" s="27">
        <v>11</v>
      </c>
      <c r="Y1921" s="55" t="s">
        <v>2079</v>
      </c>
      <c r="Z1921" s="27">
        <v>5</v>
      </c>
      <c r="AA1921" s="27" t="s">
        <v>1068</v>
      </c>
      <c r="AB1921" s="27"/>
      <c r="AC1921" s="273">
        <v>27621406</v>
      </c>
      <c r="AD1921" s="27">
        <v>2925391429.7983232</v>
      </c>
      <c r="AE1921" s="228">
        <v>9.4419521841233468E-3</v>
      </c>
      <c r="AF1921" s="27">
        <v>440710218.89911741</v>
      </c>
      <c r="AG1921" s="226">
        <v>6.2674757279278778E-2</v>
      </c>
      <c r="AH1921" s="226" t="s">
        <v>2842</v>
      </c>
      <c r="AI1921" s="27">
        <v>425300000</v>
      </c>
      <c r="AJ1921" s="226">
        <v>6.49456995062309E-2</v>
      </c>
      <c r="AK1921" s="27">
        <v>77258184.211918116</v>
      </c>
      <c r="AL1921" s="226">
        <v>0.3575207763650628</v>
      </c>
      <c r="AM1921" s="27">
        <v>78176990.413358465</v>
      </c>
      <c r="AN1921" s="271">
        <v>0.35331887111479549</v>
      </c>
      <c r="AO1921" s="27">
        <v>5865491</v>
      </c>
      <c r="AP1921" s="27">
        <v>52.9</v>
      </c>
      <c r="AQ1921" s="27">
        <v>45.102585365853663</v>
      </c>
      <c r="AR1921" s="27">
        <v>112</v>
      </c>
      <c r="AS1921" s="29" t="s">
        <v>2842</v>
      </c>
      <c r="AT1921" s="270">
        <v>31</v>
      </c>
      <c r="AU1921" s="464">
        <v>45.714168725457164</v>
      </c>
      <c r="AV1921" s="29">
        <v>-0.24013659840957499</v>
      </c>
      <c r="AW1921" s="29">
        <v>-0.17063506320649199</v>
      </c>
      <c r="AX1921" s="29">
        <v>-1.18918654562767</v>
      </c>
      <c r="AY1921" s="29">
        <v>-0.70221252140498902</v>
      </c>
      <c r="AZ1921" s="60">
        <v>-0.81445926646891498</v>
      </c>
    </row>
    <row r="1922" spans="1:52" ht="15" customHeight="1">
      <c r="A1922" s="59" t="s">
        <v>2073</v>
      </c>
      <c r="B1922" s="27">
        <v>2011</v>
      </c>
      <c r="C1922" s="27" t="s">
        <v>481</v>
      </c>
      <c r="D1922" s="27" t="s">
        <v>81</v>
      </c>
      <c r="E1922" s="18" t="s">
        <v>19</v>
      </c>
      <c r="F1922" s="27" t="s">
        <v>730</v>
      </c>
      <c r="G1922" s="43">
        <f>164*32.1507431265</f>
        <v>5272.7218727459995</v>
      </c>
      <c r="H1922" s="43"/>
      <c r="I1922" s="43"/>
      <c r="J1922" s="43"/>
      <c r="K1922" s="27" t="s">
        <v>731</v>
      </c>
      <c r="L1922" s="28">
        <v>1569.2108333333299</v>
      </c>
      <c r="M1922" s="27" t="s">
        <v>732</v>
      </c>
      <c r="N1922" s="27" t="s">
        <v>733</v>
      </c>
      <c r="O1922" s="18">
        <f>G1922*L1922</f>
        <v>8274012.2838666253</v>
      </c>
      <c r="P1922" s="213">
        <v>412938</v>
      </c>
      <c r="Q1922" s="213">
        <v>412938</v>
      </c>
      <c r="R1922" s="18"/>
      <c r="S1922" s="18"/>
      <c r="T1922" s="18"/>
      <c r="U1922" s="18"/>
      <c r="V1922" s="18"/>
      <c r="W1922" s="30"/>
      <c r="X1922" s="27">
        <v>2</v>
      </c>
      <c r="Y1922" s="27" t="s">
        <v>2080</v>
      </c>
      <c r="Z1922" s="27">
        <v>2</v>
      </c>
      <c r="AA1922" s="27" t="s">
        <v>1068</v>
      </c>
      <c r="AB1922" s="27"/>
      <c r="AC1922" s="273">
        <v>27621406</v>
      </c>
      <c r="AD1922" s="27">
        <v>2925391429.7983232</v>
      </c>
      <c r="AE1922" s="228">
        <v>9.4419521841233468E-3</v>
      </c>
      <c r="AF1922" s="27">
        <v>440710218.89911741</v>
      </c>
      <c r="AG1922" s="226">
        <v>6.2674757279278778E-2</v>
      </c>
      <c r="AH1922" s="226" t="s">
        <v>2842</v>
      </c>
      <c r="AI1922" s="27">
        <v>425300000</v>
      </c>
      <c r="AJ1922" s="226">
        <v>6.49456995062309E-2</v>
      </c>
      <c r="AK1922" s="27">
        <v>77258184.211918116</v>
      </c>
      <c r="AL1922" s="226">
        <v>0.3575207763650628</v>
      </c>
      <c r="AM1922" s="27">
        <v>78176990.413358465</v>
      </c>
      <c r="AN1922" s="271">
        <v>0.35331887111479549</v>
      </c>
      <c r="AO1922" s="27">
        <v>5865491</v>
      </c>
      <c r="AP1922" s="27">
        <v>52.9</v>
      </c>
      <c r="AQ1922" s="27">
        <v>45.102585365853663</v>
      </c>
      <c r="AR1922" s="27">
        <v>112</v>
      </c>
      <c r="AS1922" s="29" t="s">
        <v>2842</v>
      </c>
      <c r="AT1922" s="270">
        <v>31</v>
      </c>
      <c r="AU1922" s="464">
        <v>45.714168725457164</v>
      </c>
      <c r="AV1922" s="29">
        <v>-0.24013659840957499</v>
      </c>
      <c r="AW1922" s="29">
        <v>-0.17063506320649199</v>
      </c>
      <c r="AX1922" s="29">
        <v>-1.18918654562767</v>
      </c>
      <c r="AY1922" s="29">
        <v>-0.70221252140498902</v>
      </c>
      <c r="AZ1922" s="60">
        <v>-0.81445926646891498</v>
      </c>
    </row>
    <row r="1923" spans="1:52" ht="15" customHeight="1">
      <c r="A1923" s="59" t="s">
        <v>2073</v>
      </c>
      <c r="B1923" s="27">
        <v>2011</v>
      </c>
      <c r="C1923" s="27" t="s">
        <v>481</v>
      </c>
      <c r="D1923" s="27" t="s">
        <v>81</v>
      </c>
      <c r="E1923" s="18" t="s">
        <v>19</v>
      </c>
      <c r="F1923" s="27" t="s">
        <v>1196</v>
      </c>
      <c r="G1923" s="43">
        <v>1300000</v>
      </c>
      <c r="H1923" s="43"/>
      <c r="I1923" s="43"/>
      <c r="J1923" s="43"/>
      <c r="K1923" s="27" t="s">
        <v>567</v>
      </c>
      <c r="L1923" s="28">
        <v>167.75416666666999</v>
      </c>
      <c r="M1923" s="18" t="s">
        <v>568</v>
      </c>
      <c r="N1923" s="27" t="s">
        <v>1844</v>
      </c>
      <c r="O1923" s="18">
        <f>G1923*L1923</f>
        <v>218080416.66667098</v>
      </c>
      <c r="P1923" s="213">
        <v>3529379</v>
      </c>
      <c r="Q1923" s="213">
        <v>3529621</v>
      </c>
      <c r="R1923" s="18"/>
      <c r="S1923" s="18"/>
      <c r="T1923" s="18"/>
      <c r="U1923" s="18"/>
      <c r="V1923" s="18"/>
      <c r="W1923" s="30"/>
      <c r="X1923" s="27">
        <v>5</v>
      </c>
      <c r="Y1923" s="27" t="s">
        <v>2081</v>
      </c>
      <c r="Z1923" s="27">
        <v>5</v>
      </c>
      <c r="AA1923" s="27" t="s">
        <v>1068</v>
      </c>
      <c r="AB1923" s="27"/>
      <c r="AC1923" s="273">
        <v>27621406</v>
      </c>
      <c r="AD1923" s="27">
        <v>2925391429.7983232</v>
      </c>
      <c r="AE1923" s="228">
        <v>9.4419521841233468E-3</v>
      </c>
      <c r="AF1923" s="27">
        <v>440710218.89911741</v>
      </c>
      <c r="AG1923" s="226">
        <v>6.2674757279278778E-2</v>
      </c>
      <c r="AH1923" s="226" t="s">
        <v>2842</v>
      </c>
      <c r="AI1923" s="27">
        <v>425300000</v>
      </c>
      <c r="AJ1923" s="226">
        <v>6.49456995062309E-2</v>
      </c>
      <c r="AK1923" s="27">
        <v>77258184.211918116</v>
      </c>
      <c r="AL1923" s="226">
        <v>0.3575207763650628</v>
      </c>
      <c r="AM1923" s="27">
        <v>78176990.413358465</v>
      </c>
      <c r="AN1923" s="271">
        <v>0.35331887111479549</v>
      </c>
      <c r="AO1923" s="27">
        <v>5865491</v>
      </c>
      <c r="AP1923" s="27">
        <v>52.9</v>
      </c>
      <c r="AQ1923" s="27">
        <v>45.102585365853663</v>
      </c>
      <c r="AR1923" s="27">
        <v>112</v>
      </c>
      <c r="AS1923" s="29" t="s">
        <v>2842</v>
      </c>
      <c r="AT1923" s="270">
        <v>31</v>
      </c>
      <c r="AU1923" s="464">
        <v>45.714168725457164</v>
      </c>
      <c r="AV1923" s="29">
        <v>-0.24013659840957499</v>
      </c>
      <c r="AW1923" s="29">
        <v>-0.17063506320649199</v>
      </c>
      <c r="AX1923" s="29">
        <v>-1.18918654562767</v>
      </c>
      <c r="AY1923" s="29">
        <v>-0.70221252140498902</v>
      </c>
      <c r="AZ1923" s="60">
        <v>-0.81445926646891498</v>
      </c>
    </row>
    <row r="1924" spans="1:52" ht="15" customHeight="1">
      <c r="A1924" s="59" t="s">
        <v>2073</v>
      </c>
      <c r="B1924" s="27">
        <v>2011</v>
      </c>
      <c r="C1924" s="27" t="s">
        <v>481</v>
      </c>
      <c r="D1924" s="27" t="s">
        <v>81</v>
      </c>
      <c r="E1924" s="18" t="s">
        <v>19</v>
      </c>
      <c r="F1924" s="27" t="s">
        <v>2032</v>
      </c>
      <c r="G1924" s="43"/>
      <c r="H1924" s="43"/>
      <c r="I1924" s="43"/>
      <c r="J1924" s="43"/>
      <c r="K1924" s="27"/>
      <c r="L1924" s="28"/>
      <c r="M1924" s="27"/>
      <c r="N1924" s="27"/>
      <c r="O1924" s="18">
        <f>SUM(O1925:O1927)</f>
        <v>119431870</v>
      </c>
      <c r="P1924" s="213">
        <v>1171161</v>
      </c>
      <c r="Q1924" s="213">
        <v>1171047</v>
      </c>
      <c r="R1924" s="18"/>
      <c r="S1924" s="18"/>
      <c r="T1924" s="18"/>
      <c r="U1924" s="27"/>
      <c r="V1924" s="18"/>
      <c r="W1924" s="30"/>
      <c r="X1924" s="27">
        <v>2</v>
      </c>
      <c r="Y1924" s="27" t="s">
        <v>2072</v>
      </c>
      <c r="Z1924" s="27">
        <v>2</v>
      </c>
      <c r="AA1924" s="27" t="s">
        <v>1068</v>
      </c>
      <c r="AB1924" s="27"/>
      <c r="AC1924" s="273">
        <v>27621406</v>
      </c>
      <c r="AD1924" s="27">
        <v>2925391429.7983232</v>
      </c>
      <c r="AE1924" s="228">
        <v>9.4419521841233468E-3</v>
      </c>
      <c r="AF1924" s="27">
        <v>440710218.89911741</v>
      </c>
      <c r="AG1924" s="226">
        <v>6.2674757279278778E-2</v>
      </c>
      <c r="AH1924" s="226" t="s">
        <v>2842</v>
      </c>
      <c r="AI1924" s="27">
        <v>425300000</v>
      </c>
      <c r="AJ1924" s="226">
        <v>6.49456995062309E-2</v>
      </c>
      <c r="AK1924" s="27">
        <v>77258184.211918116</v>
      </c>
      <c r="AL1924" s="226">
        <v>0.3575207763650628</v>
      </c>
      <c r="AM1924" s="27">
        <v>78176990.413358465</v>
      </c>
      <c r="AN1924" s="271">
        <v>0.35331887111479549</v>
      </c>
      <c r="AO1924" s="27">
        <v>5865491</v>
      </c>
      <c r="AP1924" s="27">
        <v>52.9</v>
      </c>
      <c r="AQ1924" s="27">
        <v>45.102585365853663</v>
      </c>
      <c r="AR1924" s="27">
        <v>112</v>
      </c>
      <c r="AS1924" s="29" t="s">
        <v>2842</v>
      </c>
      <c r="AT1924" s="270">
        <v>31</v>
      </c>
      <c r="AU1924" s="464">
        <v>45.714168725457164</v>
      </c>
      <c r="AV1924" s="29">
        <v>-0.24013659840957499</v>
      </c>
      <c r="AW1924" s="29">
        <v>-0.17063506320649199</v>
      </c>
      <c r="AX1924" s="29">
        <v>-1.18918654562767</v>
      </c>
      <c r="AY1924" s="29">
        <v>-0.70221252140498902</v>
      </c>
      <c r="AZ1924" s="60">
        <v>-0.81445926646891498</v>
      </c>
    </row>
    <row r="1925" spans="1:52" ht="15" customHeight="1">
      <c r="A1925" s="59" t="s">
        <v>2073</v>
      </c>
      <c r="B1925" s="27">
        <v>2011</v>
      </c>
      <c r="C1925" s="27" t="s">
        <v>481</v>
      </c>
      <c r="D1925" s="27" t="s">
        <v>81</v>
      </c>
      <c r="E1925" s="18" t="s">
        <v>19</v>
      </c>
      <c r="F1925" s="27" t="s">
        <v>2034</v>
      </c>
      <c r="G1925" s="43">
        <v>15946</v>
      </c>
      <c r="H1925" s="43"/>
      <c r="I1925" s="43"/>
      <c r="J1925" s="43"/>
      <c r="K1925" s="27" t="s">
        <v>567</v>
      </c>
      <c r="L1925" s="28">
        <v>195</v>
      </c>
      <c r="M1925" s="27" t="s">
        <v>568</v>
      </c>
      <c r="N1925" s="27" t="s">
        <v>1546</v>
      </c>
      <c r="O1925" s="18">
        <f>G1925*L1925</f>
        <v>3109470</v>
      </c>
      <c r="P1925" s="213"/>
      <c r="Q1925" s="213"/>
      <c r="R1925" s="27"/>
      <c r="S1925" s="27"/>
      <c r="T1925" s="18"/>
      <c r="U1925" s="27"/>
      <c r="V1925" s="27"/>
      <c r="W1925" s="30"/>
      <c r="X1925" s="27"/>
      <c r="Y1925" s="27"/>
      <c r="Z1925" s="27"/>
      <c r="AA1925" s="27"/>
      <c r="AB1925" s="27"/>
      <c r="AC1925" s="273">
        <v>27621406</v>
      </c>
      <c r="AD1925" s="27">
        <v>2925391429.7983232</v>
      </c>
      <c r="AE1925" s="228">
        <v>9.4419521841233468E-3</v>
      </c>
      <c r="AF1925" s="27">
        <v>440710218.89911741</v>
      </c>
      <c r="AG1925" s="226">
        <v>6.2674757279278778E-2</v>
      </c>
      <c r="AH1925" s="226" t="s">
        <v>2842</v>
      </c>
      <c r="AI1925" s="27">
        <v>425300000</v>
      </c>
      <c r="AJ1925" s="226">
        <v>6.49456995062309E-2</v>
      </c>
      <c r="AK1925" s="27">
        <v>77258184.211918116</v>
      </c>
      <c r="AL1925" s="226">
        <v>0.3575207763650628</v>
      </c>
      <c r="AM1925" s="27">
        <v>78176990.413358465</v>
      </c>
      <c r="AN1925" s="271">
        <v>0.35331887111479549</v>
      </c>
      <c r="AO1925" s="27">
        <v>5865491</v>
      </c>
      <c r="AP1925" s="27">
        <v>52.9</v>
      </c>
      <c r="AQ1925" s="27">
        <v>45.102585365853663</v>
      </c>
      <c r="AR1925" s="27">
        <v>112</v>
      </c>
      <c r="AS1925" s="29" t="s">
        <v>2842</v>
      </c>
      <c r="AT1925" s="270">
        <v>31</v>
      </c>
      <c r="AU1925" s="464">
        <v>45.714168725457164</v>
      </c>
      <c r="AV1925" s="29">
        <v>-0.24013659840957499</v>
      </c>
      <c r="AW1925" s="29">
        <v>-0.17063506320649199</v>
      </c>
      <c r="AX1925" s="29">
        <v>-1.18918654562767</v>
      </c>
      <c r="AY1925" s="29">
        <v>-0.70221252140498902</v>
      </c>
      <c r="AZ1925" s="60">
        <v>-0.81445926646891498</v>
      </c>
    </row>
    <row r="1926" spans="1:52" ht="15" customHeight="1">
      <c r="A1926" s="59" t="s">
        <v>2073</v>
      </c>
      <c r="B1926" s="27">
        <v>2011</v>
      </c>
      <c r="C1926" s="27" t="s">
        <v>481</v>
      </c>
      <c r="D1926" s="27" t="s">
        <v>81</v>
      </c>
      <c r="E1926" s="18" t="s">
        <v>19</v>
      </c>
      <c r="F1926" s="27" t="s">
        <v>2036</v>
      </c>
      <c r="G1926" s="43">
        <v>67916</v>
      </c>
      <c r="H1926" s="43"/>
      <c r="I1926" s="43"/>
      <c r="J1926" s="43"/>
      <c r="K1926" s="27" t="s">
        <v>567</v>
      </c>
      <c r="L1926" s="28">
        <v>1400</v>
      </c>
      <c r="M1926" s="27" t="s">
        <v>568</v>
      </c>
      <c r="N1926" s="27" t="s">
        <v>1748</v>
      </c>
      <c r="O1926" s="18">
        <f>G1926*L1926</f>
        <v>95082400</v>
      </c>
      <c r="P1926" s="213"/>
      <c r="Q1926" s="213"/>
      <c r="R1926" s="27"/>
      <c r="S1926" s="27"/>
      <c r="T1926" s="18"/>
      <c r="U1926" s="27"/>
      <c r="V1926" s="27"/>
      <c r="W1926" s="30"/>
      <c r="X1926" s="27"/>
      <c r="Y1926" s="27"/>
      <c r="Z1926" s="27"/>
      <c r="AA1926" s="27"/>
      <c r="AB1926" s="27"/>
      <c r="AC1926" s="273">
        <v>27621406</v>
      </c>
      <c r="AD1926" s="27">
        <v>2925391429.7983232</v>
      </c>
      <c r="AE1926" s="228">
        <v>9.4419521841233468E-3</v>
      </c>
      <c r="AF1926" s="27">
        <v>440710218.89911741</v>
      </c>
      <c r="AG1926" s="226">
        <v>6.2674757279278778E-2</v>
      </c>
      <c r="AH1926" s="226" t="s">
        <v>2842</v>
      </c>
      <c r="AI1926" s="27">
        <v>425300000</v>
      </c>
      <c r="AJ1926" s="226">
        <v>6.49456995062309E-2</v>
      </c>
      <c r="AK1926" s="27">
        <v>77258184.211918116</v>
      </c>
      <c r="AL1926" s="226">
        <v>0.3575207763650628</v>
      </c>
      <c r="AM1926" s="27">
        <v>78176990.413358465</v>
      </c>
      <c r="AN1926" s="271">
        <v>0.35331887111479549</v>
      </c>
      <c r="AO1926" s="27">
        <v>5865491</v>
      </c>
      <c r="AP1926" s="27">
        <v>52.9</v>
      </c>
      <c r="AQ1926" s="27">
        <v>45.102585365853663</v>
      </c>
      <c r="AR1926" s="27">
        <v>112</v>
      </c>
      <c r="AS1926" s="29" t="s">
        <v>2842</v>
      </c>
      <c r="AT1926" s="270">
        <v>31</v>
      </c>
      <c r="AU1926" s="464">
        <v>45.714168725457164</v>
      </c>
      <c r="AV1926" s="29">
        <v>-0.24013659840957499</v>
      </c>
      <c r="AW1926" s="29">
        <v>-0.17063506320649199</v>
      </c>
      <c r="AX1926" s="29">
        <v>-1.18918654562767</v>
      </c>
      <c r="AY1926" s="29">
        <v>-0.70221252140498902</v>
      </c>
      <c r="AZ1926" s="60">
        <v>-0.81445926646891498</v>
      </c>
    </row>
    <row r="1927" spans="1:52" s="232" customFormat="1" ht="15" customHeight="1" thickBot="1">
      <c r="A1927" s="360" t="s">
        <v>2073</v>
      </c>
      <c r="B1927" s="230">
        <v>2011</v>
      </c>
      <c r="C1927" s="230" t="s">
        <v>481</v>
      </c>
      <c r="D1927" s="230" t="s">
        <v>81</v>
      </c>
      <c r="E1927" s="285" t="s">
        <v>19</v>
      </c>
      <c r="F1927" s="230" t="s">
        <v>2038</v>
      </c>
      <c r="G1927" s="297">
        <v>8496</v>
      </c>
      <c r="H1927" s="297"/>
      <c r="I1927" s="297"/>
      <c r="J1927" s="297"/>
      <c r="K1927" s="230" t="s">
        <v>567</v>
      </c>
      <c r="L1927" s="298">
        <v>2500</v>
      </c>
      <c r="M1927" s="230" t="s">
        <v>568</v>
      </c>
      <c r="N1927" s="230" t="s">
        <v>1750</v>
      </c>
      <c r="O1927" s="285">
        <f>G1927*L1927</f>
        <v>21240000</v>
      </c>
      <c r="P1927" s="299"/>
      <c r="Q1927" s="299"/>
      <c r="R1927" s="230"/>
      <c r="S1927" s="230"/>
      <c r="T1927" s="285"/>
      <c r="U1927" s="230"/>
      <c r="V1927" s="230"/>
      <c r="W1927" s="300"/>
      <c r="X1927" s="230"/>
      <c r="Y1927" s="230"/>
      <c r="Z1927" s="230"/>
      <c r="AA1927" s="230"/>
      <c r="AB1927" s="230"/>
      <c r="AC1927" s="274">
        <v>27621406</v>
      </c>
      <c r="AD1927" s="230">
        <v>2925391429.7983232</v>
      </c>
      <c r="AE1927" s="229">
        <v>9.4419521841233468E-3</v>
      </c>
      <c r="AF1927" s="230">
        <v>440710218.89911741</v>
      </c>
      <c r="AG1927" s="231">
        <v>6.2674757279278778E-2</v>
      </c>
      <c r="AH1927" s="231" t="s">
        <v>2842</v>
      </c>
      <c r="AI1927" s="230">
        <v>425300000</v>
      </c>
      <c r="AJ1927" s="231">
        <v>6.49456995062309E-2</v>
      </c>
      <c r="AK1927" s="230">
        <v>77258184.211918116</v>
      </c>
      <c r="AL1927" s="231">
        <v>0.3575207763650628</v>
      </c>
      <c r="AM1927" s="230">
        <v>78176990.413358465</v>
      </c>
      <c r="AN1927" s="275">
        <v>0.35331887111479549</v>
      </c>
      <c r="AO1927" s="230">
        <v>5865491</v>
      </c>
      <c r="AP1927" s="230">
        <v>52.9</v>
      </c>
      <c r="AQ1927" s="230">
        <v>45.102585365853663</v>
      </c>
      <c r="AR1927" s="230">
        <v>112</v>
      </c>
      <c r="AS1927" s="232" t="s">
        <v>2842</v>
      </c>
      <c r="AT1927" s="276">
        <v>31</v>
      </c>
      <c r="AU1927" s="466">
        <v>45.714168725457164</v>
      </c>
      <c r="AV1927" s="232">
        <v>-0.24013659840957499</v>
      </c>
      <c r="AW1927" s="232">
        <v>-0.17063506320649199</v>
      </c>
      <c r="AX1927" s="232">
        <v>-1.18918654562767</v>
      </c>
      <c r="AY1927" s="232">
        <v>-0.70221252140498902</v>
      </c>
      <c r="AZ1927" s="293">
        <v>-0.81445926646891498</v>
      </c>
    </row>
    <row r="1928" spans="1:52" s="29" customFormat="1" ht="15" customHeight="1">
      <c r="A1928" s="332" t="s">
        <v>491</v>
      </c>
      <c r="B1928" s="27">
        <v>2009</v>
      </c>
      <c r="C1928" s="27" t="s">
        <v>492</v>
      </c>
      <c r="D1928" s="27" t="s">
        <v>81</v>
      </c>
      <c r="E1928" s="27" t="s">
        <v>379</v>
      </c>
      <c r="F1928" s="27" t="s">
        <v>659</v>
      </c>
      <c r="G1928" s="43"/>
      <c r="H1928" s="43"/>
      <c r="I1928" s="43"/>
      <c r="J1928" s="43"/>
      <c r="K1928" s="27"/>
      <c r="L1928" s="28"/>
      <c r="M1928" s="27"/>
      <c r="N1928" s="27"/>
      <c r="O1928" s="18">
        <f>O1929+O1930</f>
        <v>1437074058.2265177</v>
      </c>
      <c r="P1928" s="213">
        <v>102252340</v>
      </c>
      <c r="Q1928" s="213">
        <v>138928383</v>
      </c>
      <c r="R1928" s="27" t="s">
        <v>619</v>
      </c>
      <c r="S1928" s="27"/>
      <c r="T1928" s="18"/>
      <c r="U1928" s="27" t="s">
        <v>1085</v>
      </c>
      <c r="V1928" s="27" t="s">
        <v>2083</v>
      </c>
      <c r="W1928" s="30">
        <v>1248</v>
      </c>
      <c r="X1928" s="27">
        <v>11</v>
      </c>
      <c r="Y1928" s="27" t="s">
        <v>2084</v>
      </c>
      <c r="Z1928" s="27">
        <v>11</v>
      </c>
      <c r="AA1928" s="27" t="s">
        <v>2086</v>
      </c>
      <c r="AB1928" s="27" t="s">
        <v>2087</v>
      </c>
      <c r="AC1928" s="273">
        <v>102252340</v>
      </c>
      <c r="AD1928" s="27">
        <v>21368165683.254303</v>
      </c>
      <c r="AE1928" s="228">
        <v>4.7852652172260439E-3</v>
      </c>
      <c r="AF1928" s="27">
        <v>3455659754.295886</v>
      </c>
      <c r="AG1928" s="226">
        <v>2.9589817074116027E-2</v>
      </c>
      <c r="AH1928" s="226">
        <v>0.14801343008896295</v>
      </c>
      <c r="AI1928" s="27">
        <v>2933150000</v>
      </c>
      <c r="AJ1928" s="226">
        <v>3.4860931080919831E-2</v>
      </c>
      <c r="AK1928" s="27">
        <v>780646026.29143679</v>
      </c>
      <c r="AL1928" s="226">
        <v>0.13098425734101715</v>
      </c>
      <c r="AM1928" s="27">
        <v>1142404105.1072564</v>
      </c>
      <c r="AN1928" s="271">
        <v>8.9506278507638828E-2</v>
      </c>
      <c r="AO1928" s="27">
        <v>43639752</v>
      </c>
      <c r="AP1928" s="27" t="s">
        <v>2842</v>
      </c>
      <c r="AQ1928" s="27">
        <v>58.1759512195122</v>
      </c>
      <c r="AR1928" s="27">
        <v>44.1</v>
      </c>
      <c r="AS1928" s="29" t="s">
        <v>2842</v>
      </c>
      <c r="AT1928" s="270">
        <v>31</v>
      </c>
      <c r="AU1928" s="464">
        <v>49.764495378498069</v>
      </c>
      <c r="AV1928" s="29">
        <v>-0.158080618442376</v>
      </c>
      <c r="AW1928" s="29">
        <v>6.9291708133980195E-2</v>
      </c>
      <c r="AX1928" s="29">
        <v>-0.593270511956416</v>
      </c>
      <c r="AY1928" s="29">
        <v>-0.42146087151551997</v>
      </c>
      <c r="AZ1928" s="60">
        <v>-0.44252210670392</v>
      </c>
    </row>
    <row r="1929" spans="1:52" s="29" customFormat="1" ht="15" customHeight="1">
      <c r="A1929" s="59" t="s">
        <v>491</v>
      </c>
      <c r="B1929" s="27">
        <v>2009</v>
      </c>
      <c r="C1929" s="27" t="s">
        <v>492</v>
      </c>
      <c r="D1929" s="27" t="s">
        <v>81</v>
      </c>
      <c r="E1929" s="29" t="s">
        <v>552</v>
      </c>
      <c r="F1929" s="27" t="s">
        <v>552</v>
      </c>
      <c r="G1929" s="43">
        <f>(((20000000000/365)*184)+((23000000000/365)*181))*0.0283168</f>
        <v>608462088.76712334</v>
      </c>
      <c r="H1929" s="43"/>
      <c r="I1929" s="43"/>
      <c r="J1929" s="43"/>
      <c r="K1929" s="27" t="s">
        <v>599</v>
      </c>
      <c r="L1929" s="28">
        <f>((0.328797/365)*184)+(0.144228/365)*181</f>
        <v>0.23727100273972601</v>
      </c>
      <c r="M1929" s="27" t="s">
        <v>600</v>
      </c>
      <c r="N1929" s="27" t="s">
        <v>601</v>
      </c>
      <c r="O1929" s="18">
        <f>G1929*L1929</f>
        <v>144370409.93088353</v>
      </c>
      <c r="P1929" s="213">
        <v>10567107</v>
      </c>
      <c r="Q1929" s="213">
        <v>14889559</v>
      </c>
      <c r="R1929" s="27"/>
      <c r="S1929" s="27"/>
      <c r="T1929" s="18"/>
      <c r="U1929" s="27"/>
      <c r="V1929" s="42"/>
      <c r="W1929" s="45"/>
      <c r="X1929" s="27">
        <v>3</v>
      </c>
      <c r="Y1929" s="29" t="s">
        <v>2088</v>
      </c>
      <c r="Z1929" s="27">
        <v>3</v>
      </c>
      <c r="AA1929" s="27" t="s">
        <v>2089</v>
      </c>
      <c r="AB1929" s="27"/>
      <c r="AC1929" s="273">
        <v>102252340</v>
      </c>
      <c r="AD1929" s="27">
        <v>21368165683.254303</v>
      </c>
      <c r="AE1929" s="228">
        <v>4.7852652172260439E-3</v>
      </c>
      <c r="AF1929" s="27">
        <v>3455659754.295886</v>
      </c>
      <c r="AG1929" s="226">
        <v>2.9589817074116027E-2</v>
      </c>
      <c r="AH1929" s="226">
        <v>0.14801343008896295</v>
      </c>
      <c r="AI1929" s="27">
        <v>2933150000</v>
      </c>
      <c r="AJ1929" s="226">
        <v>3.4860931080919831E-2</v>
      </c>
      <c r="AK1929" s="27">
        <v>780646026.29143679</v>
      </c>
      <c r="AL1929" s="226">
        <v>0.13098425734101715</v>
      </c>
      <c r="AM1929" s="27">
        <v>1142404105.1072564</v>
      </c>
      <c r="AN1929" s="271">
        <v>8.9506278507638828E-2</v>
      </c>
      <c r="AO1929" s="27">
        <v>43639752</v>
      </c>
      <c r="AP1929" s="27" t="s">
        <v>2842</v>
      </c>
      <c r="AQ1929" s="27">
        <v>58.1759512195122</v>
      </c>
      <c r="AR1929" s="27">
        <v>44.1</v>
      </c>
      <c r="AS1929" s="29" t="s">
        <v>2842</v>
      </c>
      <c r="AT1929" s="270">
        <v>31</v>
      </c>
      <c r="AU1929" s="464">
        <v>49.764495378498069</v>
      </c>
      <c r="AV1929" s="29">
        <v>-0.158080618442376</v>
      </c>
      <c r="AW1929" s="29">
        <v>6.9291708133980195E-2</v>
      </c>
      <c r="AX1929" s="29">
        <v>-0.593270511956416</v>
      </c>
      <c r="AY1929" s="29">
        <v>-0.42146087151551997</v>
      </c>
      <c r="AZ1929" s="60">
        <v>-0.44252210670392</v>
      </c>
    </row>
    <row r="1930" spans="1:52" s="29" customFormat="1" ht="15" customHeight="1">
      <c r="A1930" s="59" t="s">
        <v>491</v>
      </c>
      <c r="B1930" s="27">
        <v>2009</v>
      </c>
      <c r="C1930" s="27" t="s">
        <v>492</v>
      </c>
      <c r="D1930" s="27" t="s">
        <v>81</v>
      </c>
      <c r="E1930" s="29" t="s">
        <v>19</v>
      </c>
      <c r="F1930" s="27" t="s">
        <v>559</v>
      </c>
      <c r="G1930" s="43"/>
      <c r="H1930" s="43"/>
      <c r="I1930" s="43"/>
      <c r="J1930" s="43"/>
      <c r="K1930" s="27"/>
      <c r="L1930" s="28"/>
      <c r="M1930" s="27"/>
      <c r="N1930" s="27"/>
      <c r="O1930" s="18">
        <f>SUM(O1931:O1933)</f>
        <v>1292703648.2956343</v>
      </c>
      <c r="P1930" s="213">
        <v>91685617</v>
      </c>
      <c r="Q1930" s="213">
        <v>115158295</v>
      </c>
      <c r="R1930" s="27"/>
      <c r="S1930" s="27"/>
      <c r="T1930" s="18"/>
      <c r="U1930" s="27"/>
      <c r="V1930" s="42"/>
      <c r="W1930" s="45"/>
      <c r="X1930" s="27">
        <v>8</v>
      </c>
      <c r="Y1930" s="29" t="s">
        <v>2090</v>
      </c>
      <c r="Z1930" s="27">
        <v>8</v>
      </c>
      <c r="AA1930" s="27" t="s">
        <v>2091</v>
      </c>
      <c r="AB1930" s="27"/>
      <c r="AC1930" s="273">
        <v>102252340</v>
      </c>
      <c r="AD1930" s="27">
        <v>21368165683.254303</v>
      </c>
      <c r="AE1930" s="228">
        <v>4.7852652172260439E-3</v>
      </c>
      <c r="AF1930" s="27">
        <v>3455659754.295886</v>
      </c>
      <c r="AG1930" s="226">
        <v>2.9589817074116027E-2</v>
      </c>
      <c r="AH1930" s="226">
        <v>0.14801343008896295</v>
      </c>
      <c r="AI1930" s="27">
        <v>2933150000</v>
      </c>
      <c r="AJ1930" s="226">
        <v>3.4860931080919831E-2</v>
      </c>
      <c r="AK1930" s="27">
        <v>780646026.29143679</v>
      </c>
      <c r="AL1930" s="226">
        <v>0.13098425734101715</v>
      </c>
      <c r="AM1930" s="27">
        <v>1142404105.1072564</v>
      </c>
      <c r="AN1930" s="271">
        <v>8.9506278507638828E-2</v>
      </c>
      <c r="AO1930" s="27">
        <v>43639752</v>
      </c>
      <c r="AP1930" s="27" t="s">
        <v>2842</v>
      </c>
      <c r="AQ1930" s="27">
        <v>58.1759512195122</v>
      </c>
      <c r="AR1930" s="27">
        <v>44.1</v>
      </c>
      <c r="AS1930" s="29" t="s">
        <v>2842</v>
      </c>
      <c r="AT1930" s="270">
        <v>31</v>
      </c>
      <c r="AU1930" s="464">
        <v>49.764495378498069</v>
      </c>
      <c r="AV1930" s="29">
        <v>-0.158080618442376</v>
      </c>
      <c r="AW1930" s="29">
        <v>6.9291708133980195E-2</v>
      </c>
      <c r="AX1930" s="29">
        <v>-0.593270511956416</v>
      </c>
      <c r="AY1930" s="29">
        <v>-0.42146087151551997</v>
      </c>
      <c r="AZ1930" s="60">
        <v>-0.44252210670392</v>
      </c>
    </row>
    <row r="1931" spans="1:52" s="29" customFormat="1" ht="15" customHeight="1">
      <c r="A1931" s="59" t="s">
        <v>491</v>
      </c>
      <c r="B1931" s="27">
        <v>2009</v>
      </c>
      <c r="C1931" s="27" t="s">
        <v>492</v>
      </c>
      <c r="D1931" s="27" t="s">
        <v>81</v>
      </c>
      <c r="E1931" s="29" t="s">
        <v>19</v>
      </c>
      <c r="F1931" s="27" t="s">
        <v>904</v>
      </c>
      <c r="G1931" s="43">
        <f>((237676/365)*184)+(181874/365)*181</f>
        <v>210004.32328767123</v>
      </c>
      <c r="H1931" s="43"/>
      <c r="I1931" s="43"/>
      <c r="J1931" s="43"/>
      <c r="K1931" s="27" t="s">
        <v>905</v>
      </c>
      <c r="L1931" s="52">
        <f>((101.33/365)*184)+(136.26/365)*181</f>
        <v>118.65145205479453</v>
      </c>
      <c r="M1931" s="27" t="s">
        <v>906</v>
      </c>
      <c r="N1931" s="27" t="s">
        <v>2092</v>
      </c>
      <c r="O1931" s="18">
        <f>G1931*L1931</f>
        <v>24917317.895866692</v>
      </c>
      <c r="P1931" s="213">
        <v>6131329</v>
      </c>
      <c r="Q1931" s="213">
        <v>6696569</v>
      </c>
      <c r="R1931" s="27"/>
      <c r="S1931" s="27"/>
      <c r="T1931" s="18"/>
      <c r="U1931" s="27"/>
      <c r="V1931" s="42"/>
      <c r="W1931" s="45"/>
      <c r="X1931" s="27">
        <v>2</v>
      </c>
      <c r="Y1931" s="27" t="s">
        <v>2093</v>
      </c>
      <c r="Z1931" s="27">
        <v>2</v>
      </c>
      <c r="AA1931" s="27" t="s">
        <v>2094</v>
      </c>
      <c r="AB1931" s="27"/>
      <c r="AC1931" s="273">
        <v>102252340</v>
      </c>
      <c r="AD1931" s="27">
        <v>21368165683.254303</v>
      </c>
      <c r="AE1931" s="228">
        <v>4.7852652172260439E-3</v>
      </c>
      <c r="AF1931" s="27">
        <v>3455659754.295886</v>
      </c>
      <c r="AG1931" s="226">
        <v>2.9589817074116027E-2</v>
      </c>
      <c r="AH1931" s="226">
        <v>0.14801343008896295</v>
      </c>
      <c r="AI1931" s="27">
        <v>2933150000</v>
      </c>
      <c r="AJ1931" s="226">
        <v>3.4860931080919831E-2</v>
      </c>
      <c r="AK1931" s="27">
        <v>780646026.29143679</v>
      </c>
      <c r="AL1931" s="226">
        <v>0.13098425734101715</v>
      </c>
      <c r="AM1931" s="27">
        <v>1142404105.1072564</v>
      </c>
      <c r="AN1931" s="271">
        <v>8.9506278507638828E-2</v>
      </c>
      <c r="AO1931" s="27">
        <v>43639752</v>
      </c>
      <c r="AP1931" s="27" t="s">
        <v>2842</v>
      </c>
      <c r="AQ1931" s="27">
        <v>58.1759512195122</v>
      </c>
      <c r="AR1931" s="27">
        <v>44.1</v>
      </c>
      <c r="AS1931" s="29" t="s">
        <v>2842</v>
      </c>
      <c r="AT1931" s="270">
        <v>31</v>
      </c>
      <c r="AU1931" s="464">
        <v>49.764495378498069</v>
      </c>
      <c r="AV1931" s="29">
        <v>-0.158080618442376</v>
      </c>
      <c r="AW1931" s="29">
        <v>6.9291708133980195E-2</v>
      </c>
      <c r="AX1931" s="29">
        <v>-0.593270511956416</v>
      </c>
      <c r="AY1931" s="29">
        <v>-0.42146087151551997</v>
      </c>
      <c r="AZ1931" s="60">
        <v>-0.44252210670392</v>
      </c>
    </row>
    <row r="1932" spans="1:52" s="29" customFormat="1" ht="15" customHeight="1">
      <c r="A1932" s="59" t="s">
        <v>491</v>
      </c>
      <c r="B1932" s="27">
        <v>2009</v>
      </c>
      <c r="C1932" s="27" t="s">
        <v>492</v>
      </c>
      <c r="D1932" s="27" t="s">
        <v>81</v>
      </c>
      <c r="E1932" s="29" t="s">
        <v>19</v>
      </c>
      <c r="F1932" s="27" t="s">
        <v>730</v>
      </c>
      <c r="G1932" s="43">
        <f>(((36434/365)*184)+((39112/365)*181))*32.1507431265</f>
        <v>1214076.1857744374</v>
      </c>
      <c r="H1932" s="43"/>
      <c r="I1932" s="43"/>
      <c r="J1932" s="43"/>
      <c r="K1932" s="27" t="s">
        <v>731</v>
      </c>
      <c r="L1932" s="28">
        <f>(((871.71/365)*184)+((972.97/365)*181))*1.0953</f>
        <v>1009.783207158904</v>
      </c>
      <c r="M1932" s="27" t="s">
        <v>732</v>
      </c>
      <c r="N1932" s="27" t="s">
        <v>2095</v>
      </c>
      <c r="O1932" s="18">
        <f>G1932*L1932</f>
        <v>1225953744.6065607</v>
      </c>
      <c r="P1932" s="213">
        <v>83605841</v>
      </c>
      <c r="Q1932" s="213">
        <v>105572207</v>
      </c>
      <c r="R1932" s="27"/>
      <c r="S1932" s="27"/>
      <c r="T1932" s="18"/>
      <c r="U1932" s="27"/>
      <c r="V1932" s="42"/>
      <c r="W1932" s="45"/>
      <c r="X1932" s="27">
        <v>5</v>
      </c>
      <c r="Y1932" s="27" t="s">
        <v>2096</v>
      </c>
      <c r="Z1932" s="27">
        <v>5</v>
      </c>
      <c r="AA1932" s="27" t="s">
        <v>2097</v>
      </c>
      <c r="AB1932" s="27"/>
      <c r="AC1932" s="273">
        <v>102252340</v>
      </c>
      <c r="AD1932" s="27">
        <v>21368165683.254303</v>
      </c>
      <c r="AE1932" s="228">
        <v>4.7852652172260439E-3</v>
      </c>
      <c r="AF1932" s="27">
        <v>3455659754.295886</v>
      </c>
      <c r="AG1932" s="226">
        <v>2.9589817074116027E-2</v>
      </c>
      <c r="AH1932" s="226">
        <v>0.14801343008896295</v>
      </c>
      <c r="AI1932" s="27">
        <v>2933150000</v>
      </c>
      <c r="AJ1932" s="226">
        <v>3.4860931080919831E-2</v>
      </c>
      <c r="AK1932" s="27">
        <v>780646026.29143679</v>
      </c>
      <c r="AL1932" s="226">
        <v>0.13098425734101715</v>
      </c>
      <c r="AM1932" s="27">
        <v>1142404105.1072564</v>
      </c>
      <c r="AN1932" s="271">
        <v>8.9506278507638828E-2</v>
      </c>
      <c r="AO1932" s="27">
        <v>43639752</v>
      </c>
      <c r="AP1932" s="27" t="s">
        <v>2842</v>
      </c>
      <c r="AQ1932" s="27">
        <v>58.1759512195122</v>
      </c>
      <c r="AR1932" s="27">
        <v>44.1</v>
      </c>
      <c r="AS1932" s="29" t="s">
        <v>2842</v>
      </c>
      <c r="AT1932" s="270">
        <v>31</v>
      </c>
      <c r="AU1932" s="464">
        <v>49.764495378498069</v>
      </c>
      <c r="AV1932" s="29">
        <v>-0.158080618442376</v>
      </c>
      <c r="AW1932" s="29">
        <v>6.9291708133980195E-2</v>
      </c>
      <c r="AX1932" s="29">
        <v>-0.593270511956416</v>
      </c>
      <c r="AY1932" s="29">
        <v>-0.42146087151551997</v>
      </c>
      <c r="AZ1932" s="60">
        <v>-0.44252210670392</v>
      </c>
    </row>
    <row r="1933" spans="1:52" s="287" customFormat="1" ht="15" customHeight="1">
      <c r="A1933" s="344" t="s">
        <v>491</v>
      </c>
      <c r="B1933" s="284">
        <v>2009</v>
      </c>
      <c r="C1933" s="284" t="s">
        <v>492</v>
      </c>
      <c r="D1933" s="284" t="s">
        <v>81</v>
      </c>
      <c r="E1933" s="287" t="s">
        <v>19</v>
      </c>
      <c r="F1933" s="284" t="s">
        <v>2098</v>
      </c>
      <c r="G1933" s="303">
        <f>((670/365)*184)+(768/365)*181</f>
        <v>718.59726027397255</v>
      </c>
      <c r="H1933" s="303"/>
      <c r="I1933" s="303"/>
      <c r="J1933" s="303"/>
      <c r="K1933" s="284" t="s">
        <v>894</v>
      </c>
      <c r="L1933" s="304">
        <f>((((387.5/365)*184)+((337.5/365)*181))/0.0002)*0.0321</f>
        <v>58214.229452054788</v>
      </c>
      <c r="M1933" s="284" t="s">
        <v>1743</v>
      </c>
      <c r="N1933" s="286" t="s">
        <v>2099</v>
      </c>
      <c r="O1933" s="305">
        <f>G1933*L1933</f>
        <v>41832585.793206975</v>
      </c>
      <c r="P1933" s="306">
        <v>1948447</v>
      </c>
      <c r="Q1933" s="306">
        <v>2889519</v>
      </c>
      <c r="R1933" s="284"/>
      <c r="S1933" s="284"/>
      <c r="T1933" s="305"/>
      <c r="U1933" s="284"/>
      <c r="V1933" s="366"/>
      <c r="W1933" s="422"/>
      <c r="X1933" s="284">
        <v>1</v>
      </c>
      <c r="Y1933" s="284" t="s">
        <v>2100</v>
      </c>
      <c r="Z1933" s="284">
        <v>1</v>
      </c>
      <c r="AA1933" s="284" t="s">
        <v>2101</v>
      </c>
      <c r="AB1933" s="284"/>
      <c r="AC1933" s="308">
        <v>102252340</v>
      </c>
      <c r="AD1933" s="284">
        <v>21368165683.254303</v>
      </c>
      <c r="AE1933" s="309">
        <v>4.7852652172260439E-3</v>
      </c>
      <c r="AF1933" s="284">
        <v>3455659754.295886</v>
      </c>
      <c r="AG1933" s="310">
        <v>2.9589817074116027E-2</v>
      </c>
      <c r="AH1933" s="310">
        <v>0.14801343008896295</v>
      </c>
      <c r="AI1933" s="284">
        <v>2933150000</v>
      </c>
      <c r="AJ1933" s="310">
        <v>3.4860931080919831E-2</v>
      </c>
      <c r="AK1933" s="284">
        <v>780646026.29143679</v>
      </c>
      <c r="AL1933" s="310">
        <v>0.13098425734101715</v>
      </c>
      <c r="AM1933" s="284">
        <v>1142404105.1072564</v>
      </c>
      <c r="AN1933" s="311">
        <v>8.9506278507638828E-2</v>
      </c>
      <c r="AO1933" s="284">
        <v>43639752</v>
      </c>
      <c r="AP1933" s="284" t="s">
        <v>2842</v>
      </c>
      <c r="AQ1933" s="284">
        <v>58.1759512195122</v>
      </c>
      <c r="AR1933" s="284">
        <v>44.1</v>
      </c>
      <c r="AS1933" s="287" t="s">
        <v>2842</v>
      </c>
      <c r="AT1933" s="312">
        <v>31</v>
      </c>
      <c r="AU1933" s="465">
        <v>49.764495378498069</v>
      </c>
      <c r="AV1933" s="287">
        <v>-0.158080618442376</v>
      </c>
      <c r="AW1933" s="287">
        <v>6.9291708133980195E-2</v>
      </c>
      <c r="AX1933" s="287">
        <v>-0.593270511956416</v>
      </c>
      <c r="AY1933" s="287">
        <v>-0.42146087151551997</v>
      </c>
      <c r="AZ1933" s="313">
        <v>-0.44252210670392</v>
      </c>
    </row>
    <row r="1934" spans="1:52" ht="15" customHeight="1">
      <c r="A1934" s="332" t="s">
        <v>494</v>
      </c>
      <c r="B1934" s="27">
        <v>2010</v>
      </c>
      <c r="C1934" s="27" t="s">
        <v>492</v>
      </c>
      <c r="D1934" s="27" t="s">
        <v>81</v>
      </c>
      <c r="E1934" s="27" t="s">
        <v>379</v>
      </c>
      <c r="F1934" s="27" t="s">
        <v>659</v>
      </c>
      <c r="G1934" s="43"/>
      <c r="H1934" s="43"/>
      <c r="I1934" s="43"/>
      <c r="J1934" s="43"/>
      <c r="K1934" s="27"/>
      <c r="L1934" s="28"/>
      <c r="M1934" s="27"/>
      <c r="N1934" s="27"/>
      <c r="O1934" s="18">
        <f>O1935+O1936</f>
        <v>1743565452.3258293</v>
      </c>
      <c r="P1934" s="213">
        <v>305762430.10000002</v>
      </c>
      <c r="Q1934" s="213">
        <v>309407926.30000001</v>
      </c>
      <c r="R1934" s="27" t="s">
        <v>619</v>
      </c>
      <c r="S1934" s="27"/>
      <c r="T1934" s="18"/>
      <c r="U1934" s="27" t="s">
        <v>1085</v>
      </c>
      <c r="V1934" s="27" t="s">
        <v>2083</v>
      </c>
      <c r="W1934" s="30">
        <v>1372.15</v>
      </c>
      <c r="X1934" s="27">
        <v>24</v>
      </c>
      <c r="Y1934" s="27" t="s">
        <v>2102</v>
      </c>
      <c r="Z1934" s="27">
        <v>22</v>
      </c>
      <c r="AA1934" s="29" t="s">
        <v>2104</v>
      </c>
      <c r="AB1934" s="27" t="s">
        <v>3680</v>
      </c>
      <c r="AC1934" s="273">
        <v>305762430.10000002</v>
      </c>
      <c r="AD1934" s="27">
        <v>22915004589.311516</v>
      </c>
      <c r="AE1934" s="228">
        <v>1.334332833791445E-2</v>
      </c>
      <c r="AF1934" s="27">
        <v>4184508988.0541759</v>
      </c>
      <c r="AG1934" s="226">
        <v>7.3070085635586493E-2</v>
      </c>
      <c r="AH1934" s="226">
        <v>0.23061699273975583</v>
      </c>
      <c r="AI1934" s="27">
        <v>2958180000</v>
      </c>
      <c r="AJ1934" s="226">
        <v>0.10336167173735203</v>
      </c>
      <c r="AK1934" s="27">
        <v>645534737.65924585</v>
      </c>
      <c r="AL1934" s="226">
        <v>0.47365759309671857</v>
      </c>
      <c r="AM1934" s="27">
        <v>1416422263.6745234</v>
      </c>
      <c r="AN1934" s="271">
        <v>0.21586954536197583</v>
      </c>
      <c r="AO1934" s="27">
        <v>44973330</v>
      </c>
      <c r="AP1934" s="27" t="s">
        <v>2842</v>
      </c>
      <c r="AQ1934" s="27">
        <v>59.181707317073176</v>
      </c>
      <c r="AR1934" s="27">
        <v>41.4</v>
      </c>
      <c r="AS1934" s="29" t="s">
        <v>2842</v>
      </c>
      <c r="AT1934" s="270">
        <v>31</v>
      </c>
      <c r="AU1934" s="464">
        <v>49.764495378498069</v>
      </c>
      <c r="AV1934" s="29">
        <v>-0.13151836042925999</v>
      </c>
      <c r="AW1934" s="29">
        <v>-2.1697929680339199E-2</v>
      </c>
      <c r="AX1934" s="29">
        <v>-0.57781563906899402</v>
      </c>
      <c r="AY1934" s="29">
        <v>-0.40900807079562401</v>
      </c>
      <c r="AZ1934" s="60">
        <v>-0.53900717651020602</v>
      </c>
    </row>
    <row r="1935" spans="1:52" ht="15" customHeight="1">
      <c r="A1935" s="59" t="s">
        <v>494</v>
      </c>
      <c r="B1935" s="27">
        <v>2010</v>
      </c>
      <c r="C1935" s="27" t="s">
        <v>492</v>
      </c>
      <c r="D1935" s="27" t="s">
        <v>81</v>
      </c>
      <c r="E1935" s="29" t="s">
        <v>552</v>
      </c>
      <c r="F1935" s="27" t="s">
        <v>552</v>
      </c>
      <c r="G1935" s="43">
        <f>(((23000000000/365)*184)+((28000000000/365)*181))*0.0283168</f>
        <v>721496547.94520533</v>
      </c>
      <c r="H1935" s="43"/>
      <c r="I1935" s="43"/>
      <c r="J1935" s="43"/>
      <c r="K1935" s="27" t="s">
        <v>599</v>
      </c>
      <c r="L1935" s="28">
        <f>((0.144228/365)*184)+(0.174108/365)*181</f>
        <v>0.15904520547945206</v>
      </c>
      <c r="M1935" s="27" t="s">
        <v>600</v>
      </c>
      <c r="N1935" s="27" t="s">
        <v>601</v>
      </c>
      <c r="O1935" s="18">
        <f>G1935*L1935</f>
        <v>114750566.72066051</v>
      </c>
      <c r="P1935" s="213">
        <v>60253511.736775927</v>
      </c>
      <c r="Q1935" s="214">
        <v>60421683.815934844</v>
      </c>
      <c r="R1935" s="27"/>
      <c r="S1935" s="27"/>
      <c r="T1935" s="18"/>
      <c r="U1935" s="27"/>
      <c r="V1935" s="27"/>
      <c r="W1935" s="45"/>
      <c r="X1935" s="27">
        <v>9</v>
      </c>
      <c r="Y1935" s="29" t="s">
        <v>2105</v>
      </c>
      <c r="Z1935" s="27">
        <v>9</v>
      </c>
      <c r="AA1935" s="29" t="s">
        <v>2104</v>
      </c>
      <c r="AB1935" s="27"/>
      <c r="AC1935" s="273">
        <v>305762430.10000002</v>
      </c>
      <c r="AD1935" s="27">
        <v>22915004589.311516</v>
      </c>
      <c r="AE1935" s="228">
        <v>1.334332833791445E-2</v>
      </c>
      <c r="AF1935" s="27">
        <v>4184508988.0541759</v>
      </c>
      <c r="AG1935" s="226">
        <v>7.3070085635586493E-2</v>
      </c>
      <c r="AH1935" s="226">
        <v>0.23061699273975583</v>
      </c>
      <c r="AI1935" s="27">
        <v>2958180000</v>
      </c>
      <c r="AJ1935" s="226">
        <v>0.10336167173735203</v>
      </c>
      <c r="AK1935" s="27">
        <v>645534737.65924585</v>
      </c>
      <c r="AL1935" s="226">
        <v>0.47365759309671857</v>
      </c>
      <c r="AM1935" s="27">
        <v>1416422263.6745234</v>
      </c>
      <c r="AN1935" s="271">
        <v>0.21586954536197583</v>
      </c>
      <c r="AO1935" s="27">
        <v>44973330</v>
      </c>
      <c r="AP1935" s="27" t="s">
        <v>2842</v>
      </c>
      <c r="AQ1935" s="27">
        <v>59.181707317073176</v>
      </c>
      <c r="AR1935" s="27">
        <v>41.4</v>
      </c>
      <c r="AS1935" s="29" t="s">
        <v>2842</v>
      </c>
      <c r="AT1935" s="270">
        <v>31</v>
      </c>
      <c r="AU1935" s="464">
        <v>49.764495378498069</v>
      </c>
      <c r="AV1935" s="29">
        <v>-0.13151836042925999</v>
      </c>
      <c r="AW1935" s="29">
        <v>-2.1697929680339199E-2</v>
      </c>
      <c r="AX1935" s="29">
        <v>-0.57781563906899402</v>
      </c>
      <c r="AY1935" s="29">
        <v>-0.40900807079562401</v>
      </c>
      <c r="AZ1935" s="60">
        <v>-0.53900717651020602</v>
      </c>
    </row>
    <row r="1936" spans="1:52" ht="15" customHeight="1">
      <c r="A1936" s="59" t="s">
        <v>494</v>
      </c>
      <c r="B1936" s="27">
        <v>2010</v>
      </c>
      <c r="C1936" s="27" t="s">
        <v>492</v>
      </c>
      <c r="D1936" s="27" t="s">
        <v>81</v>
      </c>
      <c r="E1936" s="29" t="s">
        <v>19</v>
      </c>
      <c r="F1936" s="27" t="s">
        <v>559</v>
      </c>
      <c r="G1936" s="43"/>
      <c r="H1936" s="43"/>
      <c r="I1936" s="43"/>
      <c r="J1936" s="43"/>
      <c r="K1936" s="27"/>
      <c r="L1936" s="28"/>
      <c r="M1936" s="27"/>
      <c r="N1936" s="27"/>
      <c r="O1936" s="18">
        <f>SUM(O1937:O1943)</f>
        <v>1628814885.6051688</v>
      </c>
      <c r="P1936" s="213">
        <v>245508918.34572005</v>
      </c>
      <c r="Q1936" s="214">
        <v>248986240.68433204</v>
      </c>
      <c r="R1936" s="27"/>
      <c r="S1936" s="27"/>
      <c r="T1936" s="18"/>
      <c r="U1936" s="27"/>
      <c r="V1936" s="27"/>
      <c r="W1936" s="45"/>
      <c r="X1936" s="27">
        <v>15</v>
      </c>
      <c r="Y1936" s="29" t="s">
        <v>2106</v>
      </c>
      <c r="Z1936" s="27">
        <v>13</v>
      </c>
      <c r="AA1936" s="29" t="s">
        <v>2104</v>
      </c>
      <c r="AB1936" s="27"/>
      <c r="AC1936" s="273">
        <v>305762430.10000002</v>
      </c>
      <c r="AD1936" s="27">
        <v>22915004589.311516</v>
      </c>
      <c r="AE1936" s="228">
        <v>1.334332833791445E-2</v>
      </c>
      <c r="AF1936" s="27">
        <v>4184508988.0541759</v>
      </c>
      <c r="AG1936" s="226">
        <v>7.3070085635586493E-2</v>
      </c>
      <c r="AH1936" s="226">
        <v>0.23061699273975583</v>
      </c>
      <c r="AI1936" s="27">
        <v>2958180000</v>
      </c>
      <c r="AJ1936" s="226">
        <v>0.10336167173735203</v>
      </c>
      <c r="AK1936" s="27">
        <v>645534737.65924585</v>
      </c>
      <c r="AL1936" s="226">
        <v>0.47365759309671857</v>
      </c>
      <c r="AM1936" s="27">
        <v>1416422263.6745234</v>
      </c>
      <c r="AN1936" s="271">
        <v>0.21586954536197583</v>
      </c>
      <c r="AO1936" s="27">
        <v>44973330</v>
      </c>
      <c r="AP1936" s="27" t="s">
        <v>2842</v>
      </c>
      <c r="AQ1936" s="27">
        <v>59.181707317073176</v>
      </c>
      <c r="AR1936" s="27">
        <v>41.4</v>
      </c>
      <c r="AS1936" s="29" t="s">
        <v>2842</v>
      </c>
      <c r="AT1936" s="270">
        <v>31</v>
      </c>
      <c r="AU1936" s="464">
        <v>49.764495378498069</v>
      </c>
      <c r="AV1936" s="29">
        <v>-0.13151836042925999</v>
      </c>
      <c r="AW1936" s="29">
        <v>-2.1697929680339199E-2</v>
      </c>
      <c r="AX1936" s="29">
        <v>-0.57781563906899402</v>
      </c>
      <c r="AY1936" s="29">
        <v>-0.40900807079562401</v>
      </c>
      <c r="AZ1936" s="60">
        <v>-0.53900717651020602</v>
      </c>
    </row>
    <row r="1937" spans="1:52" ht="15" customHeight="1">
      <c r="A1937" s="59" t="s">
        <v>494</v>
      </c>
      <c r="B1937" s="27">
        <v>2010</v>
      </c>
      <c r="C1937" s="27" t="s">
        <v>492</v>
      </c>
      <c r="D1937" s="27" t="s">
        <v>81</v>
      </c>
      <c r="E1937" s="29" t="s">
        <v>19</v>
      </c>
      <c r="F1937" s="27" t="s">
        <v>573</v>
      </c>
      <c r="G1937" s="43">
        <f>((0/365)*184)+(179/365)*181</f>
        <v>88.764383561643839</v>
      </c>
      <c r="H1937" s="43"/>
      <c r="I1937" s="43"/>
      <c r="J1937" s="43"/>
      <c r="K1937" s="27" t="s">
        <v>567</v>
      </c>
      <c r="L1937" s="28">
        <f>((72.51/365)*184)+(89.85/365)*181</f>
        <v>81.108739726027409</v>
      </c>
      <c r="M1937" s="27" t="s">
        <v>568</v>
      </c>
      <c r="N1937" s="27" t="s">
        <v>2107</v>
      </c>
      <c r="O1937" s="18">
        <f t="shared" ref="O1937:O1942" si="31">G1937*L1937</f>
        <v>7199.5672832426362</v>
      </c>
      <c r="P1937" s="213"/>
      <c r="Q1937" s="214"/>
      <c r="R1937" s="27"/>
      <c r="S1937" s="27"/>
      <c r="T1937" s="18"/>
      <c r="U1937" s="27"/>
      <c r="V1937" s="27"/>
      <c r="W1937" s="45"/>
      <c r="X1937" s="27"/>
      <c r="Y1937" s="29"/>
      <c r="Z1937" s="27"/>
      <c r="AA1937" s="29"/>
      <c r="AB1937" s="27"/>
      <c r="AC1937" s="273">
        <v>305762430.10000002</v>
      </c>
      <c r="AD1937" s="27">
        <v>22915004589.311516</v>
      </c>
      <c r="AE1937" s="228">
        <v>1.334332833791445E-2</v>
      </c>
      <c r="AF1937" s="27">
        <v>4184508988.0541759</v>
      </c>
      <c r="AG1937" s="226">
        <v>7.3070085635586493E-2</v>
      </c>
      <c r="AH1937" s="226">
        <v>0.23061699273975583</v>
      </c>
      <c r="AI1937" s="27">
        <v>2958180000</v>
      </c>
      <c r="AJ1937" s="226">
        <v>0.10336167173735203</v>
      </c>
      <c r="AK1937" s="27">
        <v>645534737.65924585</v>
      </c>
      <c r="AL1937" s="226">
        <v>0.47365759309671857</v>
      </c>
      <c r="AM1937" s="27">
        <v>1416422263.6745234</v>
      </c>
      <c r="AN1937" s="271">
        <v>0.21586954536197583</v>
      </c>
      <c r="AO1937" s="27">
        <v>44973330</v>
      </c>
      <c r="AP1937" s="27" t="s">
        <v>2842</v>
      </c>
      <c r="AQ1937" s="27">
        <v>59.181707317073176</v>
      </c>
      <c r="AR1937" s="27">
        <v>41.4</v>
      </c>
      <c r="AS1937" s="29" t="s">
        <v>2842</v>
      </c>
      <c r="AT1937" s="270">
        <v>31</v>
      </c>
      <c r="AU1937" s="464">
        <v>49.764495378498069</v>
      </c>
      <c r="AV1937" s="29">
        <v>-0.13151836042925999</v>
      </c>
      <c r="AW1937" s="29">
        <v>-2.1697929680339199E-2</v>
      </c>
      <c r="AX1937" s="29">
        <v>-0.57781563906899402</v>
      </c>
      <c r="AY1937" s="29">
        <v>-0.40900807079562401</v>
      </c>
      <c r="AZ1937" s="60">
        <v>-0.53900717651020602</v>
      </c>
    </row>
    <row r="1938" spans="1:52" ht="15" customHeight="1">
      <c r="A1938" s="59" t="s">
        <v>494</v>
      </c>
      <c r="B1938" s="27">
        <v>2010</v>
      </c>
      <c r="C1938" s="27" t="s">
        <v>492</v>
      </c>
      <c r="D1938" s="27" t="s">
        <v>81</v>
      </c>
      <c r="E1938" s="29" t="s">
        <v>19</v>
      </c>
      <c r="F1938" s="27" t="s">
        <v>904</v>
      </c>
      <c r="G1938" s="43">
        <f>((181874/365)*184)+(80498/365)*181</f>
        <v>131602.61369863013</v>
      </c>
      <c r="H1938" s="43"/>
      <c r="I1938" s="43"/>
      <c r="J1938" s="43"/>
      <c r="K1938" s="27" t="s">
        <v>905</v>
      </c>
      <c r="L1938" s="52">
        <f>((136.26/365)*184)+(185/365)*181</f>
        <v>160.42969863013698</v>
      </c>
      <c r="M1938" s="27" t="s">
        <v>906</v>
      </c>
      <c r="N1938" s="27" t="s">
        <v>2108</v>
      </c>
      <c r="O1938" s="18">
        <f t="shared" si="31"/>
        <v>21112967.654609568</v>
      </c>
      <c r="P1938" s="213">
        <v>3504749.2471331009</v>
      </c>
      <c r="Q1938" s="214">
        <v>3341654.408236878</v>
      </c>
      <c r="R1938" s="27"/>
      <c r="S1938" s="27"/>
      <c r="T1938" s="18"/>
      <c r="U1938" s="27"/>
      <c r="V1938" s="27"/>
      <c r="W1938" s="45"/>
      <c r="X1938" s="27">
        <v>1</v>
      </c>
      <c r="Y1938" s="27" t="s">
        <v>2109</v>
      </c>
      <c r="Z1938" s="27">
        <v>1</v>
      </c>
      <c r="AA1938" s="29" t="s">
        <v>2104</v>
      </c>
      <c r="AB1938" s="27"/>
      <c r="AC1938" s="273">
        <v>305762430.10000002</v>
      </c>
      <c r="AD1938" s="27">
        <v>22915004589.311516</v>
      </c>
      <c r="AE1938" s="228">
        <v>1.334332833791445E-2</v>
      </c>
      <c r="AF1938" s="27">
        <v>4184508988.0541759</v>
      </c>
      <c r="AG1938" s="226">
        <v>7.3070085635586493E-2</v>
      </c>
      <c r="AH1938" s="226">
        <v>0.23061699273975583</v>
      </c>
      <c r="AI1938" s="27">
        <v>2958180000</v>
      </c>
      <c r="AJ1938" s="226">
        <v>0.10336167173735203</v>
      </c>
      <c r="AK1938" s="27">
        <v>645534737.65924585</v>
      </c>
      <c r="AL1938" s="226">
        <v>0.47365759309671857</v>
      </c>
      <c r="AM1938" s="27">
        <v>1416422263.6745234</v>
      </c>
      <c r="AN1938" s="271">
        <v>0.21586954536197583</v>
      </c>
      <c r="AO1938" s="27">
        <v>44973330</v>
      </c>
      <c r="AP1938" s="27" t="s">
        <v>2842</v>
      </c>
      <c r="AQ1938" s="27">
        <v>59.181707317073176</v>
      </c>
      <c r="AR1938" s="27">
        <v>41.4</v>
      </c>
      <c r="AS1938" s="29" t="s">
        <v>2842</v>
      </c>
      <c r="AT1938" s="270">
        <v>31</v>
      </c>
      <c r="AU1938" s="464">
        <v>49.764495378498069</v>
      </c>
      <c r="AV1938" s="29">
        <v>-0.13151836042925999</v>
      </c>
      <c r="AW1938" s="29">
        <v>-2.1697929680339199E-2</v>
      </c>
      <c r="AX1938" s="29">
        <v>-0.57781563906899402</v>
      </c>
      <c r="AY1938" s="29">
        <v>-0.40900807079562401</v>
      </c>
      <c r="AZ1938" s="60">
        <v>-0.53900717651020602</v>
      </c>
    </row>
    <row r="1939" spans="1:52" ht="15" customHeight="1">
      <c r="A1939" s="59" t="s">
        <v>494</v>
      </c>
      <c r="B1939" s="27">
        <v>2010</v>
      </c>
      <c r="C1939" s="27" t="s">
        <v>492</v>
      </c>
      <c r="D1939" s="27" t="s">
        <v>81</v>
      </c>
      <c r="E1939" s="29" t="s">
        <v>19</v>
      </c>
      <c r="F1939" s="27" t="s">
        <v>730</v>
      </c>
      <c r="G1939" s="43">
        <f>(((39112/365)*184)+((39448/365)*181))*32.1507431265</f>
        <v>1262836.7955581371</v>
      </c>
      <c r="H1939" s="43"/>
      <c r="I1939" s="43"/>
      <c r="J1939" s="43"/>
      <c r="K1939" s="27" t="s">
        <v>731</v>
      </c>
      <c r="L1939" s="28">
        <f>(((972.97/365)*184)+((1224.66/365)*181))*1.0953</f>
        <v>1202.3991541972603</v>
      </c>
      <c r="M1939" s="27" t="s">
        <v>732</v>
      </c>
      <c r="N1939" s="27" t="s">
        <v>2095</v>
      </c>
      <c r="O1939" s="18">
        <f t="shared" si="31"/>
        <v>1518433894.8682826</v>
      </c>
      <c r="P1939" s="213">
        <v>194098293.0180403</v>
      </c>
      <c r="Q1939" s="214">
        <v>217618121.77843034</v>
      </c>
      <c r="R1939" s="27"/>
      <c r="S1939" s="27"/>
      <c r="T1939" s="18"/>
      <c r="U1939" s="27"/>
      <c r="V1939" s="27"/>
      <c r="W1939" s="45"/>
      <c r="X1939" s="27">
        <v>6</v>
      </c>
      <c r="Y1939" s="27" t="s">
        <v>2110</v>
      </c>
      <c r="Z1939" s="27">
        <v>6</v>
      </c>
      <c r="AA1939" s="29" t="s">
        <v>2104</v>
      </c>
      <c r="AB1939" s="27"/>
      <c r="AC1939" s="273">
        <v>305762430.10000002</v>
      </c>
      <c r="AD1939" s="27">
        <v>22915004589.311516</v>
      </c>
      <c r="AE1939" s="228">
        <v>1.334332833791445E-2</v>
      </c>
      <c r="AF1939" s="27">
        <v>4184508988.0541759</v>
      </c>
      <c r="AG1939" s="226">
        <v>7.3070085635586493E-2</v>
      </c>
      <c r="AH1939" s="226">
        <v>0.23061699273975583</v>
      </c>
      <c r="AI1939" s="27">
        <v>2958180000</v>
      </c>
      <c r="AJ1939" s="226">
        <v>0.10336167173735203</v>
      </c>
      <c r="AK1939" s="27">
        <v>645534737.65924585</v>
      </c>
      <c r="AL1939" s="226">
        <v>0.47365759309671857</v>
      </c>
      <c r="AM1939" s="27">
        <v>1416422263.6745234</v>
      </c>
      <c r="AN1939" s="271">
        <v>0.21586954536197583</v>
      </c>
      <c r="AO1939" s="27">
        <v>44973330</v>
      </c>
      <c r="AP1939" s="27" t="s">
        <v>2842</v>
      </c>
      <c r="AQ1939" s="27">
        <v>59.181707317073176</v>
      </c>
      <c r="AR1939" s="27">
        <v>41.4</v>
      </c>
      <c r="AS1939" s="29" t="s">
        <v>2842</v>
      </c>
      <c r="AT1939" s="270">
        <v>31</v>
      </c>
      <c r="AU1939" s="464">
        <v>49.764495378498069</v>
      </c>
      <c r="AV1939" s="29">
        <v>-0.13151836042925999</v>
      </c>
      <c r="AW1939" s="29">
        <v>-2.1697929680339199E-2</v>
      </c>
      <c r="AX1939" s="29">
        <v>-0.57781563906899402</v>
      </c>
      <c r="AY1939" s="29">
        <v>-0.40900807079562401</v>
      </c>
      <c r="AZ1939" s="60">
        <v>-0.53900717651020602</v>
      </c>
    </row>
    <row r="1940" spans="1:52" ht="15" customHeight="1">
      <c r="A1940" s="59" t="s">
        <v>494</v>
      </c>
      <c r="B1940" s="27">
        <v>2010</v>
      </c>
      <c r="C1940" s="27" t="s">
        <v>492</v>
      </c>
      <c r="D1940" s="27" t="s">
        <v>81</v>
      </c>
      <c r="E1940" s="29" t="s">
        <v>19</v>
      </c>
      <c r="F1940" s="27" t="s">
        <v>653</v>
      </c>
      <c r="G1940" s="43">
        <f>((1284100/365)*184)+(1436600/365)*181</f>
        <v>1359723.2876712328</v>
      </c>
      <c r="H1940" s="43"/>
      <c r="I1940" s="43"/>
      <c r="J1940" s="43"/>
      <c r="K1940" s="27" t="s">
        <v>567</v>
      </c>
      <c r="L1940" s="28">
        <v>9.0299999999999994</v>
      </c>
      <c r="M1940" s="27" t="s">
        <v>568</v>
      </c>
      <c r="N1940" s="27" t="s">
        <v>3792</v>
      </c>
      <c r="O1940" s="18">
        <f t="shared" si="31"/>
        <v>12278301.287671231</v>
      </c>
      <c r="P1940" s="213">
        <v>44011271.543548338</v>
      </c>
      <c r="Q1940" s="214">
        <v>24076677.025007721</v>
      </c>
      <c r="R1940" s="27"/>
      <c r="S1940" s="27"/>
      <c r="T1940" s="18"/>
      <c r="U1940" s="27"/>
      <c r="V1940" s="27"/>
      <c r="W1940" s="45"/>
      <c r="X1940" s="27">
        <v>3</v>
      </c>
      <c r="Y1940" s="27" t="s">
        <v>2111</v>
      </c>
      <c r="Z1940" s="27">
        <v>2</v>
      </c>
      <c r="AA1940" s="29" t="s">
        <v>2104</v>
      </c>
      <c r="AB1940" s="27" t="s">
        <v>3795</v>
      </c>
      <c r="AC1940" s="273">
        <v>305762430.10000002</v>
      </c>
      <c r="AD1940" s="27">
        <v>22915004589.311516</v>
      </c>
      <c r="AE1940" s="228">
        <v>1.334332833791445E-2</v>
      </c>
      <c r="AF1940" s="27">
        <v>4184508988.0541759</v>
      </c>
      <c r="AG1940" s="226">
        <v>7.3070085635586493E-2</v>
      </c>
      <c r="AH1940" s="226">
        <v>0.23061699273975583</v>
      </c>
      <c r="AI1940" s="27">
        <v>2958180000</v>
      </c>
      <c r="AJ1940" s="226">
        <v>0.10336167173735203</v>
      </c>
      <c r="AK1940" s="27">
        <v>645534737.65924585</v>
      </c>
      <c r="AL1940" s="226">
        <v>0.47365759309671857</v>
      </c>
      <c r="AM1940" s="27">
        <v>1416422263.6745234</v>
      </c>
      <c r="AN1940" s="271">
        <v>0.21586954536197583</v>
      </c>
      <c r="AO1940" s="27">
        <v>44973330</v>
      </c>
      <c r="AP1940" s="27" t="s">
        <v>2842</v>
      </c>
      <c r="AQ1940" s="27">
        <v>59.181707317073176</v>
      </c>
      <c r="AR1940" s="27">
        <v>41.4</v>
      </c>
      <c r="AS1940" s="29" t="s">
        <v>2842</v>
      </c>
      <c r="AT1940" s="270">
        <v>31</v>
      </c>
      <c r="AU1940" s="464">
        <v>49.764495378498069</v>
      </c>
      <c r="AV1940" s="29">
        <v>-0.13151836042925999</v>
      </c>
      <c r="AW1940" s="29">
        <v>-2.1697929680339199E-2</v>
      </c>
      <c r="AX1940" s="29">
        <v>-0.57781563906899402</v>
      </c>
      <c r="AY1940" s="29">
        <v>-0.40900807079562401</v>
      </c>
      <c r="AZ1940" s="60">
        <v>-0.53900717651020602</v>
      </c>
    </row>
    <row r="1941" spans="1:52" ht="15" customHeight="1">
      <c r="A1941" s="59" t="s">
        <v>494</v>
      </c>
      <c r="B1941" s="27">
        <v>2010</v>
      </c>
      <c r="C1941" s="27" t="s">
        <v>492</v>
      </c>
      <c r="D1941" s="27" t="s">
        <v>81</v>
      </c>
      <c r="E1941" s="29" t="s">
        <v>19</v>
      </c>
      <c r="F1941" s="27" t="s">
        <v>1058</v>
      </c>
      <c r="G1941" s="43">
        <f>((28444/365)*184)+(34455/365)*181</f>
        <v>31424.797260273976</v>
      </c>
      <c r="H1941" s="43"/>
      <c r="I1941" s="43"/>
      <c r="J1941" s="43"/>
      <c r="K1941" s="27" t="s">
        <v>567</v>
      </c>
      <c r="L1941" s="28">
        <f>((73.67/365)*184)+((70.16/365)*181)</f>
        <v>71.929424657534241</v>
      </c>
      <c r="M1941" s="27" t="s">
        <v>568</v>
      </c>
      <c r="N1941" s="27" t="s">
        <v>2112</v>
      </c>
      <c r="O1941" s="18">
        <f t="shared" si="31"/>
        <v>2260367.5869111652</v>
      </c>
      <c r="P1941" s="213">
        <v>155004.72014196639</v>
      </c>
      <c r="Q1941" s="214">
        <v>444033.25775649009</v>
      </c>
      <c r="R1941" s="27"/>
      <c r="S1941" s="27"/>
      <c r="T1941" s="18"/>
      <c r="U1941" s="27"/>
      <c r="V1941" s="27"/>
      <c r="W1941" s="45"/>
      <c r="X1941" s="27">
        <v>1</v>
      </c>
      <c r="Y1941" s="27" t="s">
        <v>2113</v>
      </c>
      <c r="Z1941" s="27">
        <v>1</v>
      </c>
      <c r="AA1941" s="29" t="s">
        <v>2104</v>
      </c>
      <c r="AB1941" s="27"/>
      <c r="AC1941" s="273">
        <v>305762430.10000002</v>
      </c>
      <c r="AD1941" s="27">
        <v>22915004589.311516</v>
      </c>
      <c r="AE1941" s="228">
        <v>1.334332833791445E-2</v>
      </c>
      <c r="AF1941" s="27">
        <v>4184508988.0541759</v>
      </c>
      <c r="AG1941" s="226">
        <v>7.3070085635586493E-2</v>
      </c>
      <c r="AH1941" s="226">
        <v>0.23061699273975583</v>
      </c>
      <c r="AI1941" s="27">
        <v>2958180000</v>
      </c>
      <c r="AJ1941" s="226">
        <v>0.10336167173735203</v>
      </c>
      <c r="AK1941" s="27">
        <v>645534737.65924585</v>
      </c>
      <c r="AL1941" s="226">
        <v>0.47365759309671857</v>
      </c>
      <c r="AM1941" s="27">
        <v>1416422263.6745234</v>
      </c>
      <c r="AN1941" s="271">
        <v>0.21586954536197583</v>
      </c>
      <c r="AO1941" s="27">
        <v>44973330</v>
      </c>
      <c r="AP1941" s="27" t="s">
        <v>2842</v>
      </c>
      <c r="AQ1941" s="27">
        <v>59.181707317073176</v>
      </c>
      <c r="AR1941" s="27">
        <v>41.4</v>
      </c>
      <c r="AS1941" s="29" t="s">
        <v>2842</v>
      </c>
      <c r="AT1941" s="270">
        <v>31</v>
      </c>
      <c r="AU1941" s="464">
        <v>49.764495378498069</v>
      </c>
      <c r="AV1941" s="29">
        <v>-0.13151836042925999</v>
      </c>
      <c r="AW1941" s="29">
        <v>-2.1697929680339199E-2</v>
      </c>
      <c r="AX1941" s="29">
        <v>-0.57781563906899402</v>
      </c>
      <c r="AY1941" s="29">
        <v>-0.40900807079562401</v>
      </c>
      <c r="AZ1941" s="60">
        <v>-0.53900717651020602</v>
      </c>
    </row>
    <row r="1942" spans="1:52" ht="15" customHeight="1">
      <c r="A1942" s="59" t="s">
        <v>494</v>
      </c>
      <c r="B1942" s="27">
        <v>2010</v>
      </c>
      <c r="C1942" s="27" t="s">
        <v>492</v>
      </c>
      <c r="D1942" s="27" t="s">
        <v>81</v>
      </c>
      <c r="E1942" s="29" t="s">
        <v>19</v>
      </c>
      <c r="F1942" s="27" t="s">
        <v>2098</v>
      </c>
      <c r="G1942" s="43">
        <f>((768/365)*184)+(2001/365)*181</f>
        <v>1379.4328767123286</v>
      </c>
      <c r="H1942" s="43"/>
      <c r="I1942" s="43"/>
      <c r="J1942" s="43"/>
      <c r="K1942" s="27" t="s">
        <v>894</v>
      </c>
      <c r="L1942" s="28">
        <f>((((337.5/365)*184)+((337.5/365)*181))/0.0002)*0.0321</f>
        <v>54168.749999999993</v>
      </c>
      <c r="M1942" s="27" t="s">
        <v>1743</v>
      </c>
      <c r="N1942" s="68" t="s">
        <v>2114</v>
      </c>
      <c r="O1942" s="18">
        <f t="shared" si="31"/>
        <v>74722154.640410945</v>
      </c>
      <c r="P1942" s="213">
        <v>2369639.6191304452</v>
      </c>
      <c r="Q1942" s="214">
        <v>2331830.2572042816</v>
      </c>
      <c r="R1942" s="27"/>
      <c r="S1942" s="27"/>
      <c r="T1942" s="18"/>
      <c r="U1942" s="27"/>
      <c r="V1942" s="27"/>
      <c r="W1942" s="45"/>
      <c r="X1942" s="27">
        <v>1</v>
      </c>
      <c r="Y1942" s="27" t="s">
        <v>2115</v>
      </c>
      <c r="Z1942" s="27">
        <v>1</v>
      </c>
      <c r="AA1942" s="29" t="s">
        <v>2104</v>
      </c>
      <c r="AB1942" s="27"/>
      <c r="AC1942" s="273">
        <v>305762430.10000002</v>
      </c>
      <c r="AD1942" s="27">
        <v>22915004589.311516</v>
      </c>
      <c r="AE1942" s="228">
        <v>1.334332833791445E-2</v>
      </c>
      <c r="AF1942" s="27">
        <v>4184508988.0541759</v>
      </c>
      <c r="AG1942" s="226">
        <v>7.3070085635586493E-2</v>
      </c>
      <c r="AH1942" s="226">
        <v>0.23061699273975583</v>
      </c>
      <c r="AI1942" s="27">
        <v>2958180000</v>
      </c>
      <c r="AJ1942" s="226">
        <v>0.10336167173735203</v>
      </c>
      <c r="AK1942" s="27">
        <v>645534737.65924585</v>
      </c>
      <c r="AL1942" s="226">
        <v>0.47365759309671857</v>
      </c>
      <c r="AM1942" s="27">
        <v>1416422263.6745234</v>
      </c>
      <c r="AN1942" s="271">
        <v>0.21586954536197583</v>
      </c>
      <c r="AO1942" s="27">
        <v>44973330</v>
      </c>
      <c r="AP1942" s="27" t="s">
        <v>2842</v>
      </c>
      <c r="AQ1942" s="27">
        <v>59.181707317073176</v>
      </c>
      <c r="AR1942" s="27">
        <v>41.4</v>
      </c>
      <c r="AS1942" s="29" t="s">
        <v>2842</v>
      </c>
      <c r="AT1942" s="270">
        <v>31</v>
      </c>
      <c r="AU1942" s="464">
        <v>49.764495378498069</v>
      </c>
      <c r="AV1942" s="29">
        <v>-0.13151836042925999</v>
      </c>
      <c r="AW1942" s="29">
        <v>-2.1697929680339199E-2</v>
      </c>
      <c r="AX1942" s="29">
        <v>-0.57781563906899402</v>
      </c>
      <c r="AY1942" s="29">
        <v>-0.40900807079562401</v>
      </c>
      <c r="AZ1942" s="60">
        <v>-0.53900717651020602</v>
      </c>
    </row>
    <row r="1943" spans="1:52" s="287" customFormat="1" ht="15" customHeight="1">
      <c r="A1943" s="344" t="s">
        <v>494</v>
      </c>
      <c r="B1943" s="284">
        <v>2010</v>
      </c>
      <c r="C1943" s="284" t="s">
        <v>492</v>
      </c>
      <c r="D1943" s="284" t="s">
        <v>81</v>
      </c>
      <c r="E1943" s="287" t="s">
        <v>19</v>
      </c>
      <c r="F1943" s="284" t="s">
        <v>2116</v>
      </c>
      <c r="G1943" s="303"/>
      <c r="H1943" s="303"/>
      <c r="I1943" s="303"/>
      <c r="J1943" s="303"/>
      <c r="K1943" s="284"/>
      <c r="L1943" s="304"/>
      <c r="M1943" s="284"/>
      <c r="N1943" s="284"/>
      <c r="O1943" s="305"/>
      <c r="P1943" s="306">
        <v>1369960.1977258837</v>
      </c>
      <c r="Q1943" s="346">
        <v>1173923.9576963184</v>
      </c>
      <c r="R1943" s="284"/>
      <c r="S1943" s="284"/>
      <c r="T1943" s="305"/>
      <c r="U1943" s="284"/>
      <c r="V1943" s="284"/>
      <c r="W1943" s="422"/>
      <c r="X1943" s="284">
        <v>3</v>
      </c>
      <c r="Y1943" s="284" t="s">
        <v>2117</v>
      </c>
      <c r="Z1943" s="284">
        <v>2</v>
      </c>
      <c r="AA1943" s="287" t="s">
        <v>2104</v>
      </c>
      <c r="AB1943" s="284"/>
      <c r="AC1943" s="308">
        <v>305762430.10000002</v>
      </c>
      <c r="AD1943" s="284">
        <v>22915004589.311516</v>
      </c>
      <c r="AE1943" s="309">
        <v>1.334332833791445E-2</v>
      </c>
      <c r="AF1943" s="284">
        <v>4184508988.0541759</v>
      </c>
      <c r="AG1943" s="310">
        <v>7.3070085635586493E-2</v>
      </c>
      <c r="AH1943" s="310">
        <v>0.23061699273975583</v>
      </c>
      <c r="AI1943" s="284">
        <v>2958180000</v>
      </c>
      <c r="AJ1943" s="310">
        <v>0.10336167173735203</v>
      </c>
      <c r="AK1943" s="284">
        <v>645534737.65924585</v>
      </c>
      <c r="AL1943" s="310">
        <v>0.47365759309671857</v>
      </c>
      <c r="AM1943" s="284">
        <v>1416422263.6745234</v>
      </c>
      <c r="AN1943" s="311">
        <v>0.21586954536197583</v>
      </c>
      <c r="AO1943" s="284">
        <v>44973330</v>
      </c>
      <c r="AP1943" s="284" t="s">
        <v>2842</v>
      </c>
      <c r="AQ1943" s="284">
        <v>59.181707317073176</v>
      </c>
      <c r="AR1943" s="284">
        <v>41.4</v>
      </c>
      <c r="AS1943" s="287" t="s">
        <v>2842</v>
      </c>
      <c r="AT1943" s="312">
        <v>31</v>
      </c>
      <c r="AU1943" s="465">
        <v>49.764495378498069</v>
      </c>
      <c r="AV1943" s="287">
        <v>-0.13151836042925999</v>
      </c>
      <c r="AW1943" s="287">
        <v>-2.1697929680339199E-2</v>
      </c>
      <c r="AX1943" s="287">
        <v>-0.57781563906899402</v>
      </c>
      <c r="AY1943" s="287">
        <v>-0.40900807079562401</v>
      </c>
      <c r="AZ1943" s="313">
        <v>-0.53900717651020602</v>
      </c>
    </row>
    <row r="1944" spans="1:52" s="29" customFormat="1" ht="15" customHeight="1">
      <c r="A1944" s="332" t="s">
        <v>496</v>
      </c>
      <c r="B1944" s="27">
        <v>2011</v>
      </c>
      <c r="C1944" s="27" t="s">
        <v>492</v>
      </c>
      <c r="D1944" s="27" t="s">
        <v>81</v>
      </c>
      <c r="E1944" s="27" t="s">
        <v>379</v>
      </c>
      <c r="F1944" s="27" t="s">
        <v>659</v>
      </c>
      <c r="G1944" s="43"/>
      <c r="H1944" s="43"/>
      <c r="I1944" s="43"/>
      <c r="J1944" s="43"/>
      <c r="K1944" s="27"/>
      <c r="L1944" s="28"/>
      <c r="M1944" s="27"/>
      <c r="N1944" s="27"/>
      <c r="O1944" s="18">
        <f>O1945+O1946</f>
        <v>2268796475.7893023</v>
      </c>
      <c r="P1944" s="213">
        <v>329804745</v>
      </c>
      <c r="Q1944" s="213">
        <v>337100430</v>
      </c>
      <c r="R1944" s="27" t="s">
        <v>619</v>
      </c>
      <c r="S1944" s="27"/>
      <c r="T1944" s="18"/>
      <c r="U1944" s="27" t="s">
        <v>1085</v>
      </c>
      <c r="V1944" s="27" t="s">
        <v>2083</v>
      </c>
      <c r="W1944" s="30">
        <v>1507.7</v>
      </c>
      <c r="X1944" s="27">
        <v>30</v>
      </c>
      <c r="Y1944" s="27" t="s">
        <v>2118</v>
      </c>
      <c r="Z1944" s="27">
        <v>29</v>
      </c>
      <c r="AA1944" s="29" t="s">
        <v>2119</v>
      </c>
      <c r="AB1944" s="27" t="s">
        <v>3681</v>
      </c>
      <c r="AC1944" s="273">
        <v>329804745</v>
      </c>
      <c r="AD1944" s="27">
        <v>23874165023.892677</v>
      </c>
      <c r="AE1944" s="228">
        <v>1.3814294433750438E-2</v>
      </c>
      <c r="AF1944" s="27">
        <v>4476644683.6301165</v>
      </c>
      <c r="AG1944" s="226">
        <v>7.3672307790253508E-2</v>
      </c>
      <c r="AH1944" s="226">
        <v>0.23443276213662881</v>
      </c>
      <c r="AI1944" s="27">
        <v>2445770000</v>
      </c>
      <c r="AJ1944" s="226">
        <v>0.13484699910457648</v>
      </c>
      <c r="AK1944" s="27">
        <v>658624559.45827961</v>
      </c>
      <c r="AL1944" s="226">
        <v>0.50074771774569904</v>
      </c>
      <c r="AM1944" s="27" t="s">
        <v>2842</v>
      </c>
      <c r="AN1944" s="271" t="s">
        <v>2842</v>
      </c>
      <c r="AO1944" s="27">
        <v>46354607</v>
      </c>
      <c r="AP1944" s="27" t="s">
        <v>2842</v>
      </c>
      <c r="AQ1944" s="27">
        <v>60.074658536585375</v>
      </c>
      <c r="AR1944" s="27">
        <v>39.200000000000003</v>
      </c>
      <c r="AS1944" s="29" t="s">
        <v>2842</v>
      </c>
      <c r="AT1944" s="270">
        <v>31</v>
      </c>
      <c r="AU1944" s="464">
        <v>49.764495378498069</v>
      </c>
      <c r="AV1944" s="29">
        <v>-0.171205232800549</v>
      </c>
      <c r="AW1944" s="29">
        <v>-4.4534858090529698E-2</v>
      </c>
      <c r="AX1944" s="29">
        <v>-0.62902810457442004</v>
      </c>
      <c r="AY1944" s="29">
        <v>-0.40353636246337099</v>
      </c>
      <c r="AZ1944" s="60">
        <v>-0.675948611776366</v>
      </c>
    </row>
    <row r="1945" spans="1:52" s="29" customFormat="1" ht="15" customHeight="1">
      <c r="A1945" s="59" t="s">
        <v>496</v>
      </c>
      <c r="B1945" s="27">
        <v>2011</v>
      </c>
      <c r="C1945" s="27" t="s">
        <v>492</v>
      </c>
      <c r="D1945" s="27" t="s">
        <v>81</v>
      </c>
      <c r="E1945" s="29" t="s">
        <v>552</v>
      </c>
      <c r="F1945" s="27" t="s">
        <v>552</v>
      </c>
      <c r="G1945" s="43">
        <f>(((28000000000/365)*184)+((30000000000/365)*181))*0.0283168</f>
        <v>820954459.17808223</v>
      </c>
      <c r="H1945" s="43"/>
      <c r="I1945" s="43"/>
      <c r="J1945" s="43"/>
      <c r="K1945" s="27" t="s">
        <v>599</v>
      </c>
      <c r="L1945" s="28">
        <f>((0.174108/365)*184)+(0.19666/365)*181</f>
        <v>0.18529132054794523</v>
      </c>
      <c r="M1945" s="27" t="s">
        <v>600</v>
      </c>
      <c r="N1945" s="27" t="s">
        <v>601</v>
      </c>
      <c r="O1945" s="18">
        <f>G1945*L1945</f>
        <v>152115735.85083106</v>
      </c>
      <c r="P1945" s="213">
        <v>73086077.200000003</v>
      </c>
      <c r="Q1945" s="214">
        <v>71562388.00999999</v>
      </c>
      <c r="R1945" s="27"/>
      <c r="S1945" s="27"/>
      <c r="T1945" s="18"/>
      <c r="U1945" s="27"/>
      <c r="V1945" s="42"/>
      <c r="W1945" s="45"/>
      <c r="X1945" s="27">
        <v>12</v>
      </c>
      <c r="Y1945" s="29" t="s">
        <v>2120</v>
      </c>
      <c r="Z1945" s="27">
        <v>11</v>
      </c>
      <c r="AA1945" s="29" t="s">
        <v>2119</v>
      </c>
      <c r="AB1945" s="27" t="s">
        <v>2121</v>
      </c>
      <c r="AC1945" s="273">
        <v>329804745</v>
      </c>
      <c r="AD1945" s="27">
        <v>23874165023.892677</v>
      </c>
      <c r="AE1945" s="228">
        <v>1.3814294433750438E-2</v>
      </c>
      <c r="AF1945" s="27">
        <v>4476644683.6301165</v>
      </c>
      <c r="AG1945" s="226">
        <v>7.3672307790253508E-2</v>
      </c>
      <c r="AH1945" s="226">
        <v>0.23443276213662881</v>
      </c>
      <c r="AI1945" s="27">
        <v>2445770000</v>
      </c>
      <c r="AJ1945" s="226">
        <v>0.13484699910457648</v>
      </c>
      <c r="AK1945" s="27">
        <v>658624559.45827961</v>
      </c>
      <c r="AL1945" s="226">
        <v>0.50074771774569904</v>
      </c>
      <c r="AM1945" s="27" t="s">
        <v>2842</v>
      </c>
      <c r="AN1945" s="271" t="s">
        <v>2842</v>
      </c>
      <c r="AO1945" s="27">
        <v>46354607</v>
      </c>
      <c r="AP1945" s="27" t="s">
        <v>2842</v>
      </c>
      <c r="AQ1945" s="27">
        <v>60.074658536585375</v>
      </c>
      <c r="AR1945" s="27">
        <v>39.200000000000003</v>
      </c>
      <c r="AS1945" s="29" t="s">
        <v>2842</v>
      </c>
      <c r="AT1945" s="270">
        <v>31</v>
      </c>
      <c r="AU1945" s="464">
        <v>49.764495378498069</v>
      </c>
      <c r="AV1945" s="29">
        <v>-0.171205232800549</v>
      </c>
      <c r="AW1945" s="29">
        <v>-4.4534858090529698E-2</v>
      </c>
      <c r="AX1945" s="29">
        <v>-0.62902810457442004</v>
      </c>
      <c r="AY1945" s="29">
        <v>-0.40353636246337099</v>
      </c>
      <c r="AZ1945" s="60">
        <v>-0.675948611776366</v>
      </c>
    </row>
    <row r="1946" spans="1:52" s="29" customFormat="1" ht="15" customHeight="1">
      <c r="A1946" s="59" t="s">
        <v>496</v>
      </c>
      <c r="B1946" s="27">
        <v>2011</v>
      </c>
      <c r="C1946" s="27" t="s">
        <v>492</v>
      </c>
      <c r="D1946" s="27" t="s">
        <v>81</v>
      </c>
      <c r="E1946" s="29" t="s">
        <v>19</v>
      </c>
      <c r="F1946" s="27" t="s">
        <v>559</v>
      </c>
      <c r="G1946" s="43"/>
      <c r="H1946" s="43"/>
      <c r="I1946" s="43"/>
      <c r="J1946" s="43"/>
      <c r="K1946" s="27"/>
      <c r="L1946" s="28"/>
      <c r="M1946" s="27"/>
      <c r="N1946" s="27"/>
      <c r="O1946" s="18">
        <f>SUM(O1947:O1952)</f>
        <v>2116680739.9384713</v>
      </c>
      <c r="P1946" s="213">
        <v>256718668.419</v>
      </c>
      <c r="Q1946" s="214">
        <v>265538041.09299999</v>
      </c>
      <c r="R1946" s="27"/>
      <c r="S1946" s="27"/>
      <c r="T1946" s="18"/>
      <c r="U1946" s="27"/>
      <c r="V1946" s="42"/>
      <c r="W1946" s="45"/>
      <c r="X1946" s="27">
        <v>18</v>
      </c>
      <c r="Y1946" s="29" t="s">
        <v>2122</v>
      </c>
      <c r="Z1946" s="27">
        <v>18</v>
      </c>
      <c r="AB1946" s="27"/>
      <c r="AC1946" s="273">
        <v>329804745</v>
      </c>
      <c r="AD1946" s="27">
        <v>23874165023.892677</v>
      </c>
      <c r="AE1946" s="228">
        <v>1.3814294433750438E-2</v>
      </c>
      <c r="AF1946" s="27">
        <v>4476644683.6301165</v>
      </c>
      <c r="AG1946" s="226">
        <v>7.3672307790253508E-2</v>
      </c>
      <c r="AH1946" s="226">
        <v>0.23443276213662881</v>
      </c>
      <c r="AI1946" s="27">
        <v>2445770000</v>
      </c>
      <c r="AJ1946" s="226">
        <v>0.13484699910457648</v>
      </c>
      <c r="AK1946" s="27">
        <v>658624559.45827961</v>
      </c>
      <c r="AL1946" s="226">
        <v>0.50074771774569904</v>
      </c>
      <c r="AM1946" s="27" t="s">
        <v>2842</v>
      </c>
      <c r="AN1946" s="271" t="s">
        <v>2842</v>
      </c>
      <c r="AO1946" s="27">
        <v>46354607</v>
      </c>
      <c r="AP1946" s="27" t="s">
        <v>2842</v>
      </c>
      <c r="AQ1946" s="27">
        <v>60.074658536585375</v>
      </c>
      <c r="AR1946" s="27">
        <v>39.200000000000003</v>
      </c>
      <c r="AS1946" s="29" t="s">
        <v>2842</v>
      </c>
      <c r="AT1946" s="270">
        <v>31</v>
      </c>
      <c r="AU1946" s="464">
        <v>49.764495378498069</v>
      </c>
      <c r="AV1946" s="29">
        <v>-0.171205232800549</v>
      </c>
      <c r="AW1946" s="29">
        <v>-4.4534858090529698E-2</v>
      </c>
      <c r="AX1946" s="29">
        <v>-0.62902810457442004</v>
      </c>
      <c r="AY1946" s="29">
        <v>-0.40353636246337099</v>
      </c>
      <c r="AZ1946" s="60">
        <v>-0.675948611776366</v>
      </c>
    </row>
    <row r="1947" spans="1:52" s="29" customFormat="1" ht="15" customHeight="1">
      <c r="A1947" s="59" t="s">
        <v>496</v>
      </c>
      <c r="B1947" s="27">
        <v>2011</v>
      </c>
      <c r="C1947" s="27" t="s">
        <v>492</v>
      </c>
      <c r="D1947" s="27" t="s">
        <v>81</v>
      </c>
      <c r="E1947" s="29" t="s">
        <v>19</v>
      </c>
      <c r="F1947" s="27" t="s">
        <v>904</v>
      </c>
      <c r="G1947" s="595">
        <f>((80498/365)*184)+(28378/365)*181</f>
        <v>54652.191780821922</v>
      </c>
      <c r="H1947" s="595">
        <v>29879</v>
      </c>
      <c r="I1947" s="43"/>
      <c r="J1947" s="43"/>
      <c r="K1947" s="27" t="s">
        <v>905</v>
      </c>
      <c r="L1947" s="28">
        <v>301.99626049754397</v>
      </c>
      <c r="M1947" s="27" t="s">
        <v>2123</v>
      </c>
      <c r="N1947" s="27" t="s">
        <v>2124</v>
      </c>
      <c r="O1947" s="18">
        <f>G1947*L1947</f>
        <v>16504757.545802828</v>
      </c>
      <c r="P1947" s="213">
        <v>5227716.7209999999</v>
      </c>
      <c r="Q1947" s="214">
        <v>4225205.9950000001</v>
      </c>
      <c r="R1947" s="27"/>
      <c r="S1947" s="27"/>
      <c r="T1947" s="18"/>
      <c r="U1947" s="27"/>
      <c r="V1947" s="42"/>
      <c r="W1947" s="45"/>
      <c r="X1947" s="27">
        <v>1</v>
      </c>
      <c r="Y1947" s="27" t="s">
        <v>2109</v>
      </c>
      <c r="Z1947" s="27">
        <v>1</v>
      </c>
      <c r="AA1947" s="29" t="s">
        <v>2125</v>
      </c>
      <c r="AB1947" s="27" t="s">
        <v>3790</v>
      </c>
      <c r="AC1947" s="273">
        <v>329804745</v>
      </c>
      <c r="AD1947" s="27">
        <v>23874165023.892677</v>
      </c>
      <c r="AE1947" s="228">
        <v>1.3814294433750438E-2</v>
      </c>
      <c r="AF1947" s="27">
        <v>4476644683.6301165</v>
      </c>
      <c r="AG1947" s="226">
        <v>7.3672307790253508E-2</v>
      </c>
      <c r="AH1947" s="226">
        <v>0.23443276213662881</v>
      </c>
      <c r="AI1947" s="27">
        <v>2445770000</v>
      </c>
      <c r="AJ1947" s="226">
        <v>0.13484699910457648</v>
      </c>
      <c r="AK1947" s="27">
        <v>658624559.45827961</v>
      </c>
      <c r="AL1947" s="226">
        <v>0.50074771774569904</v>
      </c>
      <c r="AM1947" s="27" t="s">
        <v>2842</v>
      </c>
      <c r="AN1947" s="271" t="s">
        <v>2842</v>
      </c>
      <c r="AO1947" s="27">
        <v>46354607</v>
      </c>
      <c r="AP1947" s="27" t="s">
        <v>2842</v>
      </c>
      <c r="AQ1947" s="27">
        <v>60.074658536585375</v>
      </c>
      <c r="AR1947" s="27">
        <v>39.200000000000003</v>
      </c>
      <c r="AS1947" s="29" t="s">
        <v>2842</v>
      </c>
      <c r="AT1947" s="270">
        <v>31</v>
      </c>
      <c r="AU1947" s="464">
        <v>49.764495378498069</v>
      </c>
      <c r="AV1947" s="29">
        <v>-0.171205232800549</v>
      </c>
      <c r="AW1947" s="29">
        <v>-4.4534858090529698E-2</v>
      </c>
      <c r="AX1947" s="29">
        <v>-0.62902810457442004</v>
      </c>
      <c r="AY1947" s="29">
        <v>-0.40353636246337099</v>
      </c>
      <c r="AZ1947" s="60">
        <v>-0.675948611776366</v>
      </c>
    </row>
    <row r="1948" spans="1:52" s="29" customFormat="1" ht="15" customHeight="1">
      <c r="A1948" s="59" t="s">
        <v>496</v>
      </c>
      <c r="B1948" s="27">
        <v>2011</v>
      </c>
      <c r="C1948" s="27" t="s">
        <v>492</v>
      </c>
      <c r="D1948" s="27" t="s">
        <v>81</v>
      </c>
      <c r="E1948" s="29" t="s">
        <v>19</v>
      </c>
      <c r="F1948" s="27" t="s">
        <v>730</v>
      </c>
      <c r="G1948" s="43">
        <f>(((39448/365)*184)+((42300/365)*181))*32.1507431265</f>
        <v>1313752.6502262729</v>
      </c>
      <c r="H1948" s="43">
        <v>1293058</v>
      </c>
      <c r="I1948" s="197"/>
      <c r="J1948" s="197"/>
      <c r="K1948" s="27" t="s">
        <v>731</v>
      </c>
      <c r="L1948" s="28">
        <f>1393.11256776142/0.911458333</f>
        <v>1528.4435034743601</v>
      </c>
      <c r="M1948" s="27" t="s">
        <v>732</v>
      </c>
      <c r="N1948" s="27" t="s">
        <v>2124</v>
      </c>
      <c r="O1948" s="18">
        <f>G1948*L1948</f>
        <v>2007996703.4105701</v>
      </c>
      <c r="P1948" s="213">
        <v>169530430.09999999</v>
      </c>
      <c r="Q1948" s="214">
        <v>179357734.40000001</v>
      </c>
      <c r="R1948" s="27"/>
      <c r="S1948" s="27"/>
      <c r="T1948" s="18"/>
      <c r="U1948" s="28"/>
      <c r="V1948" s="42"/>
      <c r="W1948" s="45"/>
      <c r="X1948" s="27"/>
      <c r="Y1948" s="27"/>
      <c r="Z1948" s="27"/>
      <c r="AA1948" s="27">
        <v>21</v>
      </c>
      <c r="AB1948" s="27"/>
      <c r="AC1948" s="273">
        <v>329804745</v>
      </c>
      <c r="AD1948" s="27">
        <v>23874165023.892677</v>
      </c>
      <c r="AE1948" s="228">
        <v>1.3814294433750438E-2</v>
      </c>
      <c r="AF1948" s="27">
        <v>4476644683.6301165</v>
      </c>
      <c r="AG1948" s="226">
        <v>7.3672307790253508E-2</v>
      </c>
      <c r="AH1948" s="226">
        <v>0.23443276213662881</v>
      </c>
      <c r="AI1948" s="27">
        <v>2445770000</v>
      </c>
      <c r="AJ1948" s="226">
        <v>0.13484699910457648</v>
      </c>
      <c r="AK1948" s="27">
        <v>658624559.45827961</v>
      </c>
      <c r="AL1948" s="226">
        <v>0.50074771774569904</v>
      </c>
      <c r="AM1948" s="27" t="s">
        <v>2842</v>
      </c>
      <c r="AN1948" s="271" t="s">
        <v>2842</v>
      </c>
      <c r="AO1948" s="27">
        <v>46354607</v>
      </c>
      <c r="AP1948" s="27" t="s">
        <v>2842</v>
      </c>
      <c r="AQ1948" s="27">
        <v>60.074658536585375</v>
      </c>
      <c r="AR1948" s="27">
        <v>39.200000000000003</v>
      </c>
      <c r="AS1948" s="29" t="s">
        <v>2842</v>
      </c>
      <c r="AT1948" s="270">
        <v>31</v>
      </c>
      <c r="AU1948" s="464">
        <v>49.764495378498069</v>
      </c>
      <c r="AV1948" s="29">
        <v>-0.171205232800549</v>
      </c>
      <c r="AW1948" s="29">
        <v>-4.4534858090529698E-2</v>
      </c>
      <c r="AX1948" s="29">
        <v>-0.62902810457442004</v>
      </c>
      <c r="AY1948" s="29">
        <v>-0.40353636246337099</v>
      </c>
      <c r="AZ1948" s="60">
        <v>-0.675948611776366</v>
      </c>
    </row>
    <row r="1949" spans="1:52" s="29" customFormat="1" ht="15" customHeight="1">
      <c r="A1949" s="59" t="s">
        <v>496</v>
      </c>
      <c r="B1949" s="27">
        <v>2011</v>
      </c>
      <c r="C1949" s="27" t="s">
        <v>492</v>
      </c>
      <c r="D1949" s="27" t="s">
        <v>81</v>
      </c>
      <c r="E1949" s="29" t="s">
        <v>19</v>
      </c>
      <c r="F1949" s="27" t="s">
        <v>653</v>
      </c>
      <c r="G1949" s="43">
        <f>((1436600/365)*184)+(1972100/365)*181</f>
        <v>1702149.3150684931</v>
      </c>
      <c r="H1949" s="43">
        <v>1267369</v>
      </c>
      <c r="I1949" s="43"/>
      <c r="J1949" s="43"/>
      <c r="K1949" s="27" t="s">
        <v>567</v>
      </c>
      <c r="L1949" s="28">
        <v>9.0299999999999994</v>
      </c>
      <c r="M1949" s="27" t="s">
        <v>568</v>
      </c>
      <c r="N1949" s="27" t="s">
        <v>3794</v>
      </c>
      <c r="O1949" s="18">
        <f>G1949*L1949</f>
        <v>15370408.315068493</v>
      </c>
      <c r="P1949" s="213">
        <v>73175062.082000002</v>
      </c>
      <c r="Q1949" s="214">
        <v>72820703.819999993</v>
      </c>
      <c r="R1949" s="27"/>
      <c r="S1949" s="27"/>
      <c r="T1949" s="18"/>
      <c r="U1949" s="28"/>
      <c r="V1949" s="42"/>
      <c r="W1949" s="45"/>
      <c r="X1949" s="27">
        <v>3</v>
      </c>
      <c r="Y1949" s="27" t="s">
        <v>2111</v>
      </c>
      <c r="Z1949" s="27">
        <v>2</v>
      </c>
      <c r="AA1949" s="29" t="s">
        <v>2125</v>
      </c>
      <c r="AB1949" s="27" t="s">
        <v>3795</v>
      </c>
      <c r="AC1949" s="273">
        <v>329804745</v>
      </c>
      <c r="AD1949" s="27">
        <v>23874165023.892677</v>
      </c>
      <c r="AE1949" s="228">
        <v>1.3814294433750438E-2</v>
      </c>
      <c r="AF1949" s="27">
        <v>4476644683.6301165</v>
      </c>
      <c r="AG1949" s="226">
        <v>7.3672307790253508E-2</v>
      </c>
      <c r="AH1949" s="226">
        <v>0.23443276213662881</v>
      </c>
      <c r="AI1949" s="27">
        <v>2445770000</v>
      </c>
      <c r="AJ1949" s="226">
        <v>0.13484699910457648</v>
      </c>
      <c r="AK1949" s="27">
        <v>658624559.45827961</v>
      </c>
      <c r="AL1949" s="226">
        <v>0.50074771774569904</v>
      </c>
      <c r="AM1949" s="27" t="s">
        <v>2842</v>
      </c>
      <c r="AN1949" s="271" t="s">
        <v>2842</v>
      </c>
      <c r="AO1949" s="27">
        <v>46354607</v>
      </c>
      <c r="AP1949" s="27" t="s">
        <v>2842</v>
      </c>
      <c r="AQ1949" s="27">
        <v>60.074658536585375</v>
      </c>
      <c r="AR1949" s="27">
        <v>39.200000000000003</v>
      </c>
      <c r="AS1949" s="29" t="s">
        <v>2842</v>
      </c>
      <c r="AT1949" s="270">
        <v>31</v>
      </c>
      <c r="AU1949" s="464">
        <v>49.764495378498069</v>
      </c>
      <c r="AV1949" s="29">
        <v>-0.171205232800549</v>
      </c>
      <c r="AW1949" s="29">
        <v>-4.4534858090529698E-2</v>
      </c>
      <c r="AX1949" s="29">
        <v>-0.62902810457442004</v>
      </c>
      <c r="AY1949" s="29">
        <v>-0.40353636246337099</v>
      </c>
      <c r="AZ1949" s="60">
        <v>-0.675948611776366</v>
      </c>
    </row>
    <row r="1950" spans="1:52" s="29" customFormat="1" ht="15" customHeight="1">
      <c r="A1950" s="59" t="s">
        <v>496</v>
      </c>
      <c r="B1950" s="27">
        <v>2011</v>
      </c>
      <c r="C1950" s="27" t="s">
        <v>492</v>
      </c>
      <c r="D1950" s="27" t="s">
        <v>81</v>
      </c>
      <c r="E1950" s="29" t="s">
        <v>19</v>
      </c>
      <c r="F1950" s="27" t="s">
        <v>2098</v>
      </c>
      <c r="G1950" s="595">
        <f>((2001/365)*184)+(823/365)*181</f>
        <v>1416.841095890411</v>
      </c>
      <c r="H1950" s="595">
        <f>2406158*0.0002</f>
        <v>481.23160000000001</v>
      </c>
      <c r="I1950" s="43"/>
      <c r="J1950" s="43"/>
      <c r="K1950" s="27" t="s">
        <v>894</v>
      </c>
      <c r="L1950" s="28">
        <f>10.8422702997275/0.0002</f>
        <v>54211.351498637501</v>
      </c>
      <c r="M1950" s="27" t="s">
        <v>1743</v>
      </c>
      <c r="N1950" s="27" t="s">
        <v>2124</v>
      </c>
      <c r="O1950" s="18">
        <f>G1950*L1950</f>
        <v>76808870.667029828</v>
      </c>
      <c r="P1950" s="213">
        <v>2900644.7749999999</v>
      </c>
      <c r="Q1950" s="214">
        <v>3068262.0874000001</v>
      </c>
      <c r="R1950" s="27"/>
      <c r="S1950" s="27"/>
      <c r="T1950" s="18"/>
      <c r="U1950" s="28"/>
      <c r="V1950" s="42"/>
      <c r="W1950" s="45"/>
      <c r="X1950" s="27">
        <v>2</v>
      </c>
      <c r="Y1950" s="27" t="s">
        <v>2126</v>
      </c>
      <c r="Z1950" s="27">
        <v>2</v>
      </c>
      <c r="AA1950" s="29" t="s">
        <v>2125</v>
      </c>
      <c r="AB1950" s="27" t="s">
        <v>3791</v>
      </c>
      <c r="AC1950" s="273">
        <v>329804745</v>
      </c>
      <c r="AD1950" s="27">
        <v>23874165023.892677</v>
      </c>
      <c r="AE1950" s="228">
        <v>1.3814294433750438E-2</v>
      </c>
      <c r="AF1950" s="27">
        <v>4476644683.6301165</v>
      </c>
      <c r="AG1950" s="226">
        <v>7.3672307790253508E-2</v>
      </c>
      <c r="AH1950" s="226">
        <v>0.23443276213662881</v>
      </c>
      <c r="AI1950" s="27">
        <v>2445770000</v>
      </c>
      <c r="AJ1950" s="226">
        <v>0.13484699910457648</v>
      </c>
      <c r="AK1950" s="27">
        <v>658624559.45827961</v>
      </c>
      <c r="AL1950" s="226">
        <v>0.50074771774569904</v>
      </c>
      <c r="AM1950" s="27" t="s">
        <v>2842</v>
      </c>
      <c r="AN1950" s="271" t="s">
        <v>2842</v>
      </c>
      <c r="AO1950" s="27">
        <v>46354607</v>
      </c>
      <c r="AP1950" s="27" t="s">
        <v>2842</v>
      </c>
      <c r="AQ1950" s="27">
        <v>60.074658536585375</v>
      </c>
      <c r="AR1950" s="27">
        <v>39.200000000000003</v>
      </c>
      <c r="AS1950" s="29" t="s">
        <v>2842</v>
      </c>
      <c r="AT1950" s="270">
        <v>31</v>
      </c>
      <c r="AU1950" s="464">
        <v>49.764495378498069</v>
      </c>
      <c r="AV1950" s="29">
        <v>-0.171205232800549</v>
      </c>
      <c r="AW1950" s="29">
        <v>-4.4534858090529698E-2</v>
      </c>
      <c r="AX1950" s="29">
        <v>-0.62902810457442004</v>
      </c>
      <c r="AY1950" s="29">
        <v>-0.40353636246337099</v>
      </c>
      <c r="AZ1950" s="60">
        <v>-0.675948611776366</v>
      </c>
    </row>
    <row r="1951" spans="1:52" s="29" customFormat="1" ht="15" customHeight="1">
      <c r="A1951" s="59" t="s">
        <v>496</v>
      </c>
      <c r="B1951" s="27">
        <v>2011</v>
      </c>
      <c r="C1951" s="27" t="s">
        <v>492</v>
      </c>
      <c r="D1951" s="27" t="s">
        <v>81</v>
      </c>
      <c r="E1951" s="29" t="s">
        <v>19</v>
      </c>
      <c r="F1951" s="29" t="s">
        <v>1353</v>
      </c>
      <c r="G1951" s="43">
        <v>0</v>
      </c>
      <c r="H1951" s="43"/>
      <c r="I1951" s="43"/>
      <c r="J1951" s="43"/>
      <c r="K1951" s="27" t="s">
        <v>567</v>
      </c>
      <c r="L1951" s="28"/>
      <c r="M1951" s="27"/>
      <c r="N1951" s="27" t="s">
        <v>577</v>
      </c>
      <c r="O1951" s="18">
        <f>G1951*L1951</f>
        <v>0</v>
      </c>
      <c r="P1951" s="213">
        <v>4420994.0180000002</v>
      </c>
      <c r="Q1951" s="214">
        <v>4564733.0190000003</v>
      </c>
      <c r="R1951" s="27"/>
      <c r="S1951" s="27"/>
      <c r="T1951" s="18"/>
      <c r="U1951" s="27"/>
      <c r="V1951" s="42"/>
      <c r="W1951" s="45"/>
      <c r="X1951" s="27">
        <v>1</v>
      </c>
      <c r="Y1951" s="29" t="s">
        <v>2127</v>
      </c>
      <c r="Z1951" s="27">
        <v>1</v>
      </c>
      <c r="AA1951" s="29" t="s">
        <v>2125</v>
      </c>
      <c r="AB1951" s="27"/>
      <c r="AC1951" s="273">
        <v>329804745</v>
      </c>
      <c r="AD1951" s="27">
        <v>23874165023.892677</v>
      </c>
      <c r="AE1951" s="228">
        <v>1.3814294433750438E-2</v>
      </c>
      <c r="AF1951" s="27">
        <v>4476644683.6301165</v>
      </c>
      <c r="AG1951" s="226">
        <v>7.3672307790253508E-2</v>
      </c>
      <c r="AH1951" s="226">
        <v>0.23443276213662881</v>
      </c>
      <c r="AI1951" s="27">
        <v>2445770000</v>
      </c>
      <c r="AJ1951" s="226">
        <v>0.13484699910457648</v>
      </c>
      <c r="AK1951" s="27">
        <v>658624559.45827961</v>
      </c>
      <c r="AL1951" s="226">
        <v>0.50074771774569904</v>
      </c>
      <c r="AM1951" s="27" t="s">
        <v>2842</v>
      </c>
      <c r="AN1951" s="271" t="s">
        <v>2842</v>
      </c>
      <c r="AO1951" s="27">
        <v>46354607</v>
      </c>
      <c r="AP1951" s="27" t="s">
        <v>2842</v>
      </c>
      <c r="AQ1951" s="27">
        <v>60.074658536585375</v>
      </c>
      <c r="AR1951" s="27">
        <v>39.200000000000003</v>
      </c>
      <c r="AS1951" s="29" t="s">
        <v>2842</v>
      </c>
      <c r="AT1951" s="270">
        <v>31</v>
      </c>
      <c r="AU1951" s="464">
        <v>49.764495378498069</v>
      </c>
      <c r="AV1951" s="29">
        <v>-0.171205232800549</v>
      </c>
      <c r="AW1951" s="29">
        <v>-4.4534858090529698E-2</v>
      </c>
      <c r="AX1951" s="29">
        <v>-0.62902810457442004</v>
      </c>
      <c r="AY1951" s="29">
        <v>-0.40353636246337099</v>
      </c>
      <c r="AZ1951" s="60">
        <v>-0.675948611776366</v>
      </c>
    </row>
    <row r="1952" spans="1:52" s="287" customFormat="1" ht="15" customHeight="1">
      <c r="A1952" s="344" t="s">
        <v>496</v>
      </c>
      <c r="B1952" s="284">
        <v>2011</v>
      </c>
      <c r="C1952" s="284" t="s">
        <v>492</v>
      </c>
      <c r="D1952" s="284" t="s">
        <v>81</v>
      </c>
      <c r="E1952" s="287" t="s">
        <v>19</v>
      </c>
      <c r="F1952" s="284" t="s">
        <v>2116</v>
      </c>
      <c r="G1952" s="303"/>
      <c r="H1952" s="303"/>
      <c r="I1952" s="303"/>
      <c r="J1952" s="303"/>
      <c r="K1952" s="284"/>
      <c r="L1952" s="304"/>
      <c r="M1952" s="284"/>
      <c r="N1952" s="284"/>
      <c r="O1952" s="305"/>
      <c r="P1952" s="306">
        <v>1463821.085</v>
      </c>
      <c r="Q1952" s="346">
        <v>1501402.085</v>
      </c>
      <c r="R1952" s="284"/>
      <c r="S1952" s="284"/>
      <c r="T1952" s="305"/>
      <c r="U1952" s="284"/>
      <c r="V1952" s="366"/>
      <c r="W1952" s="422"/>
      <c r="X1952" s="284">
        <v>3</v>
      </c>
      <c r="Y1952" s="284" t="s">
        <v>2128</v>
      </c>
      <c r="Z1952" s="284">
        <v>3</v>
      </c>
      <c r="AB1952" s="284"/>
      <c r="AC1952" s="308">
        <v>329804745</v>
      </c>
      <c r="AD1952" s="284">
        <v>23874165023.892677</v>
      </c>
      <c r="AE1952" s="309">
        <v>1.3814294433750438E-2</v>
      </c>
      <c r="AF1952" s="284">
        <v>4476644683.6301165</v>
      </c>
      <c r="AG1952" s="310">
        <v>7.3672307790253508E-2</v>
      </c>
      <c r="AH1952" s="310">
        <v>0.23443276213662881</v>
      </c>
      <c r="AI1952" s="284">
        <v>2445770000</v>
      </c>
      <c r="AJ1952" s="310">
        <v>0.13484699910457648</v>
      </c>
      <c r="AK1952" s="284">
        <v>658624559.45827961</v>
      </c>
      <c r="AL1952" s="310">
        <v>0.50074771774569904</v>
      </c>
      <c r="AM1952" s="284" t="s">
        <v>2842</v>
      </c>
      <c r="AN1952" s="311" t="s">
        <v>2842</v>
      </c>
      <c r="AO1952" s="284">
        <v>46354607</v>
      </c>
      <c r="AP1952" s="284" t="s">
        <v>2842</v>
      </c>
      <c r="AQ1952" s="284">
        <v>60.074658536585375</v>
      </c>
      <c r="AR1952" s="284">
        <v>39.200000000000003</v>
      </c>
      <c r="AS1952" s="287" t="s">
        <v>2842</v>
      </c>
      <c r="AT1952" s="312">
        <v>31</v>
      </c>
      <c r="AU1952" s="465">
        <v>49.764495378498069</v>
      </c>
      <c r="AV1952" s="287">
        <v>-0.171205232800549</v>
      </c>
      <c r="AW1952" s="287">
        <v>-4.4534858090529698E-2</v>
      </c>
      <c r="AX1952" s="287">
        <v>-0.62902810457442004</v>
      </c>
      <c r="AY1952" s="287">
        <v>-0.40353636246337099</v>
      </c>
      <c r="AZ1952" s="313">
        <v>-0.675948611776366</v>
      </c>
    </row>
    <row r="1953" spans="1:52" ht="15" customHeight="1">
      <c r="A1953" s="332" t="s">
        <v>498</v>
      </c>
      <c r="B1953" s="27">
        <v>2012</v>
      </c>
      <c r="C1953" s="27" t="s">
        <v>492</v>
      </c>
      <c r="D1953" s="27" t="s">
        <v>81</v>
      </c>
      <c r="E1953" s="27" t="s">
        <v>30</v>
      </c>
      <c r="F1953" s="27" t="s">
        <v>659</v>
      </c>
      <c r="G1953" s="43"/>
      <c r="H1953" s="43"/>
      <c r="I1953" s="43"/>
      <c r="J1953" s="43"/>
      <c r="K1953" s="27"/>
      <c r="L1953" s="28"/>
      <c r="M1953" s="27"/>
      <c r="N1953" s="27"/>
      <c r="O1953" s="18">
        <f>O1954+O1957</f>
        <v>4347286720.5867748</v>
      </c>
      <c r="P1953" s="213">
        <v>468277747.69958961</v>
      </c>
      <c r="Q1953" s="213">
        <v>469605653.31086099</v>
      </c>
      <c r="R1953" s="27" t="s">
        <v>619</v>
      </c>
      <c r="S1953" s="27"/>
      <c r="T1953" s="18"/>
      <c r="U1953" s="27" t="s">
        <v>1085</v>
      </c>
      <c r="V1953" s="27" t="s">
        <v>2083</v>
      </c>
      <c r="W1953" s="30">
        <v>1617.99</v>
      </c>
      <c r="X1953" s="27">
        <v>46</v>
      </c>
      <c r="Y1953" s="27" t="s">
        <v>2129</v>
      </c>
      <c r="Z1953" s="27">
        <v>44</v>
      </c>
      <c r="AA1953" s="29" t="s">
        <v>2130</v>
      </c>
      <c r="AB1953" s="27" t="s">
        <v>3682</v>
      </c>
      <c r="AC1953" s="273">
        <v>468277747.69958961</v>
      </c>
      <c r="AD1953" s="27">
        <v>28248632095.687702</v>
      </c>
      <c r="AE1953" s="228">
        <v>1.6577006140098181E-2</v>
      </c>
      <c r="AF1953" s="27">
        <v>6005941669.8641624</v>
      </c>
      <c r="AG1953" s="226">
        <v>7.7969080194243839E-2</v>
      </c>
      <c r="AH1953" s="226">
        <v>0.17160996577278326</v>
      </c>
      <c r="AI1953" s="27">
        <v>2831890000</v>
      </c>
      <c r="AJ1953" s="226">
        <v>0.16535873487303165</v>
      </c>
      <c r="AK1953" s="27">
        <v>776925028.19606304</v>
      </c>
      <c r="AL1953" s="226">
        <v>0.60273222087706524</v>
      </c>
      <c r="AM1953" s="27" t="s">
        <v>2842</v>
      </c>
      <c r="AN1953" s="271" t="s">
        <v>2842</v>
      </c>
      <c r="AO1953" s="27">
        <v>47783107</v>
      </c>
      <c r="AP1953" s="27">
        <v>28.2</v>
      </c>
      <c r="AQ1953" s="27">
        <v>60.84643902439025</v>
      </c>
      <c r="AR1953" s="27">
        <v>37.700000000000003</v>
      </c>
      <c r="AS1953" s="29" t="s">
        <v>2842</v>
      </c>
      <c r="AT1953" s="270">
        <v>31</v>
      </c>
      <c r="AU1953" s="464">
        <v>49.764495378498069</v>
      </c>
      <c r="AV1953" s="29">
        <v>-0.22291643302056699</v>
      </c>
      <c r="AW1953" s="29">
        <v>2.69374400343513E-2</v>
      </c>
      <c r="AX1953" s="29">
        <v>-0.69087113955483004</v>
      </c>
      <c r="AY1953" s="29">
        <v>-0.39860635659708998</v>
      </c>
      <c r="AZ1953" s="60">
        <v>-0.85063478049108399</v>
      </c>
    </row>
    <row r="1954" spans="1:52" ht="15" customHeight="1">
      <c r="A1954" s="59" t="s">
        <v>498</v>
      </c>
      <c r="B1954" s="27">
        <v>2012</v>
      </c>
      <c r="C1954" s="27" t="s">
        <v>492</v>
      </c>
      <c r="D1954" s="27" t="s">
        <v>81</v>
      </c>
      <c r="E1954" s="29" t="s">
        <v>50</v>
      </c>
      <c r="F1954" s="27" t="s">
        <v>597</v>
      </c>
      <c r="G1954" s="43"/>
      <c r="H1954" s="43"/>
      <c r="I1954" s="43"/>
      <c r="J1954" s="43"/>
      <c r="K1954" s="29"/>
      <c r="L1954" s="28"/>
      <c r="M1954" s="29"/>
      <c r="N1954" s="29"/>
      <c r="O1954" s="18">
        <f>SUM(O1955:O1956)</f>
        <v>164626258.23755881</v>
      </c>
      <c r="P1954" s="213">
        <v>89598040.779347211</v>
      </c>
      <c r="Q1954" s="213">
        <v>88601056.249303147</v>
      </c>
      <c r="R1954" s="27"/>
      <c r="S1954" s="27"/>
      <c r="T1954" s="18"/>
      <c r="U1954" s="27"/>
      <c r="V1954" s="42"/>
      <c r="W1954" s="45"/>
      <c r="X1954" s="27">
        <v>20</v>
      </c>
      <c r="Y1954" s="29" t="s">
        <v>2131</v>
      </c>
      <c r="Z1954" s="27">
        <v>20</v>
      </c>
      <c r="AA1954" s="29" t="s">
        <v>2130</v>
      </c>
      <c r="AB1954" s="27"/>
      <c r="AC1954" s="273">
        <v>468277747.69958961</v>
      </c>
      <c r="AD1954" s="27">
        <v>28248632095.687702</v>
      </c>
      <c r="AE1954" s="228">
        <v>1.6577006140098181E-2</v>
      </c>
      <c r="AF1954" s="27">
        <v>6005941669.8641624</v>
      </c>
      <c r="AG1954" s="226">
        <v>7.7969080194243839E-2</v>
      </c>
      <c r="AH1954" s="226">
        <v>0.17160996577278326</v>
      </c>
      <c r="AI1954" s="27">
        <v>2831890000</v>
      </c>
      <c r="AJ1954" s="226">
        <v>0.16535873487303165</v>
      </c>
      <c r="AK1954" s="27">
        <v>776925028.19606304</v>
      </c>
      <c r="AL1954" s="226">
        <v>0.60273222087706524</v>
      </c>
      <c r="AM1954" s="27" t="s">
        <v>2842</v>
      </c>
      <c r="AN1954" s="271" t="s">
        <v>2842</v>
      </c>
      <c r="AO1954" s="27">
        <v>47783107</v>
      </c>
      <c r="AP1954" s="27">
        <v>28.2</v>
      </c>
      <c r="AQ1954" s="27">
        <v>60.84643902439025</v>
      </c>
      <c r="AR1954" s="27">
        <v>37.700000000000003</v>
      </c>
      <c r="AS1954" s="29" t="s">
        <v>2842</v>
      </c>
      <c r="AT1954" s="270">
        <v>31</v>
      </c>
      <c r="AU1954" s="464">
        <v>49.764495378498069</v>
      </c>
      <c r="AV1954" s="29">
        <v>-0.22291643302056699</v>
      </c>
      <c r="AW1954" s="29">
        <v>2.69374400343513E-2</v>
      </c>
      <c r="AX1954" s="29">
        <v>-0.69087113955483004</v>
      </c>
      <c r="AY1954" s="29">
        <v>-0.39860635659708998</v>
      </c>
      <c r="AZ1954" s="60">
        <v>-0.85063478049108399</v>
      </c>
    </row>
    <row r="1955" spans="1:52" ht="15" customHeight="1">
      <c r="A1955" s="59" t="s">
        <v>498</v>
      </c>
      <c r="B1955" s="27">
        <v>2012</v>
      </c>
      <c r="C1955" s="27" t="s">
        <v>492</v>
      </c>
      <c r="D1955" s="27" t="s">
        <v>81</v>
      </c>
      <c r="E1955" s="29" t="s">
        <v>552</v>
      </c>
      <c r="F1955" s="27" t="s">
        <v>552</v>
      </c>
      <c r="G1955" s="43">
        <f>(((30000000000/365)*184)+((33000000000/365)*181))*0.0283168</f>
        <v>891630088.76712322</v>
      </c>
      <c r="H1955" s="43"/>
      <c r="I1955" s="43"/>
      <c r="J1955" s="43"/>
      <c r="K1955" s="27" t="s">
        <v>599</v>
      </c>
      <c r="L1955" s="28">
        <f>((0.19666/365)*184)+(0.172411/365)*181</f>
        <v>0.18463515342465753</v>
      </c>
      <c r="M1955" s="27" t="s">
        <v>600</v>
      </c>
      <c r="N1955" s="27" t="s">
        <v>601</v>
      </c>
      <c r="O1955" s="18">
        <f>G1955*L1955</f>
        <v>164626258.23755881</v>
      </c>
      <c r="P1955" s="213"/>
      <c r="Q1955" s="213"/>
      <c r="R1955" s="27"/>
      <c r="S1955" s="27"/>
      <c r="T1955" s="18"/>
      <c r="U1955" s="27"/>
      <c r="V1955" s="42"/>
      <c r="W1955" s="45"/>
      <c r="X1955" s="27"/>
      <c r="Y1955" s="29"/>
      <c r="Z1955" s="27"/>
      <c r="AA1955" s="27"/>
      <c r="AB1955" s="27"/>
      <c r="AC1955" s="273">
        <v>468277747.69958961</v>
      </c>
      <c r="AD1955" s="27">
        <v>28248632095.687702</v>
      </c>
      <c r="AE1955" s="228">
        <v>1.6577006140098181E-2</v>
      </c>
      <c r="AF1955" s="27">
        <v>6005941669.8641624</v>
      </c>
      <c r="AG1955" s="226">
        <v>7.7969080194243839E-2</v>
      </c>
      <c r="AH1955" s="226">
        <v>0.17160996577278326</v>
      </c>
      <c r="AI1955" s="27">
        <v>2831890000</v>
      </c>
      <c r="AJ1955" s="226">
        <v>0.16535873487303165</v>
      </c>
      <c r="AK1955" s="27">
        <v>776925028.19606304</v>
      </c>
      <c r="AL1955" s="226">
        <v>0.60273222087706524</v>
      </c>
      <c r="AM1955" s="27" t="s">
        <v>2842</v>
      </c>
      <c r="AN1955" s="271" t="s">
        <v>2842</v>
      </c>
      <c r="AO1955" s="27">
        <v>47783107</v>
      </c>
      <c r="AP1955" s="27">
        <v>28.2</v>
      </c>
      <c r="AQ1955" s="27">
        <v>60.84643902439025</v>
      </c>
      <c r="AR1955" s="27">
        <v>37.700000000000003</v>
      </c>
      <c r="AS1955" s="29" t="s">
        <v>2842</v>
      </c>
      <c r="AT1955" s="270">
        <v>31</v>
      </c>
      <c r="AU1955" s="464">
        <v>49.764495378498069</v>
      </c>
      <c r="AV1955" s="29">
        <v>-0.22291643302056699</v>
      </c>
      <c r="AW1955" s="29">
        <v>2.69374400343513E-2</v>
      </c>
      <c r="AX1955" s="29">
        <v>-0.69087113955483004</v>
      </c>
      <c r="AY1955" s="29">
        <v>-0.39860635659708998</v>
      </c>
      <c r="AZ1955" s="60">
        <v>-0.85063478049108399</v>
      </c>
    </row>
    <row r="1956" spans="1:52" ht="15" customHeight="1">
      <c r="A1956" s="59" t="s">
        <v>498</v>
      </c>
      <c r="B1956" s="27">
        <v>2012</v>
      </c>
      <c r="C1956" s="27" t="s">
        <v>492</v>
      </c>
      <c r="D1956" s="27" t="s">
        <v>81</v>
      </c>
      <c r="E1956" s="29" t="s">
        <v>98</v>
      </c>
      <c r="F1956" s="27" t="s">
        <v>98</v>
      </c>
      <c r="G1956" s="43">
        <v>0</v>
      </c>
      <c r="H1956" s="43"/>
      <c r="I1956" s="43"/>
      <c r="J1956" s="43"/>
      <c r="K1956" s="27" t="s">
        <v>603</v>
      </c>
      <c r="L1956" s="28"/>
      <c r="M1956" s="27"/>
      <c r="N1956" s="27" t="s">
        <v>604</v>
      </c>
      <c r="O1956" s="18">
        <f>G1956*L1956</f>
        <v>0</v>
      </c>
      <c r="P1956" s="213"/>
      <c r="Q1956" s="213"/>
      <c r="R1956" s="27"/>
      <c r="S1956" s="27"/>
      <c r="T1956" s="18"/>
      <c r="U1956" s="27"/>
      <c r="V1956" s="42"/>
      <c r="W1956" s="45"/>
      <c r="X1956" s="27"/>
      <c r="Y1956" s="29"/>
      <c r="Z1956" s="27"/>
      <c r="AA1956" s="29"/>
      <c r="AB1956" s="27"/>
      <c r="AC1956" s="273">
        <v>468277747.69958961</v>
      </c>
      <c r="AD1956" s="27">
        <v>28248632095.687702</v>
      </c>
      <c r="AE1956" s="228">
        <v>1.6577006140098181E-2</v>
      </c>
      <c r="AF1956" s="27">
        <v>6005941669.8641624</v>
      </c>
      <c r="AG1956" s="226">
        <v>7.7969080194243839E-2</v>
      </c>
      <c r="AH1956" s="226">
        <v>0.17160996577278326</v>
      </c>
      <c r="AI1956" s="27">
        <v>2831890000</v>
      </c>
      <c r="AJ1956" s="226">
        <v>0.16535873487303165</v>
      </c>
      <c r="AK1956" s="27">
        <v>776925028.19606304</v>
      </c>
      <c r="AL1956" s="226">
        <v>0.60273222087706524</v>
      </c>
      <c r="AM1956" s="27" t="s">
        <v>2842</v>
      </c>
      <c r="AN1956" s="271" t="s">
        <v>2842</v>
      </c>
      <c r="AO1956" s="27">
        <v>47783107</v>
      </c>
      <c r="AP1956" s="27">
        <v>28.2</v>
      </c>
      <c r="AQ1956" s="27">
        <v>60.84643902439025</v>
      </c>
      <c r="AR1956" s="27">
        <v>37.700000000000003</v>
      </c>
      <c r="AS1956" s="29" t="s">
        <v>2842</v>
      </c>
      <c r="AT1956" s="270">
        <v>31</v>
      </c>
      <c r="AU1956" s="464">
        <v>49.764495378498069</v>
      </c>
      <c r="AV1956" s="29">
        <v>-0.22291643302056699</v>
      </c>
      <c r="AW1956" s="29">
        <v>2.69374400343513E-2</v>
      </c>
      <c r="AX1956" s="29">
        <v>-0.69087113955483004</v>
      </c>
      <c r="AY1956" s="29">
        <v>-0.39860635659708998</v>
      </c>
      <c r="AZ1956" s="60">
        <v>-0.85063478049108399</v>
      </c>
    </row>
    <row r="1957" spans="1:52" ht="15" customHeight="1">
      <c r="A1957" s="59" t="s">
        <v>498</v>
      </c>
      <c r="B1957" s="27">
        <v>2012</v>
      </c>
      <c r="C1957" s="27" t="s">
        <v>492</v>
      </c>
      <c r="D1957" s="27" t="s">
        <v>81</v>
      </c>
      <c r="E1957" s="29" t="s">
        <v>19</v>
      </c>
      <c r="F1957" s="27" t="s">
        <v>559</v>
      </c>
      <c r="G1957" s="43"/>
      <c r="H1957" s="43"/>
      <c r="I1957" s="43"/>
      <c r="J1957" s="43"/>
      <c r="K1957" s="27"/>
      <c r="L1957" s="28"/>
      <c r="M1957" s="27"/>
      <c r="N1957" s="27"/>
      <c r="O1957" s="18">
        <f>SUM(O1958:O1964)</f>
        <v>4182660462.3492165</v>
      </c>
      <c r="P1957" s="213">
        <v>378679706.30280972</v>
      </c>
      <c r="Q1957" s="213">
        <v>381004596.44412512</v>
      </c>
      <c r="R1957" s="27"/>
      <c r="S1957" s="27"/>
      <c r="T1957" s="18"/>
      <c r="U1957" s="27"/>
      <c r="V1957" s="42"/>
      <c r="W1957" s="45"/>
      <c r="X1957" s="27">
        <v>26</v>
      </c>
      <c r="Y1957" s="29" t="s">
        <v>2132</v>
      </c>
      <c r="Z1957" s="27">
        <v>24</v>
      </c>
      <c r="AA1957" s="29"/>
      <c r="AB1957" s="27"/>
      <c r="AC1957" s="273">
        <v>468277747.69958961</v>
      </c>
      <c r="AD1957" s="27">
        <v>28248632095.687702</v>
      </c>
      <c r="AE1957" s="228">
        <v>1.6577006140098181E-2</v>
      </c>
      <c r="AF1957" s="27">
        <v>6005941669.8641624</v>
      </c>
      <c r="AG1957" s="226">
        <v>7.7969080194243839E-2</v>
      </c>
      <c r="AH1957" s="226">
        <v>0.17160996577278326</v>
      </c>
      <c r="AI1957" s="27">
        <v>2831890000</v>
      </c>
      <c r="AJ1957" s="226">
        <v>0.16535873487303165</v>
      </c>
      <c r="AK1957" s="27">
        <v>776925028.19606304</v>
      </c>
      <c r="AL1957" s="226">
        <v>0.60273222087706524</v>
      </c>
      <c r="AM1957" s="27" t="s">
        <v>2842</v>
      </c>
      <c r="AN1957" s="271" t="s">
        <v>2842</v>
      </c>
      <c r="AO1957" s="27">
        <v>47783107</v>
      </c>
      <c r="AP1957" s="27">
        <v>28.2</v>
      </c>
      <c r="AQ1957" s="27">
        <v>60.84643902439025</v>
      </c>
      <c r="AR1957" s="27">
        <v>37.700000000000003</v>
      </c>
      <c r="AS1957" s="29" t="s">
        <v>2842</v>
      </c>
      <c r="AT1957" s="270">
        <v>31</v>
      </c>
      <c r="AU1957" s="464">
        <v>49.764495378498069</v>
      </c>
      <c r="AV1957" s="29">
        <v>-0.22291643302056699</v>
      </c>
      <c r="AW1957" s="29">
        <v>2.69374400343513E-2</v>
      </c>
      <c r="AX1957" s="29">
        <v>-0.69087113955483004</v>
      </c>
      <c r="AY1957" s="29">
        <v>-0.39860635659708998</v>
      </c>
      <c r="AZ1957" s="60">
        <v>-0.85063478049108399</v>
      </c>
    </row>
    <row r="1958" spans="1:52" ht="15" customHeight="1">
      <c r="A1958" s="59" t="s">
        <v>498</v>
      </c>
      <c r="B1958" s="27">
        <v>2012</v>
      </c>
      <c r="C1958" s="27" t="s">
        <v>492</v>
      </c>
      <c r="D1958" s="27" t="s">
        <v>81</v>
      </c>
      <c r="E1958" s="29" t="s">
        <v>19</v>
      </c>
      <c r="F1958" s="27" t="s">
        <v>573</v>
      </c>
      <c r="G1958" s="43">
        <f>((80710/365)*184)+(78672/365)*181</f>
        <v>79699.375342465748</v>
      </c>
      <c r="H1958" s="43">
        <v>81000</v>
      </c>
      <c r="I1958" s="43"/>
      <c r="J1958" s="43"/>
      <c r="K1958" s="27" t="s">
        <v>567</v>
      </c>
      <c r="L1958" s="28">
        <f>((111.55/365)*184)+(90.02/365)*181</f>
        <v>100.8734794520548</v>
      </c>
      <c r="M1958" s="27" t="s">
        <v>568</v>
      </c>
      <c r="N1958" s="27" t="s">
        <v>2107</v>
      </c>
      <c r="O1958" s="18">
        <f t="shared" ref="O1958:O1968" si="32">G1958*L1958</f>
        <v>8039553.3009498212</v>
      </c>
      <c r="P1958" s="213"/>
      <c r="Q1958" s="214"/>
      <c r="R1958" s="27"/>
      <c r="S1958" s="27"/>
      <c r="T1958" s="18"/>
      <c r="U1958" s="27"/>
      <c r="V1958" s="27"/>
      <c r="W1958" s="45"/>
      <c r="X1958" s="27"/>
      <c r="Y1958" s="29"/>
      <c r="Z1958" s="27"/>
      <c r="AA1958" s="29"/>
      <c r="AB1958" s="27"/>
      <c r="AC1958" s="273">
        <v>468277747.69958961</v>
      </c>
      <c r="AD1958" s="27">
        <v>28248632095.687702</v>
      </c>
      <c r="AE1958" s="228">
        <v>1.6577006140098181E-2</v>
      </c>
      <c r="AF1958" s="27">
        <v>6005941669.8641624</v>
      </c>
      <c r="AG1958" s="226">
        <v>7.7969080194243839E-2</v>
      </c>
      <c r="AH1958" s="226">
        <v>0.17160996577278326</v>
      </c>
      <c r="AI1958" s="27">
        <v>2831890000</v>
      </c>
      <c r="AJ1958" s="226">
        <v>0.16535873487303165</v>
      </c>
      <c r="AK1958" s="27">
        <v>776925028.19606304</v>
      </c>
      <c r="AL1958" s="226">
        <v>0.60273222087706524</v>
      </c>
      <c r="AM1958" s="27" t="s">
        <v>2842</v>
      </c>
      <c r="AN1958" s="271" t="s">
        <v>2842</v>
      </c>
      <c r="AO1958" s="27">
        <v>47783107</v>
      </c>
      <c r="AP1958" s="27">
        <v>28.2</v>
      </c>
      <c r="AQ1958" s="27">
        <v>60.84643902439025</v>
      </c>
      <c r="AR1958" s="27">
        <v>37.700000000000003</v>
      </c>
      <c r="AS1958" s="29" t="s">
        <v>2842</v>
      </c>
      <c r="AT1958" s="270">
        <v>31</v>
      </c>
      <c r="AU1958" s="464">
        <v>49.764495378498069</v>
      </c>
      <c r="AV1958" s="29">
        <v>-0.22291643302056699</v>
      </c>
      <c r="AW1958" s="29">
        <v>2.69374400343513E-2</v>
      </c>
      <c r="AX1958" s="29">
        <v>-0.69087113955483004</v>
      </c>
      <c r="AY1958" s="29">
        <v>-0.39860635659708998</v>
      </c>
      <c r="AZ1958" s="60">
        <v>-0.85063478049108399</v>
      </c>
    </row>
    <row r="1959" spans="1:52" ht="15" customHeight="1">
      <c r="A1959" s="59" t="s">
        <v>498</v>
      </c>
      <c r="B1959" s="27">
        <v>2012</v>
      </c>
      <c r="C1959" s="27" t="s">
        <v>492</v>
      </c>
      <c r="D1959" s="27" t="s">
        <v>81</v>
      </c>
      <c r="E1959" s="29" t="s">
        <v>19</v>
      </c>
      <c r="F1959" s="27" t="s">
        <v>2133</v>
      </c>
      <c r="G1959" s="43">
        <f>((6748/365)*184)+(5840/365)*181</f>
        <v>6297.7315068493153</v>
      </c>
      <c r="H1959" s="43">
        <v>3000</v>
      </c>
      <c r="I1959" s="43"/>
      <c r="J1959" s="43"/>
      <c r="K1959" s="27" t="s">
        <v>567</v>
      </c>
      <c r="L1959" s="52">
        <f>((8828.19/365)*184)+((7962.35/365)*181)</f>
        <v>8398.8282465753437</v>
      </c>
      <c r="M1959" s="27" t="s">
        <v>568</v>
      </c>
      <c r="N1959" s="27" t="s">
        <v>2134</v>
      </c>
      <c r="O1959" s="18">
        <f t="shared" si="32"/>
        <v>52893565.269073531</v>
      </c>
      <c r="P1959" s="213"/>
      <c r="Q1959" s="214"/>
      <c r="R1959" s="27"/>
      <c r="S1959" s="27"/>
      <c r="T1959" s="18"/>
      <c r="U1959" s="27"/>
      <c r="V1959" s="27"/>
      <c r="W1959" s="45"/>
      <c r="X1959" s="27"/>
      <c r="Y1959" s="29"/>
      <c r="Z1959" s="27"/>
      <c r="AA1959" s="29"/>
      <c r="AB1959" s="27"/>
      <c r="AC1959" s="273">
        <v>468277747.69958961</v>
      </c>
      <c r="AD1959" s="27">
        <v>28248632095.687702</v>
      </c>
      <c r="AE1959" s="228">
        <v>1.6577006140098181E-2</v>
      </c>
      <c r="AF1959" s="27">
        <v>6005941669.8641624</v>
      </c>
      <c r="AG1959" s="226">
        <v>7.7969080194243839E-2</v>
      </c>
      <c r="AH1959" s="226">
        <v>0.17160996577278326</v>
      </c>
      <c r="AI1959" s="27">
        <v>2831890000</v>
      </c>
      <c r="AJ1959" s="226">
        <v>0.16535873487303165</v>
      </c>
      <c r="AK1959" s="27">
        <v>776925028.19606304</v>
      </c>
      <c r="AL1959" s="226">
        <v>0.60273222087706524</v>
      </c>
      <c r="AM1959" s="27" t="s">
        <v>2842</v>
      </c>
      <c r="AN1959" s="271" t="s">
        <v>2842</v>
      </c>
      <c r="AO1959" s="27">
        <v>47783107</v>
      </c>
      <c r="AP1959" s="27">
        <v>28.2</v>
      </c>
      <c r="AQ1959" s="27">
        <v>60.84643902439025</v>
      </c>
      <c r="AR1959" s="27">
        <v>37.700000000000003</v>
      </c>
      <c r="AS1959" s="29" t="s">
        <v>2842</v>
      </c>
      <c r="AT1959" s="270">
        <v>31</v>
      </c>
      <c r="AU1959" s="464">
        <v>49.764495378498069</v>
      </c>
      <c r="AV1959" s="29">
        <v>-0.22291643302056699</v>
      </c>
      <c r="AW1959" s="29">
        <v>2.69374400343513E-2</v>
      </c>
      <c r="AX1959" s="29">
        <v>-0.69087113955483004</v>
      </c>
      <c r="AY1959" s="29">
        <v>-0.39860635659708998</v>
      </c>
      <c r="AZ1959" s="60">
        <v>-0.85063478049108399</v>
      </c>
    </row>
    <row r="1960" spans="1:52" ht="15" customHeight="1">
      <c r="A1960" s="59" t="s">
        <v>498</v>
      </c>
      <c r="B1960" s="27">
        <v>2012</v>
      </c>
      <c r="C1960" s="27" t="s">
        <v>492</v>
      </c>
      <c r="D1960" s="27" t="s">
        <v>81</v>
      </c>
      <c r="E1960" s="29" t="s">
        <v>19</v>
      </c>
      <c r="F1960" s="27" t="s">
        <v>904</v>
      </c>
      <c r="G1960" s="595">
        <f>((28378/365)*184)+(127174/365)*181</f>
        <v>77369.989041095891</v>
      </c>
      <c r="H1960" s="595">
        <v>158003</v>
      </c>
      <c r="I1960" s="43"/>
      <c r="J1960" s="43"/>
      <c r="K1960" s="27" t="s">
        <v>905</v>
      </c>
      <c r="L1960" s="52">
        <f>((277.2/365)*184)+(265.99/365)*181</f>
        <v>271.64106849315067</v>
      </c>
      <c r="M1960" s="27" t="s">
        <v>906</v>
      </c>
      <c r="N1960" s="27" t="s">
        <v>2135</v>
      </c>
      <c r="O1960" s="18">
        <f t="shared" si="32"/>
        <v>21016866.492426645</v>
      </c>
      <c r="P1960" s="244"/>
      <c r="Q1960" s="244"/>
      <c r="R1960" s="27"/>
      <c r="S1960" s="27"/>
      <c r="T1960" s="18"/>
      <c r="U1960" s="27"/>
      <c r="V1960" s="42"/>
      <c r="W1960" s="45"/>
      <c r="X1960" s="27"/>
      <c r="Y1960" s="27"/>
      <c r="Z1960" s="27"/>
      <c r="AA1960" s="29"/>
      <c r="AB1960" s="27" t="s">
        <v>3790</v>
      </c>
      <c r="AC1960" s="273">
        <v>468277747.69958961</v>
      </c>
      <c r="AD1960" s="27">
        <v>28248632095.687702</v>
      </c>
      <c r="AE1960" s="228">
        <v>1.6577006140098181E-2</v>
      </c>
      <c r="AF1960" s="27">
        <v>6005941669.8641624</v>
      </c>
      <c r="AG1960" s="226">
        <v>7.7969080194243839E-2</v>
      </c>
      <c r="AH1960" s="226">
        <v>0.17160996577278326</v>
      </c>
      <c r="AI1960" s="27">
        <v>2831890000</v>
      </c>
      <c r="AJ1960" s="226">
        <v>0.16535873487303165</v>
      </c>
      <c r="AK1960" s="27">
        <v>776925028.19606304</v>
      </c>
      <c r="AL1960" s="226">
        <v>0.60273222087706524</v>
      </c>
      <c r="AM1960" s="27" t="s">
        <v>2842</v>
      </c>
      <c r="AN1960" s="271" t="s">
        <v>2842</v>
      </c>
      <c r="AO1960" s="27">
        <v>47783107</v>
      </c>
      <c r="AP1960" s="27">
        <v>28.2</v>
      </c>
      <c r="AQ1960" s="27">
        <v>60.84643902439025</v>
      </c>
      <c r="AR1960" s="27">
        <v>37.700000000000003</v>
      </c>
      <c r="AS1960" s="29" t="s">
        <v>2842</v>
      </c>
      <c r="AT1960" s="270">
        <v>31</v>
      </c>
      <c r="AU1960" s="464">
        <v>49.764495378498069</v>
      </c>
      <c r="AV1960" s="29">
        <v>-0.22291643302056699</v>
      </c>
      <c r="AW1960" s="29">
        <v>2.69374400343513E-2</v>
      </c>
      <c r="AX1960" s="29">
        <v>-0.69087113955483004</v>
      </c>
      <c r="AY1960" s="29">
        <v>-0.39860635659708998</v>
      </c>
      <c r="AZ1960" s="60">
        <v>-0.85063478049108399</v>
      </c>
    </row>
    <row r="1961" spans="1:52" ht="15" customHeight="1">
      <c r="A1961" s="59" t="s">
        <v>498</v>
      </c>
      <c r="B1961" s="27">
        <v>2012</v>
      </c>
      <c r="C1961" s="27" t="s">
        <v>492</v>
      </c>
      <c r="D1961" s="27" t="s">
        <v>81</v>
      </c>
      <c r="E1961" s="29" t="s">
        <v>19</v>
      </c>
      <c r="F1961" s="27" t="s">
        <v>2136</v>
      </c>
      <c r="G1961" s="43">
        <f>((10000/365)*184)+(10000/365)*181</f>
        <v>10000</v>
      </c>
      <c r="H1961" s="43"/>
      <c r="I1961" s="43"/>
      <c r="J1961" s="43"/>
      <c r="K1961" s="27" t="s">
        <v>894</v>
      </c>
      <c r="L1961" s="28">
        <f>(((33.5/365)*184)+((33.5/365)*181))/0.0002</f>
        <v>167500</v>
      </c>
      <c r="M1961" s="27" t="s">
        <v>1743</v>
      </c>
      <c r="N1961" s="68" t="s">
        <v>2137</v>
      </c>
      <c r="O1961" s="18">
        <f t="shared" si="32"/>
        <v>1675000000</v>
      </c>
      <c r="P1961" s="244"/>
      <c r="Q1961" s="244"/>
      <c r="R1961" s="27"/>
      <c r="S1961" s="27"/>
      <c r="T1961" s="18"/>
      <c r="U1961" s="27"/>
      <c r="V1961" s="42"/>
      <c r="W1961" s="45"/>
      <c r="X1961" s="27"/>
      <c r="Y1961" s="27"/>
      <c r="Z1961" s="27"/>
      <c r="AA1961" s="29"/>
      <c r="AB1961" s="27"/>
      <c r="AC1961" s="273">
        <v>468277747.69958961</v>
      </c>
      <c r="AD1961" s="27">
        <v>28248632095.687702</v>
      </c>
      <c r="AE1961" s="228">
        <v>1.6577006140098181E-2</v>
      </c>
      <c r="AF1961" s="27">
        <v>6005941669.8641624</v>
      </c>
      <c r="AG1961" s="226">
        <v>7.7969080194243839E-2</v>
      </c>
      <c r="AH1961" s="226">
        <v>0.17160996577278326</v>
      </c>
      <c r="AI1961" s="27">
        <v>2831890000</v>
      </c>
      <c r="AJ1961" s="226">
        <v>0.16535873487303165</v>
      </c>
      <c r="AK1961" s="27">
        <v>776925028.19606304</v>
      </c>
      <c r="AL1961" s="226">
        <v>0.60273222087706524</v>
      </c>
      <c r="AM1961" s="27" t="s">
        <v>2842</v>
      </c>
      <c r="AN1961" s="271" t="s">
        <v>2842</v>
      </c>
      <c r="AO1961" s="27">
        <v>47783107</v>
      </c>
      <c r="AP1961" s="27">
        <v>28.2</v>
      </c>
      <c r="AQ1961" s="27">
        <v>60.84643902439025</v>
      </c>
      <c r="AR1961" s="27">
        <v>37.700000000000003</v>
      </c>
      <c r="AS1961" s="29" t="s">
        <v>2842</v>
      </c>
      <c r="AT1961" s="270">
        <v>31</v>
      </c>
      <c r="AU1961" s="464">
        <v>49.764495378498069</v>
      </c>
      <c r="AV1961" s="29">
        <v>-0.22291643302056699</v>
      </c>
      <c r="AW1961" s="29">
        <v>2.69374400343513E-2</v>
      </c>
      <c r="AX1961" s="29">
        <v>-0.69087113955483004</v>
      </c>
      <c r="AY1961" s="29">
        <v>-0.39860635659708998</v>
      </c>
      <c r="AZ1961" s="60">
        <v>-0.85063478049108399</v>
      </c>
    </row>
    <row r="1962" spans="1:52" ht="15" customHeight="1">
      <c r="A1962" s="59" t="s">
        <v>498</v>
      </c>
      <c r="B1962" s="27">
        <v>2012</v>
      </c>
      <c r="C1962" s="27" t="s">
        <v>492</v>
      </c>
      <c r="D1962" s="27" t="s">
        <v>81</v>
      </c>
      <c r="E1962" s="29" t="s">
        <v>19</v>
      </c>
      <c r="F1962" s="27" t="s">
        <v>730</v>
      </c>
      <c r="G1962" s="43">
        <f>(((42300/365)*184)+((40650/365)*181))*32.1507431265</f>
        <v>1333670.0796352534</v>
      </c>
      <c r="H1962" s="43">
        <v>1250000</v>
      </c>
      <c r="I1962" s="43"/>
      <c r="J1962" s="43"/>
      <c r="K1962" s="27" t="s">
        <v>731</v>
      </c>
      <c r="L1962" s="28">
        <f>(((1569.21/365)*184)+((1669.52/365)*181))*1.0953</f>
        <v>1773.238965830137</v>
      </c>
      <c r="M1962" s="27" t="s">
        <v>732</v>
      </c>
      <c r="N1962" s="27" t="s">
        <v>2095</v>
      </c>
      <c r="O1962" s="18">
        <f t="shared" si="32"/>
        <v>2364915752.7710133</v>
      </c>
      <c r="P1962" s="244"/>
      <c r="Q1962" s="244"/>
      <c r="R1962" s="27"/>
      <c r="S1962" s="27"/>
      <c r="T1962" s="18"/>
      <c r="U1962" s="27"/>
      <c r="V1962" s="42"/>
      <c r="W1962" s="45"/>
      <c r="X1962" s="27"/>
      <c r="Y1962" s="27"/>
      <c r="Z1962" s="27"/>
      <c r="AA1962" s="29" t="s">
        <v>2138</v>
      </c>
      <c r="AB1962" s="27"/>
      <c r="AC1962" s="273">
        <v>468277747.69958961</v>
      </c>
      <c r="AD1962" s="27">
        <v>28248632095.687702</v>
      </c>
      <c r="AE1962" s="228">
        <v>1.6577006140098181E-2</v>
      </c>
      <c r="AF1962" s="27">
        <v>6005941669.8641624</v>
      </c>
      <c r="AG1962" s="226">
        <v>7.7969080194243839E-2</v>
      </c>
      <c r="AH1962" s="226">
        <v>0.17160996577278326</v>
      </c>
      <c r="AI1962" s="27">
        <v>2831890000</v>
      </c>
      <c r="AJ1962" s="226">
        <v>0.16535873487303165</v>
      </c>
      <c r="AK1962" s="27">
        <v>776925028.19606304</v>
      </c>
      <c r="AL1962" s="226">
        <v>0.60273222087706524</v>
      </c>
      <c r="AM1962" s="27" t="s">
        <v>2842</v>
      </c>
      <c r="AN1962" s="271" t="s">
        <v>2842</v>
      </c>
      <c r="AO1962" s="27">
        <v>47783107</v>
      </c>
      <c r="AP1962" s="27">
        <v>28.2</v>
      </c>
      <c r="AQ1962" s="27">
        <v>60.84643902439025</v>
      </c>
      <c r="AR1962" s="27">
        <v>37.700000000000003</v>
      </c>
      <c r="AS1962" s="29" t="s">
        <v>2842</v>
      </c>
      <c r="AT1962" s="270">
        <v>31</v>
      </c>
      <c r="AU1962" s="464">
        <v>49.764495378498069</v>
      </c>
      <c r="AV1962" s="29">
        <v>-0.22291643302056699</v>
      </c>
      <c r="AW1962" s="29">
        <v>2.69374400343513E-2</v>
      </c>
      <c r="AX1962" s="29">
        <v>-0.69087113955483004</v>
      </c>
      <c r="AY1962" s="29">
        <v>-0.39860635659708998</v>
      </c>
      <c r="AZ1962" s="60">
        <v>-0.85063478049108399</v>
      </c>
    </row>
    <row r="1963" spans="1:52" ht="15" customHeight="1">
      <c r="A1963" s="59" t="s">
        <v>498</v>
      </c>
      <c r="B1963" s="27">
        <v>2012</v>
      </c>
      <c r="C1963" s="27" t="s">
        <v>492</v>
      </c>
      <c r="D1963" s="27" t="s">
        <v>81</v>
      </c>
      <c r="E1963" s="29" t="s">
        <v>19</v>
      </c>
      <c r="F1963" s="27" t="s">
        <v>653</v>
      </c>
      <c r="G1963" s="43">
        <f>((1972100/365)*184)+(2000000/365)*181</f>
        <v>1985935.3424657532</v>
      </c>
      <c r="H1963" s="43"/>
      <c r="I1963" s="43"/>
      <c r="J1963" s="43"/>
      <c r="K1963" s="27" t="s">
        <v>567</v>
      </c>
      <c r="L1963" s="28">
        <v>9.0299999999999994</v>
      </c>
      <c r="M1963" s="27" t="s">
        <v>568</v>
      </c>
      <c r="N1963" s="27" t="s">
        <v>3793</v>
      </c>
      <c r="O1963" s="18">
        <f t="shared" si="32"/>
        <v>17932996.142465752</v>
      </c>
      <c r="P1963" s="244"/>
      <c r="Q1963" s="244"/>
      <c r="R1963" s="27"/>
      <c r="S1963" s="27"/>
      <c r="T1963" s="18"/>
      <c r="U1963" s="27"/>
      <c r="V1963" s="42"/>
      <c r="W1963" s="45"/>
      <c r="X1963" s="27"/>
      <c r="Y1963" s="27"/>
      <c r="Z1963" s="27"/>
      <c r="AA1963" s="29"/>
      <c r="AB1963" s="27"/>
      <c r="AC1963" s="273">
        <v>468277747.69958961</v>
      </c>
      <c r="AD1963" s="27">
        <v>28248632095.687702</v>
      </c>
      <c r="AE1963" s="228">
        <v>1.6577006140098181E-2</v>
      </c>
      <c r="AF1963" s="27">
        <v>6005941669.8641624</v>
      </c>
      <c r="AG1963" s="226">
        <v>7.7969080194243839E-2</v>
      </c>
      <c r="AH1963" s="226">
        <v>0.17160996577278326</v>
      </c>
      <c r="AI1963" s="27">
        <v>2831890000</v>
      </c>
      <c r="AJ1963" s="226">
        <v>0.16535873487303165</v>
      </c>
      <c r="AK1963" s="27">
        <v>776925028.19606304</v>
      </c>
      <c r="AL1963" s="226">
        <v>0.60273222087706524</v>
      </c>
      <c r="AM1963" s="27" t="s">
        <v>2842</v>
      </c>
      <c r="AN1963" s="271" t="s">
        <v>2842</v>
      </c>
      <c r="AO1963" s="27">
        <v>47783107</v>
      </c>
      <c r="AP1963" s="27">
        <v>28.2</v>
      </c>
      <c r="AQ1963" s="27">
        <v>60.84643902439025</v>
      </c>
      <c r="AR1963" s="27">
        <v>37.700000000000003</v>
      </c>
      <c r="AS1963" s="29" t="s">
        <v>2842</v>
      </c>
      <c r="AT1963" s="270">
        <v>31</v>
      </c>
      <c r="AU1963" s="464">
        <v>49.764495378498069</v>
      </c>
      <c r="AV1963" s="29">
        <v>-0.22291643302056699</v>
      </c>
      <c r="AW1963" s="29">
        <v>2.69374400343513E-2</v>
      </c>
      <c r="AX1963" s="29">
        <v>-0.69087113955483004</v>
      </c>
      <c r="AY1963" s="29">
        <v>-0.39860635659708998</v>
      </c>
      <c r="AZ1963" s="60">
        <v>-0.85063478049108399</v>
      </c>
    </row>
    <row r="1964" spans="1:52" s="232" customFormat="1" ht="15" customHeight="1" thickBot="1">
      <c r="A1964" s="360" t="s">
        <v>498</v>
      </c>
      <c r="B1964" s="230">
        <v>2012</v>
      </c>
      <c r="C1964" s="230" t="s">
        <v>492</v>
      </c>
      <c r="D1964" s="230" t="s">
        <v>81</v>
      </c>
      <c r="E1964" s="232" t="s">
        <v>19</v>
      </c>
      <c r="F1964" s="230" t="s">
        <v>2098</v>
      </c>
      <c r="G1964" s="297">
        <f>((823/365)*184)+(759/365)*181</f>
        <v>791.26301369863017</v>
      </c>
      <c r="H1964" s="297"/>
      <c r="I1964" s="297"/>
      <c r="J1964" s="297"/>
      <c r="K1964" s="230" t="s">
        <v>894</v>
      </c>
      <c r="L1964" s="298">
        <f>((((337.5/365)*184)+((337.5/365)*181))/0.0002)*0.0321</f>
        <v>54168.749999999993</v>
      </c>
      <c r="M1964" s="230" t="s">
        <v>1743</v>
      </c>
      <c r="N1964" s="423" t="s">
        <v>2139</v>
      </c>
      <c r="O1964" s="285">
        <f t="shared" si="32"/>
        <v>42861728.37328767</v>
      </c>
      <c r="P1964" s="299"/>
      <c r="Q1964" s="387"/>
      <c r="R1964" s="230"/>
      <c r="S1964" s="230"/>
      <c r="T1964" s="285"/>
      <c r="U1964" s="230"/>
      <c r="V1964" s="424"/>
      <c r="W1964" s="425"/>
      <c r="X1964" s="230"/>
      <c r="Y1964" s="230"/>
      <c r="Z1964" s="230"/>
      <c r="AB1964" s="230"/>
      <c r="AC1964" s="274">
        <v>468277747.69958961</v>
      </c>
      <c r="AD1964" s="230">
        <v>28248632095.687702</v>
      </c>
      <c r="AE1964" s="229">
        <v>1.6577006140098181E-2</v>
      </c>
      <c r="AF1964" s="230">
        <v>6005941669.8641624</v>
      </c>
      <c r="AG1964" s="231">
        <v>7.7969080194243839E-2</v>
      </c>
      <c r="AH1964" s="231">
        <v>0.17160996577278326</v>
      </c>
      <c r="AI1964" s="230">
        <v>2831890000</v>
      </c>
      <c r="AJ1964" s="231">
        <v>0.16535873487303165</v>
      </c>
      <c r="AK1964" s="230">
        <v>776925028.19606304</v>
      </c>
      <c r="AL1964" s="231">
        <v>0.60273222087706524</v>
      </c>
      <c r="AM1964" s="230" t="s">
        <v>2842</v>
      </c>
      <c r="AN1964" s="275" t="s">
        <v>2842</v>
      </c>
      <c r="AO1964" s="230">
        <v>47783107</v>
      </c>
      <c r="AP1964" s="230">
        <v>28.2</v>
      </c>
      <c r="AQ1964" s="230">
        <v>60.84643902439025</v>
      </c>
      <c r="AR1964" s="230">
        <v>37.700000000000003</v>
      </c>
      <c r="AS1964" s="232" t="s">
        <v>2842</v>
      </c>
      <c r="AT1964" s="276">
        <v>31</v>
      </c>
      <c r="AU1964" s="466">
        <v>49.764495378498069</v>
      </c>
      <c r="AV1964" s="232">
        <v>-0.22291643302056699</v>
      </c>
      <c r="AW1964" s="232">
        <v>2.69374400343513E-2</v>
      </c>
      <c r="AX1964" s="232">
        <v>-0.69087113955483004</v>
      </c>
      <c r="AY1964" s="232">
        <v>-0.39860635659708998</v>
      </c>
      <c r="AZ1964" s="293">
        <v>-0.85063478049108399</v>
      </c>
    </row>
    <row r="1965" spans="1:52" s="66" customFormat="1" ht="15" customHeight="1">
      <c r="A1965" s="82" t="s">
        <v>500</v>
      </c>
      <c r="B1965" s="77">
        <v>2008</v>
      </c>
      <c r="C1965" s="77" t="s">
        <v>2844</v>
      </c>
      <c r="D1965" s="77" t="s">
        <v>238</v>
      </c>
      <c r="E1965" s="77" t="s">
        <v>98</v>
      </c>
      <c r="F1965" s="77" t="s">
        <v>98</v>
      </c>
      <c r="G1965" s="182">
        <v>36500000</v>
      </c>
      <c r="H1965" s="182"/>
      <c r="I1965" s="182"/>
      <c r="J1965" s="182"/>
      <c r="K1965" s="77" t="s">
        <v>603</v>
      </c>
      <c r="L1965" s="83">
        <v>98.27</v>
      </c>
      <c r="M1965" s="77" t="s">
        <v>626</v>
      </c>
      <c r="N1965" s="77" t="s">
        <v>947</v>
      </c>
      <c r="O1965" s="84">
        <f t="shared" si="32"/>
        <v>3586855000</v>
      </c>
      <c r="P1965" s="248">
        <v>2509572538</v>
      </c>
      <c r="Q1965" s="248">
        <v>2509572538</v>
      </c>
      <c r="R1965" s="77" t="s">
        <v>619</v>
      </c>
      <c r="S1965" s="77"/>
      <c r="T1965" s="84"/>
      <c r="U1965" s="77" t="s">
        <v>1116</v>
      </c>
      <c r="V1965" s="77" t="s">
        <v>802</v>
      </c>
      <c r="W1965" s="85" t="s">
        <v>803</v>
      </c>
      <c r="X1965" s="77">
        <v>18</v>
      </c>
      <c r="Y1965" s="77" t="s">
        <v>2141</v>
      </c>
      <c r="Z1965" s="77">
        <v>18</v>
      </c>
      <c r="AA1965" s="77">
        <v>5</v>
      </c>
      <c r="AB1965" s="77" t="s">
        <v>2142</v>
      </c>
      <c r="AC1965" s="328">
        <v>2509572538</v>
      </c>
      <c r="AD1965" s="77">
        <v>694000000</v>
      </c>
      <c r="AE1965" s="233">
        <v>3.6160987579250721</v>
      </c>
      <c r="AF1965" s="77">
        <v>61085880</v>
      </c>
      <c r="AG1965" s="234">
        <v>41.082694364065802</v>
      </c>
      <c r="AH1965" s="234" t="s">
        <v>2842</v>
      </c>
      <c r="AI1965" s="77">
        <v>277540000</v>
      </c>
      <c r="AJ1965" s="234">
        <v>9.0422012610794837</v>
      </c>
      <c r="AK1965" s="77">
        <v>50000279.161022566</v>
      </c>
      <c r="AL1965" s="234">
        <v>50.191170531630213</v>
      </c>
      <c r="AM1965" s="77">
        <v>56244189</v>
      </c>
      <c r="AN1965" s="329">
        <v>44.619232361942316</v>
      </c>
      <c r="AO1965" s="77">
        <v>1032182</v>
      </c>
      <c r="AP1965" s="77" t="s">
        <v>2842</v>
      </c>
      <c r="AQ1965" s="77">
        <v>64.827926829268293</v>
      </c>
      <c r="AR1965" s="77">
        <v>56</v>
      </c>
      <c r="AS1965" s="66">
        <v>71.280410000000003</v>
      </c>
      <c r="AT1965" s="330">
        <v>28</v>
      </c>
      <c r="AU1965" s="467">
        <v>67.748989183456814</v>
      </c>
      <c r="AV1965" s="66">
        <v>0.202049060323093</v>
      </c>
      <c r="AW1965" s="66">
        <v>-0.81962103099710104</v>
      </c>
      <c r="AX1965" s="66">
        <v>-1.1454017891627799</v>
      </c>
      <c r="AY1965" s="66">
        <v>-1.3741245334180201</v>
      </c>
      <c r="AZ1965" s="331">
        <v>-0.90276833689715996</v>
      </c>
    </row>
    <row r="1966" spans="1:52" s="238" customFormat="1" ht="15" customHeight="1">
      <c r="A1966" s="333" t="s">
        <v>503</v>
      </c>
      <c r="B1966" s="236">
        <v>2009</v>
      </c>
      <c r="C1966" s="236" t="s">
        <v>2844</v>
      </c>
      <c r="D1966" s="236" t="s">
        <v>238</v>
      </c>
      <c r="E1966" s="236" t="s">
        <v>98</v>
      </c>
      <c r="F1966" s="236" t="s">
        <v>98</v>
      </c>
      <c r="G1966" s="335">
        <v>35149500</v>
      </c>
      <c r="H1966" s="335"/>
      <c r="I1966" s="335"/>
      <c r="J1966" s="335"/>
      <c r="K1966" s="236" t="s">
        <v>603</v>
      </c>
      <c r="L1966" s="336">
        <v>62.0812648</v>
      </c>
      <c r="M1966" s="236" t="s">
        <v>626</v>
      </c>
      <c r="N1966" s="236" t="s">
        <v>947</v>
      </c>
      <c r="O1966" s="337">
        <f t="shared" si="32"/>
        <v>2182125417.0875998</v>
      </c>
      <c r="P1966" s="338">
        <v>1763889996</v>
      </c>
      <c r="Q1966" s="338">
        <v>1763889996</v>
      </c>
      <c r="R1966" s="236" t="s">
        <v>619</v>
      </c>
      <c r="S1966" s="236"/>
      <c r="T1966" s="337"/>
      <c r="U1966" s="236" t="s">
        <v>852</v>
      </c>
      <c r="V1966" s="236" t="s">
        <v>802</v>
      </c>
      <c r="W1966" s="339" t="s">
        <v>803</v>
      </c>
      <c r="X1966" s="236">
        <v>18</v>
      </c>
      <c r="Y1966" s="236" t="s">
        <v>2141</v>
      </c>
      <c r="Z1966" s="236">
        <v>18</v>
      </c>
      <c r="AA1966" s="236">
        <v>18</v>
      </c>
      <c r="AB1966" s="236" t="s">
        <v>2143</v>
      </c>
      <c r="AC1966" s="340">
        <v>1763889996</v>
      </c>
      <c r="AD1966" s="236">
        <v>818000000</v>
      </c>
      <c r="AE1966" s="235">
        <v>2.1563447383863079</v>
      </c>
      <c r="AF1966" s="236">
        <v>135019080</v>
      </c>
      <c r="AG1966" s="237">
        <v>13.064005442786309</v>
      </c>
      <c r="AH1966" s="237" t="s">
        <v>2842</v>
      </c>
      <c r="AI1966" s="236">
        <v>216440000</v>
      </c>
      <c r="AJ1966" s="237">
        <v>8.1495564405839964</v>
      </c>
      <c r="AK1966" s="236">
        <v>44470511.356426865</v>
      </c>
      <c r="AL1966" s="237">
        <v>39.664261601639602</v>
      </c>
      <c r="AM1966" s="236">
        <v>92805944.600000009</v>
      </c>
      <c r="AN1966" s="341">
        <v>19.006217797819815</v>
      </c>
      <c r="AO1966" s="236">
        <v>1049156</v>
      </c>
      <c r="AP1966" s="236" t="s">
        <v>2842</v>
      </c>
      <c r="AQ1966" s="236">
        <v>65.388000000000005</v>
      </c>
      <c r="AR1966" s="236">
        <v>53.6</v>
      </c>
      <c r="AS1966" s="238">
        <v>78.178349999999995</v>
      </c>
      <c r="AT1966" s="342">
        <v>28</v>
      </c>
      <c r="AU1966" s="468">
        <v>67.748989183456814</v>
      </c>
      <c r="AV1966" s="238">
        <v>7.0016417036487796E-2</v>
      </c>
      <c r="AW1966" s="238">
        <v>-0.58178349595816803</v>
      </c>
      <c r="AX1966" s="238">
        <v>-1.15531675732587</v>
      </c>
      <c r="AY1966" s="238">
        <v>-1.1468569740605701</v>
      </c>
      <c r="AZ1966" s="343">
        <v>-0.995834037162874</v>
      </c>
    </row>
    <row r="1967" spans="1:52" s="238" customFormat="1" ht="15" customHeight="1">
      <c r="A1967" s="333" t="s">
        <v>506</v>
      </c>
      <c r="B1967" s="236">
        <v>2010</v>
      </c>
      <c r="C1967" s="236" t="s">
        <v>2844</v>
      </c>
      <c r="D1967" s="236" t="s">
        <v>238</v>
      </c>
      <c r="E1967" s="236" t="s">
        <v>98</v>
      </c>
      <c r="F1967" s="236" t="s">
        <v>98</v>
      </c>
      <c r="G1967" s="335">
        <v>31937500</v>
      </c>
      <c r="H1967" s="335"/>
      <c r="I1967" s="335"/>
      <c r="J1967" s="335"/>
      <c r="K1967" s="236" t="s">
        <v>603</v>
      </c>
      <c r="L1967" s="336">
        <v>79.510000000000005</v>
      </c>
      <c r="M1967" s="236" t="s">
        <v>626</v>
      </c>
      <c r="N1967" s="236" t="s">
        <v>947</v>
      </c>
      <c r="O1967" s="337">
        <f t="shared" si="32"/>
        <v>2539350625</v>
      </c>
      <c r="P1967" s="338">
        <v>2149721568</v>
      </c>
      <c r="Q1967" s="338">
        <v>2149721568</v>
      </c>
      <c r="R1967" s="236" t="s">
        <v>619</v>
      </c>
      <c r="S1967" s="236"/>
      <c r="T1967" s="337"/>
      <c r="U1967" s="236" t="s">
        <v>2144</v>
      </c>
      <c r="V1967" s="236" t="s">
        <v>802</v>
      </c>
      <c r="W1967" s="339" t="s">
        <v>803</v>
      </c>
      <c r="X1967" s="236">
        <v>20</v>
      </c>
      <c r="Y1967" s="236" t="s">
        <v>2145</v>
      </c>
      <c r="Z1967" s="236">
        <v>19</v>
      </c>
      <c r="AA1967" s="236">
        <v>6</v>
      </c>
      <c r="AB1967" s="236" t="s">
        <v>2146</v>
      </c>
      <c r="AC1967" s="340">
        <v>2149721568</v>
      </c>
      <c r="AD1967" s="236">
        <v>934000000</v>
      </c>
      <c r="AE1967" s="235">
        <v>2.3016290877944328</v>
      </c>
      <c r="AF1967" s="236">
        <v>202061560</v>
      </c>
      <c r="AG1967" s="237">
        <v>10.638943735760527</v>
      </c>
      <c r="AH1967" s="237" t="s">
        <v>2842</v>
      </c>
      <c r="AI1967" s="236">
        <v>291500000</v>
      </c>
      <c r="AJ1967" s="237">
        <v>7.3746880548885079</v>
      </c>
      <c r="AK1967" s="236">
        <v>40067756.827791087</v>
      </c>
      <c r="AL1967" s="237">
        <v>53.652156701443992</v>
      </c>
      <c r="AM1967" s="236">
        <v>97918505.199999988</v>
      </c>
      <c r="AN1967" s="341">
        <v>21.954191024558249</v>
      </c>
      <c r="AO1967" s="236">
        <v>1066409</v>
      </c>
      <c r="AP1967" s="236" t="s">
        <v>2842</v>
      </c>
      <c r="AQ1967" s="236">
        <v>65.944463414634157</v>
      </c>
      <c r="AR1967" s="236">
        <v>51.5</v>
      </c>
      <c r="AS1967" s="238">
        <v>85.597999999999999</v>
      </c>
      <c r="AT1967" s="342">
        <v>28</v>
      </c>
      <c r="AU1967" s="468">
        <v>67.748989183456814</v>
      </c>
      <c r="AV1967" s="238">
        <v>2.4915623763594699E-2</v>
      </c>
      <c r="AW1967" s="238">
        <v>-0.48951359365101299</v>
      </c>
      <c r="AX1967" s="238">
        <v>-1.213397194825</v>
      </c>
      <c r="AY1967" s="238">
        <v>-1.1012089761575901</v>
      </c>
      <c r="AZ1967" s="343">
        <v>-0.96848582831864505</v>
      </c>
    </row>
    <row r="1968" spans="1:52" s="242" customFormat="1" ht="15" customHeight="1" thickBot="1">
      <c r="A1968" s="348" t="s">
        <v>507</v>
      </c>
      <c r="B1968" s="240">
        <v>2011</v>
      </c>
      <c r="C1968" s="240" t="s">
        <v>2844</v>
      </c>
      <c r="D1968" s="240" t="s">
        <v>238</v>
      </c>
      <c r="E1968" s="240" t="s">
        <v>98</v>
      </c>
      <c r="F1968" s="240" t="s">
        <v>98</v>
      </c>
      <c r="G1968" s="350">
        <v>30550500</v>
      </c>
      <c r="H1968" s="350"/>
      <c r="I1968" s="350"/>
      <c r="J1968" s="350"/>
      <c r="K1968" s="240" t="s">
        <v>603</v>
      </c>
      <c r="L1968" s="351">
        <v>106.53</v>
      </c>
      <c r="M1968" s="240" t="s">
        <v>626</v>
      </c>
      <c r="N1968" s="240" t="s">
        <v>947</v>
      </c>
      <c r="O1968" s="353">
        <f t="shared" si="32"/>
        <v>3254544765</v>
      </c>
      <c r="P1968" s="426">
        <v>3453285817</v>
      </c>
      <c r="Q1968" s="426">
        <v>3453285817</v>
      </c>
      <c r="R1968" s="240" t="s">
        <v>619</v>
      </c>
      <c r="S1968" s="240"/>
      <c r="T1968" s="353"/>
      <c r="U1968" s="240" t="s">
        <v>2144</v>
      </c>
      <c r="V1968" s="240" t="s">
        <v>802</v>
      </c>
      <c r="W1968" s="354" t="s">
        <v>803</v>
      </c>
      <c r="X1968" s="240">
        <v>20</v>
      </c>
      <c r="Y1968" s="240" t="s">
        <v>2145</v>
      </c>
      <c r="Z1968" s="240">
        <v>20</v>
      </c>
      <c r="AA1968" s="240">
        <v>6</v>
      </c>
      <c r="AB1968" s="240" t="s">
        <v>2147</v>
      </c>
      <c r="AC1968" s="355">
        <v>3453285817</v>
      </c>
      <c r="AD1968" s="240">
        <v>1123000000</v>
      </c>
      <c r="AE1968" s="239">
        <v>3.0750541558325915</v>
      </c>
      <c r="AF1968" s="240">
        <v>331925110</v>
      </c>
      <c r="AG1968" s="241">
        <v>10.403810115480567</v>
      </c>
      <c r="AH1968" s="241" t="s">
        <v>2842</v>
      </c>
      <c r="AI1968" s="240">
        <v>279260000</v>
      </c>
      <c r="AJ1968" s="241">
        <v>12.365844793382511</v>
      </c>
      <c r="AK1968" s="240">
        <v>39318381.301558256</v>
      </c>
      <c r="AL1968" s="241">
        <v>87.828789046896503</v>
      </c>
      <c r="AM1968" s="240">
        <v>105771776.40000001</v>
      </c>
      <c r="AN1968" s="356">
        <v>32.648461948304764</v>
      </c>
      <c r="AO1968" s="240">
        <v>1120392</v>
      </c>
      <c r="AP1968" s="240" t="s">
        <v>2842</v>
      </c>
      <c r="AQ1968" s="240">
        <v>66.491804878048782</v>
      </c>
      <c r="AR1968" s="240">
        <v>49.6</v>
      </c>
      <c r="AS1968" s="242">
        <v>91.673900000000003</v>
      </c>
      <c r="AT1968" s="357">
        <v>28</v>
      </c>
      <c r="AU1968" s="469">
        <v>67.748989183456814</v>
      </c>
      <c r="AV1968" s="242">
        <v>8.8224864861915706E-2</v>
      </c>
      <c r="AW1968" s="242">
        <v>-0.47489143923763699</v>
      </c>
      <c r="AX1968" s="242">
        <v>-1.13138405505291</v>
      </c>
      <c r="AY1968" s="242">
        <v>-1.0366936204744399</v>
      </c>
      <c r="AZ1968" s="358">
        <v>-1.0460110790269701</v>
      </c>
    </row>
    <row r="1969" spans="1:52" s="29" customFormat="1" ht="15" customHeight="1">
      <c r="A1969" s="347" t="s">
        <v>509</v>
      </c>
      <c r="B1969" s="53">
        <v>2010</v>
      </c>
      <c r="C1969" s="146" t="s">
        <v>510</v>
      </c>
      <c r="D1969" s="69" t="s">
        <v>81</v>
      </c>
      <c r="E1969" s="27" t="s">
        <v>512</v>
      </c>
      <c r="F1969" s="27" t="s">
        <v>659</v>
      </c>
      <c r="G1969" s="43"/>
      <c r="H1969" s="43"/>
      <c r="I1969" s="43"/>
      <c r="J1969" s="43"/>
      <c r="K1969" s="27"/>
      <c r="L1969" s="28"/>
      <c r="M1969" s="27"/>
      <c r="N1969" s="27"/>
      <c r="O1969" s="18">
        <f>O1970+O1971+O1979</f>
        <v>719912729.64555907</v>
      </c>
      <c r="P1969" s="213">
        <v>60128720.446464643</v>
      </c>
      <c r="Q1969" s="213">
        <v>65899109.789898992</v>
      </c>
      <c r="R1969" s="27" t="s">
        <v>619</v>
      </c>
      <c r="S1969" s="27"/>
      <c r="T1969" s="18"/>
      <c r="U1969" s="27" t="s">
        <v>1025</v>
      </c>
      <c r="V1969" s="27" t="s">
        <v>778</v>
      </c>
      <c r="W1969" s="30">
        <v>495</v>
      </c>
      <c r="X1969" s="27">
        <v>17</v>
      </c>
      <c r="Y1969" s="27" t="s">
        <v>2149</v>
      </c>
      <c r="Z1969" s="27">
        <v>22</v>
      </c>
      <c r="AA1969" s="27" t="s">
        <v>2150</v>
      </c>
      <c r="AB1969" s="27" t="s">
        <v>2151</v>
      </c>
      <c r="AC1969" s="273">
        <v>60128720.446464643</v>
      </c>
      <c r="AD1969" s="27">
        <v>3172945506.3569741</v>
      </c>
      <c r="AE1969" s="228">
        <v>1.8950442207720609E-2</v>
      </c>
      <c r="AF1969" s="27">
        <v>535244177.46735799</v>
      </c>
      <c r="AG1969" s="226">
        <v>0.11233885949208967</v>
      </c>
      <c r="AH1969" s="226">
        <v>8.1771005558463589E-2</v>
      </c>
      <c r="AI1969" s="27">
        <v>404040000</v>
      </c>
      <c r="AJ1969" s="226">
        <v>0.14881873192373191</v>
      </c>
      <c r="AK1969" s="27">
        <v>108631660.32801613</v>
      </c>
      <c r="AL1969" s="226">
        <v>0.55351009332734491</v>
      </c>
      <c r="AM1969" s="27">
        <v>140345725.63718167</v>
      </c>
      <c r="AN1969" s="271">
        <v>0.42843285873848369</v>
      </c>
      <c r="AO1969" s="27">
        <v>6306014</v>
      </c>
      <c r="AP1969" s="27" t="s">
        <v>2842</v>
      </c>
      <c r="AQ1969" s="27">
        <v>55.468878048780489</v>
      </c>
      <c r="AR1969" s="27">
        <v>60.5</v>
      </c>
      <c r="AS1969" s="29" t="s">
        <v>2842</v>
      </c>
      <c r="AT1969" s="270">
        <v>29</v>
      </c>
      <c r="AU1969" s="464" t="s">
        <v>2842</v>
      </c>
      <c r="AV1969" s="29">
        <v>-0.99907283724429796</v>
      </c>
      <c r="AW1969" s="29">
        <v>-0.20278963276866399</v>
      </c>
      <c r="AX1969" s="29">
        <v>-1.3844715678442701</v>
      </c>
      <c r="AY1969" s="29">
        <v>-0.874241676894012</v>
      </c>
      <c r="AZ1969" s="60">
        <v>-0.96451530468247704</v>
      </c>
    </row>
    <row r="1970" spans="1:52" s="29" customFormat="1" ht="15" customHeight="1">
      <c r="A1970" s="63" t="s">
        <v>509</v>
      </c>
      <c r="B1970" s="53">
        <v>2010</v>
      </c>
      <c r="C1970" s="146" t="s">
        <v>510</v>
      </c>
      <c r="D1970" s="69" t="s">
        <v>81</v>
      </c>
      <c r="E1970" s="27" t="s">
        <v>98</v>
      </c>
      <c r="F1970" s="27" t="s">
        <v>98</v>
      </c>
      <c r="G1970" s="43">
        <v>0</v>
      </c>
      <c r="H1970" s="43"/>
      <c r="I1970" s="43"/>
      <c r="J1970" s="43"/>
      <c r="K1970" s="27" t="s">
        <v>603</v>
      </c>
      <c r="L1970" s="28"/>
      <c r="M1970" s="27"/>
      <c r="N1970" s="27" t="s">
        <v>2048</v>
      </c>
      <c r="O1970" s="18">
        <f>G1970*L1970</f>
        <v>0</v>
      </c>
      <c r="P1970" s="213">
        <v>13123840</v>
      </c>
      <c r="Q1970" s="213">
        <v>13123840</v>
      </c>
      <c r="R1970" s="27"/>
      <c r="S1970" s="27"/>
      <c r="T1970" s="18"/>
      <c r="U1970" s="27"/>
      <c r="V1970" s="27"/>
      <c r="W1970" s="30"/>
      <c r="X1970" s="27"/>
      <c r="Y1970" s="27"/>
      <c r="Z1970" s="27"/>
      <c r="AA1970" s="27"/>
      <c r="AB1970" s="27"/>
      <c r="AC1970" s="273">
        <v>60128720.446464643</v>
      </c>
      <c r="AD1970" s="27">
        <v>3172945506.3569741</v>
      </c>
      <c r="AE1970" s="228">
        <v>1.8950442207720609E-2</v>
      </c>
      <c r="AF1970" s="27">
        <v>535244177.46735799</v>
      </c>
      <c r="AG1970" s="226">
        <v>0.11233885949208967</v>
      </c>
      <c r="AH1970" s="226">
        <v>8.1771005558463589E-2</v>
      </c>
      <c r="AI1970" s="27">
        <v>404040000</v>
      </c>
      <c r="AJ1970" s="226">
        <v>0.14881873192373191</v>
      </c>
      <c r="AK1970" s="27">
        <v>108631660.32801613</v>
      </c>
      <c r="AL1970" s="226">
        <v>0.55351009332734491</v>
      </c>
      <c r="AM1970" s="27">
        <v>140345725.63718167</v>
      </c>
      <c r="AN1970" s="271">
        <v>0.42843285873848369</v>
      </c>
      <c r="AO1970" s="27">
        <v>6306014</v>
      </c>
      <c r="AP1970" s="27" t="s">
        <v>2842</v>
      </c>
      <c r="AQ1970" s="27">
        <v>55.468878048780489</v>
      </c>
      <c r="AR1970" s="27">
        <v>60.5</v>
      </c>
      <c r="AS1970" s="29" t="s">
        <v>2842</v>
      </c>
      <c r="AT1970" s="270">
        <v>29</v>
      </c>
      <c r="AU1970" s="464" t="s">
        <v>2842</v>
      </c>
      <c r="AV1970" s="29">
        <v>-0.99907283724429796</v>
      </c>
      <c r="AW1970" s="29">
        <v>-0.20278963276866399</v>
      </c>
      <c r="AX1970" s="29">
        <v>-1.3844715678442701</v>
      </c>
      <c r="AY1970" s="29">
        <v>-0.874241676894012</v>
      </c>
      <c r="AZ1970" s="60">
        <v>-0.96451530468247704</v>
      </c>
    </row>
    <row r="1971" spans="1:52" s="29" customFormat="1" ht="15" customHeight="1">
      <c r="A1971" s="63" t="s">
        <v>509</v>
      </c>
      <c r="B1971" s="53">
        <v>2010</v>
      </c>
      <c r="C1971" s="146" t="s">
        <v>510</v>
      </c>
      <c r="D1971" s="69" t="s">
        <v>81</v>
      </c>
      <c r="E1971" s="27" t="s">
        <v>19</v>
      </c>
      <c r="F1971" s="27" t="s">
        <v>559</v>
      </c>
      <c r="G1971" s="43"/>
      <c r="H1971" s="43"/>
      <c r="I1971" s="43"/>
      <c r="J1971" s="43"/>
      <c r="K1971" s="27"/>
      <c r="L1971" s="28"/>
      <c r="M1971" s="27"/>
      <c r="N1971" s="27"/>
      <c r="O1971" s="18">
        <f>SUM(O1972:O1978)</f>
        <v>719912729.64555907</v>
      </c>
      <c r="P1971" s="213">
        <v>23559566.686868686</v>
      </c>
      <c r="Q1971" s="213">
        <v>25687657.911111113</v>
      </c>
      <c r="R1971" s="27"/>
      <c r="S1971" s="27"/>
      <c r="T1971" s="18"/>
      <c r="U1971" s="27"/>
      <c r="V1971" s="27"/>
      <c r="W1971" s="30"/>
      <c r="X1971" s="27"/>
      <c r="Y1971" s="27"/>
      <c r="Z1971" s="27"/>
      <c r="AA1971" s="27"/>
      <c r="AB1971" s="27" t="s">
        <v>2152</v>
      </c>
      <c r="AC1971" s="273">
        <v>60128720.446464643</v>
      </c>
      <c r="AD1971" s="27">
        <v>3172945506.3569741</v>
      </c>
      <c r="AE1971" s="228">
        <v>1.8950442207720609E-2</v>
      </c>
      <c r="AF1971" s="27">
        <v>535244177.46735799</v>
      </c>
      <c r="AG1971" s="226">
        <v>0.11233885949208967</v>
      </c>
      <c r="AH1971" s="226">
        <v>8.1771005558463589E-2</v>
      </c>
      <c r="AI1971" s="27">
        <v>404040000</v>
      </c>
      <c r="AJ1971" s="226">
        <v>0.14881873192373191</v>
      </c>
      <c r="AK1971" s="27">
        <v>108631660.32801613</v>
      </c>
      <c r="AL1971" s="226">
        <v>0.55351009332734491</v>
      </c>
      <c r="AM1971" s="27">
        <v>140345725.63718167</v>
      </c>
      <c r="AN1971" s="271">
        <v>0.42843285873848369</v>
      </c>
      <c r="AO1971" s="27">
        <v>6306014</v>
      </c>
      <c r="AP1971" s="27" t="s">
        <v>2842</v>
      </c>
      <c r="AQ1971" s="27">
        <v>55.468878048780489</v>
      </c>
      <c r="AR1971" s="27">
        <v>60.5</v>
      </c>
      <c r="AS1971" s="29" t="s">
        <v>2842</v>
      </c>
      <c r="AT1971" s="270">
        <v>29</v>
      </c>
      <c r="AU1971" s="464" t="s">
        <v>2842</v>
      </c>
      <c r="AV1971" s="29">
        <v>-0.99907283724429796</v>
      </c>
      <c r="AW1971" s="29">
        <v>-0.20278963276866399</v>
      </c>
      <c r="AX1971" s="29">
        <v>-1.3844715678442701</v>
      </c>
      <c r="AY1971" s="29">
        <v>-0.874241676894012</v>
      </c>
      <c r="AZ1971" s="60">
        <v>-0.96451530468247704</v>
      </c>
    </row>
    <row r="1972" spans="1:52" s="29" customFormat="1" ht="15" customHeight="1">
      <c r="A1972" s="63" t="s">
        <v>509</v>
      </c>
      <c r="B1972" s="53">
        <v>2010</v>
      </c>
      <c r="C1972" s="146" t="s">
        <v>510</v>
      </c>
      <c r="D1972" s="69" t="s">
        <v>81</v>
      </c>
      <c r="E1972" s="27" t="s">
        <v>19</v>
      </c>
      <c r="F1972" s="27" t="s">
        <v>566</v>
      </c>
      <c r="G1972" s="43">
        <v>2245153</v>
      </c>
      <c r="H1972" s="43"/>
      <c r="I1972" s="43"/>
      <c r="J1972" s="43"/>
      <c r="K1972" s="27" t="s">
        <v>567</v>
      </c>
      <c r="L1972" s="28">
        <v>92</v>
      </c>
      <c r="M1972" s="27" t="s">
        <v>568</v>
      </c>
      <c r="N1972" s="27" t="s">
        <v>1122</v>
      </c>
      <c r="O1972" s="18">
        <f t="shared" ref="O1972:O1979" si="33">G1972*L1972</f>
        <v>206554076</v>
      </c>
      <c r="P1972" s="213"/>
      <c r="Q1972" s="213"/>
      <c r="R1972" s="27"/>
      <c r="S1972" s="27"/>
      <c r="T1972" s="18"/>
      <c r="U1972" s="27"/>
      <c r="V1972" s="27"/>
      <c r="W1972" s="30"/>
      <c r="X1972" s="27"/>
      <c r="Y1972" s="27"/>
      <c r="Z1972" s="27"/>
      <c r="AA1972" s="27"/>
      <c r="AB1972" s="27"/>
      <c r="AC1972" s="273">
        <v>60128720.446464643</v>
      </c>
      <c r="AD1972" s="27">
        <v>3172945506.3569741</v>
      </c>
      <c r="AE1972" s="228">
        <v>1.8950442207720609E-2</v>
      </c>
      <c r="AF1972" s="27">
        <v>535244177.46735799</v>
      </c>
      <c r="AG1972" s="226">
        <v>0.11233885949208967</v>
      </c>
      <c r="AH1972" s="226">
        <v>8.1771005558463589E-2</v>
      </c>
      <c r="AI1972" s="27">
        <v>404040000</v>
      </c>
      <c r="AJ1972" s="226">
        <v>0.14881873192373191</v>
      </c>
      <c r="AK1972" s="27">
        <v>108631660.32801613</v>
      </c>
      <c r="AL1972" s="226">
        <v>0.55351009332734491</v>
      </c>
      <c r="AM1972" s="27">
        <v>140345725.63718167</v>
      </c>
      <c r="AN1972" s="271">
        <v>0.42843285873848369</v>
      </c>
      <c r="AO1972" s="27">
        <v>6306014</v>
      </c>
      <c r="AP1972" s="27" t="s">
        <v>2842</v>
      </c>
      <c r="AQ1972" s="27">
        <v>55.468878048780489</v>
      </c>
      <c r="AR1972" s="27">
        <v>60.5</v>
      </c>
      <c r="AS1972" s="29" t="s">
        <v>2842</v>
      </c>
      <c r="AT1972" s="270">
        <v>29</v>
      </c>
      <c r="AU1972" s="464" t="s">
        <v>2842</v>
      </c>
      <c r="AV1972" s="29">
        <v>-0.99907283724429796</v>
      </c>
      <c r="AW1972" s="29">
        <v>-0.20278963276866399</v>
      </c>
      <c r="AX1972" s="29">
        <v>-1.3844715678442701</v>
      </c>
      <c r="AY1972" s="29">
        <v>-0.874241676894012</v>
      </c>
      <c r="AZ1972" s="60">
        <v>-0.96451530468247704</v>
      </c>
    </row>
    <row r="1973" spans="1:52" s="29" customFormat="1" ht="15" customHeight="1">
      <c r="A1973" s="63" t="s">
        <v>509</v>
      </c>
      <c r="B1973" s="53">
        <v>2010</v>
      </c>
      <c r="C1973" s="146" t="s">
        <v>510</v>
      </c>
      <c r="D1973" s="69" t="s">
        <v>81</v>
      </c>
      <c r="E1973" s="27" t="s">
        <v>19</v>
      </c>
      <c r="F1973" s="27" t="s">
        <v>904</v>
      </c>
      <c r="G1973" s="43">
        <v>96</v>
      </c>
      <c r="H1973" s="43"/>
      <c r="I1973" s="43"/>
      <c r="J1973" s="43"/>
      <c r="K1973" s="27" t="s">
        <v>905</v>
      </c>
      <c r="L1973" s="28">
        <v>110.05</v>
      </c>
      <c r="M1973" s="27" t="s">
        <v>906</v>
      </c>
      <c r="N1973" s="27" t="s">
        <v>2153</v>
      </c>
      <c r="O1973" s="18">
        <f t="shared" si="33"/>
        <v>10564.8</v>
      </c>
      <c r="P1973" s="213"/>
      <c r="Q1973" s="213"/>
      <c r="R1973" s="27"/>
      <c r="S1973" s="27"/>
      <c r="T1973" s="18"/>
      <c r="U1973" s="27"/>
      <c r="V1973" s="27"/>
      <c r="W1973" s="30"/>
      <c r="X1973" s="27"/>
      <c r="Y1973" s="27"/>
      <c r="Z1973" s="27"/>
      <c r="AA1973" s="27"/>
      <c r="AB1973" s="27"/>
      <c r="AC1973" s="273">
        <v>60128720.446464643</v>
      </c>
      <c r="AD1973" s="27">
        <v>3172945506.3569741</v>
      </c>
      <c r="AE1973" s="228">
        <v>1.8950442207720609E-2</v>
      </c>
      <c r="AF1973" s="27">
        <v>535244177.46735799</v>
      </c>
      <c r="AG1973" s="226">
        <v>0.11233885949208967</v>
      </c>
      <c r="AH1973" s="226">
        <v>8.1771005558463589E-2</v>
      </c>
      <c r="AI1973" s="27">
        <v>404040000</v>
      </c>
      <c r="AJ1973" s="226">
        <v>0.14881873192373191</v>
      </c>
      <c r="AK1973" s="27">
        <v>108631660.32801613</v>
      </c>
      <c r="AL1973" s="226">
        <v>0.55351009332734491</v>
      </c>
      <c r="AM1973" s="27">
        <v>140345725.63718167</v>
      </c>
      <c r="AN1973" s="271">
        <v>0.42843285873848369</v>
      </c>
      <c r="AO1973" s="27">
        <v>6306014</v>
      </c>
      <c r="AP1973" s="27" t="s">
        <v>2842</v>
      </c>
      <c r="AQ1973" s="27">
        <v>55.468878048780489</v>
      </c>
      <c r="AR1973" s="27">
        <v>60.5</v>
      </c>
      <c r="AS1973" s="29" t="s">
        <v>2842</v>
      </c>
      <c r="AT1973" s="270">
        <v>29</v>
      </c>
      <c r="AU1973" s="464" t="s">
        <v>2842</v>
      </c>
      <c r="AV1973" s="29">
        <v>-0.99907283724429796</v>
      </c>
      <c r="AW1973" s="29">
        <v>-0.20278963276866399</v>
      </c>
      <c r="AX1973" s="29">
        <v>-1.3844715678442701</v>
      </c>
      <c r="AY1973" s="29">
        <v>-0.874241676894012</v>
      </c>
      <c r="AZ1973" s="60">
        <v>-0.96451530468247704</v>
      </c>
    </row>
    <row r="1974" spans="1:52" s="29" customFormat="1" ht="15" customHeight="1">
      <c r="A1974" s="63" t="s">
        <v>509</v>
      </c>
      <c r="B1974" s="53">
        <v>2010</v>
      </c>
      <c r="C1974" s="146" t="s">
        <v>510</v>
      </c>
      <c r="D1974" s="69" t="s">
        <v>81</v>
      </c>
      <c r="E1974" s="27" t="s">
        <v>19</v>
      </c>
      <c r="F1974" s="27" t="s">
        <v>730</v>
      </c>
      <c r="G1974" s="43">
        <f>10452*32.1507431265</f>
        <v>336039.56715817796</v>
      </c>
      <c r="H1974" s="43"/>
      <c r="I1974" s="43"/>
      <c r="J1974" s="43"/>
      <c r="K1974" s="27" t="s">
        <v>731</v>
      </c>
      <c r="L1974" s="28">
        <v>1224.66425</v>
      </c>
      <c r="M1974" s="27" t="s">
        <v>732</v>
      </c>
      <c r="N1974" s="27" t="s">
        <v>733</v>
      </c>
      <c r="O1974" s="18">
        <f t="shared" si="33"/>
        <v>411535644.48409468</v>
      </c>
      <c r="P1974" s="213"/>
      <c r="Q1974" s="213"/>
      <c r="R1974" s="27"/>
      <c r="S1974" s="27"/>
      <c r="T1974" s="18"/>
      <c r="U1974" s="27"/>
      <c r="V1974" s="27"/>
      <c r="W1974" s="30"/>
      <c r="X1974" s="27"/>
      <c r="Y1974" s="27"/>
      <c r="Z1974" s="27"/>
      <c r="AA1974" s="27"/>
      <c r="AB1974" s="27"/>
      <c r="AC1974" s="273">
        <v>60128720.446464643</v>
      </c>
      <c r="AD1974" s="27">
        <v>3172945506.3569741</v>
      </c>
      <c r="AE1974" s="228">
        <v>1.8950442207720609E-2</v>
      </c>
      <c r="AF1974" s="27">
        <v>535244177.46735799</v>
      </c>
      <c r="AG1974" s="226">
        <v>0.11233885949208967</v>
      </c>
      <c r="AH1974" s="226">
        <v>8.1771005558463589E-2</v>
      </c>
      <c r="AI1974" s="27">
        <v>404040000</v>
      </c>
      <c r="AJ1974" s="226">
        <v>0.14881873192373191</v>
      </c>
      <c r="AK1974" s="27">
        <v>108631660.32801613</v>
      </c>
      <c r="AL1974" s="226">
        <v>0.55351009332734491</v>
      </c>
      <c r="AM1974" s="27">
        <v>140345725.63718167</v>
      </c>
      <c r="AN1974" s="271">
        <v>0.42843285873848369</v>
      </c>
      <c r="AO1974" s="27">
        <v>6306014</v>
      </c>
      <c r="AP1974" s="27" t="s">
        <v>2842</v>
      </c>
      <c r="AQ1974" s="27">
        <v>55.468878048780489</v>
      </c>
      <c r="AR1974" s="27">
        <v>60.5</v>
      </c>
      <c r="AS1974" s="29" t="s">
        <v>2842</v>
      </c>
      <c r="AT1974" s="270">
        <v>29</v>
      </c>
      <c r="AU1974" s="464" t="s">
        <v>2842</v>
      </c>
      <c r="AV1974" s="29">
        <v>-0.99907283724429796</v>
      </c>
      <c r="AW1974" s="29">
        <v>-0.20278963276866399</v>
      </c>
      <c r="AX1974" s="29">
        <v>-1.3844715678442701</v>
      </c>
      <c r="AY1974" s="29">
        <v>-0.874241676894012</v>
      </c>
      <c r="AZ1974" s="60">
        <v>-0.96451530468247704</v>
      </c>
    </row>
    <row r="1975" spans="1:52" s="29" customFormat="1" ht="15" customHeight="1">
      <c r="A1975" s="63" t="s">
        <v>509</v>
      </c>
      <c r="B1975" s="53">
        <v>2010</v>
      </c>
      <c r="C1975" s="146" t="s">
        <v>510</v>
      </c>
      <c r="D1975" s="69" t="s">
        <v>81</v>
      </c>
      <c r="E1975" s="27" t="s">
        <v>19</v>
      </c>
      <c r="F1975" s="27" t="s">
        <v>2154</v>
      </c>
      <c r="G1975" s="43">
        <f>120994*1.52</f>
        <v>183910.88</v>
      </c>
      <c r="H1975" s="43">
        <f>120994*1.52</f>
        <v>183910.88</v>
      </c>
      <c r="I1975" s="43"/>
      <c r="J1975" s="43"/>
      <c r="K1975" s="27" t="s">
        <v>567</v>
      </c>
      <c r="L1975" s="28">
        <v>7.31</v>
      </c>
      <c r="M1975" s="27" t="s">
        <v>568</v>
      </c>
      <c r="N1975" s="27" t="s">
        <v>2155</v>
      </c>
      <c r="O1975" s="18">
        <f t="shared" si="33"/>
        <v>1344388.5327999999</v>
      </c>
      <c r="P1975" s="213"/>
      <c r="Q1975" s="213"/>
      <c r="R1975" s="27"/>
      <c r="S1975" s="27"/>
      <c r="T1975" s="18"/>
      <c r="U1975" s="27"/>
      <c r="V1975" s="27"/>
      <c r="W1975" s="30"/>
      <c r="X1975" s="27"/>
      <c r="Y1975" s="27"/>
      <c r="Z1975" s="27"/>
      <c r="AA1975" s="27"/>
      <c r="AB1975" s="27" t="s">
        <v>2156</v>
      </c>
      <c r="AC1975" s="273">
        <v>60128720.446464643</v>
      </c>
      <c r="AD1975" s="27">
        <v>3172945506.3569741</v>
      </c>
      <c r="AE1975" s="228">
        <v>1.8950442207720609E-2</v>
      </c>
      <c r="AF1975" s="27">
        <v>535244177.46735799</v>
      </c>
      <c r="AG1975" s="226">
        <v>0.11233885949208967</v>
      </c>
      <c r="AH1975" s="226">
        <v>8.1771005558463589E-2</v>
      </c>
      <c r="AI1975" s="27">
        <v>404040000</v>
      </c>
      <c r="AJ1975" s="226">
        <v>0.14881873192373191</v>
      </c>
      <c r="AK1975" s="27">
        <v>108631660.32801613</v>
      </c>
      <c r="AL1975" s="226">
        <v>0.55351009332734491</v>
      </c>
      <c r="AM1975" s="27">
        <v>140345725.63718167</v>
      </c>
      <c r="AN1975" s="271">
        <v>0.42843285873848369</v>
      </c>
      <c r="AO1975" s="27">
        <v>6306014</v>
      </c>
      <c r="AP1975" s="27" t="s">
        <v>2842</v>
      </c>
      <c r="AQ1975" s="27">
        <v>55.468878048780489</v>
      </c>
      <c r="AR1975" s="27">
        <v>60.5</v>
      </c>
      <c r="AS1975" s="29" t="s">
        <v>2842</v>
      </c>
      <c r="AT1975" s="270">
        <v>29</v>
      </c>
      <c r="AU1975" s="464" t="s">
        <v>2842</v>
      </c>
      <c r="AV1975" s="29">
        <v>-0.99907283724429796</v>
      </c>
      <c r="AW1975" s="29">
        <v>-0.20278963276866399</v>
      </c>
      <c r="AX1975" s="29">
        <v>-1.3844715678442701</v>
      </c>
      <c r="AY1975" s="29">
        <v>-0.874241676894012</v>
      </c>
      <c r="AZ1975" s="60">
        <v>-0.96451530468247704</v>
      </c>
    </row>
    <row r="1976" spans="1:52" s="29" customFormat="1" ht="15" customHeight="1">
      <c r="A1976" s="63" t="s">
        <v>509</v>
      </c>
      <c r="B1976" s="53">
        <v>2010</v>
      </c>
      <c r="C1976" s="146" t="s">
        <v>510</v>
      </c>
      <c r="D1976" s="69" t="s">
        <v>81</v>
      </c>
      <c r="E1976" s="27" t="s">
        <v>19</v>
      </c>
      <c r="F1976" s="27" t="s">
        <v>653</v>
      </c>
      <c r="G1976" s="43">
        <v>1656041</v>
      </c>
      <c r="H1976" s="43"/>
      <c r="I1976" s="43"/>
      <c r="J1976" s="43"/>
      <c r="K1976" s="27" t="s">
        <v>567</v>
      </c>
      <c r="L1976" s="28">
        <v>9.0299999999999994</v>
      </c>
      <c r="M1976" s="27" t="s">
        <v>568</v>
      </c>
      <c r="N1976" s="27" t="s">
        <v>654</v>
      </c>
      <c r="O1976" s="18">
        <f t="shared" si="33"/>
        <v>14954050.229999999</v>
      </c>
      <c r="P1976" s="213"/>
      <c r="Q1976" s="213"/>
      <c r="R1976" s="27"/>
      <c r="S1976" s="27"/>
      <c r="T1976" s="18"/>
      <c r="U1976" s="27"/>
      <c r="V1976" s="27"/>
      <c r="W1976" s="30"/>
      <c r="X1976" s="27"/>
      <c r="Y1976" s="27"/>
      <c r="Z1976" s="27"/>
      <c r="AA1976" s="27"/>
      <c r="AB1976" s="27"/>
      <c r="AC1976" s="273">
        <v>60128720.446464643</v>
      </c>
      <c r="AD1976" s="27">
        <v>3172945506.3569741</v>
      </c>
      <c r="AE1976" s="228">
        <v>1.8950442207720609E-2</v>
      </c>
      <c r="AF1976" s="27">
        <v>535244177.46735799</v>
      </c>
      <c r="AG1976" s="226">
        <v>0.11233885949208967</v>
      </c>
      <c r="AH1976" s="226">
        <v>8.1771005558463589E-2</v>
      </c>
      <c r="AI1976" s="27">
        <v>404040000</v>
      </c>
      <c r="AJ1976" s="226">
        <v>0.14881873192373191</v>
      </c>
      <c r="AK1976" s="27">
        <v>108631660.32801613</v>
      </c>
      <c r="AL1976" s="226">
        <v>0.55351009332734491</v>
      </c>
      <c r="AM1976" s="27">
        <v>140345725.63718167</v>
      </c>
      <c r="AN1976" s="271">
        <v>0.42843285873848369</v>
      </c>
      <c r="AO1976" s="27">
        <v>6306014</v>
      </c>
      <c r="AP1976" s="27" t="s">
        <v>2842</v>
      </c>
      <c r="AQ1976" s="27">
        <v>55.468878048780489</v>
      </c>
      <c r="AR1976" s="27">
        <v>60.5</v>
      </c>
      <c r="AS1976" s="29" t="s">
        <v>2842</v>
      </c>
      <c r="AT1976" s="270">
        <v>29</v>
      </c>
      <c r="AU1976" s="464" t="s">
        <v>2842</v>
      </c>
      <c r="AV1976" s="29">
        <v>-0.99907283724429796</v>
      </c>
      <c r="AW1976" s="29">
        <v>-0.20278963276866399</v>
      </c>
      <c r="AX1976" s="29">
        <v>-1.3844715678442701</v>
      </c>
      <c r="AY1976" s="29">
        <v>-0.874241676894012</v>
      </c>
      <c r="AZ1976" s="60">
        <v>-0.96451530468247704</v>
      </c>
    </row>
    <row r="1977" spans="1:52" s="29" customFormat="1" ht="15" customHeight="1">
      <c r="A1977" s="63" t="s">
        <v>509</v>
      </c>
      <c r="B1977" s="53">
        <v>2010</v>
      </c>
      <c r="C1977" s="146" t="s">
        <v>510</v>
      </c>
      <c r="D1977" s="69" t="s">
        <v>81</v>
      </c>
      <c r="E1977" s="27" t="s">
        <v>19</v>
      </c>
      <c r="F1977" s="27" t="s">
        <v>2157</v>
      </c>
      <c r="G1977" s="43">
        <v>695000</v>
      </c>
      <c r="H1977" s="43"/>
      <c r="I1977" s="43"/>
      <c r="J1977" s="43"/>
      <c r="K1977" s="27" t="s">
        <v>567</v>
      </c>
      <c r="L1977" s="28">
        <v>123.02083333333</v>
      </c>
      <c r="M1977" s="27" t="s">
        <v>568</v>
      </c>
      <c r="N1977" s="27" t="s">
        <v>1986</v>
      </c>
      <c r="O1977" s="18">
        <f t="shared" si="33"/>
        <v>85499479.166664347</v>
      </c>
      <c r="P1977" s="213"/>
      <c r="Q1977" s="213"/>
      <c r="R1977" s="27"/>
      <c r="S1977" s="27"/>
      <c r="T1977" s="18"/>
      <c r="U1977" s="27"/>
      <c r="V1977" s="27"/>
      <c r="W1977" s="30"/>
      <c r="X1977" s="27"/>
      <c r="Y1977" s="27"/>
      <c r="Z1977" s="27"/>
      <c r="AA1977" s="27"/>
      <c r="AB1977" s="27"/>
      <c r="AC1977" s="273">
        <v>60128720.446464643</v>
      </c>
      <c r="AD1977" s="27">
        <v>3172945506.3569741</v>
      </c>
      <c r="AE1977" s="228">
        <v>1.8950442207720609E-2</v>
      </c>
      <c r="AF1977" s="27">
        <v>535244177.46735799</v>
      </c>
      <c r="AG1977" s="226">
        <v>0.11233885949208967</v>
      </c>
      <c r="AH1977" s="226">
        <v>8.1771005558463589E-2</v>
      </c>
      <c r="AI1977" s="27">
        <v>404040000</v>
      </c>
      <c r="AJ1977" s="226">
        <v>0.14881873192373191</v>
      </c>
      <c r="AK1977" s="27">
        <v>108631660.32801613</v>
      </c>
      <c r="AL1977" s="226">
        <v>0.55351009332734491</v>
      </c>
      <c r="AM1977" s="27">
        <v>140345725.63718167</v>
      </c>
      <c r="AN1977" s="271">
        <v>0.42843285873848369</v>
      </c>
      <c r="AO1977" s="27">
        <v>6306014</v>
      </c>
      <c r="AP1977" s="27" t="s">
        <v>2842</v>
      </c>
      <c r="AQ1977" s="27">
        <v>55.468878048780489</v>
      </c>
      <c r="AR1977" s="27">
        <v>60.5</v>
      </c>
      <c r="AS1977" s="29" t="s">
        <v>2842</v>
      </c>
      <c r="AT1977" s="270">
        <v>29</v>
      </c>
      <c r="AU1977" s="464" t="s">
        <v>2842</v>
      </c>
      <c r="AV1977" s="29">
        <v>-0.99907283724429796</v>
      </c>
      <c r="AW1977" s="29">
        <v>-0.20278963276866399</v>
      </c>
      <c r="AX1977" s="29">
        <v>-1.3844715678442701</v>
      </c>
      <c r="AY1977" s="29">
        <v>-0.874241676894012</v>
      </c>
      <c r="AZ1977" s="60">
        <v>-0.96451530468247704</v>
      </c>
    </row>
    <row r="1978" spans="1:52" s="29" customFormat="1" ht="15" customHeight="1">
      <c r="A1978" s="63" t="s">
        <v>509</v>
      </c>
      <c r="B1978" s="53">
        <v>2010</v>
      </c>
      <c r="C1978" s="146" t="s">
        <v>510</v>
      </c>
      <c r="D1978" s="69" t="s">
        <v>81</v>
      </c>
      <c r="E1978" s="27" t="s">
        <v>19</v>
      </c>
      <c r="F1978" s="27" t="s">
        <v>897</v>
      </c>
      <c r="G1978" s="43">
        <f>1380*1.44</f>
        <v>1987.1999999999998</v>
      </c>
      <c r="H1978" s="43">
        <f>1380*1.44</f>
        <v>1987.1999999999998</v>
      </c>
      <c r="I1978" s="43"/>
      <c r="J1978" s="43"/>
      <c r="K1978" s="27" t="s">
        <v>567</v>
      </c>
      <c r="L1978" s="28">
        <v>7.31</v>
      </c>
      <c r="M1978" s="27" t="s">
        <v>568</v>
      </c>
      <c r="N1978" s="27" t="s">
        <v>2155</v>
      </c>
      <c r="O1978" s="18">
        <f t="shared" si="33"/>
        <v>14526.431999999997</v>
      </c>
      <c r="P1978" s="213"/>
      <c r="Q1978" s="213"/>
      <c r="R1978" s="27"/>
      <c r="S1978" s="27"/>
      <c r="T1978" s="18"/>
      <c r="U1978" s="27"/>
      <c r="V1978" s="27"/>
      <c r="W1978" s="30"/>
      <c r="X1978" s="27"/>
      <c r="Y1978" s="27"/>
      <c r="Z1978" s="27"/>
      <c r="AA1978" s="27"/>
      <c r="AB1978" s="27" t="s">
        <v>2156</v>
      </c>
      <c r="AC1978" s="273">
        <v>60128720.446464643</v>
      </c>
      <c r="AD1978" s="27">
        <v>3172945506.3569741</v>
      </c>
      <c r="AE1978" s="228">
        <v>1.8950442207720609E-2</v>
      </c>
      <c r="AF1978" s="27">
        <v>535244177.46735799</v>
      </c>
      <c r="AG1978" s="226">
        <v>0.11233885949208967</v>
      </c>
      <c r="AH1978" s="226">
        <v>8.1771005558463589E-2</v>
      </c>
      <c r="AI1978" s="27">
        <v>404040000</v>
      </c>
      <c r="AJ1978" s="226">
        <v>0.14881873192373191</v>
      </c>
      <c r="AK1978" s="27">
        <v>108631660.32801613</v>
      </c>
      <c r="AL1978" s="226">
        <v>0.55351009332734491</v>
      </c>
      <c r="AM1978" s="27">
        <v>140345725.63718167</v>
      </c>
      <c r="AN1978" s="271">
        <v>0.42843285873848369</v>
      </c>
      <c r="AO1978" s="27">
        <v>6306014</v>
      </c>
      <c r="AP1978" s="27" t="s">
        <v>2842</v>
      </c>
      <c r="AQ1978" s="27">
        <v>55.468878048780489</v>
      </c>
      <c r="AR1978" s="27">
        <v>60.5</v>
      </c>
      <c r="AS1978" s="29" t="s">
        <v>2842</v>
      </c>
      <c r="AT1978" s="270">
        <v>29</v>
      </c>
      <c r="AU1978" s="464" t="s">
        <v>2842</v>
      </c>
      <c r="AV1978" s="29">
        <v>-0.99907283724429796</v>
      </c>
      <c r="AW1978" s="29">
        <v>-0.20278963276866399</v>
      </c>
      <c r="AX1978" s="29">
        <v>-1.3844715678442701</v>
      </c>
      <c r="AY1978" s="29">
        <v>-0.874241676894012</v>
      </c>
      <c r="AZ1978" s="60">
        <v>-0.96451530468247704</v>
      </c>
    </row>
    <row r="1979" spans="1:52" s="287" customFormat="1" ht="15" customHeight="1">
      <c r="A1979" s="359" t="s">
        <v>509</v>
      </c>
      <c r="B1979" s="302">
        <v>2010</v>
      </c>
      <c r="C1979" s="383" t="s">
        <v>510</v>
      </c>
      <c r="D1979" s="369" t="s">
        <v>81</v>
      </c>
      <c r="E1979" s="284" t="s">
        <v>1483</v>
      </c>
      <c r="F1979" s="284" t="s">
        <v>2158</v>
      </c>
      <c r="G1979" s="303"/>
      <c r="H1979" s="303">
        <v>20528065</v>
      </c>
      <c r="I1979" s="303"/>
      <c r="J1979" s="303"/>
      <c r="K1979" s="284" t="s">
        <v>599</v>
      </c>
      <c r="L1979" s="304"/>
      <c r="M1979" s="284"/>
      <c r="N1979" s="284"/>
      <c r="O1979" s="305">
        <f t="shared" si="33"/>
        <v>0</v>
      </c>
      <c r="P1979" s="306"/>
      <c r="Q1979" s="306"/>
      <c r="R1979" s="284"/>
      <c r="S1979" s="284"/>
      <c r="T1979" s="305"/>
      <c r="U1979" s="284"/>
      <c r="V1979" s="284"/>
      <c r="W1979" s="307"/>
      <c r="X1979" s="284"/>
      <c r="Y1979" s="284"/>
      <c r="Z1979" s="284"/>
      <c r="AA1979" s="284"/>
      <c r="AB1979" s="284"/>
      <c r="AC1979" s="308">
        <v>60128720.446464643</v>
      </c>
      <c r="AD1979" s="284">
        <v>3172945506.3569741</v>
      </c>
      <c r="AE1979" s="309">
        <v>1.8950442207720609E-2</v>
      </c>
      <c r="AF1979" s="284">
        <v>535244177.46735799</v>
      </c>
      <c r="AG1979" s="310">
        <v>0.11233885949208967</v>
      </c>
      <c r="AH1979" s="310">
        <v>8.1771005558463589E-2</v>
      </c>
      <c r="AI1979" s="284">
        <v>404040000</v>
      </c>
      <c r="AJ1979" s="310">
        <v>0.14881873192373191</v>
      </c>
      <c r="AK1979" s="284">
        <v>108631660.32801613</v>
      </c>
      <c r="AL1979" s="310">
        <v>0.55351009332734491</v>
      </c>
      <c r="AM1979" s="284">
        <v>140345725.63718167</v>
      </c>
      <c r="AN1979" s="311">
        <v>0.42843285873848369</v>
      </c>
      <c r="AO1979" s="284">
        <v>6306014</v>
      </c>
      <c r="AP1979" s="284" t="s">
        <v>2842</v>
      </c>
      <c r="AQ1979" s="284">
        <v>55.468878048780489</v>
      </c>
      <c r="AR1979" s="284">
        <v>60.5</v>
      </c>
      <c r="AS1979" s="287" t="s">
        <v>2842</v>
      </c>
      <c r="AT1979" s="312">
        <v>29</v>
      </c>
      <c r="AU1979" s="465" t="s">
        <v>2842</v>
      </c>
      <c r="AV1979" s="287">
        <v>-0.99907283724429796</v>
      </c>
      <c r="AW1979" s="287">
        <v>-0.20278963276866399</v>
      </c>
      <c r="AX1979" s="287">
        <v>-1.3844715678442701</v>
      </c>
      <c r="AY1979" s="287">
        <v>-0.874241676894012</v>
      </c>
      <c r="AZ1979" s="313">
        <v>-0.96451530468247704</v>
      </c>
    </row>
    <row r="1980" spans="1:52" ht="15" customHeight="1">
      <c r="A1980" s="347" t="s">
        <v>514</v>
      </c>
      <c r="B1980" s="53">
        <v>2011</v>
      </c>
      <c r="C1980" s="146" t="s">
        <v>510</v>
      </c>
      <c r="D1980" s="69" t="s">
        <v>81</v>
      </c>
      <c r="E1980" s="27" t="s">
        <v>512</v>
      </c>
      <c r="F1980" s="27" t="s">
        <v>659</v>
      </c>
      <c r="G1980" s="43"/>
      <c r="H1980" s="43"/>
      <c r="I1980" s="43"/>
      <c r="J1980" s="43"/>
      <c r="K1980" s="27"/>
      <c r="L1980" s="28"/>
      <c r="M1980" s="27"/>
      <c r="N1980" s="27"/>
      <c r="O1980" s="18">
        <f>O1981+O1982+O1990</f>
        <v>1228553530.9457467</v>
      </c>
      <c r="P1980" s="213">
        <v>31315792.572000001</v>
      </c>
      <c r="Q1980" s="213">
        <v>31297366.316</v>
      </c>
      <c r="R1980" s="27" t="s">
        <v>619</v>
      </c>
      <c r="S1980" s="27"/>
      <c r="T1980" s="18"/>
      <c r="U1980" s="27" t="s">
        <v>917</v>
      </c>
      <c r="V1980" s="27" t="s">
        <v>778</v>
      </c>
      <c r="W1980" s="30">
        <v>500</v>
      </c>
      <c r="X1980" s="27">
        <v>25</v>
      </c>
      <c r="Y1980" s="27" t="s">
        <v>2159</v>
      </c>
      <c r="Z1980" s="27">
        <v>25</v>
      </c>
      <c r="AA1980" s="27" t="s">
        <v>2160</v>
      </c>
      <c r="AB1980" s="27" t="s">
        <v>2161</v>
      </c>
      <c r="AC1980" s="273">
        <v>31315792.572000001</v>
      </c>
      <c r="AD1980" s="27">
        <v>3756023047.7909942</v>
      </c>
      <c r="AE1980" s="228">
        <v>8.3374867974831939E-3</v>
      </c>
      <c r="AF1980" s="27">
        <v>691784324.94214535</v>
      </c>
      <c r="AG1980" s="226">
        <v>4.5268144193089332E-2</v>
      </c>
      <c r="AH1980" s="226">
        <v>4.9709158881734543E-2</v>
      </c>
      <c r="AI1980" s="27">
        <v>542730000</v>
      </c>
      <c r="AJ1980" s="226">
        <v>5.7700500381405118E-2</v>
      </c>
      <c r="AK1980" s="27">
        <v>157175115.03884029</v>
      </c>
      <c r="AL1980" s="226">
        <v>0.19924141658341657</v>
      </c>
      <c r="AM1980" s="27">
        <v>169833464.93583193</v>
      </c>
      <c r="AN1980" s="271">
        <v>0.18439117746218053</v>
      </c>
      <c r="AO1980" s="27">
        <v>6472304</v>
      </c>
      <c r="AP1980" s="27">
        <v>58.7</v>
      </c>
      <c r="AQ1980" s="27">
        <v>55.807658536585372</v>
      </c>
      <c r="AR1980" s="27">
        <v>59</v>
      </c>
      <c r="AS1980" s="29" t="s">
        <v>2842</v>
      </c>
      <c r="AT1980" s="270">
        <v>29</v>
      </c>
      <c r="AU1980" s="464" t="s">
        <v>2842</v>
      </c>
      <c r="AV1980" s="29">
        <v>-0.92203205644345998</v>
      </c>
      <c r="AW1980" s="29">
        <v>-0.18110286192476599</v>
      </c>
      <c r="AX1980" s="29">
        <v>-1.3621682253898799</v>
      </c>
      <c r="AY1980" s="29">
        <v>-0.99553748560149802</v>
      </c>
      <c r="AZ1980" s="60">
        <v>-0.97452272002412099</v>
      </c>
    </row>
    <row r="1981" spans="1:52" ht="15" customHeight="1">
      <c r="A1981" s="63" t="s">
        <v>514</v>
      </c>
      <c r="B1981" s="53">
        <v>2011</v>
      </c>
      <c r="C1981" s="146" t="s">
        <v>510</v>
      </c>
      <c r="D1981" s="69" t="s">
        <v>81</v>
      </c>
      <c r="E1981" s="27" t="s">
        <v>98</v>
      </c>
      <c r="F1981" s="27" t="s">
        <v>98</v>
      </c>
      <c r="G1981" s="43">
        <v>0</v>
      </c>
      <c r="H1981" s="43"/>
      <c r="I1981" s="43"/>
      <c r="J1981" s="43"/>
      <c r="K1981" s="27" t="s">
        <v>603</v>
      </c>
      <c r="L1981" s="28"/>
      <c r="M1981" s="27"/>
      <c r="N1981" s="27" t="s">
        <v>2048</v>
      </c>
      <c r="O1981" s="18">
        <f>G1981*L1981</f>
        <v>0</v>
      </c>
      <c r="P1981" s="213"/>
      <c r="Q1981" s="213"/>
      <c r="R1981" s="27"/>
      <c r="S1981" s="27"/>
      <c r="T1981" s="18"/>
      <c r="U1981" s="27"/>
      <c r="V1981" s="27"/>
      <c r="W1981" s="30"/>
      <c r="X1981" s="27"/>
      <c r="Y1981" s="27"/>
      <c r="Z1981" s="27"/>
      <c r="AA1981" s="27"/>
      <c r="AB1981" s="27"/>
      <c r="AC1981" s="273">
        <v>31315792.572000001</v>
      </c>
      <c r="AD1981" s="27">
        <v>3756023047.7909942</v>
      </c>
      <c r="AE1981" s="228">
        <v>8.3374867974831939E-3</v>
      </c>
      <c r="AF1981" s="27">
        <v>691784324.94214535</v>
      </c>
      <c r="AG1981" s="226">
        <v>4.5268144193089332E-2</v>
      </c>
      <c r="AH1981" s="226">
        <v>4.9709158881734543E-2</v>
      </c>
      <c r="AI1981" s="27">
        <v>542730000</v>
      </c>
      <c r="AJ1981" s="226">
        <v>5.7700500381405118E-2</v>
      </c>
      <c r="AK1981" s="27">
        <v>157175115.03884029</v>
      </c>
      <c r="AL1981" s="226">
        <v>0.19924141658341657</v>
      </c>
      <c r="AM1981" s="27">
        <v>169833464.93583193</v>
      </c>
      <c r="AN1981" s="271">
        <v>0.18439117746218053</v>
      </c>
      <c r="AO1981" s="27">
        <v>6472304</v>
      </c>
      <c r="AP1981" s="27">
        <v>58.7</v>
      </c>
      <c r="AQ1981" s="27">
        <v>55.807658536585372</v>
      </c>
      <c r="AR1981" s="27">
        <v>59</v>
      </c>
      <c r="AS1981" s="29" t="s">
        <v>2842</v>
      </c>
      <c r="AT1981" s="270">
        <v>29</v>
      </c>
      <c r="AU1981" s="464" t="s">
        <v>2842</v>
      </c>
      <c r="AV1981" s="29">
        <v>-0.92203205644345998</v>
      </c>
      <c r="AW1981" s="29">
        <v>-0.18110286192476599</v>
      </c>
      <c r="AX1981" s="29">
        <v>-1.3621682253898799</v>
      </c>
      <c r="AY1981" s="29">
        <v>-0.99553748560149802</v>
      </c>
      <c r="AZ1981" s="60">
        <v>-0.97452272002412099</v>
      </c>
    </row>
    <row r="1982" spans="1:52" ht="15" customHeight="1">
      <c r="A1982" s="63" t="s">
        <v>514</v>
      </c>
      <c r="B1982" s="53">
        <v>2011</v>
      </c>
      <c r="C1982" s="146" t="s">
        <v>510</v>
      </c>
      <c r="D1982" s="69" t="s">
        <v>81</v>
      </c>
      <c r="E1982" s="27" t="s">
        <v>19</v>
      </c>
      <c r="F1982" s="27" t="s">
        <v>559</v>
      </c>
      <c r="G1982" s="43"/>
      <c r="H1982" s="43"/>
      <c r="I1982" s="43"/>
      <c r="J1982" s="43"/>
      <c r="K1982" s="27"/>
      <c r="L1982" s="28"/>
      <c r="M1982" s="27"/>
      <c r="N1982" s="27"/>
      <c r="O1982" s="18">
        <f>SUM(O1983:O1989)</f>
        <v>1228553530.9457467</v>
      </c>
      <c r="P1982" s="213"/>
      <c r="Q1982" s="213"/>
      <c r="R1982" s="27"/>
      <c r="S1982" s="27"/>
      <c r="T1982" s="18"/>
      <c r="U1982" s="27"/>
      <c r="V1982" s="27"/>
      <c r="W1982" s="30"/>
      <c r="X1982" s="27"/>
      <c r="Y1982" s="27"/>
      <c r="Z1982" s="27"/>
      <c r="AA1982" s="27"/>
      <c r="AB1982" s="27"/>
      <c r="AC1982" s="273">
        <v>31315792.572000001</v>
      </c>
      <c r="AD1982" s="27">
        <v>3756023047.7909942</v>
      </c>
      <c r="AE1982" s="228">
        <v>8.3374867974831939E-3</v>
      </c>
      <c r="AF1982" s="27">
        <v>691784324.94214535</v>
      </c>
      <c r="AG1982" s="226">
        <v>4.5268144193089332E-2</v>
      </c>
      <c r="AH1982" s="226">
        <v>4.9709158881734543E-2</v>
      </c>
      <c r="AI1982" s="27">
        <v>542730000</v>
      </c>
      <c r="AJ1982" s="226">
        <v>5.7700500381405118E-2</v>
      </c>
      <c r="AK1982" s="27">
        <v>157175115.03884029</v>
      </c>
      <c r="AL1982" s="226">
        <v>0.19924141658341657</v>
      </c>
      <c r="AM1982" s="27">
        <v>169833464.93583193</v>
      </c>
      <c r="AN1982" s="271">
        <v>0.18439117746218053</v>
      </c>
      <c r="AO1982" s="27">
        <v>6472304</v>
      </c>
      <c r="AP1982" s="27">
        <v>58.7</v>
      </c>
      <c r="AQ1982" s="27">
        <v>55.807658536585372</v>
      </c>
      <c r="AR1982" s="27">
        <v>59</v>
      </c>
      <c r="AS1982" s="29" t="s">
        <v>2842</v>
      </c>
      <c r="AT1982" s="270">
        <v>29</v>
      </c>
      <c r="AU1982" s="464" t="s">
        <v>2842</v>
      </c>
      <c r="AV1982" s="29">
        <v>-0.92203205644345998</v>
      </c>
      <c r="AW1982" s="29">
        <v>-0.18110286192476599</v>
      </c>
      <c r="AX1982" s="29">
        <v>-1.3621682253898799</v>
      </c>
      <c r="AY1982" s="29">
        <v>-0.99553748560149802</v>
      </c>
      <c r="AZ1982" s="60">
        <v>-0.97452272002412099</v>
      </c>
    </row>
    <row r="1983" spans="1:52" ht="15" customHeight="1">
      <c r="A1983" s="63" t="s">
        <v>514</v>
      </c>
      <c r="B1983" s="53">
        <v>2011</v>
      </c>
      <c r="C1983" s="146" t="s">
        <v>510</v>
      </c>
      <c r="D1983" s="69" t="s">
        <v>81</v>
      </c>
      <c r="E1983" s="27" t="s">
        <v>19</v>
      </c>
      <c r="F1983" s="27" t="s">
        <v>2162</v>
      </c>
      <c r="G1983" s="43">
        <v>2360606</v>
      </c>
      <c r="H1983" s="43"/>
      <c r="I1983" s="43"/>
      <c r="J1983" s="43"/>
      <c r="K1983" s="27" t="s">
        <v>567</v>
      </c>
      <c r="L1983" s="28">
        <v>89.5</v>
      </c>
      <c r="M1983" s="27" t="s">
        <v>568</v>
      </c>
      <c r="N1983" s="27" t="s">
        <v>1122</v>
      </c>
      <c r="O1983" s="18">
        <f t="shared" ref="O1983:O1990" si="34">G1983*L1983</f>
        <v>211274237</v>
      </c>
      <c r="P1983" s="213"/>
      <c r="Q1983" s="213"/>
      <c r="R1983" s="27"/>
      <c r="S1983" s="27"/>
      <c r="T1983" s="18"/>
      <c r="U1983" s="27"/>
      <c r="V1983" s="27"/>
      <c r="W1983" s="30"/>
      <c r="X1983" s="27"/>
      <c r="Y1983" s="27"/>
      <c r="Z1983" s="27"/>
      <c r="AA1983" s="27"/>
      <c r="AB1983" s="27"/>
      <c r="AC1983" s="273">
        <v>31315792.572000001</v>
      </c>
      <c r="AD1983" s="27">
        <v>3756023047.7909942</v>
      </c>
      <c r="AE1983" s="228">
        <v>8.3374867974831939E-3</v>
      </c>
      <c r="AF1983" s="27">
        <v>691784324.94214535</v>
      </c>
      <c r="AG1983" s="226">
        <v>4.5268144193089332E-2</v>
      </c>
      <c r="AH1983" s="226">
        <v>4.9709158881734543E-2</v>
      </c>
      <c r="AI1983" s="27">
        <v>542730000</v>
      </c>
      <c r="AJ1983" s="226">
        <v>5.7700500381405118E-2</v>
      </c>
      <c r="AK1983" s="27">
        <v>157175115.03884029</v>
      </c>
      <c r="AL1983" s="226">
        <v>0.19924141658341657</v>
      </c>
      <c r="AM1983" s="27">
        <v>169833464.93583193</v>
      </c>
      <c r="AN1983" s="271">
        <v>0.18439117746218053</v>
      </c>
      <c r="AO1983" s="27">
        <v>6472304</v>
      </c>
      <c r="AP1983" s="27">
        <v>58.7</v>
      </c>
      <c r="AQ1983" s="27">
        <v>55.807658536585372</v>
      </c>
      <c r="AR1983" s="27">
        <v>59</v>
      </c>
      <c r="AS1983" s="29" t="s">
        <v>2842</v>
      </c>
      <c r="AT1983" s="270">
        <v>29</v>
      </c>
      <c r="AU1983" s="464" t="s">
        <v>2842</v>
      </c>
      <c r="AV1983" s="29">
        <v>-0.92203205644345998</v>
      </c>
      <c r="AW1983" s="29">
        <v>-0.18110286192476599</v>
      </c>
      <c r="AX1983" s="29">
        <v>-1.3621682253898799</v>
      </c>
      <c r="AY1983" s="29">
        <v>-0.99553748560149802</v>
      </c>
      <c r="AZ1983" s="60">
        <v>-0.97452272002412099</v>
      </c>
    </row>
    <row r="1984" spans="1:52" ht="15" customHeight="1">
      <c r="A1984" s="63" t="s">
        <v>514</v>
      </c>
      <c r="B1984" s="53">
        <v>2011</v>
      </c>
      <c r="C1984" s="146" t="s">
        <v>510</v>
      </c>
      <c r="D1984" s="69" t="s">
        <v>81</v>
      </c>
      <c r="E1984" s="27" t="s">
        <v>19</v>
      </c>
      <c r="F1984" s="27" t="s">
        <v>904</v>
      </c>
      <c r="G1984" s="43">
        <v>71</v>
      </c>
      <c r="H1984" s="43"/>
      <c r="I1984" s="43"/>
      <c r="J1984" s="43"/>
      <c r="K1984" s="27" t="s">
        <v>905</v>
      </c>
      <c r="L1984" s="28">
        <v>210.9</v>
      </c>
      <c r="M1984" s="27" t="s">
        <v>906</v>
      </c>
      <c r="N1984" s="27" t="s">
        <v>2163</v>
      </c>
      <c r="O1984" s="18">
        <f t="shared" si="34"/>
        <v>14973.9</v>
      </c>
      <c r="P1984" s="213"/>
      <c r="Q1984" s="213"/>
      <c r="R1984" s="27"/>
      <c r="S1984" s="27"/>
      <c r="T1984" s="18"/>
      <c r="U1984" s="27"/>
      <c r="V1984" s="27"/>
      <c r="W1984" s="30"/>
      <c r="X1984" s="27"/>
      <c r="Y1984" s="27"/>
      <c r="Z1984" s="27"/>
      <c r="AA1984" s="27"/>
      <c r="AB1984" s="27"/>
      <c r="AC1984" s="273">
        <v>31315792.572000001</v>
      </c>
      <c r="AD1984" s="27">
        <v>3756023047.7909942</v>
      </c>
      <c r="AE1984" s="228">
        <v>8.3374867974831939E-3</v>
      </c>
      <c r="AF1984" s="27">
        <v>691784324.94214535</v>
      </c>
      <c r="AG1984" s="226">
        <v>4.5268144193089332E-2</v>
      </c>
      <c r="AH1984" s="226">
        <v>4.9709158881734543E-2</v>
      </c>
      <c r="AI1984" s="27">
        <v>542730000</v>
      </c>
      <c r="AJ1984" s="226">
        <v>5.7700500381405118E-2</v>
      </c>
      <c r="AK1984" s="27">
        <v>157175115.03884029</v>
      </c>
      <c r="AL1984" s="226">
        <v>0.19924141658341657</v>
      </c>
      <c r="AM1984" s="27">
        <v>169833464.93583193</v>
      </c>
      <c r="AN1984" s="271">
        <v>0.18439117746218053</v>
      </c>
      <c r="AO1984" s="27">
        <v>6472304</v>
      </c>
      <c r="AP1984" s="27">
        <v>58.7</v>
      </c>
      <c r="AQ1984" s="27">
        <v>55.807658536585372</v>
      </c>
      <c r="AR1984" s="27">
        <v>59</v>
      </c>
      <c r="AS1984" s="29" t="s">
        <v>2842</v>
      </c>
      <c r="AT1984" s="270">
        <v>29</v>
      </c>
      <c r="AU1984" s="464" t="s">
        <v>2842</v>
      </c>
      <c r="AV1984" s="29">
        <v>-0.92203205644345998</v>
      </c>
      <c r="AW1984" s="29">
        <v>-0.18110286192476599</v>
      </c>
      <c r="AX1984" s="29">
        <v>-1.3621682253898799</v>
      </c>
      <c r="AY1984" s="29">
        <v>-0.99553748560149802</v>
      </c>
      <c r="AZ1984" s="60">
        <v>-0.97452272002412099</v>
      </c>
    </row>
    <row r="1985" spans="1:52" ht="15" customHeight="1">
      <c r="A1985" s="63" t="s">
        <v>514</v>
      </c>
      <c r="B1985" s="53">
        <v>2011</v>
      </c>
      <c r="C1985" s="146" t="s">
        <v>510</v>
      </c>
      <c r="D1985" s="69" t="s">
        <v>81</v>
      </c>
      <c r="E1985" s="27" t="s">
        <v>19</v>
      </c>
      <c r="F1985" s="27" t="s">
        <v>730</v>
      </c>
      <c r="G1985" s="43">
        <f>16469*32.1507431265</f>
        <v>529490.58855032839</v>
      </c>
      <c r="H1985" s="43"/>
      <c r="I1985" s="43"/>
      <c r="J1985" s="43"/>
      <c r="K1985" s="27" t="s">
        <v>731</v>
      </c>
      <c r="L1985" s="28">
        <v>1569.2108333333299</v>
      </c>
      <c r="M1985" s="27" t="s">
        <v>732</v>
      </c>
      <c r="N1985" s="27" t="s">
        <v>733</v>
      </c>
      <c r="O1985" s="18">
        <f t="shared" si="34"/>
        <v>830882367.7012161</v>
      </c>
      <c r="P1985" s="213"/>
      <c r="Q1985" s="213"/>
      <c r="R1985" s="27"/>
      <c r="S1985" s="27"/>
      <c r="T1985" s="18"/>
      <c r="U1985" s="27"/>
      <c r="V1985" s="27"/>
      <c r="W1985" s="30"/>
      <c r="X1985" s="27"/>
      <c r="Y1985" s="27"/>
      <c r="Z1985" s="27"/>
      <c r="AA1985" s="27"/>
      <c r="AB1985" s="27"/>
      <c r="AC1985" s="273">
        <v>31315792.572000001</v>
      </c>
      <c r="AD1985" s="27">
        <v>3756023047.7909942</v>
      </c>
      <c r="AE1985" s="228">
        <v>8.3374867974831939E-3</v>
      </c>
      <c r="AF1985" s="27">
        <v>691784324.94214535</v>
      </c>
      <c r="AG1985" s="226">
        <v>4.5268144193089332E-2</v>
      </c>
      <c r="AH1985" s="226">
        <v>4.9709158881734543E-2</v>
      </c>
      <c r="AI1985" s="27">
        <v>542730000</v>
      </c>
      <c r="AJ1985" s="226">
        <v>5.7700500381405118E-2</v>
      </c>
      <c r="AK1985" s="27">
        <v>157175115.03884029</v>
      </c>
      <c r="AL1985" s="226">
        <v>0.19924141658341657</v>
      </c>
      <c r="AM1985" s="27">
        <v>169833464.93583193</v>
      </c>
      <c r="AN1985" s="271">
        <v>0.18439117746218053</v>
      </c>
      <c r="AO1985" s="27">
        <v>6472304</v>
      </c>
      <c r="AP1985" s="27">
        <v>58.7</v>
      </c>
      <c r="AQ1985" s="27">
        <v>55.807658536585372</v>
      </c>
      <c r="AR1985" s="27">
        <v>59</v>
      </c>
      <c r="AS1985" s="29" t="s">
        <v>2842</v>
      </c>
      <c r="AT1985" s="270">
        <v>29</v>
      </c>
      <c r="AU1985" s="464" t="s">
        <v>2842</v>
      </c>
      <c r="AV1985" s="29">
        <v>-0.92203205644345998</v>
      </c>
      <c r="AW1985" s="29">
        <v>-0.18110286192476599</v>
      </c>
      <c r="AX1985" s="29">
        <v>-1.3621682253898799</v>
      </c>
      <c r="AY1985" s="29">
        <v>-0.99553748560149802</v>
      </c>
      <c r="AZ1985" s="60">
        <v>-0.97452272002412099</v>
      </c>
    </row>
    <row r="1986" spans="1:52" s="287" customFormat="1" ht="15" customHeight="1">
      <c r="A1986" s="359" t="s">
        <v>509</v>
      </c>
      <c r="B1986" s="302">
        <v>2010</v>
      </c>
      <c r="C1986" s="383" t="s">
        <v>510</v>
      </c>
      <c r="D1986" s="369" t="s">
        <v>81</v>
      </c>
      <c r="E1986" s="284" t="s">
        <v>19</v>
      </c>
      <c r="F1986" s="284" t="s">
        <v>2154</v>
      </c>
      <c r="G1986" s="303">
        <f>173469*1.52</f>
        <v>263672.88</v>
      </c>
      <c r="H1986" s="303">
        <f>173469*1.52</f>
        <v>263672.88</v>
      </c>
      <c r="I1986" s="303"/>
      <c r="J1986" s="303"/>
      <c r="K1986" s="284" t="s">
        <v>567</v>
      </c>
      <c r="L1986" s="304">
        <v>7.49</v>
      </c>
      <c r="M1986" s="284" t="s">
        <v>568</v>
      </c>
      <c r="N1986" s="284" t="s">
        <v>2164</v>
      </c>
      <c r="O1986" s="305">
        <f t="shared" si="34"/>
        <v>1974909.8712000002</v>
      </c>
      <c r="P1986" s="306"/>
      <c r="Q1986" s="306"/>
      <c r="R1986" s="284"/>
      <c r="S1986" s="284"/>
      <c r="T1986" s="305"/>
      <c r="U1986" s="284"/>
      <c r="V1986" s="284"/>
      <c r="W1986" s="307"/>
      <c r="X1986" s="284"/>
      <c r="Y1986" s="284"/>
      <c r="Z1986" s="284"/>
      <c r="AA1986" s="284"/>
      <c r="AB1986" s="284" t="s">
        <v>2156</v>
      </c>
      <c r="AC1986" s="308">
        <v>60128720.446464643</v>
      </c>
      <c r="AD1986" s="284">
        <v>3172945506.3569741</v>
      </c>
      <c r="AE1986" s="309">
        <v>1.8950442207720609E-2</v>
      </c>
      <c r="AF1986" s="284">
        <v>535244177.46735799</v>
      </c>
      <c r="AG1986" s="310">
        <v>0.11233885949208967</v>
      </c>
      <c r="AH1986" s="310">
        <v>8.1771005558463589E-2</v>
      </c>
      <c r="AI1986" s="284">
        <v>404040000</v>
      </c>
      <c r="AJ1986" s="310">
        <v>0.14881873192373191</v>
      </c>
      <c r="AK1986" s="284">
        <v>108631660.32801613</v>
      </c>
      <c r="AL1986" s="310">
        <v>0.55351009332734491</v>
      </c>
      <c r="AM1986" s="284">
        <v>140345725.63718167</v>
      </c>
      <c r="AN1986" s="311">
        <v>0.42843285873848369</v>
      </c>
      <c r="AO1986" s="284">
        <v>6306014</v>
      </c>
      <c r="AP1986" s="284" t="s">
        <v>2842</v>
      </c>
      <c r="AQ1986" s="284">
        <v>55.468878048780489</v>
      </c>
      <c r="AR1986" s="284">
        <v>60.5</v>
      </c>
      <c r="AS1986" s="287" t="s">
        <v>2842</v>
      </c>
      <c r="AT1986" s="312">
        <v>29</v>
      </c>
      <c r="AU1986" s="465" t="s">
        <v>2842</v>
      </c>
      <c r="AV1986" s="287">
        <v>-0.99907283724429796</v>
      </c>
      <c r="AW1986" s="287">
        <v>-0.20278963276866399</v>
      </c>
      <c r="AX1986" s="287">
        <v>-1.3844715678442701</v>
      </c>
      <c r="AY1986" s="287">
        <v>-0.874241676894012</v>
      </c>
      <c r="AZ1986" s="313">
        <v>-0.96451530468247704</v>
      </c>
    </row>
    <row r="1987" spans="1:52" ht="15" customHeight="1">
      <c r="A1987" s="63" t="s">
        <v>514</v>
      </c>
      <c r="B1987" s="53">
        <v>2011</v>
      </c>
      <c r="C1987" s="146" t="s">
        <v>510</v>
      </c>
      <c r="D1987" s="69" t="s">
        <v>81</v>
      </c>
      <c r="E1987" s="27" t="s">
        <v>19</v>
      </c>
      <c r="F1987" s="27" t="s">
        <v>1133</v>
      </c>
      <c r="G1987" s="43">
        <v>40912</v>
      </c>
      <c r="H1987" s="43"/>
      <c r="I1987" s="43"/>
      <c r="J1987" s="43"/>
      <c r="K1987" s="27" t="s">
        <v>567</v>
      </c>
      <c r="L1987" s="28">
        <v>167.75416666666999</v>
      </c>
      <c r="M1987" s="27" t="s">
        <v>568</v>
      </c>
      <c r="N1987" s="27"/>
      <c r="O1987" s="18">
        <f t="shared" si="34"/>
        <v>6863158.4666668028</v>
      </c>
      <c r="P1987" s="213"/>
      <c r="Q1987" s="213"/>
      <c r="R1987" s="27"/>
      <c r="S1987" s="27"/>
      <c r="T1987" s="18"/>
      <c r="U1987" s="27"/>
      <c r="V1987" s="27"/>
      <c r="W1987" s="30"/>
      <c r="X1987" s="27"/>
      <c r="Y1987" s="27"/>
      <c r="Z1987" s="27"/>
      <c r="AA1987" s="27"/>
      <c r="AB1987" s="27"/>
      <c r="AC1987" s="273">
        <v>31315792.572000001</v>
      </c>
      <c r="AD1987" s="27">
        <v>3756023047.7909942</v>
      </c>
      <c r="AE1987" s="228">
        <v>8.3374867974831939E-3</v>
      </c>
      <c r="AF1987" s="27">
        <v>691784324.94214535</v>
      </c>
      <c r="AG1987" s="226">
        <v>4.5268144193089332E-2</v>
      </c>
      <c r="AH1987" s="226">
        <v>4.9709158881734543E-2</v>
      </c>
      <c r="AI1987" s="27">
        <v>542730000</v>
      </c>
      <c r="AJ1987" s="226">
        <v>5.7700500381405118E-2</v>
      </c>
      <c r="AK1987" s="27">
        <v>157175115.03884029</v>
      </c>
      <c r="AL1987" s="226">
        <v>0.19924141658341657</v>
      </c>
      <c r="AM1987" s="27">
        <v>169833464.93583193</v>
      </c>
      <c r="AN1987" s="271">
        <v>0.18439117746218053</v>
      </c>
      <c r="AO1987" s="27">
        <v>6472304</v>
      </c>
      <c r="AP1987" s="27">
        <v>58.7</v>
      </c>
      <c r="AQ1987" s="27">
        <v>55.807658536585372</v>
      </c>
      <c r="AR1987" s="27">
        <v>59</v>
      </c>
      <c r="AS1987" s="29" t="s">
        <v>2842</v>
      </c>
      <c r="AT1987" s="270">
        <v>29</v>
      </c>
      <c r="AU1987" s="464" t="s">
        <v>2842</v>
      </c>
      <c r="AV1987" s="29">
        <v>-0.92203205644345998</v>
      </c>
      <c r="AW1987" s="29">
        <v>-0.18110286192476599</v>
      </c>
      <c r="AX1987" s="29">
        <v>-1.3621682253898799</v>
      </c>
      <c r="AY1987" s="29">
        <v>-0.99553748560149802</v>
      </c>
      <c r="AZ1987" s="60">
        <v>-0.97452272002412099</v>
      </c>
    </row>
    <row r="1988" spans="1:52" ht="15" customHeight="1">
      <c r="A1988" s="63" t="s">
        <v>514</v>
      </c>
      <c r="B1988" s="53">
        <v>2011</v>
      </c>
      <c r="C1988" s="146" t="s">
        <v>510</v>
      </c>
      <c r="D1988" s="69" t="s">
        <v>81</v>
      </c>
      <c r="E1988" s="27" t="s">
        <v>19</v>
      </c>
      <c r="F1988" s="27" t="s">
        <v>653</v>
      </c>
      <c r="G1988" s="43">
        <v>1923189</v>
      </c>
      <c r="H1988" s="43"/>
      <c r="I1988" s="43"/>
      <c r="J1988" s="43"/>
      <c r="K1988" s="27" t="s">
        <v>567</v>
      </c>
      <c r="L1988" s="28">
        <v>9.06</v>
      </c>
      <c r="M1988" s="27" t="s">
        <v>568</v>
      </c>
      <c r="N1988" s="27" t="s">
        <v>1785</v>
      </c>
      <c r="O1988" s="18">
        <f t="shared" si="34"/>
        <v>17424092.34</v>
      </c>
      <c r="P1988" s="213"/>
      <c r="Q1988" s="213"/>
      <c r="R1988" s="27"/>
      <c r="S1988" s="27"/>
      <c r="T1988" s="18"/>
      <c r="U1988" s="27"/>
      <c r="V1988" s="27"/>
      <c r="W1988" s="30"/>
      <c r="X1988" s="27"/>
      <c r="Y1988" s="27"/>
      <c r="Z1988" s="27"/>
      <c r="AA1988" s="27"/>
      <c r="AB1988" s="27"/>
      <c r="AC1988" s="273">
        <v>31315792.572000001</v>
      </c>
      <c r="AD1988" s="27">
        <v>3756023047.7909942</v>
      </c>
      <c r="AE1988" s="228">
        <v>8.3374867974831939E-3</v>
      </c>
      <c r="AF1988" s="27">
        <v>691784324.94214535</v>
      </c>
      <c r="AG1988" s="226">
        <v>4.5268144193089332E-2</v>
      </c>
      <c r="AH1988" s="226">
        <v>4.9709158881734543E-2</v>
      </c>
      <c r="AI1988" s="27">
        <v>542730000</v>
      </c>
      <c r="AJ1988" s="226">
        <v>5.7700500381405118E-2</v>
      </c>
      <c r="AK1988" s="27">
        <v>157175115.03884029</v>
      </c>
      <c r="AL1988" s="226">
        <v>0.19924141658341657</v>
      </c>
      <c r="AM1988" s="27">
        <v>169833464.93583193</v>
      </c>
      <c r="AN1988" s="271">
        <v>0.18439117746218053</v>
      </c>
      <c r="AO1988" s="27">
        <v>6472304</v>
      </c>
      <c r="AP1988" s="27">
        <v>58.7</v>
      </c>
      <c r="AQ1988" s="27">
        <v>55.807658536585372</v>
      </c>
      <c r="AR1988" s="27">
        <v>59</v>
      </c>
      <c r="AS1988" s="29" t="s">
        <v>2842</v>
      </c>
      <c r="AT1988" s="270">
        <v>29</v>
      </c>
      <c r="AU1988" s="464" t="s">
        <v>2842</v>
      </c>
      <c r="AV1988" s="29">
        <v>-0.92203205644345998</v>
      </c>
      <c r="AW1988" s="29">
        <v>-0.18110286192476599</v>
      </c>
      <c r="AX1988" s="29">
        <v>-1.3621682253898799</v>
      </c>
      <c r="AY1988" s="29">
        <v>-0.99553748560149802</v>
      </c>
      <c r="AZ1988" s="60">
        <v>-0.97452272002412099</v>
      </c>
    </row>
    <row r="1989" spans="1:52" ht="15" customHeight="1">
      <c r="A1989" s="63" t="s">
        <v>514</v>
      </c>
      <c r="B1989" s="53">
        <v>2011</v>
      </c>
      <c r="C1989" s="146" t="s">
        <v>510</v>
      </c>
      <c r="D1989" s="69" t="s">
        <v>81</v>
      </c>
      <c r="E1989" s="27" t="s">
        <v>19</v>
      </c>
      <c r="F1989" s="27" t="s">
        <v>2157</v>
      </c>
      <c r="G1989" s="43">
        <v>866000</v>
      </c>
      <c r="H1989" s="43"/>
      <c r="I1989" s="43"/>
      <c r="J1989" s="43"/>
      <c r="K1989" s="27" t="s">
        <v>567</v>
      </c>
      <c r="L1989" s="28">
        <v>184.89583333332999</v>
      </c>
      <c r="M1989" s="27" t="s">
        <v>568</v>
      </c>
      <c r="N1989" s="27" t="s">
        <v>1986</v>
      </c>
      <c r="O1989" s="18">
        <f t="shared" si="34"/>
        <v>160119791.66666377</v>
      </c>
      <c r="P1989" s="213"/>
      <c r="Q1989" s="213"/>
      <c r="R1989" s="27"/>
      <c r="S1989" s="27"/>
      <c r="T1989" s="18"/>
      <c r="U1989" s="27"/>
      <c r="V1989" s="27"/>
      <c r="W1989" s="30"/>
      <c r="X1989" s="27"/>
      <c r="Y1989" s="27"/>
      <c r="Z1989" s="27"/>
      <c r="AA1989" s="27"/>
      <c r="AB1989" s="27"/>
      <c r="AC1989" s="273">
        <v>31315792.572000001</v>
      </c>
      <c r="AD1989" s="27">
        <v>3756023047.7909942</v>
      </c>
      <c r="AE1989" s="228">
        <v>8.3374867974831939E-3</v>
      </c>
      <c r="AF1989" s="27">
        <v>691784324.94214535</v>
      </c>
      <c r="AG1989" s="226">
        <v>4.5268144193089332E-2</v>
      </c>
      <c r="AH1989" s="226">
        <v>4.9709158881734543E-2</v>
      </c>
      <c r="AI1989" s="27">
        <v>542730000</v>
      </c>
      <c r="AJ1989" s="226">
        <v>5.7700500381405118E-2</v>
      </c>
      <c r="AK1989" s="27">
        <v>157175115.03884029</v>
      </c>
      <c r="AL1989" s="226">
        <v>0.19924141658341657</v>
      </c>
      <c r="AM1989" s="27">
        <v>169833464.93583193</v>
      </c>
      <c r="AN1989" s="271">
        <v>0.18439117746218053</v>
      </c>
      <c r="AO1989" s="27">
        <v>6472304</v>
      </c>
      <c r="AP1989" s="27">
        <v>58.7</v>
      </c>
      <c r="AQ1989" s="27">
        <v>55.807658536585372</v>
      </c>
      <c r="AR1989" s="27">
        <v>59</v>
      </c>
      <c r="AS1989" s="29" t="s">
        <v>2842</v>
      </c>
      <c r="AT1989" s="270">
        <v>29</v>
      </c>
      <c r="AU1989" s="464" t="s">
        <v>2842</v>
      </c>
      <c r="AV1989" s="29">
        <v>-0.92203205644345998</v>
      </c>
      <c r="AW1989" s="29">
        <v>-0.18110286192476599</v>
      </c>
      <c r="AX1989" s="29">
        <v>-1.3621682253898799</v>
      </c>
      <c r="AY1989" s="29">
        <v>-0.99553748560149802</v>
      </c>
      <c r="AZ1989" s="60">
        <v>-0.97452272002412099</v>
      </c>
    </row>
    <row r="1990" spans="1:52" s="287" customFormat="1" ht="15" customHeight="1">
      <c r="A1990" s="359" t="s">
        <v>514</v>
      </c>
      <c r="B1990" s="302">
        <v>2011</v>
      </c>
      <c r="C1990" s="383" t="s">
        <v>510</v>
      </c>
      <c r="D1990" s="369" t="s">
        <v>81</v>
      </c>
      <c r="E1990" s="284" t="s">
        <v>1483</v>
      </c>
      <c r="F1990" s="284" t="s">
        <v>2158</v>
      </c>
      <c r="G1990" s="303"/>
      <c r="H1990" s="303">
        <v>21463689</v>
      </c>
      <c r="I1990" s="303"/>
      <c r="J1990" s="303"/>
      <c r="K1990" s="284" t="s">
        <v>599</v>
      </c>
      <c r="L1990" s="304"/>
      <c r="M1990" s="284"/>
      <c r="N1990" s="284"/>
      <c r="O1990" s="305">
        <f t="shared" si="34"/>
        <v>0</v>
      </c>
      <c r="P1990" s="306"/>
      <c r="Q1990" s="306"/>
      <c r="R1990" s="284"/>
      <c r="S1990" s="284"/>
      <c r="T1990" s="305"/>
      <c r="U1990" s="284"/>
      <c r="V1990" s="284"/>
      <c r="W1990" s="307"/>
      <c r="X1990" s="284"/>
      <c r="Y1990" s="284"/>
      <c r="Z1990" s="284"/>
      <c r="AA1990" s="284"/>
      <c r="AB1990" s="284"/>
      <c r="AC1990" s="308">
        <v>31315792.572000001</v>
      </c>
      <c r="AD1990" s="284">
        <v>3756023047.7909942</v>
      </c>
      <c r="AE1990" s="309">
        <v>8.3374867974831939E-3</v>
      </c>
      <c r="AF1990" s="284">
        <v>691784324.94214535</v>
      </c>
      <c r="AG1990" s="310">
        <v>4.5268144193089332E-2</v>
      </c>
      <c r="AH1990" s="310">
        <v>4.9709158881734543E-2</v>
      </c>
      <c r="AI1990" s="284">
        <v>542730000</v>
      </c>
      <c r="AJ1990" s="310">
        <v>5.7700500381405118E-2</v>
      </c>
      <c r="AK1990" s="284">
        <v>157175115.03884029</v>
      </c>
      <c r="AL1990" s="310">
        <v>0.19924141658341657</v>
      </c>
      <c r="AM1990" s="284">
        <v>169833464.93583193</v>
      </c>
      <c r="AN1990" s="311">
        <v>0.18439117746218053</v>
      </c>
      <c r="AO1990" s="284">
        <v>6472304</v>
      </c>
      <c r="AP1990" s="284">
        <v>58.7</v>
      </c>
      <c r="AQ1990" s="284">
        <v>55.807658536585372</v>
      </c>
      <c r="AR1990" s="284">
        <v>59</v>
      </c>
      <c r="AS1990" s="287" t="s">
        <v>2842</v>
      </c>
      <c r="AT1990" s="312">
        <v>29</v>
      </c>
      <c r="AU1990" s="465" t="s">
        <v>2842</v>
      </c>
      <c r="AV1990" s="287">
        <v>-0.92203205644345998</v>
      </c>
      <c r="AW1990" s="287">
        <v>-0.18110286192476599</v>
      </c>
      <c r="AX1990" s="287">
        <v>-1.3621682253898799</v>
      </c>
      <c r="AY1990" s="287">
        <v>-0.99553748560149802</v>
      </c>
      <c r="AZ1990" s="313">
        <v>-0.97452272002412099</v>
      </c>
    </row>
    <row r="1991" spans="1:52" ht="15" customHeight="1">
      <c r="A1991" s="332" t="s">
        <v>516</v>
      </c>
      <c r="B1991" s="27">
        <v>2012</v>
      </c>
      <c r="C1991" s="27" t="s">
        <v>510</v>
      </c>
      <c r="D1991" s="27" t="s">
        <v>81</v>
      </c>
      <c r="E1991" s="27" t="s">
        <v>19</v>
      </c>
      <c r="F1991" s="27" t="s">
        <v>659</v>
      </c>
      <c r="G1991" s="176"/>
      <c r="H1991" s="176"/>
      <c r="I1991" s="27"/>
      <c r="J1991" s="176"/>
      <c r="K1991" s="27"/>
      <c r="L1991" s="28"/>
      <c r="M1991" s="27"/>
      <c r="N1991" s="27"/>
      <c r="O1991" s="18">
        <v>960500000</v>
      </c>
      <c r="P1991" s="250">
        <v>31681601.940000001</v>
      </c>
      <c r="Q1991" s="214">
        <v>35222626.909999996</v>
      </c>
      <c r="R1991" s="27" t="s">
        <v>619</v>
      </c>
      <c r="S1991" s="27"/>
      <c r="T1991" s="18"/>
      <c r="U1991" s="27" t="s">
        <v>1025</v>
      </c>
      <c r="V1991" s="27" t="s">
        <v>778</v>
      </c>
      <c r="W1991" s="199">
        <v>497.16</v>
      </c>
      <c r="X1991" s="27">
        <v>37</v>
      </c>
      <c r="Y1991" s="27" t="s">
        <v>2165</v>
      </c>
      <c r="Z1991" s="27">
        <v>27</v>
      </c>
      <c r="AA1991" s="27"/>
      <c r="AB1991" s="27" t="s">
        <v>2166</v>
      </c>
      <c r="AC1991" s="273">
        <v>31681601.940000001</v>
      </c>
      <c r="AD1991" s="27">
        <v>3915754216.2066875</v>
      </c>
      <c r="AE1991" s="228">
        <v>8.0908045272287173E-3</v>
      </c>
      <c r="AF1991" s="27">
        <v>725041050.67283022</v>
      </c>
      <c r="AG1991" s="226">
        <v>4.3696287142086392E-2</v>
      </c>
      <c r="AH1991" s="226" t="s">
        <v>2842</v>
      </c>
      <c r="AI1991" s="27">
        <v>241460000</v>
      </c>
      <c r="AJ1991" s="226">
        <v>0.13120848977056243</v>
      </c>
      <c r="AK1991" s="27">
        <v>173918216.46028277</v>
      </c>
      <c r="AL1991" s="226">
        <v>0.18216379275735639</v>
      </c>
      <c r="AM1991" s="27" t="s">
        <v>2842</v>
      </c>
      <c r="AN1991" s="271" t="s">
        <v>2842</v>
      </c>
      <c r="AO1991" s="27">
        <v>6642928</v>
      </c>
      <c r="AP1991" s="27" t="s">
        <v>2842</v>
      </c>
      <c r="AQ1991" s="27">
        <v>56.150341463414641</v>
      </c>
      <c r="AR1991" s="27">
        <v>57.4</v>
      </c>
      <c r="AS1991" s="29" t="s">
        <v>2842</v>
      </c>
      <c r="AT1991" s="270">
        <v>29</v>
      </c>
      <c r="AU1991" s="464" t="s">
        <v>2842</v>
      </c>
      <c r="AV1991" s="29">
        <v>-1.0185350449031301</v>
      </c>
      <c r="AW1991" s="29">
        <v>-0.41876197102124602</v>
      </c>
      <c r="AX1991" s="29">
        <v>-1.32492192869334</v>
      </c>
      <c r="AY1991" s="29">
        <v>-0.85622926481115202</v>
      </c>
      <c r="AZ1991" s="60">
        <v>-0.99293010037185903</v>
      </c>
    </row>
    <row r="1992" spans="1:52" ht="15" customHeight="1">
      <c r="A1992" s="59" t="s">
        <v>516</v>
      </c>
      <c r="B1992" s="27">
        <v>2012</v>
      </c>
      <c r="C1992" s="27" t="s">
        <v>510</v>
      </c>
      <c r="D1992" s="27" t="s">
        <v>81</v>
      </c>
      <c r="E1992" s="27" t="s">
        <v>19</v>
      </c>
      <c r="F1992" s="27" t="s">
        <v>2167</v>
      </c>
      <c r="G1992" s="176"/>
      <c r="H1992" s="176"/>
      <c r="I1992" s="18">
        <v>1100000</v>
      </c>
      <c r="J1992" s="18">
        <v>1110416</v>
      </c>
      <c r="K1992" s="27" t="s">
        <v>567</v>
      </c>
      <c r="L1992" s="28"/>
      <c r="M1992" s="27"/>
      <c r="N1992" s="27" t="s">
        <v>674</v>
      </c>
      <c r="O1992" s="27"/>
      <c r="P1992" s="244"/>
      <c r="Q1992" s="244"/>
      <c r="R1992" s="27"/>
      <c r="S1992" s="27"/>
      <c r="T1992" s="18"/>
      <c r="U1992" s="27"/>
      <c r="V1992" s="27"/>
      <c r="W1992" s="30"/>
      <c r="X1992" s="27"/>
      <c r="Y1992" s="27"/>
      <c r="Z1992" s="27"/>
      <c r="AA1992" s="27"/>
      <c r="AB1992" s="27"/>
      <c r="AC1992" s="273">
        <v>31681601.940000001</v>
      </c>
      <c r="AD1992" s="27">
        <v>3915754216.2066875</v>
      </c>
      <c r="AE1992" s="228">
        <v>8.0908045272287173E-3</v>
      </c>
      <c r="AF1992" s="27">
        <v>725041050.67283022</v>
      </c>
      <c r="AG1992" s="226">
        <v>4.3696287142086392E-2</v>
      </c>
      <c r="AH1992" s="226" t="s">
        <v>2842</v>
      </c>
      <c r="AI1992" s="27">
        <v>241460000</v>
      </c>
      <c r="AJ1992" s="226">
        <v>0.13120848977056243</v>
      </c>
      <c r="AK1992" s="27">
        <v>173918216.46028277</v>
      </c>
      <c r="AL1992" s="226">
        <v>0.18216379275735639</v>
      </c>
      <c r="AM1992" s="27" t="s">
        <v>2842</v>
      </c>
      <c r="AN1992" s="271" t="s">
        <v>2842</v>
      </c>
      <c r="AO1992" s="27">
        <v>6642928</v>
      </c>
      <c r="AP1992" s="27" t="s">
        <v>2842</v>
      </c>
      <c r="AQ1992" s="27">
        <v>56.150341463414641</v>
      </c>
      <c r="AR1992" s="27">
        <v>57.4</v>
      </c>
      <c r="AS1992" s="29" t="s">
        <v>2842</v>
      </c>
      <c r="AT1992" s="270">
        <v>29</v>
      </c>
      <c r="AU1992" s="464" t="s">
        <v>2842</v>
      </c>
      <c r="AV1992" s="29">
        <v>-1.0185350449031301</v>
      </c>
      <c r="AW1992" s="29">
        <v>-0.41876197102124602</v>
      </c>
      <c r="AX1992" s="29">
        <v>-1.32492192869334</v>
      </c>
      <c r="AY1992" s="29">
        <v>-0.85622926481115202</v>
      </c>
      <c r="AZ1992" s="60">
        <v>-0.99293010037185903</v>
      </c>
    </row>
    <row r="1993" spans="1:52" ht="15" customHeight="1">
      <c r="A1993" s="59" t="s">
        <v>516</v>
      </c>
      <c r="B1993" s="27">
        <v>2012</v>
      </c>
      <c r="C1993" s="27" t="s">
        <v>510</v>
      </c>
      <c r="D1993" s="27" t="s">
        <v>81</v>
      </c>
      <c r="E1993" s="27" t="s">
        <v>19</v>
      </c>
      <c r="F1993" s="27" t="s">
        <v>653</v>
      </c>
      <c r="G1993" s="176"/>
      <c r="H1993" s="176"/>
      <c r="I1993" s="18">
        <v>1923189</v>
      </c>
      <c r="J1993" s="18">
        <v>2371219</v>
      </c>
      <c r="K1993" s="27" t="s">
        <v>567</v>
      </c>
      <c r="L1993" s="28"/>
      <c r="M1993" s="27"/>
      <c r="N1993" s="27" t="s">
        <v>674</v>
      </c>
      <c r="O1993" s="27"/>
      <c r="P1993" s="244"/>
      <c r="Q1993" s="244"/>
      <c r="R1993" s="27"/>
      <c r="S1993" s="27"/>
      <c r="T1993" s="18"/>
      <c r="U1993" s="27"/>
      <c r="V1993" s="27"/>
      <c r="W1993" s="30"/>
      <c r="X1993" s="27"/>
      <c r="Y1993" s="27"/>
      <c r="Z1993" s="27"/>
      <c r="AA1993" s="27"/>
      <c r="AB1993" s="27"/>
      <c r="AC1993" s="273">
        <v>31681601.940000001</v>
      </c>
      <c r="AD1993" s="27">
        <v>3915754216.2066875</v>
      </c>
      <c r="AE1993" s="228">
        <v>8.0908045272287173E-3</v>
      </c>
      <c r="AF1993" s="27">
        <v>725041050.67283022</v>
      </c>
      <c r="AG1993" s="226">
        <v>4.3696287142086392E-2</v>
      </c>
      <c r="AH1993" s="226" t="s">
        <v>2842</v>
      </c>
      <c r="AI1993" s="27">
        <v>241460000</v>
      </c>
      <c r="AJ1993" s="226">
        <v>0.13120848977056243</v>
      </c>
      <c r="AK1993" s="27">
        <v>173918216.46028277</v>
      </c>
      <c r="AL1993" s="226">
        <v>0.18216379275735639</v>
      </c>
      <c r="AM1993" s="27" t="s">
        <v>2842</v>
      </c>
      <c r="AN1993" s="271" t="s">
        <v>2842</v>
      </c>
      <c r="AO1993" s="27">
        <v>6642928</v>
      </c>
      <c r="AP1993" s="27" t="s">
        <v>2842</v>
      </c>
      <c r="AQ1993" s="27">
        <v>56.150341463414641</v>
      </c>
      <c r="AR1993" s="27">
        <v>57.4</v>
      </c>
      <c r="AS1993" s="29" t="s">
        <v>2842</v>
      </c>
      <c r="AT1993" s="270">
        <v>29</v>
      </c>
      <c r="AU1993" s="464" t="s">
        <v>2842</v>
      </c>
      <c r="AV1993" s="29">
        <v>-1.0185350449031301</v>
      </c>
      <c r="AW1993" s="29">
        <v>-0.41876197102124602</v>
      </c>
      <c r="AX1993" s="29">
        <v>-1.32492192869334</v>
      </c>
      <c r="AY1993" s="29">
        <v>-0.85622926481115202</v>
      </c>
      <c r="AZ1993" s="60">
        <v>-0.99293010037185903</v>
      </c>
    </row>
    <row r="1994" spans="1:52" ht="15" customHeight="1">
      <c r="A1994" s="59" t="s">
        <v>516</v>
      </c>
      <c r="B1994" s="27">
        <v>2012</v>
      </c>
      <c r="C1994" s="27" t="s">
        <v>510</v>
      </c>
      <c r="D1994" s="27" t="s">
        <v>81</v>
      </c>
      <c r="E1994" s="27" t="s">
        <v>19</v>
      </c>
      <c r="F1994" s="27" t="s">
        <v>1614</v>
      </c>
      <c r="G1994" s="176"/>
      <c r="H1994" s="176"/>
      <c r="I1994" s="18">
        <v>52706</v>
      </c>
      <c r="J1994" s="18">
        <v>177318</v>
      </c>
      <c r="K1994" s="27" t="s">
        <v>567</v>
      </c>
      <c r="L1994" s="28"/>
      <c r="M1994" s="27"/>
      <c r="N1994" s="27" t="s">
        <v>674</v>
      </c>
      <c r="O1994" s="27"/>
      <c r="P1994" s="244"/>
      <c r="Q1994" s="244"/>
      <c r="R1994" s="27"/>
      <c r="S1994" s="27"/>
      <c r="T1994" s="18"/>
      <c r="U1994" s="27"/>
      <c r="V1994" s="27"/>
      <c r="W1994" s="30"/>
      <c r="X1994" s="27"/>
      <c r="Y1994" s="27"/>
      <c r="Z1994" s="27"/>
      <c r="AA1994" s="27"/>
      <c r="AB1994" s="27"/>
      <c r="AC1994" s="273">
        <v>31681601.940000001</v>
      </c>
      <c r="AD1994" s="27">
        <v>3915754216.2066875</v>
      </c>
      <c r="AE1994" s="228">
        <v>8.0908045272287173E-3</v>
      </c>
      <c r="AF1994" s="27">
        <v>725041050.67283022</v>
      </c>
      <c r="AG1994" s="226">
        <v>4.3696287142086392E-2</v>
      </c>
      <c r="AH1994" s="226" t="s">
        <v>2842</v>
      </c>
      <c r="AI1994" s="27">
        <v>241460000</v>
      </c>
      <c r="AJ1994" s="226">
        <v>0.13120848977056243</v>
      </c>
      <c r="AK1994" s="27">
        <v>173918216.46028277</v>
      </c>
      <c r="AL1994" s="226">
        <v>0.18216379275735639</v>
      </c>
      <c r="AM1994" s="27" t="s">
        <v>2842</v>
      </c>
      <c r="AN1994" s="271" t="s">
        <v>2842</v>
      </c>
      <c r="AO1994" s="27">
        <v>6642928</v>
      </c>
      <c r="AP1994" s="27" t="s">
        <v>2842</v>
      </c>
      <c r="AQ1994" s="27">
        <v>56.150341463414641</v>
      </c>
      <c r="AR1994" s="27">
        <v>57.4</v>
      </c>
      <c r="AS1994" s="29" t="s">
        <v>2842</v>
      </c>
      <c r="AT1994" s="270">
        <v>29</v>
      </c>
      <c r="AU1994" s="464" t="s">
        <v>2842</v>
      </c>
      <c r="AV1994" s="29">
        <v>-1.0185350449031301</v>
      </c>
      <c r="AW1994" s="29">
        <v>-0.41876197102124602</v>
      </c>
      <c r="AX1994" s="29">
        <v>-1.32492192869334</v>
      </c>
      <c r="AY1994" s="29">
        <v>-0.85622926481115202</v>
      </c>
      <c r="AZ1994" s="60">
        <v>-0.99293010037185903</v>
      </c>
    </row>
    <row r="1995" spans="1:52" ht="15" customHeight="1">
      <c r="A1995" s="59" t="s">
        <v>516</v>
      </c>
      <c r="B1995" s="27">
        <v>2012</v>
      </c>
      <c r="C1995" s="27" t="s">
        <v>510</v>
      </c>
      <c r="D1995" s="27" t="s">
        <v>81</v>
      </c>
      <c r="E1995" s="27" t="s">
        <v>19</v>
      </c>
      <c r="F1995" s="27" t="s">
        <v>2168</v>
      </c>
      <c r="G1995" s="176"/>
      <c r="H1995" s="176"/>
      <c r="I1995" s="18">
        <v>127900</v>
      </c>
      <c r="J1995" s="176">
        <v>134282</v>
      </c>
      <c r="K1995" s="27" t="s">
        <v>599</v>
      </c>
      <c r="L1995" s="28"/>
      <c r="M1995" s="27"/>
      <c r="N1995" s="27" t="s">
        <v>674</v>
      </c>
      <c r="O1995" s="27"/>
      <c r="P1995" s="244"/>
      <c r="Q1995" s="244"/>
      <c r="R1995" s="27"/>
      <c r="S1995" s="27"/>
      <c r="T1995" s="18"/>
      <c r="U1995" s="27"/>
      <c r="V1995" s="27"/>
      <c r="W1995" s="30"/>
      <c r="X1995" s="27"/>
      <c r="Y1995" s="27"/>
      <c r="Z1995" s="27"/>
      <c r="AA1995" s="27"/>
      <c r="AB1995" s="27"/>
      <c r="AC1995" s="273">
        <v>31681601.940000001</v>
      </c>
      <c r="AD1995" s="27">
        <v>3915754216.2066875</v>
      </c>
      <c r="AE1995" s="228">
        <v>8.0908045272287173E-3</v>
      </c>
      <c r="AF1995" s="27">
        <v>725041050.67283022</v>
      </c>
      <c r="AG1995" s="226">
        <v>4.3696287142086392E-2</v>
      </c>
      <c r="AH1995" s="226" t="s">
        <v>2842</v>
      </c>
      <c r="AI1995" s="27">
        <v>241460000</v>
      </c>
      <c r="AJ1995" s="226">
        <v>0.13120848977056243</v>
      </c>
      <c r="AK1995" s="27">
        <v>173918216.46028277</v>
      </c>
      <c r="AL1995" s="226">
        <v>0.18216379275735639</v>
      </c>
      <c r="AM1995" s="27" t="s">
        <v>2842</v>
      </c>
      <c r="AN1995" s="271" t="s">
        <v>2842</v>
      </c>
      <c r="AO1995" s="27">
        <v>6642928</v>
      </c>
      <c r="AP1995" s="27" t="s">
        <v>2842</v>
      </c>
      <c r="AQ1995" s="27">
        <v>56.150341463414641</v>
      </c>
      <c r="AR1995" s="27">
        <v>57.4</v>
      </c>
      <c r="AS1995" s="29" t="s">
        <v>2842</v>
      </c>
      <c r="AT1995" s="270">
        <v>29</v>
      </c>
      <c r="AU1995" s="464" t="s">
        <v>2842</v>
      </c>
      <c r="AV1995" s="29">
        <v>-1.0185350449031301</v>
      </c>
      <c r="AW1995" s="29">
        <v>-0.41876197102124602</v>
      </c>
      <c r="AX1995" s="29">
        <v>-1.32492192869334</v>
      </c>
      <c r="AY1995" s="29">
        <v>-0.85622926481115202</v>
      </c>
      <c r="AZ1995" s="60">
        <v>-0.99293010037185903</v>
      </c>
    </row>
    <row r="1996" spans="1:52" s="232" customFormat="1" ht="15" customHeight="1" thickBot="1">
      <c r="A1996" s="360" t="s">
        <v>516</v>
      </c>
      <c r="B1996" s="230">
        <v>2012</v>
      </c>
      <c r="C1996" s="230" t="s">
        <v>510</v>
      </c>
      <c r="D1996" s="230" t="s">
        <v>81</v>
      </c>
      <c r="E1996" s="230" t="s">
        <v>19</v>
      </c>
      <c r="F1996" s="230" t="s">
        <v>1483</v>
      </c>
      <c r="G1996" s="317"/>
      <c r="H1996" s="317"/>
      <c r="I1996" s="230"/>
      <c r="J1996" s="317">
        <v>184655</v>
      </c>
      <c r="K1996" s="230"/>
      <c r="L1996" s="298"/>
      <c r="M1996" s="230"/>
      <c r="N1996" s="230" t="s">
        <v>674</v>
      </c>
      <c r="O1996" s="230"/>
      <c r="P1996" s="318"/>
      <c r="Q1996" s="318"/>
      <c r="R1996" s="230"/>
      <c r="S1996" s="230"/>
      <c r="T1996" s="285"/>
      <c r="U1996" s="230"/>
      <c r="V1996" s="230"/>
      <c r="W1996" s="300"/>
      <c r="X1996" s="230"/>
      <c r="Y1996" s="230"/>
      <c r="Z1996" s="230"/>
      <c r="AA1996" s="230"/>
      <c r="AB1996" s="230"/>
      <c r="AC1996" s="274">
        <v>31681601.940000001</v>
      </c>
      <c r="AD1996" s="230">
        <v>3915754216.2066875</v>
      </c>
      <c r="AE1996" s="229">
        <v>8.0908045272287173E-3</v>
      </c>
      <c r="AF1996" s="230">
        <v>725041050.67283022</v>
      </c>
      <c r="AG1996" s="231">
        <v>4.3696287142086392E-2</v>
      </c>
      <c r="AH1996" s="231" t="s">
        <v>2842</v>
      </c>
      <c r="AI1996" s="230">
        <v>241460000</v>
      </c>
      <c r="AJ1996" s="231">
        <v>0.13120848977056243</v>
      </c>
      <c r="AK1996" s="230">
        <v>173918216.46028277</v>
      </c>
      <c r="AL1996" s="231">
        <v>0.18216379275735639</v>
      </c>
      <c r="AM1996" s="230" t="s">
        <v>2842</v>
      </c>
      <c r="AN1996" s="275" t="s">
        <v>2842</v>
      </c>
      <c r="AO1996" s="230">
        <v>6642928</v>
      </c>
      <c r="AP1996" s="230" t="s">
        <v>2842</v>
      </c>
      <c r="AQ1996" s="230">
        <v>56.150341463414641</v>
      </c>
      <c r="AR1996" s="230">
        <v>57.4</v>
      </c>
      <c r="AS1996" s="232" t="s">
        <v>2842</v>
      </c>
      <c r="AT1996" s="276">
        <v>29</v>
      </c>
      <c r="AU1996" s="466" t="s">
        <v>2842</v>
      </c>
      <c r="AV1996" s="232">
        <v>-1.0185350449031301</v>
      </c>
      <c r="AW1996" s="232">
        <v>-0.41876197102124602</v>
      </c>
      <c r="AX1996" s="232">
        <v>-1.32492192869334</v>
      </c>
      <c r="AY1996" s="232">
        <v>-0.85622926481115202</v>
      </c>
      <c r="AZ1996" s="293">
        <v>-0.99293010037185903</v>
      </c>
    </row>
    <row r="1997" spans="1:52" s="29" customFormat="1" ht="15" customHeight="1">
      <c r="A1997" s="332" t="s">
        <v>518</v>
      </c>
      <c r="B1997" s="27">
        <v>2011</v>
      </c>
      <c r="C1997" s="27" t="s">
        <v>2845</v>
      </c>
      <c r="D1997" s="27" t="s">
        <v>214</v>
      </c>
      <c r="E1997" s="27" t="s">
        <v>50</v>
      </c>
      <c r="F1997" s="27" t="s">
        <v>659</v>
      </c>
      <c r="G1997" s="43"/>
      <c r="H1997" s="43"/>
      <c r="I1997" s="43"/>
      <c r="J1997" s="43"/>
      <c r="K1997" s="27"/>
      <c r="L1997" s="28"/>
      <c r="M1997" s="27"/>
      <c r="N1997" s="27"/>
      <c r="O1997" s="18">
        <f>SUM(O1998:O1999)</f>
        <v>13699973216.692986</v>
      </c>
      <c r="P1997" s="213">
        <v>3593984496</v>
      </c>
      <c r="Q1997" s="213">
        <v>3605333333</v>
      </c>
      <c r="R1997" s="27" t="s">
        <v>619</v>
      </c>
      <c r="S1997" s="27"/>
      <c r="T1997" s="18"/>
      <c r="U1997" s="27" t="s">
        <v>1706</v>
      </c>
      <c r="V1997" s="27" t="s">
        <v>2170</v>
      </c>
      <c r="W1997" s="30">
        <v>6.45</v>
      </c>
      <c r="X1997" s="27">
        <v>56</v>
      </c>
      <c r="Y1997" s="27" t="s">
        <v>2171</v>
      </c>
      <c r="Z1997" s="27">
        <v>46</v>
      </c>
      <c r="AA1997" s="27">
        <v>7</v>
      </c>
      <c r="AB1997" s="27" t="s">
        <v>2173</v>
      </c>
      <c r="AC1997" s="273">
        <v>3593984496</v>
      </c>
      <c r="AD1997" s="27">
        <v>23676348287.27895</v>
      </c>
      <c r="AE1997" s="228">
        <v>0.15179640256985955</v>
      </c>
      <c r="AF1997" s="27">
        <v>9055492929.4355793</v>
      </c>
      <c r="AG1997" s="226">
        <v>0.39688446824550827</v>
      </c>
      <c r="AH1997" s="226" t="s">
        <v>2842</v>
      </c>
      <c r="AI1997" s="27" t="s">
        <v>2842</v>
      </c>
      <c r="AJ1997" s="226" t="s">
        <v>2842</v>
      </c>
      <c r="AK1997" s="27">
        <v>618495813.73499537</v>
      </c>
      <c r="AL1997" s="226">
        <v>5.8108469227892003</v>
      </c>
      <c r="AM1997" s="27" t="s">
        <v>2842</v>
      </c>
      <c r="AN1997" s="271" t="s">
        <v>2842</v>
      </c>
      <c r="AO1997" s="27">
        <v>1333082</v>
      </c>
      <c r="AP1997" s="27" t="s">
        <v>2842</v>
      </c>
      <c r="AQ1997" s="27">
        <v>69.708560975609771</v>
      </c>
      <c r="AR1997" s="27">
        <v>20.2</v>
      </c>
      <c r="AS1997" s="29" t="s">
        <v>2842</v>
      </c>
      <c r="AT1997" s="270">
        <v>38</v>
      </c>
      <c r="AU1997" s="464">
        <v>73.801407261285618</v>
      </c>
      <c r="AV1997" s="29">
        <v>0.475132491607689</v>
      </c>
      <c r="AW1997" s="29">
        <v>0.149892618739455</v>
      </c>
      <c r="AX1997" s="29">
        <v>0.316550861431385</v>
      </c>
      <c r="AY1997" s="29">
        <v>0.40364414730460202</v>
      </c>
      <c r="AZ1997" s="60">
        <v>-0.28142374093611999</v>
      </c>
    </row>
    <row r="1998" spans="1:52" s="29" customFormat="1" ht="15" customHeight="1">
      <c r="A1998" s="59" t="s">
        <v>518</v>
      </c>
      <c r="B1998" s="27">
        <v>2011</v>
      </c>
      <c r="C1998" s="27" t="s">
        <v>2845</v>
      </c>
      <c r="D1998" s="27" t="s">
        <v>214</v>
      </c>
      <c r="E1998" s="29" t="s">
        <v>552</v>
      </c>
      <c r="F1998" s="27" t="s">
        <v>552</v>
      </c>
      <c r="G1998" s="43">
        <f>((44800000000/365)*92)+((42900000000/365)*273)</f>
        <v>43378904109.589043</v>
      </c>
      <c r="H1998" s="43"/>
      <c r="I1998" s="43"/>
      <c r="J1998" s="43"/>
      <c r="K1998" s="27" t="s">
        <v>599</v>
      </c>
      <c r="L1998" s="28">
        <v>0.19666043794616025</v>
      </c>
      <c r="M1998" s="27" t="s">
        <v>600</v>
      </c>
      <c r="N1998" s="27" t="s">
        <v>2174</v>
      </c>
      <c r="O1998" s="18">
        <f t="shared" ref="O1998:O2004" si="35">G1998*L1998</f>
        <v>8530914279.8162718</v>
      </c>
      <c r="P1998" s="214"/>
      <c r="Q1998" s="214"/>
      <c r="R1998" s="27"/>
      <c r="S1998" s="27"/>
      <c r="T1998" s="18"/>
      <c r="U1998" s="27"/>
      <c r="V1998" s="27"/>
      <c r="W1998" s="30"/>
      <c r="X1998" s="27"/>
      <c r="Y1998" s="27"/>
      <c r="Z1998" s="27"/>
      <c r="AA1998" s="27"/>
      <c r="AB1998" s="27"/>
      <c r="AC1998" s="273">
        <v>3593984496</v>
      </c>
      <c r="AD1998" s="27">
        <v>23676348287.27895</v>
      </c>
      <c r="AE1998" s="228">
        <v>0.15179640256985955</v>
      </c>
      <c r="AF1998" s="27">
        <v>9055492929.4355793</v>
      </c>
      <c r="AG1998" s="226">
        <v>0.39688446824550827</v>
      </c>
      <c r="AH1998" s="226" t="s">
        <v>2842</v>
      </c>
      <c r="AI1998" s="27" t="s">
        <v>2842</v>
      </c>
      <c r="AJ1998" s="226" t="s">
        <v>2842</v>
      </c>
      <c r="AK1998" s="27">
        <v>618495813.73499537</v>
      </c>
      <c r="AL1998" s="226">
        <v>5.8108469227892003</v>
      </c>
      <c r="AM1998" s="27" t="s">
        <v>2842</v>
      </c>
      <c r="AN1998" s="271" t="s">
        <v>2842</v>
      </c>
      <c r="AO1998" s="27">
        <v>1333082</v>
      </c>
      <c r="AP1998" s="27" t="s">
        <v>2842</v>
      </c>
      <c r="AQ1998" s="27">
        <v>69.708560975609771</v>
      </c>
      <c r="AR1998" s="27">
        <v>20.2</v>
      </c>
      <c r="AS1998" s="29" t="s">
        <v>2842</v>
      </c>
      <c r="AT1998" s="270">
        <v>38</v>
      </c>
      <c r="AU1998" s="464">
        <v>73.801407261285618</v>
      </c>
      <c r="AV1998" s="29">
        <v>0.475132491607689</v>
      </c>
      <c r="AW1998" s="29">
        <v>0.149892618739455</v>
      </c>
      <c r="AX1998" s="29">
        <v>0.316550861431385</v>
      </c>
      <c r="AY1998" s="29">
        <v>0.40364414730460202</v>
      </c>
      <c r="AZ1998" s="60">
        <v>-0.28142374093611999</v>
      </c>
    </row>
    <row r="1999" spans="1:52" s="232" customFormat="1" ht="15" customHeight="1" thickBot="1">
      <c r="A1999" s="360" t="s">
        <v>518</v>
      </c>
      <c r="B1999" s="230">
        <v>2011</v>
      </c>
      <c r="C1999" s="230" t="s">
        <v>2845</v>
      </c>
      <c r="D1999" s="230" t="s">
        <v>214</v>
      </c>
      <c r="E1999" s="232" t="s">
        <v>98</v>
      </c>
      <c r="F1999" s="230" t="s">
        <v>98</v>
      </c>
      <c r="G1999" s="297">
        <f>(148000*92)+(140000*273)</f>
        <v>51836000</v>
      </c>
      <c r="H1999" s="297"/>
      <c r="I1999" s="297"/>
      <c r="J1999" s="297"/>
      <c r="K1999" s="230" t="s">
        <v>603</v>
      </c>
      <c r="L1999" s="298">
        <f>((79.51/365)*92)+((106.53/365)*273)</f>
        <v>99.719479452054799</v>
      </c>
      <c r="M1999" s="230" t="s">
        <v>626</v>
      </c>
      <c r="N1999" s="230" t="s">
        <v>2175</v>
      </c>
      <c r="O1999" s="285">
        <f t="shared" si="35"/>
        <v>5169058936.8767128</v>
      </c>
      <c r="P1999" s="387"/>
      <c r="Q1999" s="387"/>
      <c r="R1999" s="230"/>
      <c r="S1999" s="230"/>
      <c r="T1999" s="285"/>
      <c r="U1999" s="230"/>
      <c r="V1999" s="230"/>
      <c r="W1999" s="300"/>
      <c r="X1999" s="230"/>
      <c r="Y1999" s="230"/>
      <c r="Z1999" s="230"/>
      <c r="AA1999" s="230"/>
      <c r="AB1999" s="230"/>
      <c r="AC1999" s="274">
        <v>3593984496</v>
      </c>
      <c r="AD1999" s="230">
        <v>23676348287.27895</v>
      </c>
      <c r="AE1999" s="229">
        <v>0.15179640256985955</v>
      </c>
      <c r="AF1999" s="230">
        <v>9055492929.4355793</v>
      </c>
      <c r="AG1999" s="231">
        <v>0.39688446824550827</v>
      </c>
      <c r="AH1999" s="231" t="s">
        <v>2842</v>
      </c>
      <c r="AI1999" s="230" t="s">
        <v>2842</v>
      </c>
      <c r="AJ1999" s="231" t="s">
        <v>2842</v>
      </c>
      <c r="AK1999" s="230">
        <v>618495813.73499537</v>
      </c>
      <c r="AL1999" s="231">
        <v>5.8108469227892003</v>
      </c>
      <c r="AM1999" s="230" t="s">
        <v>2842</v>
      </c>
      <c r="AN1999" s="275" t="s">
        <v>2842</v>
      </c>
      <c r="AO1999" s="230">
        <v>1333082</v>
      </c>
      <c r="AP1999" s="230" t="s">
        <v>2842</v>
      </c>
      <c r="AQ1999" s="230">
        <v>69.708560975609771</v>
      </c>
      <c r="AR1999" s="230">
        <v>20.2</v>
      </c>
      <c r="AS1999" s="232" t="s">
        <v>2842</v>
      </c>
      <c r="AT1999" s="276">
        <v>38</v>
      </c>
      <c r="AU1999" s="466">
        <v>73.801407261285618</v>
      </c>
      <c r="AV1999" s="232">
        <v>0.475132491607689</v>
      </c>
      <c r="AW1999" s="232">
        <v>0.149892618739455</v>
      </c>
      <c r="AX1999" s="232">
        <v>0.316550861431385</v>
      </c>
      <c r="AY1999" s="232">
        <v>0.40364414730460202</v>
      </c>
      <c r="AZ1999" s="293">
        <v>-0.28142374093611999</v>
      </c>
    </row>
    <row r="2000" spans="1:52" s="66" customFormat="1" ht="15" customHeight="1">
      <c r="A2000" s="82" t="s">
        <v>521</v>
      </c>
      <c r="B2000" s="77">
        <v>2005</v>
      </c>
      <c r="C2000" s="77" t="s">
        <v>522</v>
      </c>
      <c r="D2000" s="77" t="s">
        <v>246</v>
      </c>
      <c r="E2000" s="77" t="s">
        <v>98</v>
      </c>
      <c r="F2000" s="77" t="s">
        <v>98</v>
      </c>
      <c r="G2000" s="182">
        <v>153665000</v>
      </c>
      <c r="H2000" s="182"/>
      <c r="I2000" s="182"/>
      <c r="J2000" s="182"/>
      <c r="K2000" s="77" t="s">
        <v>603</v>
      </c>
      <c r="L2000" s="83">
        <v>51.448448141042135</v>
      </c>
      <c r="M2000" s="77" t="s">
        <v>626</v>
      </c>
      <c r="N2000" s="77" t="s">
        <v>2177</v>
      </c>
      <c r="O2000" s="84">
        <f t="shared" si="35"/>
        <v>7905825783.5932398</v>
      </c>
      <c r="P2000" s="248">
        <v>4668154975</v>
      </c>
      <c r="Q2000" s="248">
        <v>4668248606</v>
      </c>
      <c r="R2000" s="77" t="s">
        <v>3693</v>
      </c>
      <c r="S2000" s="77" t="s">
        <v>2179</v>
      </c>
      <c r="T2000" s="84">
        <v>4614963973</v>
      </c>
      <c r="U2000" s="77" t="s">
        <v>2178</v>
      </c>
      <c r="V2000" s="77" t="s">
        <v>802</v>
      </c>
      <c r="W2000" s="85" t="s">
        <v>803</v>
      </c>
      <c r="X2000" s="77">
        <v>12</v>
      </c>
      <c r="Y2000" s="77" t="s">
        <v>2180</v>
      </c>
      <c r="Z2000" s="77">
        <v>12</v>
      </c>
      <c r="AA2000" s="77">
        <v>19</v>
      </c>
      <c r="AB2000" s="77" t="s">
        <v>2181</v>
      </c>
      <c r="AC2000" s="328">
        <v>4668154975</v>
      </c>
      <c r="AD2000" s="77">
        <v>16753787028.285877</v>
      </c>
      <c r="AE2000" s="233">
        <v>0.27863282296227271</v>
      </c>
      <c r="AF2000" s="77">
        <v>6328910587.8052731</v>
      </c>
      <c r="AG2000" s="234">
        <v>0.737592182767558</v>
      </c>
      <c r="AH2000" s="234" t="s">
        <v>2842</v>
      </c>
      <c r="AI2000" s="77">
        <v>296530000</v>
      </c>
      <c r="AJ2000" s="234">
        <v>15.742606060095101</v>
      </c>
      <c r="AK2000" s="77">
        <v>259870834.68593815</v>
      </c>
      <c r="AL2000" s="234">
        <v>17.963366226308572</v>
      </c>
      <c r="AM2000" s="77" t="s">
        <v>2842</v>
      </c>
      <c r="AN2000" s="329" t="s">
        <v>2842</v>
      </c>
      <c r="AO2000" s="77">
        <v>20139661</v>
      </c>
      <c r="AP2000" s="77">
        <v>34.799999999999997</v>
      </c>
      <c r="AQ2000" s="77">
        <v>61.534926829268301</v>
      </c>
      <c r="AR2000" s="77">
        <v>56.1</v>
      </c>
      <c r="AS2000" s="66" t="s">
        <v>2842</v>
      </c>
      <c r="AT2000" s="330">
        <v>19</v>
      </c>
      <c r="AU2000" s="467">
        <v>43.154555128273458</v>
      </c>
      <c r="AV2000" s="66" t="s">
        <v>2842</v>
      </c>
      <c r="AW2000" s="66" t="s">
        <v>2842</v>
      </c>
      <c r="AX2000" s="66" t="s">
        <v>2842</v>
      </c>
      <c r="AY2000" s="66" t="s">
        <v>2842</v>
      </c>
      <c r="AZ2000" s="331" t="s">
        <v>2842</v>
      </c>
    </row>
    <row r="2001" spans="1:52" s="238" customFormat="1" ht="15" customHeight="1">
      <c r="A2001" s="333" t="s">
        <v>525</v>
      </c>
      <c r="B2001" s="236">
        <v>2006</v>
      </c>
      <c r="C2001" s="236" t="s">
        <v>522</v>
      </c>
      <c r="D2001" s="236" t="s">
        <v>246</v>
      </c>
      <c r="E2001" s="236" t="s">
        <v>98</v>
      </c>
      <c r="F2001" s="236" t="s">
        <v>98</v>
      </c>
      <c r="G2001" s="335">
        <v>141255000</v>
      </c>
      <c r="H2001" s="335"/>
      <c r="I2001" s="335"/>
      <c r="J2001" s="335"/>
      <c r="K2001" s="236" t="s">
        <v>603</v>
      </c>
      <c r="L2001" s="336">
        <v>56.158702915231345</v>
      </c>
      <c r="M2001" s="236" t="s">
        <v>626</v>
      </c>
      <c r="N2001" s="236" t="s">
        <v>2177</v>
      </c>
      <c r="O2001" s="337">
        <f t="shared" si="35"/>
        <v>7932697580.2910032</v>
      </c>
      <c r="P2001" s="338">
        <v>5122351269</v>
      </c>
      <c r="Q2001" s="338">
        <v>5121921597</v>
      </c>
      <c r="R2001" s="236" t="s">
        <v>3693</v>
      </c>
      <c r="S2001" s="236" t="s">
        <v>2182</v>
      </c>
      <c r="T2001" s="337">
        <v>5022000432</v>
      </c>
      <c r="U2001" s="236" t="s">
        <v>2178</v>
      </c>
      <c r="V2001" s="236" t="s">
        <v>802</v>
      </c>
      <c r="W2001" s="339" t="s">
        <v>803</v>
      </c>
      <c r="X2001" s="236">
        <v>12</v>
      </c>
      <c r="Y2001" s="236" t="s">
        <v>2180</v>
      </c>
      <c r="Z2001" s="236">
        <v>12</v>
      </c>
      <c r="AA2001" s="236">
        <v>20</v>
      </c>
      <c r="AB2001" s="236" t="s">
        <v>2181</v>
      </c>
      <c r="AC2001" s="340">
        <v>5122351269</v>
      </c>
      <c r="AD2001" s="236">
        <v>19081726103.214478</v>
      </c>
      <c r="AE2001" s="235">
        <v>0.26844276253064425</v>
      </c>
      <c r="AF2001" s="236">
        <v>6349635178.1056499</v>
      </c>
      <c r="AG2001" s="237">
        <v>0.80671583883472853</v>
      </c>
      <c r="AH2001" s="237" t="s">
        <v>2842</v>
      </c>
      <c r="AI2001" s="236">
        <v>287410000</v>
      </c>
      <c r="AJ2001" s="237">
        <v>17.822453181865626</v>
      </c>
      <c r="AK2001" s="236">
        <v>290347915.10396779</v>
      </c>
      <c r="AL2001" s="237">
        <v>17.642114864733188</v>
      </c>
      <c r="AM2001" s="236" t="s">
        <v>2842</v>
      </c>
      <c r="AN2001" s="341" t="s">
        <v>2842</v>
      </c>
      <c r="AO2001" s="236">
        <v>20661714</v>
      </c>
      <c r="AP2001" s="236" t="s">
        <v>2842</v>
      </c>
      <c r="AQ2001" s="236">
        <v>61.738658536585369</v>
      </c>
      <c r="AR2001" s="236">
        <v>53.8</v>
      </c>
      <c r="AS2001" s="238" t="s">
        <v>2842</v>
      </c>
      <c r="AT2001" s="342">
        <v>19</v>
      </c>
      <c r="AU2001" s="468">
        <v>43.154555128273458</v>
      </c>
      <c r="AV2001" s="238" t="s">
        <v>2842</v>
      </c>
      <c r="AW2001" s="238" t="s">
        <v>2842</v>
      </c>
      <c r="AX2001" s="238" t="s">
        <v>2842</v>
      </c>
      <c r="AY2001" s="238" t="s">
        <v>2842</v>
      </c>
      <c r="AZ2001" s="343" t="s">
        <v>2842</v>
      </c>
    </row>
    <row r="2002" spans="1:52" s="238" customFormat="1" ht="15" customHeight="1">
      <c r="A2002" s="333" t="s">
        <v>526</v>
      </c>
      <c r="B2002" s="236">
        <v>2007</v>
      </c>
      <c r="C2002" s="236" t="s">
        <v>522</v>
      </c>
      <c r="D2002" s="236" t="s">
        <v>246</v>
      </c>
      <c r="E2002" s="236" t="s">
        <v>98</v>
      </c>
      <c r="F2002" s="236" t="s">
        <v>98</v>
      </c>
      <c r="G2002" s="335">
        <v>124465000</v>
      </c>
      <c r="H2002" s="335"/>
      <c r="I2002" s="335"/>
      <c r="J2002" s="335"/>
      <c r="K2002" s="236" t="s">
        <v>603</v>
      </c>
      <c r="L2002" s="336">
        <v>71.930690371762495</v>
      </c>
      <c r="M2002" s="236" t="s">
        <v>626</v>
      </c>
      <c r="N2002" s="236" t="s">
        <v>2177</v>
      </c>
      <c r="O2002" s="337">
        <f t="shared" si="35"/>
        <v>8952853377.121418</v>
      </c>
      <c r="P2002" s="338">
        <v>5331162225</v>
      </c>
      <c r="Q2002" s="338">
        <v>5331078375</v>
      </c>
      <c r="R2002" s="236" t="s">
        <v>3693</v>
      </c>
      <c r="S2002" s="236" t="s">
        <v>2183</v>
      </c>
      <c r="T2002" s="337">
        <v>5247509519</v>
      </c>
      <c r="U2002" s="236" t="s">
        <v>2178</v>
      </c>
      <c r="V2002" s="236" t="s">
        <v>802</v>
      </c>
      <c r="W2002" s="339" t="s">
        <v>803</v>
      </c>
      <c r="X2002" s="236">
        <v>12</v>
      </c>
      <c r="Y2002" s="236" t="s">
        <v>2180</v>
      </c>
      <c r="Z2002" s="236">
        <v>12</v>
      </c>
      <c r="AA2002" s="236">
        <v>21</v>
      </c>
      <c r="AB2002" s="236" t="s">
        <v>2181</v>
      </c>
      <c r="AC2002" s="340">
        <v>5331162225</v>
      </c>
      <c r="AD2002" s="236">
        <v>25633674563.549282</v>
      </c>
      <c r="AE2002" s="235">
        <v>0.20797495153429296</v>
      </c>
      <c r="AF2002" s="236">
        <v>7748290810.3240414</v>
      </c>
      <c r="AG2002" s="237">
        <v>0.68804364155984044</v>
      </c>
      <c r="AH2002" s="237" t="s">
        <v>2842</v>
      </c>
      <c r="AI2002" s="236">
        <v>242560000</v>
      </c>
      <c r="AJ2002" s="237">
        <v>21.978736085916886</v>
      </c>
      <c r="AK2002" s="236">
        <v>374966719.65499407</v>
      </c>
      <c r="AL2002" s="237">
        <v>14.217694386064952</v>
      </c>
      <c r="AM2002" s="236" t="s">
        <v>2842</v>
      </c>
      <c r="AN2002" s="341" t="s">
        <v>2842</v>
      </c>
      <c r="AO2002" s="236">
        <v>21182162</v>
      </c>
      <c r="AP2002" s="236" t="s">
        <v>2842</v>
      </c>
      <c r="AQ2002" s="236">
        <v>61.939780487804882</v>
      </c>
      <c r="AR2002" s="236">
        <v>51.6</v>
      </c>
      <c r="AS2002" s="238" t="s">
        <v>2842</v>
      </c>
      <c r="AT2002" s="342">
        <v>19</v>
      </c>
      <c r="AU2002" s="468">
        <v>43.154555128273458</v>
      </c>
      <c r="AV2002" s="238" t="s">
        <v>2842</v>
      </c>
      <c r="AW2002" s="238" t="s">
        <v>2842</v>
      </c>
      <c r="AX2002" s="238" t="s">
        <v>2842</v>
      </c>
      <c r="AY2002" s="238" t="s">
        <v>2842</v>
      </c>
      <c r="AZ2002" s="343" t="s">
        <v>2842</v>
      </c>
    </row>
    <row r="2003" spans="1:52" s="238" customFormat="1" ht="15" customHeight="1">
      <c r="A2003" s="333" t="s">
        <v>527</v>
      </c>
      <c r="B2003" s="236">
        <v>2008</v>
      </c>
      <c r="C2003" s="236" t="s">
        <v>522</v>
      </c>
      <c r="D2003" s="236" t="s">
        <v>246</v>
      </c>
      <c r="E2003" s="236" t="s">
        <v>98</v>
      </c>
      <c r="F2003" s="236" t="s">
        <v>98</v>
      </c>
      <c r="G2003" s="335">
        <v>114975000</v>
      </c>
      <c r="H2003" s="335"/>
      <c r="I2003" s="335"/>
      <c r="J2003" s="335"/>
      <c r="K2003" s="236" t="s">
        <v>603</v>
      </c>
      <c r="L2003" s="336">
        <v>100.68876875401018</v>
      </c>
      <c r="M2003" s="236" t="s">
        <v>626</v>
      </c>
      <c r="N2003" s="236" t="s">
        <v>2177</v>
      </c>
      <c r="O2003" s="337">
        <f t="shared" si="35"/>
        <v>11576691187.492321</v>
      </c>
      <c r="P2003" s="338">
        <v>7591231594</v>
      </c>
      <c r="Q2003" s="338">
        <v>214794365</v>
      </c>
      <c r="R2003" s="236" t="s">
        <v>3693</v>
      </c>
      <c r="S2003" s="236" t="s">
        <v>2184</v>
      </c>
      <c r="T2003" s="337">
        <v>7375553000</v>
      </c>
      <c r="U2003" s="236" t="s">
        <v>2178</v>
      </c>
      <c r="V2003" s="236" t="s">
        <v>802</v>
      </c>
      <c r="W2003" s="339" t="s">
        <v>803</v>
      </c>
      <c r="X2003" s="236">
        <v>12</v>
      </c>
      <c r="Y2003" s="236" t="s">
        <v>2180</v>
      </c>
      <c r="Z2003" s="236">
        <v>12</v>
      </c>
      <c r="AA2003" s="236" t="s">
        <v>2185</v>
      </c>
      <c r="AB2003" s="236" t="s">
        <v>2186</v>
      </c>
      <c r="AC2003" s="340">
        <v>7591231594</v>
      </c>
      <c r="AD2003" s="236">
        <v>30397203368.97253</v>
      </c>
      <c r="AE2003" s="235">
        <v>0.24973453978166396</v>
      </c>
      <c r="AF2003" s="236">
        <v>9458393800.2894917</v>
      </c>
      <c r="AG2003" s="237">
        <v>0.80259204197732348</v>
      </c>
      <c r="AH2003" s="237" t="s">
        <v>2842</v>
      </c>
      <c r="AI2003" s="236">
        <v>429610000</v>
      </c>
      <c r="AJ2003" s="237">
        <v>17.67005329019343</v>
      </c>
      <c r="AK2003" s="236">
        <v>475721803.49256587</v>
      </c>
      <c r="AL2003" s="237">
        <v>15.957291716015764</v>
      </c>
      <c r="AM2003" s="236">
        <v>1565854176.8662188</v>
      </c>
      <c r="AN2003" s="341">
        <v>4.8479811888949405</v>
      </c>
      <c r="AO2003" s="236">
        <v>21703571</v>
      </c>
      <c r="AP2003" s="236" t="s">
        <v>2842</v>
      </c>
      <c r="AQ2003" s="236">
        <v>62.137829268292691</v>
      </c>
      <c r="AR2003" s="236">
        <v>49.5</v>
      </c>
      <c r="AS2003" s="238" t="s">
        <v>2842</v>
      </c>
      <c r="AT2003" s="342">
        <v>19</v>
      </c>
      <c r="AU2003" s="468">
        <v>43.154555128273458</v>
      </c>
      <c r="AV2003" s="238" t="s">
        <v>2842</v>
      </c>
      <c r="AW2003" s="238" t="s">
        <v>2842</v>
      </c>
      <c r="AX2003" s="238" t="s">
        <v>2842</v>
      </c>
      <c r="AY2003" s="238" t="s">
        <v>2842</v>
      </c>
      <c r="AZ2003" s="343" t="s">
        <v>2842</v>
      </c>
    </row>
    <row r="2004" spans="1:52" s="238" customFormat="1" ht="15" customHeight="1">
      <c r="A2004" s="333" t="s">
        <v>529</v>
      </c>
      <c r="B2004" s="236">
        <v>2009</v>
      </c>
      <c r="C2004" s="236" t="s">
        <v>522</v>
      </c>
      <c r="D2004" s="236" t="s">
        <v>246</v>
      </c>
      <c r="E2004" s="236" t="s">
        <v>98</v>
      </c>
      <c r="F2004" s="236" t="s">
        <v>98</v>
      </c>
      <c r="G2004" s="335">
        <v>111690000</v>
      </c>
      <c r="H2004" s="335"/>
      <c r="I2004" s="335"/>
      <c r="J2004" s="335"/>
      <c r="K2004" s="236" t="s">
        <v>603</v>
      </c>
      <c r="L2004" s="336">
        <v>58.807703233352825</v>
      </c>
      <c r="M2004" s="236" t="s">
        <v>626</v>
      </c>
      <c r="N2004" s="236" t="s">
        <v>2177</v>
      </c>
      <c r="O2004" s="337">
        <f t="shared" si="35"/>
        <v>6568232374.1331768</v>
      </c>
      <c r="P2004" s="338">
        <v>3625997931</v>
      </c>
      <c r="Q2004" s="338">
        <v>114590378</v>
      </c>
      <c r="R2004" s="236" t="s">
        <v>3693</v>
      </c>
      <c r="S2004" s="236" t="s">
        <v>2187</v>
      </c>
      <c r="T2004" s="337">
        <v>3519347000</v>
      </c>
      <c r="U2004" s="236" t="s">
        <v>2178</v>
      </c>
      <c r="V2004" s="236" t="s">
        <v>802</v>
      </c>
      <c r="W2004" s="339" t="s">
        <v>803</v>
      </c>
      <c r="X2004" s="236">
        <v>12</v>
      </c>
      <c r="Y2004" s="236" t="s">
        <v>2180</v>
      </c>
      <c r="Z2004" s="236">
        <v>12</v>
      </c>
      <c r="AA2004" s="236" t="s">
        <v>2188</v>
      </c>
      <c r="AB2004" s="236" t="s">
        <v>2189</v>
      </c>
      <c r="AC2004" s="340">
        <v>3625997931</v>
      </c>
      <c r="AD2004" s="236">
        <v>27838718233.109901</v>
      </c>
      <c r="AE2004" s="235">
        <v>0.13025017533628505</v>
      </c>
      <c r="AF2004" s="236">
        <v>8911173706.4184799</v>
      </c>
      <c r="AG2004" s="237">
        <v>0.40690464022582018</v>
      </c>
      <c r="AH2004" s="237" t="s">
        <v>2842</v>
      </c>
      <c r="AI2004" s="236">
        <v>557850000</v>
      </c>
      <c r="AJ2004" s="237">
        <v>6.4999514762032806</v>
      </c>
      <c r="AK2004" s="236">
        <v>372119535.40620691</v>
      </c>
      <c r="AL2004" s="237">
        <v>9.7441751534002332</v>
      </c>
      <c r="AM2004" s="236" t="s">
        <v>2842</v>
      </c>
      <c r="AN2004" s="341" t="s">
        <v>2842</v>
      </c>
      <c r="AO2004" s="236">
        <v>22229625</v>
      </c>
      <c r="AP2004" s="236" t="s">
        <v>2842</v>
      </c>
      <c r="AQ2004" s="236">
        <v>62.33378048780488</v>
      </c>
      <c r="AR2004" s="236">
        <v>47.5</v>
      </c>
      <c r="AS2004" s="238" t="s">
        <v>2842</v>
      </c>
      <c r="AT2004" s="342">
        <v>19</v>
      </c>
      <c r="AU2004" s="468">
        <v>43.154555128273458</v>
      </c>
      <c r="AV2004" s="238" t="s">
        <v>2842</v>
      </c>
      <c r="AW2004" s="238" t="s">
        <v>2842</v>
      </c>
      <c r="AX2004" s="238" t="s">
        <v>2842</v>
      </c>
      <c r="AY2004" s="238" t="s">
        <v>2842</v>
      </c>
      <c r="AZ2004" s="343" t="s">
        <v>2842</v>
      </c>
    </row>
    <row r="2005" spans="1:52" s="29" customFormat="1" ht="15" customHeight="1">
      <c r="A2005" s="332" t="s">
        <v>530</v>
      </c>
      <c r="B2005" s="27">
        <v>2010</v>
      </c>
      <c r="C2005" s="27" t="s">
        <v>522</v>
      </c>
      <c r="D2005" s="27" t="s">
        <v>246</v>
      </c>
      <c r="E2005" s="27" t="s">
        <v>50</v>
      </c>
      <c r="F2005" s="27" t="s">
        <v>659</v>
      </c>
      <c r="G2005" s="43"/>
      <c r="H2005" s="43"/>
      <c r="I2005" s="43"/>
      <c r="J2005" s="43"/>
      <c r="K2005" s="27"/>
      <c r="L2005" s="28"/>
      <c r="M2005" s="27"/>
      <c r="N2005" s="27"/>
      <c r="O2005" s="18">
        <f>SUM(O2006:O2007)</f>
        <v>9404103439.4122658</v>
      </c>
      <c r="P2005" s="213">
        <v>5081696110</v>
      </c>
      <c r="Q2005" s="213">
        <v>245902656</v>
      </c>
      <c r="R2005" s="27" t="s">
        <v>3693</v>
      </c>
      <c r="S2005" s="27" t="s">
        <v>2190</v>
      </c>
      <c r="T2005" s="18">
        <v>4834974000</v>
      </c>
      <c r="U2005" s="27" t="s">
        <v>2178</v>
      </c>
      <c r="V2005" s="27" t="s">
        <v>802</v>
      </c>
      <c r="W2005" s="30" t="s">
        <v>803</v>
      </c>
      <c r="X2005" s="27">
        <v>13</v>
      </c>
      <c r="Y2005" s="27" t="s">
        <v>2191</v>
      </c>
      <c r="Z2005" s="27">
        <v>13</v>
      </c>
      <c r="AA2005" s="27" t="s">
        <v>2192</v>
      </c>
      <c r="AB2005" s="27" t="s">
        <v>2193</v>
      </c>
      <c r="AC2005" s="273">
        <v>5081696110</v>
      </c>
      <c r="AD2005" s="27">
        <v>31743751169.317116</v>
      </c>
      <c r="AE2005" s="228">
        <v>0.16008492767269003</v>
      </c>
      <c r="AF2005" s="27">
        <v>11093488721.141253</v>
      </c>
      <c r="AG2005" s="226">
        <v>0.45807917037997548</v>
      </c>
      <c r="AH2005" s="226" t="s">
        <v>2842</v>
      </c>
      <c r="AI2005" s="27">
        <v>664230000</v>
      </c>
      <c r="AJ2005" s="226">
        <v>7.6505067672342415</v>
      </c>
      <c r="AK2005" s="27">
        <v>409024286.51745248</v>
      </c>
      <c r="AL2005" s="226">
        <v>12.423947128584922</v>
      </c>
      <c r="AM2005" s="27" t="s">
        <v>2842</v>
      </c>
      <c r="AN2005" s="271" t="s">
        <v>2842</v>
      </c>
      <c r="AO2005" s="27">
        <v>22763008</v>
      </c>
      <c r="AP2005" s="27" t="s">
        <v>2842</v>
      </c>
      <c r="AQ2005" s="27">
        <v>62.527658536585378</v>
      </c>
      <c r="AR2005" s="27">
        <v>45.5</v>
      </c>
      <c r="AS2005" s="29" t="s">
        <v>2842</v>
      </c>
      <c r="AT2005" s="270">
        <v>19</v>
      </c>
      <c r="AU2005" s="464">
        <v>43.154555128273458</v>
      </c>
      <c r="AV2005" s="29" t="s">
        <v>2842</v>
      </c>
      <c r="AW2005" s="29" t="s">
        <v>2842</v>
      </c>
      <c r="AX2005" s="29" t="s">
        <v>2842</v>
      </c>
      <c r="AY2005" s="29" t="s">
        <v>2842</v>
      </c>
      <c r="AZ2005" s="60" t="s">
        <v>2842</v>
      </c>
    </row>
    <row r="2006" spans="1:52" s="29" customFormat="1" ht="15" customHeight="1">
      <c r="A2006" s="59" t="s">
        <v>530</v>
      </c>
      <c r="B2006" s="27">
        <v>2010</v>
      </c>
      <c r="C2006" s="27" t="s">
        <v>522</v>
      </c>
      <c r="D2006" s="27" t="s">
        <v>246</v>
      </c>
      <c r="E2006" s="27" t="s">
        <v>552</v>
      </c>
      <c r="F2006" s="27" t="s">
        <v>552</v>
      </c>
      <c r="G2006" s="43">
        <v>6200000000</v>
      </c>
      <c r="H2006" s="43"/>
      <c r="I2006" s="43"/>
      <c r="J2006" s="43"/>
      <c r="K2006" s="27" t="s">
        <v>599</v>
      </c>
      <c r="L2006" s="28">
        <v>0.1741077336927683</v>
      </c>
      <c r="M2006" s="27" t="s">
        <v>600</v>
      </c>
      <c r="N2006" s="27" t="s">
        <v>2194</v>
      </c>
      <c r="O2006" s="18">
        <f>G2006*L2006</f>
        <v>1079467948.8951635</v>
      </c>
      <c r="P2006" s="213">
        <v>112270000</v>
      </c>
      <c r="Q2006" s="213">
        <v>112270000</v>
      </c>
      <c r="R2006" s="27"/>
      <c r="U2006" s="27"/>
      <c r="V2006" s="42"/>
      <c r="W2006" s="45"/>
      <c r="X2006" s="27">
        <v>1</v>
      </c>
      <c r="Y2006" s="27" t="s">
        <v>2195</v>
      </c>
      <c r="Z2006" s="27">
        <v>1</v>
      </c>
      <c r="AA2006" s="27">
        <v>28</v>
      </c>
      <c r="AB2006" s="27"/>
      <c r="AC2006" s="273">
        <v>5081696110</v>
      </c>
      <c r="AD2006" s="27">
        <v>31743751169.317116</v>
      </c>
      <c r="AE2006" s="228">
        <v>0.16008492767269003</v>
      </c>
      <c r="AF2006" s="27">
        <v>11093488721.141253</v>
      </c>
      <c r="AG2006" s="226">
        <v>0.45807917037997548</v>
      </c>
      <c r="AH2006" s="226" t="s">
        <v>2842</v>
      </c>
      <c r="AI2006" s="27">
        <v>664230000</v>
      </c>
      <c r="AJ2006" s="226">
        <v>7.6505067672342415</v>
      </c>
      <c r="AK2006" s="27">
        <v>409024286.51745248</v>
      </c>
      <c r="AL2006" s="226">
        <v>12.423947128584922</v>
      </c>
      <c r="AM2006" s="27" t="s">
        <v>2842</v>
      </c>
      <c r="AN2006" s="271" t="s">
        <v>2842</v>
      </c>
      <c r="AO2006" s="27">
        <v>22763008</v>
      </c>
      <c r="AP2006" s="27" t="s">
        <v>2842</v>
      </c>
      <c r="AQ2006" s="27">
        <v>62.527658536585378</v>
      </c>
      <c r="AR2006" s="27">
        <v>45.5</v>
      </c>
      <c r="AS2006" s="29" t="s">
        <v>2842</v>
      </c>
      <c r="AT2006" s="270">
        <v>19</v>
      </c>
      <c r="AU2006" s="464">
        <v>43.154555128273458</v>
      </c>
      <c r="AV2006" s="29" t="s">
        <v>2842</v>
      </c>
      <c r="AW2006" s="29" t="s">
        <v>2842</v>
      </c>
      <c r="AX2006" s="29" t="s">
        <v>2842</v>
      </c>
      <c r="AY2006" s="29" t="s">
        <v>2842</v>
      </c>
      <c r="AZ2006" s="60" t="s">
        <v>2842</v>
      </c>
    </row>
    <row r="2007" spans="1:52" s="287" customFormat="1" ht="15" customHeight="1">
      <c r="A2007" s="344" t="s">
        <v>530</v>
      </c>
      <c r="B2007" s="284">
        <v>2010</v>
      </c>
      <c r="C2007" s="284" t="s">
        <v>522</v>
      </c>
      <c r="D2007" s="284" t="s">
        <v>246</v>
      </c>
      <c r="E2007" s="284" t="s">
        <v>98</v>
      </c>
      <c r="F2007" s="284" t="s">
        <v>98</v>
      </c>
      <c r="G2007" s="303">
        <v>106215000</v>
      </c>
      <c r="H2007" s="303"/>
      <c r="I2007" s="303"/>
      <c r="J2007" s="303"/>
      <c r="K2007" s="284" t="s">
        <v>603</v>
      </c>
      <c r="L2007" s="304">
        <v>78.375328254174093</v>
      </c>
      <c r="M2007" s="284" t="s">
        <v>626</v>
      </c>
      <c r="N2007" s="284" t="s">
        <v>2177</v>
      </c>
      <c r="O2007" s="305">
        <f>G2007*L2007</f>
        <v>8324635490.5171013</v>
      </c>
      <c r="P2007" s="306">
        <v>4969426110</v>
      </c>
      <c r="Q2007" s="306">
        <v>133632656</v>
      </c>
      <c r="R2007" s="284"/>
      <c r="S2007" s="322" t="s">
        <v>2190</v>
      </c>
      <c r="T2007" s="427">
        <v>4834974000</v>
      </c>
      <c r="U2007" s="284"/>
      <c r="V2007" s="284"/>
      <c r="W2007" s="307"/>
      <c r="X2007" s="284">
        <v>12</v>
      </c>
      <c r="Y2007" s="284" t="s">
        <v>2180</v>
      </c>
      <c r="Z2007" s="284">
        <v>12</v>
      </c>
      <c r="AA2007" s="284" t="s">
        <v>2196</v>
      </c>
      <c r="AB2007" s="284"/>
      <c r="AC2007" s="308">
        <v>5081696110</v>
      </c>
      <c r="AD2007" s="284">
        <v>31743751169.317116</v>
      </c>
      <c r="AE2007" s="309">
        <v>0.16008492767269003</v>
      </c>
      <c r="AF2007" s="284">
        <v>11093488721.141253</v>
      </c>
      <c r="AG2007" s="310">
        <v>0.45807917037997548</v>
      </c>
      <c r="AH2007" s="310" t="s">
        <v>2842</v>
      </c>
      <c r="AI2007" s="284">
        <v>664230000</v>
      </c>
      <c r="AJ2007" s="310">
        <v>7.6505067672342415</v>
      </c>
      <c r="AK2007" s="284">
        <v>409024286.51745248</v>
      </c>
      <c r="AL2007" s="310">
        <v>12.423947128584922</v>
      </c>
      <c r="AM2007" s="284" t="s">
        <v>2842</v>
      </c>
      <c r="AN2007" s="311" t="s">
        <v>2842</v>
      </c>
      <c r="AO2007" s="284">
        <v>22763008</v>
      </c>
      <c r="AP2007" s="284" t="s">
        <v>2842</v>
      </c>
      <c r="AQ2007" s="284">
        <v>62.527658536585378</v>
      </c>
      <c r="AR2007" s="284">
        <v>45.5</v>
      </c>
      <c r="AS2007" s="287" t="s">
        <v>2842</v>
      </c>
      <c r="AT2007" s="312">
        <v>19</v>
      </c>
      <c r="AU2007" s="465">
        <v>43.154555128273458</v>
      </c>
      <c r="AV2007" s="287" t="s">
        <v>2842</v>
      </c>
      <c r="AW2007" s="287" t="s">
        <v>2842</v>
      </c>
      <c r="AX2007" s="287" t="s">
        <v>2842</v>
      </c>
      <c r="AY2007" s="287" t="s">
        <v>2842</v>
      </c>
      <c r="AZ2007" s="313" t="s">
        <v>2842</v>
      </c>
    </row>
    <row r="2008" spans="1:52" ht="15" customHeight="1">
      <c r="A2008" s="332" t="s">
        <v>531</v>
      </c>
      <c r="B2008" s="27">
        <v>2011</v>
      </c>
      <c r="C2008" s="27" t="s">
        <v>522</v>
      </c>
      <c r="D2008" s="27" t="s">
        <v>246</v>
      </c>
      <c r="E2008" s="27" t="s">
        <v>50</v>
      </c>
      <c r="F2008" s="27" t="s">
        <v>659</v>
      </c>
      <c r="G2008" s="43"/>
      <c r="H2008" s="43"/>
      <c r="I2008" s="43"/>
      <c r="J2008" s="43"/>
      <c r="K2008" s="27"/>
      <c r="L2008" s="28"/>
      <c r="M2008" s="27"/>
      <c r="N2008" s="27"/>
      <c r="O2008" s="18">
        <f>SUM(O2009:O2010)</f>
        <v>11012010677.542271</v>
      </c>
      <c r="P2008" s="213">
        <v>5539756725</v>
      </c>
      <c r="Q2008" s="213">
        <v>372118093</v>
      </c>
      <c r="R2008" s="27" t="s">
        <v>3693</v>
      </c>
      <c r="S2008" s="55" t="s">
        <v>2197</v>
      </c>
      <c r="T2008" s="18">
        <v>5170903000</v>
      </c>
      <c r="U2008" s="27" t="s">
        <v>2178</v>
      </c>
      <c r="V2008" s="27" t="s">
        <v>802</v>
      </c>
      <c r="W2008" s="30" t="s">
        <v>803</v>
      </c>
      <c r="X2008" s="27">
        <v>40</v>
      </c>
      <c r="Y2008" s="27" t="s">
        <v>2198</v>
      </c>
      <c r="Z2008" s="27">
        <v>36</v>
      </c>
      <c r="AA2008" s="27" t="s">
        <v>2199</v>
      </c>
      <c r="AB2008" s="27" t="s">
        <v>2200</v>
      </c>
      <c r="AC2008" s="273">
        <v>5539756725</v>
      </c>
      <c r="AD2008" s="27">
        <v>29207296703.296703</v>
      </c>
      <c r="AE2008" s="228">
        <v>0.18967029990059686</v>
      </c>
      <c r="AF2008" s="27">
        <v>11260873243.956043</v>
      </c>
      <c r="AG2008" s="226">
        <v>0.49194734768667325</v>
      </c>
      <c r="AH2008" s="226" t="s">
        <v>2842</v>
      </c>
      <c r="AI2008" s="27">
        <v>476120000</v>
      </c>
      <c r="AJ2008" s="226">
        <v>11.635211133747795</v>
      </c>
      <c r="AK2008" s="27">
        <v>390012124.29360121</v>
      </c>
      <c r="AL2008" s="226">
        <v>14.204062848132562</v>
      </c>
      <c r="AM2008" s="27" t="s">
        <v>2842</v>
      </c>
      <c r="AN2008" s="271" t="s">
        <v>2842</v>
      </c>
      <c r="AO2008" s="27">
        <v>23304206</v>
      </c>
      <c r="AP2008" s="27" t="s">
        <v>2842</v>
      </c>
      <c r="AQ2008" s="27">
        <v>62.718487804878059</v>
      </c>
      <c r="AR2008" s="27">
        <v>43.7</v>
      </c>
      <c r="AS2008" s="29" t="s">
        <v>2842</v>
      </c>
      <c r="AT2008" s="270">
        <v>19</v>
      </c>
      <c r="AU2008" s="464">
        <v>43.154555128273458</v>
      </c>
      <c r="AV2008" s="29" t="s">
        <v>2842</v>
      </c>
      <c r="AW2008" s="29" t="s">
        <v>2842</v>
      </c>
      <c r="AX2008" s="29" t="s">
        <v>2842</v>
      </c>
      <c r="AY2008" s="29" t="s">
        <v>2842</v>
      </c>
      <c r="AZ2008" s="60" t="s">
        <v>2842</v>
      </c>
    </row>
    <row r="2009" spans="1:52" ht="15" customHeight="1">
      <c r="A2009" s="59" t="s">
        <v>531</v>
      </c>
      <c r="B2009" s="27">
        <v>2011</v>
      </c>
      <c r="C2009" s="27" t="s">
        <v>522</v>
      </c>
      <c r="D2009" s="27" t="s">
        <v>246</v>
      </c>
      <c r="E2009" s="27" t="s">
        <v>552</v>
      </c>
      <c r="F2009" s="27" t="s">
        <v>552</v>
      </c>
      <c r="G2009" s="43">
        <v>9400000000</v>
      </c>
      <c r="H2009" s="43"/>
      <c r="I2009" s="43"/>
      <c r="J2009" s="43"/>
      <c r="K2009" s="27" t="s">
        <v>599</v>
      </c>
      <c r="L2009" s="28">
        <v>0.19666043794616025</v>
      </c>
      <c r="M2009" s="27" t="s">
        <v>600</v>
      </c>
      <c r="N2009" s="27" t="s">
        <v>2194</v>
      </c>
      <c r="O2009" s="18">
        <f>G2009*L2009</f>
        <v>1848608116.6939063</v>
      </c>
      <c r="P2009" s="213">
        <v>201261000</v>
      </c>
      <c r="Q2009" s="213">
        <v>201001000</v>
      </c>
      <c r="R2009" s="27"/>
      <c r="S2009" s="29"/>
      <c r="T2009" s="29"/>
      <c r="U2009" s="27"/>
      <c r="V2009" s="42"/>
      <c r="W2009" s="45"/>
      <c r="X2009" s="27">
        <v>1</v>
      </c>
      <c r="Y2009" s="27" t="s">
        <v>2201</v>
      </c>
      <c r="Z2009" s="27">
        <v>1</v>
      </c>
      <c r="AA2009" s="27">
        <v>40</v>
      </c>
      <c r="AB2009" s="27"/>
      <c r="AC2009" s="273">
        <v>5539756725</v>
      </c>
      <c r="AD2009" s="27">
        <v>29207296703.296703</v>
      </c>
      <c r="AE2009" s="228">
        <v>0.18967029990059686</v>
      </c>
      <c r="AF2009" s="27">
        <v>11260873243.956043</v>
      </c>
      <c r="AG2009" s="226">
        <v>0.49194734768667325</v>
      </c>
      <c r="AH2009" s="226" t="s">
        <v>2842</v>
      </c>
      <c r="AI2009" s="27">
        <v>476120000</v>
      </c>
      <c r="AJ2009" s="226">
        <v>11.635211133747795</v>
      </c>
      <c r="AK2009" s="27">
        <v>390012124.29360121</v>
      </c>
      <c r="AL2009" s="226">
        <v>14.204062848132562</v>
      </c>
      <c r="AM2009" s="27" t="s">
        <v>2842</v>
      </c>
      <c r="AN2009" s="271" t="s">
        <v>2842</v>
      </c>
      <c r="AO2009" s="27">
        <v>23304206</v>
      </c>
      <c r="AP2009" s="27" t="s">
        <v>2842</v>
      </c>
      <c r="AQ2009" s="27">
        <v>62.718487804878059</v>
      </c>
      <c r="AR2009" s="27">
        <v>43.7</v>
      </c>
      <c r="AS2009" s="29" t="s">
        <v>2842</v>
      </c>
      <c r="AT2009" s="270">
        <v>19</v>
      </c>
      <c r="AU2009" s="464">
        <v>43.154555128273458</v>
      </c>
      <c r="AV2009" s="29" t="s">
        <v>2842</v>
      </c>
      <c r="AW2009" s="29" t="s">
        <v>2842</v>
      </c>
      <c r="AX2009" s="29" t="s">
        <v>2842</v>
      </c>
      <c r="AY2009" s="29" t="s">
        <v>2842</v>
      </c>
      <c r="AZ2009" s="60" t="s">
        <v>2842</v>
      </c>
    </row>
    <row r="2010" spans="1:52" s="232" customFormat="1" ht="15" customHeight="1" thickBot="1">
      <c r="A2010" s="360" t="s">
        <v>531</v>
      </c>
      <c r="B2010" s="230">
        <v>2011</v>
      </c>
      <c r="C2010" s="230" t="s">
        <v>522</v>
      </c>
      <c r="D2010" s="230" t="s">
        <v>246</v>
      </c>
      <c r="E2010" s="230" t="s">
        <v>98</v>
      </c>
      <c r="F2010" s="230" t="s">
        <v>98</v>
      </c>
      <c r="G2010" s="297">
        <v>83220000</v>
      </c>
      <c r="H2010" s="297"/>
      <c r="I2010" s="297"/>
      <c r="J2010" s="297"/>
      <c r="K2010" s="230" t="s">
        <v>603</v>
      </c>
      <c r="L2010" s="298">
        <v>110.11058112050425</v>
      </c>
      <c r="M2010" s="230" t="s">
        <v>626</v>
      </c>
      <c r="N2010" s="230" t="s">
        <v>2177</v>
      </c>
      <c r="O2010" s="285">
        <f>G2010*L2010</f>
        <v>9163402560.8483639</v>
      </c>
      <c r="P2010" s="299">
        <f>167592725+5170903000</f>
        <v>5338495725</v>
      </c>
      <c r="Q2010" s="299">
        <f>171117093</f>
        <v>171117093</v>
      </c>
      <c r="R2010" s="230"/>
      <c r="S2010" s="428" t="s">
        <v>2197</v>
      </c>
      <c r="T2010" s="285">
        <v>5170903000</v>
      </c>
      <c r="U2010" s="230"/>
      <c r="V2010" s="230"/>
      <c r="W2010" s="300"/>
      <c r="X2010" s="230">
        <v>39</v>
      </c>
      <c r="Y2010" s="230" t="s">
        <v>2202</v>
      </c>
      <c r="Z2010" s="230">
        <v>35</v>
      </c>
      <c r="AA2010" s="230" t="s">
        <v>2203</v>
      </c>
      <c r="AB2010" s="230"/>
      <c r="AC2010" s="274">
        <v>5539756725</v>
      </c>
      <c r="AD2010" s="230">
        <v>29207296703.296703</v>
      </c>
      <c r="AE2010" s="229">
        <v>0.18967029990059686</v>
      </c>
      <c r="AF2010" s="230">
        <v>11260873243.956043</v>
      </c>
      <c r="AG2010" s="231">
        <v>0.49194734768667325</v>
      </c>
      <c r="AH2010" s="231" t="s">
        <v>2842</v>
      </c>
      <c r="AI2010" s="230">
        <v>476120000</v>
      </c>
      <c r="AJ2010" s="231">
        <v>11.635211133747795</v>
      </c>
      <c r="AK2010" s="230">
        <v>390012124.29360121</v>
      </c>
      <c r="AL2010" s="231">
        <v>14.204062848132562</v>
      </c>
      <c r="AM2010" s="230" t="s">
        <v>2842</v>
      </c>
      <c r="AN2010" s="275" t="s">
        <v>2842</v>
      </c>
      <c r="AO2010" s="230">
        <v>23304206</v>
      </c>
      <c r="AP2010" s="230" t="s">
        <v>2842</v>
      </c>
      <c r="AQ2010" s="230">
        <v>62.718487804878059</v>
      </c>
      <c r="AR2010" s="230">
        <v>43.7</v>
      </c>
      <c r="AS2010" s="232" t="s">
        <v>2842</v>
      </c>
      <c r="AT2010" s="276">
        <v>19</v>
      </c>
      <c r="AU2010" s="466">
        <v>43.154555128273458</v>
      </c>
      <c r="AV2010" s="232" t="s">
        <v>2842</v>
      </c>
      <c r="AW2010" s="232" t="s">
        <v>2842</v>
      </c>
      <c r="AX2010" s="232" t="s">
        <v>2842</v>
      </c>
      <c r="AY2010" s="232" t="s">
        <v>2842</v>
      </c>
      <c r="AZ2010" s="293" t="s">
        <v>2842</v>
      </c>
    </row>
    <row r="2011" spans="1:52" s="29" customFormat="1" ht="15" customHeight="1">
      <c r="A2011" s="332" t="s">
        <v>533</v>
      </c>
      <c r="B2011" s="27">
        <v>2008</v>
      </c>
      <c r="C2011" s="27" t="s">
        <v>534</v>
      </c>
      <c r="D2011" s="27" t="s">
        <v>81</v>
      </c>
      <c r="E2011" s="27" t="s">
        <v>19</v>
      </c>
      <c r="F2011" s="27" t="s">
        <v>659</v>
      </c>
      <c r="G2011" s="43"/>
      <c r="H2011" s="43"/>
      <c r="I2011" s="43"/>
      <c r="J2011" s="43"/>
      <c r="K2011" s="27"/>
      <c r="L2011" s="28"/>
      <c r="M2011" s="27"/>
      <c r="N2011" s="27"/>
      <c r="O2011" s="18">
        <f>SUM(O2012:O2028)-SUM(O2021:O2024)</f>
        <v>134197936263.53198</v>
      </c>
      <c r="P2011" s="253">
        <v>470370875</v>
      </c>
      <c r="Q2011" s="253">
        <v>473725116</v>
      </c>
      <c r="R2011" s="27" t="s">
        <v>619</v>
      </c>
      <c r="S2011" s="27"/>
      <c r="T2011" s="18"/>
      <c r="U2011" s="27" t="s">
        <v>917</v>
      </c>
      <c r="V2011" s="27" t="s">
        <v>2205</v>
      </c>
      <c r="W2011" s="30">
        <v>3667</v>
      </c>
      <c r="X2011" s="27">
        <v>16</v>
      </c>
      <c r="Y2011" s="27" t="s">
        <v>2206</v>
      </c>
      <c r="Z2011" s="27">
        <v>14</v>
      </c>
      <c r="AA2011" s="27">
        <v>31</v>
      </c>
      <c r="AB2011" s="27" t="s">
        <v>2208</v>
      </c>
      <c r="AC2011" s="273">
        <v>470370875</v>
      </c>
      <c r="AD2011" s="27">
        <v>17911046608.557137</v>
      </c>
      <c r="AE2011" s="228">
        <v>2.6261495784131162E-2</v>
      </c>
      <c r="AF2011" s="27">
        <v>4448566646.1673365</v>
      </c>
      <c r="AG2011" s="226">
        <v>0.10573537779977921</v>
      </c>
      <c r="AH2011" s="226">
        <v>0.8341635610375745</v>
      </c>
      <c r="AI2011" s="27">
        <v>1116240000</v>
      </c>
      <c r="AJ2011" s="226">
        <v>0.42138865745717768</v>
      </c>
      <c r="AK2011" s="27">
        <v>641361457.04290962</v>
      </c>
      <c r="AL2011" s="226">
        <v>0.73339435950628118</v>
      </c>
      <c r="AM2011" s="27">
        <v>240968056.65288427</v>
      </c>
      <c r="AN2011" s="271">
        <v>1.9520050978274339</v>
      </c>
      <c r="AO2011" s="27">
        <v>12456527</v>
      </c>
      <c r="AP2011" s="27" t="s">
        <v>2842</v>
      </c>
      <c r="AQ2011" s="27">
        <v>51.62214634146342</v>
      </c>
      <c r="AR2011" s="27">
        <v>67.3</v>
      </c>
      <c r="AS2011" s="29">
        <v>96.953670000000002</v>
      </c>
      <c r="AT2011" s="270">
        <v>38</v>
      </c>
      <c r="AU2011" s="464">
        <v>60.803535044296524</v>
      </c>
      <c r="AV2011" s="29">
        <v>-0.18089655683316799</v>
      </c>
      <c r="AW2011" s="29">
        <v>0.46318787542491702</v>
      </c>
      <c r="AX2011" s="29">
        <v>-0.72927626481342001</v>
      </c>
      <c r="AY2011" s="29">
        <v>-0.45386416304737698</v>
      </c>
      <c r="AZ2011" s="60">
        <v>-0.47433898284147402</v>
      </c>
    </row>
    <row r="2012" spans="1:52" s="29" customFormat="1" ht="15" customHeight="1">
      <c r="A2012" s="59" t="s">
        <v>533</v>
      </c>
      <c r="B2012" s="27">
        <v>2008</v>
      </c>
      <c r="C2012" s="27" t="s">
        <v>534</v>
      </c>
      <c r="D2012" s="27" t="s">
        <v>81</v>
      </c>
      <c r="E2012" s="27" t="s">
        <v>19</v>
      </c>
      <c r="F2012" s="27" t="s">
        <v>573</v>
      </c>
      <c r="G2012" s="43">
        <v>220000</v>
      </c>
      <c r="H2012" s="43"/>
      <c r="I2012" s="43"/>
      <c r="J2012" s="43"/>
      <c r="K2012" s="27" t="s">
        <v>567</v>
      </c>
      <c r="L2012" s="28">
        <v>138.17277433644946</v>
      </c>
      <c r="M2012" s="27" t="s">
        <v>568</v>
      </c>
      <c r="N2012" s="27" t="s">
        <v>1022</v>
      </c>
      <c r="O2012" s="18">
        <f>G2012*L2012</f>
        <v>30398010.354018882</v>
      </c>
      <c r="P2012" s="214">
        <f>3113969528/W2011</f>
        <v>849187.21788928274</v>
      </c>
      <c r="Q2012" s="214">
        <f>199765140/W2011</f>
        <v>54476.449413689661</v>
      </c>
      <c r="R2012" s="27"/>
      <c r="S2012" s="27"/>
      <c r="T2012" s="18"/>
      <c r="U2012" s="27"/>
      <c r="V2012" s="27"/>
      <c r="W2012" s="30"/>
      <c r="X2012" s="27">
        <v>1</v>
      </c>
      <c r="Y2012" s="27" t="s">
        <v>2209</v>
      </c>
      <c r="Z2012" s="27">
        <v>1</v>
      </c>
      <c r="AA2012" s="27" t="s">
        <v>2210</v>
      </c>
      <c r="AB2012" s="27"/>
      <c r="AC2012" s="273">
        <v>470370875</v>
      </c>
      <c r="AD2012" s="27">
        <v>17911046608.557137</v>
      </c>
      <c r="AE2012" s="228">
        <v>2.6261495784131162E-2</v>
      </c>
      <c r="AF2012" s="27">
        <v>4448566646.1673365</v>
      </c>
      <c r="AG2012" s="226">
        <v>0.10573537779977921</v>
      </c>
      <c r="AH2012" s="226">
        <v>0.8341635610375745</v>
      </c>
      <c r="AI2012" s="27">
        <v>1116240000</v>
      </c>
      <c r="AJ2012" s="226">
        <v>0.42138865745717768</v>
      </c>
      <c r="AK2012" s="27">
        <v>641361457.04290962</v>
      </c>
      <c r="AL2012" s="226">
        <v>0.73339435950628118</v>
      </c>
      <c r="AM2012" s="27">
        <v>240968056.65288427</v>
      </c>
      <c r="AN2012" s="271">
        <v>1.9520050978274339</v>
      </c>
      <c r="AO2012" s="27">
        <v>12456527</v>
      </c>
      <c r="AP2012" s="27" t="s">
        <v>2842</v>
      </c>
      <c r="AQ2012" s="27">
        <v>51.62214634146342</v>
      </c>
      <c r="AR2012" s="27">
        <v>67.3</v>
      </c>
      <c r="AS2012" s="29">
        <v>96.953670000000002</v>
      </c>
      <c r="AT2012" s="270">
        <v>38</v>
      </c>
      <c r="AU2012" s="464">
        <v>60.803535044296524</v>
      </c>
      <c r="AV2012" s="29">
        <v>-0.18089655683316799</v>
      </c>
      <c r="AW2012" s="29">
        <v>0.46318787542491702</v>
      </c>
      <c r="AX2012" s="29">
        <v>-0.72927626481342001</v>
      </c>
      <c r="AY2012" s="29">
        <v>-0.45386416304737698</v>
      </c>
      <c r="AZ2012" s="60">
        <v>-0.47433898284147402</v>
      </c>
    </row>
    <row r="2013" spans="1:52" s="29" customFormat="1" ht="15" customHeight="1">
      <c r="A2013" s="59" t="s">
        <v>533</v>
      </c>
      <c r="B2013" s="27">
        <v>2008</v>
      </c>
      <c r="C2013" s="27" t="s">
        <v>534</v>
      </c>
      <c r="D2013" s="27" t="s">
        <v>81</v>
      </c>
      <c r="E2013" s="27" t="s">
        <v>19</v>
      </c>
      <c r="F2013" s="27" t="s">
        <v>977</v>
      </c>
      <c r="G2013" s="43"/>
      <c r="H2013" s="43"/>
      <c r="I2013" s="43"/>
      <c r="J2013" s="43"/>
      <c r="K2013" s="71"/>
      <c r="L2013" s="28">
        <f>(39.01/0.000453592)*0.7924</f>
        <v>68148.300675496925</v>
      </c>
      <c r="M2013" s="27" t="s">
        <v>568</v>
      </c>
      <c r="N2013" s="27" t="s">
        <v>2211</v>
      </c>
      <c r="O2013" s="18">
        <f>G2014*L2013</f>
        <v>477038104.72847849</v>
      </c>
      <c r="P2013" s="244"/>
      <c r="Q2013" s="244"/>
      <c r="R2013" s="27"/>
      <c r="S2013" s="27"/>
      <c r="T2013" s="18"/>
      <c r="U2013" s="27"/>
      <c r="V2013" s="27"/>
      <c r="W2013" s="30"/>
      <c r="X2013" s="27">
        <v>2</v>
      </c>
      <c r="Y2013" s="27" t="s">
        <v>2212</v>
      </c>
      <c r="Z2013" s="27">
        <v>2</v>
      </c>
      <c r="AA2013" s="27"/>
      <c r="AB2013" s="27"/>
      <c r="AC2013" s="273">
        <v>470370875</v>
      </c>
      <c r="AD2013" s="27">
        <v>17911046608.557137</v>
      </c>
      <c r="AE2013" s="228">
        <v>2.6261495784131162E-2</v>
      </c>
      <c r="AF2013" s="27">
        <v>4448566646.1673365</v>
      </c>
      <c r="AG2013" s="226">
        <v>0.10573537779977921</v>
      </c>
      <c r="AH2013" s="226">
        <v>0.8341635610375745</v>
      </c>
      <c r="AI2013" s="27">
        <v>1116240000</v>
      </c>
      <c r="AJ2013" s="226">
        <v>0.42138865745717768</v>
      </c>
      <c r="AK2013" s="27">
        <v>641361457.04290962</v>
      </c>
      <c r="AL2013" s="226">
        <v>0.73339435950628118</v>
      </c>
      <c r="AM2013" s="27">
        <v>240968056.65288427</v>
      </c>
      <c r="AN2013" s="271">
        <v>1.9520050978274339</v>
      </c>
      <c r="AO2013" s="27">
        <v>12456527</v>
      </c>
      <c r="AP2013" s="27" t="s">
        <v>2842</v>
      </c>
      <c r="AQ2013" s="27">
        <v>51.62214634146342</v>
      </c>
      <c r="AR2013" s="27">
        <v>67.3</v>
      </c>
      <c r="AS2013" s="29">
        <v>96.953670000000002</v>
      </c>
      <c r="AT2013" s="270">
        <v>38</v>
      </c>
      <c r="AU2013" s="464">
        <v>60.803535044296524</v>
      </c>
      <c r="AV2013" s="29">
        <v>-0.18089655683316799</v>
      </c>
      <c r="AW2013" s="29">
        <v>0.46318787542491702</v>
      </c>
      <c r="AX2013" s="29">
        <v>-0.72927626481342001</v>
      </c>
      <c r="AY2013" s="29">
        <v>-0.45386416304737698</v>
      </c>
      <c r="AZ2013" s="60">
        <v>-0.47433898284147402</v>
      </c>
    </row>
    <row r="2014" spans="1:52" s="29" customFormat="1" ht="15" customHeight="1">
      <c r="A2014" s="59" t="s">
        <v>533</v>
      </c>
      <c r="B2014" s="27">
        <v>2008</v>
      </c>
      <c r="C2014" s="27" t="s">
        <v>534</v>
      </c>
      <c r="D2014" s="27" t="s">
        <v>81</v>
      </c>
      <c r="E2014" s="27" t="s">
        <v>19</v>
      </c>
      <c r="F2014" s="27" t="s">
        <v>2213</v>
      </c>
      <c r="G2014" s="43">
        <v>7000</v>
      </c>
      <c r="H2014" s="43"/>
      <c r="I2014" s="43"/>
      <c r="J2014" s="43"/>
      <c r="K2014" s="71" t="s">
        <v>567</v>
      </c>
      <c r="L2014" s="28"/>
      <c r="M2014" s="71"/>
      <c r="N2014" s="27" t="s">
        <v>636</v>
      </c>
      <c r="O2014" s="18"/>
      <c r="P2014" s="244"/>
      <c r="Q2014" s="244"/>
      <c r="R2014" s="27"/>
      <c r="S2014" s="27"/>
      <c r="T2014" s="18"/>
      <c r="U2014" s="27"/>
      <c r="V2014" s="27"/>
      <c r="W2014" s="30"/>
      <c r="X2014" s="27"/>
      <c r="Y2014" s="27"/>
      <c r="Z2014" s="27"/>
      <c r="AA2014" s="27"/>
      <c r="AB2014" s="27"/>
      <c r="AC2014" s="273">
        <v>470370875</v>
      </c>
      <c r="AD2014" s="27">
        <v>17911046608.557137</v>
      </c>
      <c r="AE2014" s="228">
        <v>2.6261495784131162E-2</v>
      </c>
      <c r="AF2014" s="27">
        <v>4448566646.1673365</v>
      </c>
      <c r="AG2014" s="226">
        <v>0.10573537779977921</v>
      </c>
      <c r="AH2014" s="226">
        <v>0.8341635610375745</v>
      </c>
      <c r="AI2014" s="27">
        <v>1116240000</v>
      </c>
      <c r="AJ2014" s="226">
        <v>0.42138865745717768</v>
      </c>
      <c r="AK2014" s="27">
        <v>641361457.04290962</v>
      </c>
      <c r="AL2014" s="226">
        <v>0.73339435950628118</v>
      </c>
      <c r="AM2014" s="27">
        <v>240968056.65288427</v>
      </c>
      <c r="AN2014" s="271">
        <v>1.9520050978274339</v>
      </c>
      <c r="AO2014" s="27">
        <v>12456527</v>
      </c>
      <c r="AP2014" s="27" t="s">
        <v>2842</v>
      </c>
      <c r="AQ2014" s="27">
        <v>51.62214634146342</v>
      </c>
      <c r="AR2014" s="27">
        <v>67.3</v>
      </c>
      <c r="AS2014" s="29">
        <v>96.953670000000002</v>
      </c>
      <c r="AT2014" s="270">
        <v>38</v>
      </c>
      <c r="AU2014" s="464">
        <v>60.803535044296524</v>
      </c>
      <c r="AV2014" s="29">
        <v>-0.18089655683316799</v>
      </c>
      <c r="AW2014" s="29">
        <v>0.46318787542491702</v>
      </c>
      <c r="AX2014" s="29">
        <v>-0.72927626481342001</v>
      </c>
      <c r="AY2014" s="29">
        <v>-0.45386416304737698</v>
      </c>
      <c r="AZ2014" s="60">
        <v>-0.47433898284147402</v>
      </c>
    </row>
    <row r="2015" spans="1:52" s="29" customFormat="1" ht="15" customHeight="1">
      <c r="A2015" s="59" t="s">
        <v>533</v>
      </c>
      <c r="B2015" s="27">
        <v>2008</v>
      </c>
      <c r="C2015" s="27" t="s">
        <v>534</v>
      </c>
      <c r="D2015" s="27" t="s">
        <v>81</v>
      </c>
      <c r="E2015" s="27" t="s">
        <v>19</v>
      </c>
      <c r="F2015" s="27" t="s">
        <v>1238</v>
      </c>
      <c r="G2015" s="43">
        <v>4049</v>
      </c>
      <c r="H2015" s="43"/>
      <c r="I2015" s="43"/>
      <c r="J2015" s="43"/>
      <c r="K2015" s="71" t="s">
        <v>567</v>
      </c>
      <c r="L2015" s="28"/>
      <c r="M2015" s="71"/>
      <c r="N2015" s="27" t="s">
        <v>636</v>
      </c>
      <c r="O2015" s="18"/>
      <c r="P2015" s="244"/>
      <c r="Q2015" s="244"/>
      <c r="R2015" s="27"/>
      <c r="S2015" s="27"/>
      <c r="T2015" s="18"/>
      <c r="U2015" s="27"/>
      <c r="V2015" s="27"/>
      <c r="W2015" s="30"/>
      <c r="X2015" s="27"/>
      <c r="Y2015" s="27"/>
      <c r="Z2015" s="27"/>
      <c r="AA2015" s="27"/>
      <c r="AB2015" s="27"/>
      <c r="AC2015" s="273">
        <v>470370875</v>
      </c>
      <c r="AD2015" s="27">
        <v>17911046608.557137</v>
      </c>
      <c r="AE2015" s="228">
        <v>2.6261495784131162E-2</v>
      </c>
      <c r="AF2015" s="27">
        <v>4448566646.1673365</v>
      </c>
      <c r="AG2015" s="226">
        <v>0.10573537779977921</v>
      </c>
      <c r="AH2015" s="226">
        <v>0.8341635610375745</v>
      </c>
      <c r="AI2015" s="27">
        <v>1116240000</v>
      </c>
      <c r="AJ2015" s="226">
        <v>0.42138865745717768</v>
      </c>
      <c r="AK2015" s="27">
        <v>641361457.04290962</v>
      </c>
      <c r="AL2015" s="226">
        <v>0.73339435950628118</v>
      </c>
      <c r="AM2015" s="27">
        <v>240968056.65288427</v>
      </c>
      <c r="AN2015" s="271">
        <v>1.9520050978274339</v>
      </c>
      <c r="AO2015" s="27">
        <v>12456527</v>
      </c>
      <c r="AP2015" s="27" t="s">
        <v>2842</v>
      </c>
      <c r="AQ2015" s="27">
        <v>51.62214634146342</v>
      </c>
      <c r="AR2015" s="27">
        <v>67.3</v>
      </c>
      <c r="AS2015" s="29">
        <v>96.953670000000002</v>
      </c>
      <c r="AT2015" s="270">
        <v>38</v>
      </c>
      <c r="AU2015" s="464">
        <v>60.803535044296524</v>
      </c>
      <c r="AV2015" s="29">
        <v>-0.18089655683316799</v>
      </c>
      <c r="AW2015" s="29">
        <v>0.46318787542491702</v>
      </c>
      <c r="AX2015" s="29">
        <v>-0.72927626481342001</v>
      </c>
      <c r="AY2015" s="29">
        <v>-0.45386416304737698</v>
      </c>
      <c r="AZ2015" s="60">
        <v>-0.47433898284147402</v>
      </c>
    </row>
    <row r="2016" spans="1:52" s="29" customFormat="1" ht="15" customHeight="1">
      <c r="A2016" s="59" t="s">
        <v>533</v>
      </c>
      <c r="B2016" s="27">
        <v>2008</v>
      </c>
      <c r="C2016" s="27" t="s">
        <v>534</v>
      </c>
      <c r="D2016" s="27" t="s">
        <v>81</v>
      </c>
      <c r="E2016" s="27" t="s">
        <v>19</v>
      </c>
      <c r="F2016" s="27" t="s">
        <v>576</v>
      </c>
      <c r="G2016" s="43"/>
      <c r="H2016" s="43"/>
      <c r="I2016" s="43"/>
      <c r="J2016" s="43"/>
      <c r="K2016" s="71"/>
      <c r="L2016" s="44">
        <v>6955.8798333333298</v>
      </c>
      <c r="M2016" s="27" t="s">
        <v>568</v>
      </c>
      <c r="N2016" s="27" t="s">
        <v>633</v>
      </c>
      <c r="O2016" s="18">
        <f>SUM(G2018:G2019)*L2016</f>
        <v>4500454252.1666641</v>
      </c>
      <c r="P2016" s="244"/>
      <c r="Q2016" s="244"/>
      <c r="R2016" s="27"/>
      <c r="S2016" s="27"/>
      <c r="T2016" s="18"/>
      <c r="U2016" s="27"/>
      <c r="V2016" s="27"/>
      <c r="W2016" s="30"/>
      <c r="X2016" s="27">
        <v>9</v>
      </c>
      <c r="Y2016" s="27" t="s">
        <v>2214</v>
      </c>
      <c r="Z2016" s="27">
        <v>8</v>
      </c>
      <c r="AA2016" s="27"/>
      <c r="AB2016" s="27"/>
      <c r="AC2016" s="273">
        <v>470370875</v>
      </c>
      <c r="AD2016" s="27">
        <v>17911046608.557137</v>
      </c>
      <c r="AE2016" s="228">
        <v>2.6261495784131162E-2</v>
      </c>
      <c r="AF2016" s="27">
        <v>4448566646.1673365</v>
      </c>
      <c r="AG2016" s="226">
        <v>0.10573537779977921</v>
      </c>
      <c r="AH2016" s="226">
        <v>0.8341635610375745</v>
      </c>
      <c r="AI2016" s="27">
        <v>1116240000</v>
      </c>
      <c r="AJ2016" s="226">
        <v>0.42138865745717768</v>
      </c>
      <c r="AK2016" s="27">
        <v>641361457.04290962</v>
      </c>
      <c r="AL2016" s="226">
        <v>0.73339435950628118</v>
      </c>
      <c r="AM2016" s="27">
        <v>240968056.65288427</v>
      </c>
      <c r="AN2016" s="271">
        <v>1.9520050978274339</v>
      </c>
      <c r="AO2016" s="27">
        <v>12456527</v>
      </c>
      <c r="AP2016" s="27" t="s">
        <v>2842</v>
      </c>
      <c r="AQ2016" s="27">
        <v>51.62214634146342</v>
      </c>
      <c r="AR2016" s="27">
        <v>67.3</v>
      </c>
      <c r="AS2016" s="29">
        <v>96.953670000000002</v>
      </c>
      <c r="AT2016" s="270">
        <v>38</v>
      </c>
      <c r="AU2016" s="464">
        <v>60.803535044296524</v>
      </c>
      <c r="AV2016" s="29">
        <v>-0.18089655683316799</v>
      </c>
      <c r="AW2016" s="29">
        <v>0.46318787542491702</v>
      </c>
      <c r="AX2016" s="29">
        <v>-0.72927626481342001</v>
      </c>
      <c r="AY2016" s="29">
        <v>-0.45386416304737698</v>
      </c>
      <c r="AZ2016" s="60">
        <v>-0.47433898284147402</v>
      </c>
    </row>
    <row r="2017" spans="1:52" s="29" customFormat="1" ht="15" customHeight="1">
      <c r="A2017" s="59" t="s">
        <v>533</v>
      </c>
      <c r="B2017" s="27">
        <v>2008</v>
      </c>
      <c r="C2017" s="27" t="s">
        <v>534</v>
      </c>
      <c r="D2017" s="27" t="s">
        <v>81</v>
      </c>
      <c r="E2017" s="27" t="s">
        <v>19</v>
      </c>
      <c r="F2017" s="27" t="s">
        <v>1226</v>
      </c>
      <c r="G2017" s="43">
        <v>534000</v>
      </c>
      <c r="H2017" s="43"/>
      <c r="I2017" s="43"/>
      <c r="J2017" s="43"/>
      <c r="K2017" s="71" t="s">
        <v>567</v>
      </c>
      <c r="L2017" s="28"/>
      <c r="M2017" s="71"/>
      <c r="N2017" s="27" t="s">
        <v>636</v>
      </c>
      <c r="O2017" s="18"/>
      <c r="P2017" s="244"/>
      <c r="Q2017" s="244"/>
      <c r="R2017" s="27"/>
      <c r="S2017" s="27"/>
      <c r="T2017" s="18"/>
      <c r="U2017" s="27"/>
      <c r="V2017" s="27"/>
      <c r="W2017" s="30"/>
      <c r="X2017" s="27"/>
      <c r="Y2017" s="27"/>
      <c r="Z2017" s="27"/>
      <c r="AA2017" s="27"/>
      <c r="AB2017" s="27"/>
      <c r="AC2017" s="273">
        <v>470370875</v>
      </c>
      <c r="AD2017" s="27">
        <v>17911046608.557137</v>
      </c>
      <c r="AE2017" s="228">
        <v>2.6261495784131162E-2</v>
      </c>
      <c r="AF2017" s="27">
        <v>4448566646.1673365</v>
      </c>
      <c r="AG2017" s="226">
        <v>0.10573537779977921</v>
      </c>
      <c r="AH2017" s="226">
        <v>0.8341635610375745</v>
      </c>
      <c r="AI2017" s="27">
        <v>1116240000</v>
      </c>
      <c r="AJ2017" s="226">
        <v>0.42138865745717768</v>
      </c>
      <c r="AK2017" s="27">
        <v>641361457.04290962</v>
      </c>
      <c r="AL2017" s="226">
        <v>0.73339435950628118</v>
      </c>
      <c r="AM2017" s="27">
        <v>240968056.65288427</v>
      </c>
      <c r="AN2017" s="271">
        <v>1.9520050978274339</v>
      </c>
      <c r="AO2017" s="27">
        <v>12456527</v>
      </c>
      <c r="AP2017" s="27" t="s">
        <v>2842</v>
      </c>
      <c r="AQ2017" s="27">
        <v>51.62214634146342</v>
      </c>
      <c r="AR2017" s="27">
        <v>67.3</v>
      </c>
      <c r="AS2017" s="29">
        <v>96.953670000000002</v>
      </c>
      <c r="AT2017" s="270">
        <v>38</v>
      </c>
      <c r="AU2017" s="464">
        <v>60.803535044296524</v>
      </c>
      <c r="AV2017" s="29">
        <v>-0.18089655683316799</v>
      </c>
      <c r="AW2017" s="29">
        <v>0.46318787542491702</v>
      </c>
      <c r="AX2017" s="29">
        <v>-0.72927626481342001</v>
      </c>
      <c r="AY2017" s="29">
        <v>-0.45386416304737698</v>
      </c>
      <c r="AZ2017" s="60">
        <v>-0.47433898284147402</v>
      </c>
    </row>
    <row r="2018" spans="1:52" s="29" customFormat="1" ht="15" customHeight="1">
      <c r="A2018" s="59" t="s">
        <v>533</v>
      </c>
      <c r="B2018" s="27">
        <v>2008</v>
      </c>
      <c r="C2018" s="27" t="s">
        <v>534</v>
      </c>
      <c r="D2018" s="27" t="s">
        <v>81</v>
      </c>
      <c r="E2018" s="27" t="s">
        <v>19</v>
      </c>
      <c r="F2018" s="27" t="s">
        <v>1227</v>
      </c>
      <c r="G2018" s="43">
        <v>232000</v>
      </c>
      <c r="H2018" s="43"/>
      <c r="I2018" s="43"/>
      <c r="J2018" s="43"/>
      <c r="K2018" s="71" t="s">
        <v>567</v>
      </c>
      <c r="L2018" s="28"/>
      <c r="M2018" s="71"/>
      <c r="N2018" s="27" t="s">
        <v>636</v>
      </c>
      <c r="O2018" s="18"/>
      <c r="P2018" s="244"/>
      <c r="Q2018" s="244"/>
      <c r="R2018" s="27"/>
      <c r="S2018" s="27"/>
      <c r="T2018" s="18"/>
      <c r="U2018" s="27"/>
      <c r="V2018" s="27"/>
      <c r="W2018" s="30"/>
      <c r="X2018" s="27"/>
      <c r="Y2018" s="27"/>
      <c r="Z2018" s="27"/>
      <c r="AA2018" s="27"/>
      <c r="AB2018" s="27"/>
      <c r="AC2018" s="273">
        <v>470370875</v>
      </c>
      <c r="AD2018" s="27">
        <v>17911046608.557137</v>
      </c>
      <c r="AE2018" s="228">
        <v>2.6261495784131162E-2</v>
      </c>
      <c r="AF2018" s="27">
        <v>4448566646.1673365</v>
      </c>
      <c r="AG2018" s="226">
        <v>0.10573537779977921</v>
      </c>
      <c r="AH2018" s="226">
        <v>0.8341635610375745</v>
      </c>
      <c r="AI2018" s="27">
        <v>1116240000</v>
      </c>
      <c r="AJ2018" s="226">
        <v>0.42138865745717768</v>
      </c>
      <c r="AK2018" s="27">
        <v>641361457.04290962</v>
      </c>
      <c r="AL2018" s="226">
        <v>0.73339435950628118</v>
      </c>
      <c r="AM2018" s="27">
        <v>240968056.65288427</v>
      </c>
      <c r="AN2018" s="271">
        <v>1.9520050978274339</v>
      </c>
      <c r="AO2018" s="27">
        <v>12456527</v>
      </c>
      <c r="AP2018" s="27" t="s">
        <v>2842</v>
      </c>
      <c r="AQ2018" s="27">
        <v>51.62214634146342</v>
      </c>
      <c r="AR2018" s="27">
        <v>67.3</v>
      </c>
      <c r="AS2018" s="29">
        <v>96.953670000000002</v>
      </c>
      <c r="AT2018" s="270">
        <v>38</v>
      </c>
      <c r="AU2018" s="464">
        <v>60.803535044296524</v>
      </c>
      <c r="AV2018" s="29">
        <v>-0.18089655683316799</v>
      </c>
      <c r="AW2018" s="29">
        <v>0.46318787542491702</v>
      </c>
      <c r="AX2018" s="29">
        <v>-0.72927626481342001</v>
      </c>
      <c r="AY2018" s="29">
        <v>-0.45386416304737698</v>
      </c>
      <c r="AZ2018" s="60">
        <v>-0.47433898284147402</v>
      </c>
    </row>
    <row r="2019" spans="1:52" s="29" customFormat="1" ht="15" customHeight="1">
      <c r="A2019" s="59" t="s">
        <v>533</v>
      </c>
      <c r="B2019" s="27">
        <v>2008</v>
      </c>
      <c r="C2019" s="27" t="s">
        <v>534</v>
      </c>
      <c r="D2019" s="27" t="s">
        <v>81</v>
      </c>
      <c r="E2019" s="27" t="s">
        <v>19</v>
      </c>
      <c r="F2019" s="27" t="s">
        <v>1228</v>
      </c>
      <c r="G2019" s="43">
        <v>415000</v>
      </c>
      <c r="H2019" s="43"/>
      <c r="I2019" s="43"/>
      <c r="J2019" s="43"/>
      <c r="K2019" s="71" t="s">
        <v>567</v>
      </c>
      <c r="L2019" s="28"/>
      <c r="M2019" s="71"/>
      <c r="N2019" s="27" t="s">
        <v>636</v>
      </c>
      <c r="O2019" s="18"/>
      <c r="P2019" s="244"/>
      <c r="Q2019" s="244"/>
      <c r="R2019" s="27"/>
      <c r="S2019" s="27"/>
      <c r="T2019" s="18"/>
      <c r="U2019" s="27"/>
      <c r="V2019" s="27"/>
      <c r="W2019" s="30"/>
      <c r="X2019" s="27"/>
      <c r="Y2019" s="27"/>
      <c r="Z2019" s="27"/>
      <c r="AA2019" s="27"/>
      <c r="AB2019" s="27"/>
      <c r="AC2019" s="273">
        <v>470370875</v>
      </c>
      <c r="AD2019" s="27">
        <v>17911046608.557137</v>
      </c>
      <c r="AE2019" s="228">
        <v>2.6261495784131162E-2</v>
      </c>
      <c r="AF2019" s="27">
        <v>4448566646.1673365</v>
      </c>
      <c r="AG2019" s="226">
        <v>0.10573537779977921</v>
      </c>
      <c r="AH2019" s="226">
        <v>0.8341635610375745</v>
      </c>
      <c r="AI2019" s="27">
        <v>1116240000</v>
      </c>
      <c r="AJ2019" s="226">
        <v>0.42138865745717768</v>
      </c>
      <c r="AK2019" s="27">
        <v>641361457.04290962</v>
      </c>
      <c r="AL2019" s="226">
        <v>0.73339435950628118</v>
      </c>
      <c r="AM2019" s="27">
        <v>240968056.65288427</v>
      </c>
      <c r="AN2019" s="271">
        <v>1.9520050978274339</v>
      </c>
      <c r="AO2019" s="27">
        <v>12456527</v>
      </c>
      <c r="AP2019" s="27" t="s">
        <v>2842</v>
      </c>
      <c r="AQ2019" s="27">
        <v>51.62214634146342</v>
      </c>
      <c r="AR2019" s="27">
        <v>67.3</v>
      </c>
      <c r="AS2019" s="29">
        <v>96.953670000000002</v>
      </c>
      <c r="AT2019" s="270">
        <v>38</v>
      </c>
      <c r="AU2019" s="464">
        <v>60.803535044296524</v>
      </c>
      <c r="AV2019" s="29">
        <v>-0.18089655683316799</v>
      </c>
      <c r="AW2019" s="29">
        <v>0.46318787542491702</v>
      </c>
      <c r="AX2019" s="29">
        <v>-0.72927626481342001</v>
      </c>
      <c r="AY2019" s="29">
        <v>-0.45386416304737698</v>
      </c>
      <c r="AZ2019" s="60">
        <v>-0.47433898284147402</v>
      </c>
    </row>
    <row r="2020" spans="1:52" s="29" customFormat="1" ht="15" customHeight="1">
      <c r="A2020" s="59" t="s">
        <v>533</v>
      </c>
      <c r="B2020" s="27">
        <v>2008</v>
      </c>
      <c r="C2020" s="27" t="s">
        <v>534</v>
      </c>
      <c r="D2020" s="27" t="s">
        <v>81</v>
      </c>
      <c r="E2020" s="27" t="s">
        <v>19</v>
      </c>
      <c r="F2020" s="27" t="s">
        <v>2215</v>
      </c>
      <c r="G2020" s="43"/>
      <c r="H2020" s="43"/>
      <c r="I2020" s="43"/>
      <c r="J2020" s="43"/>
      <c r="K2020" s="18"/>
      <c r="L2020" s="28"/>
      <c r="M2020" s="18"/>
      <c r="N2020" s="27"/>
      <c r="O2020" s="18">
        <f>SUM(O2021:O2024)</f>
        <v>129106250000</v>
      </c>
      <c r="P2020" s="214">
        <v>441075.23834196891</v>
      </c>
      <c r="Q2020" s="214">
        <v>638865.33242432505</v>
      </c>
      <c r="R2020" s="27"/>
      <c r="S2020" s="27"/>
      <c r="T2020" s="18"/>
      <c r="U2020" s="27"/>
      <c r="V2020" s="27"/>
      <c r="W2020" s="30"/>
      <c r="X2020" s="27">
        <v>2</v>
      </c>
      <c r="Y2020" s="27" t="s">
        <v>2216</v>
      </c>
      <c r="Z2020" s="27">
        <v>1</v>
      </c>
      <c r="AA2020" s="27" t="s">
        <v>2210</v>
      </c>
      <c r="AB2020" s="27"/>
      <c r="AC2020" s="273">
        <v>470370875</v>
      </c>
      <c r="AD2020" s="27">
        <v>17911046608.557137</v>
      </c>
      <c r="AE2020" s="228">
        <v>2.6261495784131162E-2</v>
      </c>
      <c r="AF2020" s="27">
        <v>4448566646.1673365</v>
      </c>
      <c r="AG2020" s="226">
        <v>0.10573537779977921</v>
      </c>
      <c r="AH2020" s="226">
        <v>0.8341635610375745</v>
      </c>
      <c r="AI2020" s="27">
        <v>1116240000</v>
      </c>
      <c r="AJ2020" s="226">
        <v>0.42138865745717768</v>
      </c>
      <c r="AK2020" s="27">
        <v>641361457.04290962</v>
      </c>
      <c r="AL2020" s="226">
        <v>0.73339435950628118</v>
      </c>
      <c r="AM2020" s="27">
        <v>240968056.65288427</v>
      </c>
      <c r="AN2020" s="271">
        <v>1.9520050978274339</v>
      </c>
      <c r="AO2020" s="27">
        <v>12456527</v>
      </c>
      <c r="AP2020" s="27" t="s">
        <v>2842</v>
      </c>
      <c r="AQ2020" s="27">
        <v>51.62214634146342</v>
      </c>
      <c r="AR2020" s="27">
        <v>67.3</v>
      </c>
      <c r="AS2020" s="29">
        <v>96.953670000000002</v>
      </c>
      <c r="AT2020" s="270">
        <v>38</v>
      </c>
      <c r="AU2020" s="464">
        <v>60.803535044296524</v>
      </c>
      <c r="AV2020" s="29">
        <v>-0.18089655683316799</v>
      </c>
      <c r="AW2020" s="29">
        <v>0.46318787542491702</v>
      </c>
      <c r="AX2020" s="29">
        <v>-0.72927626481342001</v>
      </c>
      <c r="AY2020" s="29">
        <v>-0.45386416304737698</v>
      </c>
      <c r="AZ2020" s="60">
        <v>-0.47433898284147402</v>
      </c>
    </row>
    <row r="2021" spans="1:52" s="29" customFormat="1" ht="15" customHeight="1">
      <c r="A2021" s="59" t="s">
        <v>533</v>
      </c>
      <c r="B2021" s="27">
        <v>2008</v>
      </c>
      <c r="C2021" s="27" t="s">
        <v>534</v>
      </c>
      <c r="D2021" s="27" t="s">
        <v>81</v>
      </c>
      <c r="E2021" s="27" t="s">
        <v>19</v>
      </c>
      <c r="F2021" s="27" t="s">
        <v>2217</v>
      </c>
      <c r="G2021" s="43">
        <v>900000</v>
      </c>
      <c r="H2021" s="43"/>
      <c r="I2021" s="43"/>
      <c r="J2021" s="43"/>
      <c r="K2021" s="18" t="s">
        <v>894</v>
      </c>
      <c r="L2021" s="28">
        <f>16/0.0002</f>
        <v>80000</v>
      </c>
      <c r="M2021" s="27" t="s">
        <v>1743</v>
      </c>
      <c r="N2021" s="68" t="s">
        <v>2218</v>
      </c>
      <c r="O2021" s="18">
        <f>G2021*L2021</f>
        <v>72000000000</v>
      </c>
      <c r="P2021" s="214"/>
      <c r="Q2021" s="214"/>
      <c r="R2021" s="27"/>
      <c r="S2021" s="27"/>
      <c r="T2021" s="18"/>
      <c r="U2021" s="27"/>
      <c r="V2021" s="27"/>
      <c r="W2021" s="30"/>
      <c r="X2021" s="27"/>
      <c r="Y2021" s="27"/>
      <c r="Z2021" s="27"/>
      <c r="AA2021" s="27"/>
      <c r="AB2021" s="27"/>
      <c r="AC2021" s="273">
        <v>470370875</v>
      </c>
      <c r="AD2021" s="27">
        <v>17911046608.557137</v>
      </c>
      <c r="AE2021" s="228">
        <v>2.6261495784131162E-2</v>
      </c>
      <c r="AF2021" s="27">
        <v>4448566646.1673365</v>
      </c>
      <c r="AG2021" s="226">
        <v>0.10573537779977921</v>
      </c>
      <c r="AH2021" s="226">
        <v>0.8341635610375745</v>
      </c>
      <c r="AI2021" s="27">
        <v>1116240000</v>
      </c>
      <c r="AJ2021" s="226">
        <v>0.42138865745717768</v>
      </c>
      <c r="AK2021" s="27">
        <v>641361457.04290962</v>
      </c>
      <c r="AL2021" s="226">
        <v>0.73339435950628118</v>
      </c>
      <c r="AM2021" s="27">
        <v>240968056.65288427</v>
      </c>
      <c r="AN2021" s="271">
        <v>1.9520050978274339</v>
      </c>
      <c r="AO2021" s="27">
        <v>12456527</v>
      </c>
      <c r="AP2021" s="27" t="s">
        <v>2842</v>
      </c>
      <c r="AQ2021" s="27">
        <v>51.62214634146342</v>
      </c>
      <c r="AR2021" s="27">
        <v>67.3</v>
      </c>
      <c r="AS2021" s="29">
        <v>96.953670000000002</v>
      </c>
      <c r="AT2021" s="270">
        <v>38</v>
      </c>
      <c r="AU2021" s="464">
        <v>60.803535044296524</v>
      </c>
      <c r="AV2021" s="29">
        <v>-0.18089655683316799</v>
      </c>
      <c r="AW2021" s="29">
        <v>0.46318787542491702</v>
      </c>
      <c r="AX2021" s="29">
        <v>-0.72927626481342001</v>
      </c>
      <c r="AY2021" s="29">
        <v>-0.45386416304737698</v>
      </c>
      <c r="AZ2021" s="60">
        <v>-0.47433898284147402</v>
      </c>
    </row>
    <row r="2022" spans="1:52" s="29" customFormat="1" ht="15" customHeight="1">
      <c r="A2022" s="59" t="s">
        <v>533</v>
      </c>
      <c r="B2022" s="27">
        <v>2008</v>
      </c>
      <c r="C2022" s="27" t="s">
        <v>534</v>
      </c>
      <c r="D2022" s="27" t="s">
        <v>81</v>
      </c>
      <c r="E2022" s="27" t="s">
        <v>19</v>
      </c>
      <c r="F2022" s="27" t="s">
        <v>2219</v>
      </c>
      <c r="G2022" s="43">
        <v>12000000</v>
      </c>
      <c r="H2022" s="43"/>
      <c r="I2022" s="43"/>
      <c r="J2022" s="43"/>
      <c r="K2022" s="18" t="s">
        <v>905</v>
      </c>
      <c r="L2022" s="28"/>
      <c r="M2022" s="18"/>
      <c r="N2022" s="27" t="s">
        <v>636</v>
      </c>
      <c r="O2022" s="18"/>
      <c r="P2022" s="214"/>
      <c r="Q2022" s="214"/>
      <c r="R2022" s="27"/>
      <c r="S2022" s="27"/>
      <c r="T2022" s="18"/>
      <c r="U2022" s="27"/>
      <c r="V2022" s="27"/>
      <c r="W2022" s="30"/>
      <c r="X2022" s="27"/>
      <c r="Y2022" s="27"/>
      <c r="Z2022" s="27"/>
      <c r="AA2022" s="27"/>
      <c r="AB2022" s="27"/>
      <c r="AC2022" s="273">
        <v>470370875</v>
      </c>
      <c r="AD2022" s="27">
        <v>17911046608.557137</v>
      </c>
      <c r="AE2022" s="228">
        <v>2.6261495784131162E-2</v>
      </c>
      <c r="AF2022" s="27">
        <v>4448566646.1673365</v>
      </c>
      <c r="AG2022" s="226">
        <v>0.10573537779977921</v>
      </c>
      <c r="AH2022" s="226">
        <v>0.8341635610375745</v>
      </c>
      <c r="AI2022" s="27">
        <v>1116240000</v>
      </c>
      <c r="AJ2022" s="226">
        <v>0.42138865745717768</v>
      </c>
      <c r="AK2022" s="27">
        <v>641361457.04290962</v>
      </c>
      <c r="AL2022" s="226">
        <v>0.73339435950628118</v>
      </c>
      <c r="AM2022" s="27">
        <v>240968056.65288427</v>
      </c>
      <c r="AN2022" s="271">
        <v>1.9520050978274339</v>
      </c>
      <c r="AO2022" s="27">
        <v>12456527</v>
      </c>
      <c r="AP2022" s="27" t="s">
        <v>2842</v>
      </c>
      <c r="AQ2022" s="27">
        <v>51.62214634146342</v>
      </c>
      <c r="AR2022" s="27">
        <v>67.3</v>
      </c>
      <c r="AS2022" s="29">
        <v>96.953670000000002</v>
      </c>
      <c r="AT2022" s="270">
        <v>38</v>
      </c>
      <c r="AU2022" s="464">
        <v>60.803535044296524</v>
      </c>
      <c r="AV2022" s="29">
        <v>-0.18089655683316799</v>
      </c>
      <c r="AW2022" s="29">
        <v>0.46318787542491702</v>
      </c>
      <c r="AX2022" s="29">
        <v>-0.72927626481342001</v>
      </c>
      <c r="AY2022" s="29">
        <v>-0.45386416304737698</v>
      </c>
      <c r="AZ2022" s="60">
        <v>-0.47433898284147402</v>
      </c>
    </row>
    <row r="2023" spans="1:52" s="29" customFormat="1" ht="15" customHeight="1">
      <c r="A2023" s="59" t="s">
        <v>533</v>
      </c>
      <c r="B2023" s="27">
        <v>2008</v>
      </c>
      <c r="C2023" s="27" t="s">
        <v>534</v>
      </c>
      <c r="D2023" s="27" t="s">
        <v>81</v>
      </c>
      <c r="E2023" s="27" t="s">
        <v>19</v>
      </c>
      <c r="F2023" s="27" t="s">
        <v>2220</v>
      </c>
      <c r="G2023" s="43">
        <v>16000000</v>
      </c>
      <c r="H2023" s="43"/>
      <c r="I2023" s="43"/>
      <c r="J2023" s="43"/>
      <c r="K2023" s="18" t="s">
        <v>905</v>
      </c>
      <c r="L2023" s="28">
        <v>3200</v>
      </c>
      <c r="M2023" s="27" t="s">
        <v>906</v>
      </c>
      <c r="N2023" s="68" t="s">
        <v>2221</v>
      </c>
      <c r="O2023" s="18">
        <f t="shared" ref="O2023:O2028" si="36">G2023*L2023</f>
        <v>51200000000</v>
      </c>
      <c r="P2023" s="214"/>
      <c r="Q2023" s="214"/>
      <c r="R2023" s="27"/>
      <c r="S2023" s="27"/>
      <c r="T2023" s="18"/>
      <c r="U2023" s="27"/>
      <c r="V2023" s="27"/>
      <c r="W2023" s="30"/>
      <c r="X2023" s="27"/>
      <c r="Y2023" s="27"/>
      <c r="Z2023" s="27"/>
      <c r="AA2023" s="27"/>
      <c r="AB2023" s="27"/>
      <c r="AC2023" s="273">
        <v>470370875</v>
      </c>
      <c r="AD2023" s="27">
        <v>17911046608.557137</v>
      </c>
      <c r="AE2023" s="228">
        <v>2.6261495784131162E-2</v>
      </c>
      <c r="AF2023" s="27">
        <v>4448566646.1673365</v>
      </c>
      <c r="AG2023" s="226">
        <v>0.10573537779977921</v>
      </c>
      <c r="AH2023" s="226">
        <v>0.8341635610375745</v>
      </c>
      <c r="AI2023" s="27">
        <v>1116240000</v>
      </c>
      <c r="AJ2023" s="226">
        <v>0.42138865745717768</v>
      </c>
      <c r="AK2023" s="27">
        <v>641361457.04290962</v>
      </c>
      <c r="AL2023" s="226">
        <v>0.73339435950628118</v>
      </c>
      <c r="AM2023" s="27">
        <v>240968056.65288427</v>
      </c>
      <c r="AN2023" s="271">
        <v>1.9520050978274339</v>
      </c>
      <c r="AO2023" s="27">
        <v>12456527</v>
      </c>
      <c r="AP2023" s="27" t="s">
        <v>2842</v>
      </c>
      <c r="AQ2023" s="27">
        <v>51.62214634146342</v>
      </c>
      <c r="AR2023" s="27">
        <v>67.3</v>
      </c>
      <c r="AS2023" s="29">
        <v>96.953670000000002</v>
      </c>
      <c r="AT2023" s="270">
        <v>38</v>
      </c>
      <c r="AU2023" s="464">
        <v>60.803535044296524</v>
      </c>
      <c r="AV2023" s="29">
        <v>-0.18089655683316799</v>
      </c>
      <c r="AW2023" s="29">
        <v>0.46318787542491702</v>
      </c>
      <c r="AX2023" s="29">
        <v>-0.72927626481342001</v>
      </c>
      <c r="AY2023" s="29">
        <v>-0.45386416304737698</v>
      </c>
      <c r="AZ2023" s="60">
        <v>-0.47433898284147402</v>
      </c>
    </row>
    <row r="2024" spans="1:52" s="29" customFormat="1" ht="15" customHeight="1">
      <c r="A2024" s="59" t="s">
        <v>533</v>
      </c>
      <c r="B2024" s="27">
        <v>2008</v>
      </c>
      <c r="C2024" s="27" t="s">
        <v>534</v>
      </c>
      <c r="D2024" s="27" t="s">
        <v>81</v>
      </c>
      <c r="E2024" s="27" t="s">
        <v>19</v>
      </c>
      <c r="F2024" s="27" t="s">
        <v>2222</v>
      </c>
      <c r="G2024" s="43">
        <v>15000</v>
      </c>
      <c r="H2024" s="43"/>
      <c r="I2024" s="43"/>
      <c r="J2024" s="43"/>
      <c r="K2024" s="18" t="s">
        <v>894</v>
      </c>
      <c r="L2024" s="28">
        <f>78.75/0.0002</f>
        <v>393750</v>
      </c>
      <c r="M2024" s="27" t="s">
        <v>1743</v>
      </c>
      <c r="N2024" s="68" t="s">
        <v>2223</v>
      </c>
      <c r="O2024" s="18">
        <f t="shared" si="36"/>
        <v>5906250000</v>
      </c>
      <c r="P2024" s="214"/>
      <c r="Q2024" s="214"/>
      <c r="R2024" s="27"/>
      <c r="S2024" s="27"/>
      <c r="T2024" s="18"/>
      <c r="U2024" s="27"/>
      <c r="V2024" s="27"/>
      <c r="W2024" s="30"/>
      <c r="X2024" s="27"/>
      <c r="Y2024" s="27"/>
      <c r="Z2024" s="27"/>
      <c r="AA2024" s="27"/>
      <c r="AB2024" s="27"/>
      <c r="AC2024" s="273">
        <v>470370875</v>
      </c>
      <c r="AD2024" s="27">
        <v>17911046608.557137</v>
      </c>
      <c r="AE2024" s="228">
        <v>2.6261495784131162E-2</v>
      </c>
      <c r="AF2024" s="27">
        <v>4448566646.1673365</v>
      </c>
      <c r="AG2024" s="226">
        <v>0.10573537779977921</v>
      </c>
      <c r="AH2024" s="226">
        <v>0.8341635610375745</v>
      </c>
      <c r="AI2024" s="27">
        <v>1116240000</v>
      </c>
      <c r="AJ2024" s="226">
        <v>0.42138865745717768</v>
      </c>
      <c r="AK2024" s="27">
        <v>641361457.04290962</v>
      </c>
      <c r="AL2024" s="226">
        <v>0.73339435950628118</v>
      </c>
      <c r="AM2024" s="27">
        <v>240968056.65288427</v>
      </c>
      <c r="AN2024" s="271">
        <v>1.9520050978274339</v>
      </c>
      <c r="AO2024" s="27">
        <v>12456527</v>
      </c>
      <c r="AP2024" s="27" t="s">
        <v>2842</v>
      </c>
      <c r="AQ2024" s="27">
        <v>51.62214634146342</v>
      </c>
      <c r="AR2024" s="27">
        <v>67.3</v>
      </c>
      <c r="AS2024" s="29">
        <v>96.953670000000002</v>
      </c>
      <c r="AT2024" s="270">
        <v>38</v>
      </c>
      <c r="AU2024" s="464">
        <v>60.803535044296524</v>
      </c>
      <c r="AV2024" s="29">
        <v>-0.18089655683316799</v>
      </c>
      <c r="AW2024" s="29">
        <v>0.46318787542491702</v>
      </c>
      <c r="AX2024" s="29">
        <v>-0.72927626481342001</v>
      </c>
      <c r="AY2024" s="29">
        <v>-0.45386416304737698</v>
      </c>
      <c r="AZ2024" s="60">
        <v>-0.47433898284147402</v>
      </c>
    </row>
    <row r="2025" spans="1:52" s="29" customFormat="1" ht="15" customHeight="1">
      <c r="A2025" s="59" t="s">
        <v>533</v>
      </c>
      <c r="B2025" s="27">
        <v>2008</v>
      </c>
      <c r="C2025" s="27" t="s">
        <v>534</v>
      </c>
      <c r="D2025" s="27" t="s">
        <v>81</v>
      </c>
      <c r="E2025" s="27" t="s">
        <v>19</v>
      </c>
      <c r="F2025" s="27" t="s">
        <v>730</v>
      </c>
      <c r="G2025" s="43">
        <f>1930*32.1507431265</f>
        <v>62050.934234144996</v>
      </c>
      <c r="H2025" s="43"/>
      <c r="I2025" s="43"/>
      <c r="J2025" s="43"/>
      <c r="K2025" s="27" t="s">
        <v>731</v>
      </c>
      <c r="L2025" s="28">
        <v>871.70725000000004</v>
      </c>
      <c r="M2025" s="27" t="s">
        <v>732</v>
      </c>
      <c r="N2025" s="27" t="s">
        <v>733</v>
      </c>
      <c r="O2025" s="18">
        <f t="shared" si="36"/>
        <v>54090249.241177395</v>
      </c>
      <c r="P2025" s="214"/>
      <c r="Q2025" s="214"/>
      <c r="R2025" s="27"/>
      <c r="S2025" s="27"/>
      <c r="T2025" s="18"/>
      <c r="U2025" s="27"/>
      <c r="V2025" s="27"/>
      <c r="W2025" s="30"/>
      <c r="X2025" s="27">
        <v>1</v>
      </c>
      <c r="Y2025" s="27" t="s">
        <v>2224</v>
      </c>
      <c r="Z2025" s="27">
        <v>1</v>
      </c>
      <c r="AA2025" s="27"/>
      <c r="AB2025" s="27"/>
      <c r="AC2025" s="273">
        <v>470370875</v>
      </c>
      <c r="AD2025" s="27">
        <v>17911046608.557137</v>
      </c>
      <c r="AE2025" s="228">
        <v>2.6261495784131162E-2</v>
      </c>
      <c r="AF2025" s="27">
        <v>4448566646.1673365</v>
      </c>
      <c r="AG2025" s="226">
        <v>0.10573537779977921</v>
      </c>
      <c r="AH2025" s="226">
        <v>0.8341635610375745</v>
      </c>
      <c r="AI2025" s="27">
        <v>1116240000</v>
      </c>
      <c r="AJ2025" s="226">
        <v>0.42138865745717768</v>
      </c>
      <c r="AK2025" s="27">
        <v>641361457.04290962</v>
      </c>
      <c r="AL2025" s="226">
        <v>0.73339435950628118</v>
      </c>
      <c r="AM2025" s="27">
        <v>240968056.65288427</v>
      </c>
      <c r="AN2025" s="271">
        <v>1.9520050978274339</v>
      </c>
      <c r="AO2025" s="27">
        <v>12456527</v>
      </c>
      <c r="AP2025" s="27" t="s">
        <v>2842</v>
      </c>
      <c r="AQ2025" s="27">
        <v>51.62214634146342</v>
      </c>
      <c r="AR2025" s="27">
        <v>67.3</v>
      </c>
      <c r="AS2025" s="29">
        <v>96.953670000000002</v>
      </c>
      <c r="AT2025" s="270">
        <v>38</v>
      </c>
      <c r="AU2025" s="464">
        <v>60.803535044296524</v>
      </c>
      <c r="AV2025" s="29">
        <v>-0.18089655683316799</v>
      </c>
      <c r="AW2025" s="29">
        <v>0.46318787542491702</v>
      </c>
      <c r="AX2025" s="29">
        <v>-0.72927626481342001</v>
      </c>
      <c r="AY2025" s="29">
        <v>-0.45386416304737698</v>
      </c>
      <c r="AZ2025" s="60">
        <v>-0.47433898284147402</v>
      </c>
    </row>
    <row r="2026" spans="1:52" s="29" customFormat="1" ht="15" customHeight="1">
      <c r="A2026" s="59" t="s">
        <v>533</v>
      </c>
      <c r="B2026" s="27">
        <v>2008</v>
      </c>
      <c r="C2026" s="27" t="s">
        <v>534</v>
      </c>
      <c r="D2026" s="27" t="s">
        <v>81</v>
      </c>
      <c r="E2026" s="27" t="s">
        <v>19</v>
      </c>
      <c r="F2026" s="27" t="s">
        <v>2225</v>
      </c>
      <c r="G2026" s="43">
        <v>1000</v>
      </c>
      <c r="H2026" s="43"/>
      <c r="I2026" s="43"/>
      <c r="J2026" s="43"/>
      <c r="K2026" s="27" t="s">
        <v>567</v>
      </c>
      <c r="L2026" s="44">
        <v>2090.6634166666699</v>
      </c>
      <c r="M2026" s="27" t="s">
        <v>568</v>
      </c>
      <c r="N2026" s="27" t="s">
        <v>2226</v>
      </c>
      <c r="O2026" s="18">
        <f t="shared" si="36"/>
        <v>2090663.41666667</v>
      </c>
      <c r="P2026" s="214"/>
      <c r="Q2026" s="214"/>
      <c r="R2026" s="27"/>
      <c r="S2026" s="27"/>
      <c r="T2026" s="18"/>
      <c r="U2026" s="27"/>
      <c r="V2026" s="27"/>
      <c r="W2026" s="30"/>
      <c r="X2026" s="27"/>
      <c r="Y2026" s="27"/>
      <c r="Z2026" s="27"/>
      <c r="AA2026" s="27"/>
      <c r="AB2026" s="27"/>
      <c r="AC2026" s="273">
        <v>470370875</v>
      </c>
      <c r="AD2026" s="27">
        <v>17911046608.557137</v>
      </c>
      <c r="AE2026" s="228">
        <v>2.6261495784131162E-2</v>
      </c>
      <c r="AF2026" s="27">
        <v>4448566646.1673365</v>
      </c>
      <c r="AG2026" s="226">
        <v>0.10573537779977921</v>
      </c>
      <c r="AH2026" s="226">
        <v>0.8341635610375745</v>
      </c>
      <c r="AI2026" s="27">
        <v>1116240000</v>
      </c>
      <c r="AJ2026" s="226">
        <v>0.42138865745717768</v>
      </c>
      <c r="AK2026" s="27">
        <v>641361457.04290962</v>
      </c>
      <c r="AL2026" s="226">
        <v>0.73339435950628118</v>
      </c>
      <c r="AM2026" s="27">
        <v>240968056.65288427</v>
      </c>
      <c r="AN2026" s="271">
        <v>1.9520050978274339</v>
      </c>
      <c r="AO2026" s="27">
        <v>12456527</v>
      </c>
      <c r="AP2026" s="27" t="s">
        <v>2842</v>
      </c>
      <c r="AQ2026" s="27">
        <v>51.62214634146342</v>
      </c>
      <c r="AR2026" s="27">
        <v>67.3</v>
      </c>
      <c r="AS2026" s="29">
        <v>96.953670000000002</v>
      </c>
      <c r="AT2026" s="270">
        <v>38</v>
      </c>
      <c r="AU2026" s="464">
        <v>60.803535044296524</v>
      </c>
      <c r="AV2026" s="29">
        <v>-0.18089655683316799</v>
      </c>
      <c r="AW2026" s="29">
        <v>0.46318787542491702</v>
      </c>
      <c r="AX2026" s="29">
        <v>-0.72927626481342001</v>
      </c>
      <c r="AY2026" s="29">
        <v>-0.45386416304737698</v>
      </c>
      <c r="AZ2026" s="60">
        <v>-0.47433898284147402</v>
      </c>
    </row>
    <row r="2027" spans="1:52" s="29" customFormat="1" ht="15" customHeight="1">
      <c r="A2027" s="59" t="s">
        <v>533</v>
      </c>
      <c r="B2027" s="27">
        <v>2008</v>
      </c>
      <c r="C2027" s="27" t="s">
        <v>534</v>
      </c>
      <c r="D2027" s="27" t="s">
        <v>81</v>
      </c>
      <c r="E2027" s="27" t="s">
        <v>19</v>
      </c>
      <c r="F2027" s="27" t="s">
        <v>653</v>
      </c>
      <c r="G2027" s="43">
        <v>1370000</v>
      </c>
      <c r="H2027" s="43"/>
      <c r="I2027" s="43"/>
      <c r="J2027" s="43"/>
      <c r="K2027" s="27" t="s">
        <v>567</v>
      </c>
      <c r="L2027" s="28">
        <v>8.6</v>
      </c>
      <c r="M2027" s="27" t="s">
        <v>568</v>
      </c>
      <c r="N2027" s="27" t="s">
        <v>1759</v>
      </c>
      <c r="O2027" s="18">
        <f t="shared" si="36"/>
        <v>11782000</v>
      </c>
      <c r="P2027" s="214">
        <v>24129103.693755113</v>
      </c>
      <c r="Q2027" s="214">
        <v>16234503.299700027</v>
      </c>
      <c r="R2027" s="18"/>
      <c r="S2027" s="27"/>
      <c r="T2027" s="18"/>
      <c r="U2027" s="18"/>
      <c r="V2027" s="18"/>
      <c r="W2027" s="30"/>
      <c r="X2027" s="27">
        <v>2</v>
      </c>
      <c r="Y2027" s="27" t="s">
        <v>2227</v>
      </c>
      <c r="Z2027" s="27">
        <v>2</v>
      </c>
      <c r="AA2027" s="27" t="s">
        <v>2210</v>
      </c>
      <c r="AB2027" s="27"/>
      <c r="AC2027" s="273">
        <v>470370875</v>
      </c>
      <c r="AD2027" s="27">
        <v>17911046608.557137</v>
      </c>
      <c r="AE2027" s="228">
        <v>2.6261495784131162E-2</v>
      </c>
      <c r="AF2027" s="27">
        <v>4448566646.1673365</v>
      </c>
      <c r="AG2027" s="226">
        <v>0.10573537779977921</v>
      </c>
      <c r="AH2027" s="226">
        <v>0.8341635610375745</v>
      </c>
      <c r="AI2027" s="27">
        <v>1116240000</v>
      </c>
      <c r="AJ2027" s="226">
        <v>0.42138865745717768</v>
      </c>
      <c r="AK2027" s="27">
        <v>641361457.04290962</v>
      </c>
      <c r="AL2027" s="226">
        <v>0.73339435950628118</v>
      </c>
      <c r="AM2027" s="27">
        <v>240968056.65288427</v>
      </c>
      <c r="AN2027" s="271">
        <v>1.9520050978274339</v>
      </c>
      <c r="AO2027" s="27">
        <v>12456527</v>
      </c>
      <c r="AP2027" s="27" t="s">
        <v>2842</v>
      </c>
      <c r="AQ2027" s="27">
        <v>51.62214634146342</v>
      </c>
      <c r="AR2027" s="27">
        <v>67.3</v>
      </c>
      <c r="AS2027" s="29">
        <v>96.953670000000002</v>
      </c>
      <c r="AT2027" s="270">
        <v>38</v>
      </c>
      <c r="AU2027" s="464">
        <v>60.803535044296524</v>
      </c>
      <c r="AV2027" s="29">
        <v>-0.18089655683316799</v>
      </c>
      <c r="AW2027" s="29">
        <v>0.46318787542491702</v>
      </c>
      <c r="AX2027" s="29">
        <v>-0.72927626481342001</v>
      </c>
      <c r="AY2027" s="29">
        <v>-0.45386416304737698</v>
      </c>
      <c r="AZ2027" s="60">
        <v>-0.47433898284147402</v>
      </c>
    </row>
    <row r="2028" spans="1:52" s="287" customFormat="1" ht="15" customHeight="1">
      <c r="A2028" s="344" t="s">
        <v>533</v>
      </c>
      <c r="B2028" s="284">
        <v>2008</v>
      </c>
      <c r="C2028" s="284" t="s">
        <v>534</v>
      </c>
      <c r="D2028" s="284" t="s">
        <v>81</v>
      </c>
      <c r="E2028" s="284" t="s">
        <v>19</v>
      </c>
      <c r="F2028" s="284" t="s">
        <v>2228</v>
      </c>
      <c r="G2028" s="303">
        <v>750</v>
      </c>
      <c r="H2028" s="303"/>
      <c r="I2028" s="303"/>
      <c r="J2028" s="303"/>
      <c r="K2028" s="284" t="s">
        <v>567</v>
      </c>
      <c r="L2028" s="367">
        <v>21110.644833333299</v>
      </c>
      <c r="M2028" s="284" t="s">
        <v>568</v>
      </c>
      <c r="N2028" s="284" t="s">
        <v>1554</v>
      </c>
      <c r="O2028" s="305">
        <f t="shared" si="36"/>
        <v>15832983.624999974</v>
      </c>
      <c r="P2028" s="346">
        <v>5158934.1210799022</v>
      </c>
      <c r="Q2028" s="346">
        <v>13211680.946004909</v>
      </c>
      <c r="R2028" s="305"/>
      <c r="S2028" s="284"/>
      <c r="T2028" s="305"/>
      <c r="U2028" s="284"/>
      <c r="V2028" s="305"/>
      <c r="W2028" s="307"/>
      <c r="X2028" s="284">
        <v>1</v>
      </c>
      <c r="Y2028" s="284" t="s">
        <v>2229</v>
      </c>
      <c r="Z2028" s="284">
        <v>1</v>
      </c>
      <c r="AA2028" s="284" t="s">
        <v>2210</v>
      </c>
      <c r="AB2028" s="284"/>
      <c r="AC2028" s="308">
        <v>470370875</v>
      </c>
      <c r="AD2028" s="284">
        <v>17911046608.557137</v>
      </c>
      <c r="AE2028" s="309">
        <v>2.6261495784131162E-2</v>
      </c>
      <c r="AF2028" s="284">
        <v>4448566646.1673365</v>
      </c>
      <c r="AG2028" s="310">
        <v>0.10573537779977921</v>
      </c>
      <c r="AH2028" s="310">
        <v>0.8341635610375745</v>
      </c>
      <c r="AI2028" s="284">
        <v>1116240000</v>
      </c>
      <c r="AJ2028" s="310">
        <v>0.42138865745717768</v>
      </c>
      <c r="AK2028" s="284">
        <v>641361457.04290962</v>
      </c>
      <c r="AL2028" s="310">
        <v>0.73339435950628118</v>
      </c>
      <c r="AM2028" s="284">
        <v>240968056.65288427</v>
      </c>
      <c r="AN2028" s="311">
        <v>1.9520050978274339</v>
      </c>
      <c r="AO2028" s="284">
        <v>12456527</v>
      </c>
      <c r="AP2028" s="284" t="s">
        <v>2842</v>
      </c>
      <c r="AQ2028" s="284">
        <v>51.62214634146342</v>
      </c>
      <c r="AR2028" s="284">
        <v>67.3</v>
      </c>
      <c r="AS2028" s="287">
        <v>96.953670000000002</v>
      </c>
      <c r="AT2028" s="312">
        <v>38</v>
      </c>
      <c r="AU2028" s="465">
        <v>60.803535044296524</v>
      </c>
      <c r="AV2028" s="287">
        <v>-0.18089655683316799</v>
      </c>
      <c r="AW2028" s="287">
        <v>0.46318787542491702</v>
      </c>
      <c r="AX2028" s="287">
        <v>-0.72927626481342001</v>
      </c>
      <c r="AY2028" s="287">
        <v>-0.45386416304737698</v>
      </c>
      <c r="AZ2028" s="313">
        <v>-0.47433898284147402</v>
      </c>
    </row>
    <row r="2029" spans="1:52" ht="15" customHeight="1">
      <c r="A2029" s="332" t="s">
        <v>536</v>
      </c>
      <c r="B2029" s="27">
        <v>2009</v>
      </c>
      <c r="C2029" s="27" t="s">
        <v>534</v>
      </c>
      <c r="D2029" s="27" t="s">
        <v>81</v>
      </c>
      <c r="E2029" s="27" t="s">
        <v>19</v>
      </c>
      <c r="F2029" s="27" t="s">
        <v>659</v>
      </c>
      <c r="G2029" s="43"/>
      <c r="H2029" s="43"/>
      <c r="I2029" s="43"/>
      <c r="J2029" s="43"/>
      <c r="K2029" s="27"/>
      <c r="L2029" s="28"/>
      <c r="M2029" s="27"/>
      <c r="N2029" s="27"/>
      <c r="O2029" s="18">
        <f>SUM(O2030:O2046)</f>
        <v>161854056644.77145</v>
      </c>
      <c r="P2029" s="253">
        <v>533783358</v>
      </c>
      <c r="Q2029" s="253">
        <v>574901639</v>
      </c>
      <c r="R2029" s="27" t="s">
        <v>619</v>
      </c>
      <c r="S2029" s="27"/>
      <c r="T2029" s="18"/>
      <c r="U2029" s="27" t="s">
        <v>590</v>
      </c>
      <c r="V2029" s="27" t="s">
        <v>2205</v>
      </c>
      <c r="W2029" s="30">
        <v>4819</v>
      </c>
      <c r="X2029" s="27">
        <v>28</v>
      </c>
      <c r="Y2029" s="27" t="s">
        <v>2230</v>
      </c>
      <c r="Z2029" s="27">
        <v>28</v>
      </c>
      <c r="AA2029" s="27" t="s">
        <v>2231</v>
      </c>
      <c r="AB2029" s="27" t="s">
        <v>2232</v>
      </c>
      <c r="AC2029" s="273">
        <v>533783358</v>
      </c>
      <c r="AD2029" s="27">
        <v>15328314220.185898</v>
      </c>
      <c r="AE2029" s="228">
        <v>3.4823356980577765E-2</v>
      </c>
      <c r="AF2029" s="27">
        <v>3640321344.1519489</v>
      </c>
      <c r="AG2029" s="226">
        <v>0.1466308349007443</v>
      </c>
      <c r="AH2029" s="226">
        <v>0.77558188409904982</v>
      </c>
      <c r="AI2029" s="27">
        <v>1267060000</v>
      </c>
      <c r="AJ2029" s="226">
        <v>0.42127709658579704</v>
      </c>
      <c r="AK2029" s="27">
        <v>545729915.24264538</v>
      </c>
      <c r="AL2029" s="226">
        <v>0.97810902992676585</v>
      </c>
      <c r="AM2029" s="27" t="s">
        <v>2842</v>
      </c>
      <c r="AN2029" s="271" t="s">
        <v>2842</v>
      </c>
      <c r="AO2029" s="27">
        <v>12825031</v>
      </c>
      <c r="AP2029" s="27" t="s">
        <v>2842</v>
      </c>
      <c r="AQ2029" s="27">
        <v>53.11336585365855</v>
      </c>
      <c r="AR2029" s="27">
        <v>64.8</v>
      </c>
      <c r="AS2029" s="29">
        <v>92.220600000000005</v>
      </c>
      <c r="AT2029" s="270">
        <v>38</v>
      </c>
      <c r="AU2029" s="464">
        <v>60.803535044296524</v>
      </c>
      <c r="AV2029" s="29">
        <v>-0.319576629576935</v>
      </c>
      <c r="AW2029" s="29">
        <v>0.53465903763662503</v>
      </c>
      <c r="AX2029" s="29">
        <v>-0.79114014249250797</v>
      </c>
      <c r="AY2029" s="29">
        <v>-0.50244949982849896</v>
      </c>
      <c r="AZ2029" s="60">
        <v>-0.51320912303131205</v>
      </c>
    </row>
    <row r="2030" spans="1:52" ht="15" customHeight="1">
      <c r="A2030" s="59" t="s">
        <v>536</v>
      </c>
      <c r="B2030" s="27">
        <v>2009</v>
      </c>
      <c r="C2030" s="27" t="s">
        <v>534</v>
      </c>
      <c r="D2030" s="27" t="s">
        <v>81</v>
      </c>
      <c r="E2030" s="27" t="s">
        <v>19</v>
      </c>
      <c r="F2030" s="27" t="s">
        <v>2233</v>
      </c>
      <c r="G2030" s="43">
        <v>1400000</v>
      </c>
      <c r="H2030" s="43">
        <v>1172000</v>
      </c>
      <c r="I2030" s="43"/>
      <c r="J2030" s="43"/>
      <c r="K2030" s="18" t="s">
        <v>894</v>
      </c>
      <c r="L2030" s="28">
        <f>17.5/0.0002</f>
        <v>87500</v>
      </c>
      <c r="M2030" s="27" t="s">
        <v>1743</v>
      </c>
      <c r="N2030" s="68" t="s">
        <v>2234</v>
      </c>
      <c r="O2030" s="18">
        <f>G2030*L2030</f>
        <v>122500000000</v>
      </c>
      <c r="P2030" s="253"/>
      <c r="Q2030" s="253"/>
      <c r="R2030" s="27"/>
      <c r="S2030" s="27"/>
      <c r="T2030" s="18"/>
      <c r="U2030" s="27"/>
      <c r="V2030" s="27"/>
      <c r="W2030" s="30"/>
      <c r="X2030" s="27"/>
      <c r="Y2030" s="27"/>
      <c r="Z2030" s="27"/>
      <c r="AA2030" s="27"/>
      <c r="AB2030" s="27" t="s">
        <v>2235</v>
      </c>
      <c r="AC2030" s="273">
        <v>533783358</v>
      </c>
      <c r="AD2030" s="27">
        <v>15328314220.185898</v>
      </c>
      <c r="AE2030" s="228">
        <v>3.4823356980577765E-2</v>
      </c>
      <c r="AF2030" s="27">
        <v>3640321344.1519489</v>
      </c>
      <c r="AG2030" s="226">
        <v>0.1466308349007443</v>
      </c>
      <c r="AH2030" s="226">
        <v>0.77558188409904982</v>
      </c>
      <c r="AI2030" s="27">
        <v>1267060000</v>
      </c>
      <c r="AJ2030" s="226">
        <v>0.42127709658579704</v>
      </c>
      <c r="AK2030" s="27">
        <v>545729915.24264538</v>
      </c>
      <c r="AL2030" s="226">
        <v>0.97810902992676585</v>
      </c>
      <c r="AM2030" s="27" t="s">
        <v>2842</v>
      </c>
      <c r="AN2030" s="271" t="s">
        <v>2842</v>
      </c>
      <c r="AO2030" s="27">
        <v>12825031</v>
      </c>
      <c r="AP2030" s="27" t="s">
        <v>2842</v>
      </c>
      <c r="AQ2030" s="27">
        <v>53.11336585365855</v>
      </c>
      <c r="AR2030" s="27">
        <v>64.8</v>
      </c>
      <c r="AS2030" s="29">
        <v>92.220600000000005</v>
      </c>
      <c r="AT2030" s="270">
        <v>38</v>
      </c>
      <c r="AU2030" s="464">
        <v>60.803535044296524</v>
      </c>
      <c r="AV2030" s="29">
        <v>-0.319576629576935</v>
      </c>
      <c r="AW2030" s="29">
        <v>0.53465903763662503</v>
      </c>
      <c r="AX2030" s="29">
        <v>-0.79114014249250797</v>
      </c>
      <c r="AY2030" s="29">
        <v>-0.50244949982849896</v>
      </c>
      <c r="AZ2030" s="60">
        <v>-0.51320912303131205</v>
      </c>
    </row>
    <row r="2031" spans="1:52" ht="15" customHeight="1">
      <c r="A2031" s="59" t="s">
        <v>536</v>
      </c>
      <c r="B2031" s="27">
        <v>2009</v>
      </c>
      <c r="C2031" s="27" t="s">
        <v>534</v>
      </c>
      <c r="D2031" s="27" t="s">
        <v>81</v>
      </c>
      <c r="E2031" s="27" t="s">
        <v>19</v>
      </c>
      <c r="F2031" s="27" t="s">
        <v>2236</v>
      </c>
      <c r="G2031" s="595">
        <v>6000000</v>
      </c>
      <c r="H2031" s="595">
        <v>17903122</v>
      </c>
      <c r="I2031" s="43"/>
      <c r="J2031" s="43"/>
      <c r="K2031" s="18" t="s">
        <v>905</v>
      </c>
      <c r="L2031" s="28"/>
      <c r="M2031" s="27"/>
      <c r="N2031" s="27" t="s">
        <v>636</v>
      </c>
      <c r="O2031" s="18"/>
      <c r="P2031" s="253"/>
      <c r="Q2031" s="253"/>
      <c r="R2031" s="27"/>
      <c r="S2031" s="27"/>
      <c r="T2031" s="18"/>
      <c r="U2031" s="27"/>
      <c r="V2031" s="27"/>
      <c r="W2031" s="30"/>
      <c r="X2031" s="27"/>
      <c r="Y2031" s="27"/>
      <c r="Z2031" s="27"/>
      <c r="AA2031" s="27"/>
      <c r="AB2031" s="27"/>
      <c r="AC2031" s="273">
        <v>533783358</v>
      </c>
      <c r="AD2031" s="27">
        <v>15328314220.185898</v>
      </c>
      <c r="AE2031" s="228">
        <v>3.4823356980577765E-2</v>
      </c>
      <c r="AF2031" s="27">
        <v>3640321344.1519489</v>
      </c>
      <c r="AG2031" s="226">
        <v>0.1466308349007443</v>
      </c>
      <c r="AH2031" s="226">
        <v>0.77558188409904982</v>
      </c>
      <c r="AI2031" s="27">
        <v>1267060000</v>
      </c>
      <c r="AJ2031" s="226">
        <v>0.42127709658579704</v>
      </c>
      <c r="AK2031" s="27">
        <v>545729915.24264538</v>
      </c>
      <c r="AL2031" s="226">
        <v>0.97810902992676585</v>
      </c>
      <c r="AM2031" s="27" t="s">
        <v>2842</v>
      </c>
      <c r="AN2031" s="271" t="s">
        <v>2842</v>
      </c>
      <c r="AO2031" s="27">
        <v>12825031</v>
      </c>
      <c r="AP2031" s="27" t="s">
        <v>2842</v>
      </c>
      <c r="AQ2031" s="27">
        <v>53.11336585365855</v>
      </c>
      <c r="AR2031" s="27">
        <v>64.8</v>
      </c>
      <c r="AS2031" s="29">
        <v>92.220600000000005</v>
      </c>
      <c r="AT2031" s="270">
        <v>38</v>
      </c>
      <c r="AU2031" s="464">
        <v>60.803535044296524</v>
      </c>
      <c r="AV2031" s="29">
        <v>-0.319576629576935</v>
      </c>
      <c r="AW2031" s="29">
        <v>0.53465903763662503</v>
      </c>
      <c r="AX2031" s="29">
        <v>-0.79114014249250797</v>
      </c>
      <c r="AY2031" s="29">
        <v>-0.50244949982849896</v>
      </c>
      <c r="AZ2031" s="60">
        <v>-0.51320912303131205</v>
      </c>
    </row>
    <row r="2032" spans="1:52" ht="15" customHeight="1">
      <c r="A2032" s="59" t="s">
        <v>536</v>
      </c>
      <c r="B2032" s="27">
        <v>2009</v>
      </c>
      <c r="C2032" s="27" t="s">
        <v>534</v>
      </c>
      <c r="D2032" s="27" t="s">
        <v>81</v>
      </c>
      <c r="E2032" s="27" t="s">
        <v>19</v>
      </c>
      <c r="F2032" s="27" t="s">
        <v>573</v>
      </c>
      <c r="G2032" s="43">
        <v>200000</v>
      </c>
      <c r="H2032" s="43">
        <v>85327</v>
      </c>
      <c r="I2032" s="43"/>
      <c r="J2032" s="43"/>
      <c r="K2032" s="27" t="s">
        <v>567</v>
      </c>
      <c r="L2032" s="28">
        <v>72.516709165814987</v>
      </c>
      <c r="M2032" s="27" t="s">
        <v>568</v>
      </c>
      <c r="N2032" s="27" t="s">
        <v>1022</v>
      </c>
      <c r="O2032" s="18">
        <f>G2032*L2032</f>
        <v>14503341.833162997</v>
      </c>
      <c r="P2032" s="214"/>
      <c r="Q2032" s="214"/>
      <c r="R2032" s="27"/>
      <c r="S2032" s="27"/>
      <c r="T2032" s="18"/>
      <c r="U2032" s="27"/>
      <c r="V2032" s="27"/>
      <c r="W2032" s="30"/>
      <c r="X2032" s="27"/>
      <c r="Y2032" s="27"/>
      <c r="Z2032" s="27"/>
      <c r="AA2032" s="27"/>
      <c r="AB2032" s="27"/>
      <c r="AC2032" s="273">
        <v>533783358</v>
      </c>
      <c r="AD2032" s="27">
        <v>15328314220.185898</v>
      </c>
      <c r="AE2032" s="228">
        <v>3.4823356980577765E-2</v>
      </c>
      <c r="AF2032" s="27">
        <v>3640321344.1519489</v>
      </c>
      <c r="AG2032" s="226">
        <v>0.1466308349007443</v>
      </c>
      <c r="AH2032" s="226">
        <v>0.77558188409904982</v>
      </c>
      <c r="AI2032" s="27">
        <v>1267060000</v>
      </c>
      <c r="AJ2032" s="226">
        <v>0.42127709658579704</v>
      </c>
      <c r="AK2032" s="27">
        <v>545729915.24264538</v>
      </c>
      <c r="AL2032" s="226">
        <v>0.97810902992676585</v>
      </c>
      <c r="AM2032" s="27" t="s">
        <v>2842</v>
      </c>
      <c r="AN2032" s="271" t="s">
        <v>2842</v>
      </c>
      <c r="AO2032" s="27">
        <v>12825031</v>
      </c>
      <c r="AP2032" s="27" t="s">
        <v>2842</v>
      </c>
      <c r="AQ2032" s="27">
        <v>53.11336585365855</v>
      </c>
      <c r="AR2032" s="27">
        <v>64.8</v>
      </c>
      <c r="AS2032" s="29">
        <v>92.220600000000005</v>
      </c>
      <c r="AT2032" s="270">
        <v>38</v>
      </c>
      <c r="AU2032" s="464">
        <v>60.803535044296524</v>
      </c>
      <c r="AV2032" s="29">
        <v>-0.319576629576935</v>
      </c>
      <c r="AW2032" s="29">
        <v>0.53465903763662503</v>
      </c>
      <c r="AX2032" s="29">
        <v>-0.79114014249250797</v>
      </c>
      <c r="AY2032" s="29">
        <v>-0.50244949982849896</v>
      </c>
      <c r="AZ2032" s="60">
        <v>-0.51320912303131205</v>
      </c>
    </row>
    <row r="2033" spans="1:52" ht="15" customHeight="1">
      <c r="A2033" s="59" t="s">
        <v>536</v>
      </c>
      <c r="B2033" s="27">
        <v>2009</v>
      </c>
      <c r="C2033" s="27" t="s">
        <v>534</v>
      </c>
      <c r="D2033" s="27" t="s">
        <v>81</v>
      </c>
      <c r="E2033" s="27" t="s">
        <v>19</v>
      </c>
      <c r="F2033" s="27" t="s">
        <v>977</v>
      </c>
      <c r="G2033" s="43"/>
      <c r="H2033" s="43">
        <v>1566</v>
      </c>
      <c r="I2033" s="43"/>
      <c r="J2033" s="43"/>
      <c r="K2033" s="27"/>
      <c r="L2033" s="28">
        <f>(17.86/0.000453592)*0.7924</f>
        <v>31200.426815287748</v>
      </c>
      <c r="M2033" s="27" t="s">
        <v>568</v>
      </c>
      <c r="N2033" s="27" t="s">
        <v>2211</v>
      </c>
      <c r="O2033" s="18">
        <f>G2034*L2033</f>
        <v>152882091.39490998</v>
      </c>
      <c r="P2033" s="244"/>
      <c r="Q2033" s="244"/>
      <c r="R2033" s="27"/>
      <c r="S2033" s="27"/>
      <c r="T2033" s="18"/>
      <c r="U2033" s="27"/>
      <c r="V2033" s="27"/>
      <c r="W2033" s="30"/>
      <c r="X2033" s="27"/>
      <c r="Y2033" s="27"/>
      <c r="Z2033" s="27"/>
      <c r="AA2033" s="27"/>
      <c r="AB2033" s="27"/>
      <c r="AC2033" s="273">
        <v>533783358</v>
      </c>
      <c r="AD2033" s="27">
        <v>15328314220.185898</v>
      </c>
      <c r="AE2033" s="228">
        <v>3.4823356980577765E-2</v>
      </c>
      <c r="AF2033" s="27">
        <v>3640321344.1519489</v>
      </c>
      <c r="AG2033" s="226">
        <v>0.1466308349007443</v>
      </c>
      <c r="AH2033" s="226">
        <v>0.77558188409904982</v>
      </c>
      <c r="AI2033" s="27">
        <v>1267060000</v>
      </c>
      <c r="AJ2033" s="226">
        <v>0.42127709658579704</v>
      </c>
      <c r="AK2033" s="27">
        <v>545729915.24264538</v>
      </c>
      <c r="AL2033" s="226">
        <v>0.97810902992676585</v>
      </c>
      <c r="AM2033" s="27" t="s">
        <v>2842</v>
      </c>
      <c r="AN2033" s="271" t="s">
        <v>2842</v>
      </c>
      <c r="AO2033" s="27">
        <v>12825031</v>
      </c>
      <c r="AP2033" s="27" t="s">
        <v>2842</v>
      </c>
      <c r="AQ2033" s="27">
        <v>53.11336585365855</v>
      </c>
      <c r="AR2033" s="27">
        <v>64.8</v>
      </c>
      <c r="AS2033" s="29">
        <v>92.220600000000005</v>
      </c>
      <c r="AT2033" s="270">
        <v>38</v>
      </c>
      <c r="AU2033" s="464">
        <v>60.803535044296524</v>
      </c>
      <c r="AV2033" s="29">
        <v>-0.319576629576935</v>
      </c>
      <c r="AW2033" s="29">
        <v>0.53465903763662503</v>
      </c>
      <c r="AX2033" s="29">
        <v>-0.79114014249250797</v>
      </c>
      <c r="AY2033" s="29">
        <v>-0.50244949982849896</v>
      </c>
      <c r="AZ2033" s="60">
        <v>-0.51320912303131205</v>
      </c>
    </row>
    <row r="2034" spans="1:52" ht="15" customHeight="1">
      <c r="A2034" s="59" t="s">
        <v>536</v>
      </c>
      <c r="B2034" s="27">
        <v>2009</v>
      </c>
      <c r="C2034" s="27" t="s">
        <v>534</v>
      </c>
      <c r="D2034" s="27" t="s">
        <v>81</v>
      </c>
      <c r="E2034" s="27" t="s">
        <v>19</v>
      </c>
      <c r="F2034" s="27" t="s">
        <v>2213</v>
      </c>
      <c r="G2034" s="43">
        <v>4900</v>
      </c>
      <c r="H2034" s="43"/>
      <c r="I2034" s="43"/>
      <c r="J2034" s="43"/>
      <c r="K2034" s="71" t="s">
        <v>567</v>
      </c>
      <c r="L2034" s="28"/>
      <c r="M2034" s="71"/>
      <c r="N2034" s="27" t="s">
        <v>636</v>
      </c>
      <c r="O2034" s="18"/>
      <c r="P2034" s="244"/>
      <c r="Q2034" s="244"/>
      <c r="R2034" s="27"/>
      <c r="S2034" s="27"/>
      <c r="T2034" s="18"/>
      <c r="U2034" s="27"/>
      <c r="V2034" s="27"/>
      <c r="W2034" s="30"/>
      <c r="X2034" s="27"/>
      <c r="Y2034" s="27"/>
      <c r="Z2034" s="27"/>
      <c r="AA2034" s="27"/>
      <c r="AB2034" s="27"/>
      <c r="AC2034" s="273">
        <v>533783358</v>
      </c>
      <c r="AD2034" s="27">
        <v>15328314220.185898</v>
      </c>
      <c r="AE2034" s="228">
        <v>3.4823356980577765E-2</v>
      </c>
      <c r="AF2034" s="27">
        <v>3640321344.1519489</v>
      </c>
      <c r="AG2034" s="226">
        <v>0.1466308349007443</v>
      </c>
      <c r="AH2034" s="226">
        <v>0.77558188409904982</v>
      </c>
      <c r="AI2034" s="27">
        <v>1267060000</v>
      </c>
      <c r="AJ2034" s="226">
        <v>0.42127709658579704</v>
      </c>
      <c r="AK2034" s="27">
        <v>545729915.24264538</v>
      </c>
      <c r="AL2034" s="226">
        <v>0.97810902992676585</v>
      </c>
      <c r="AM2034" s="27" t="s">
        <v>2842</v>
      </c>
      <c r="AN2034" s="271" t="s">
        <v>2842</v>
      </c>
      <c r="AO2034" s="27">
        <v>12825031</v>
      </c>
      <c r="AP2034" s="27" t="s">
        <v>2842</v>
      </c>
      <c r="AQ2034" s="27">
        <v>53.11336585365855</v>
      </c>
      <c r="AR2034" s="27">
        <v>64.8</v>
      </c>
      <c r="AS2034" s="29">
        <v>92.220600000000005</v>
      </c>
      <c r="AT2034" s="270">
        <v>38</v>
      </c>
      <c r="AU2034" s="464">
        <v>60.803535044296524</v>
      </c>
      <c r="AV2034" s="29">
        <v>-0.319576629576935</v>
      </c>
      <c r="AW2034" s="29">
        <v>0.53465903763662503</v>
      </c>
      <c r="AX2034" s="29">
        <v>-0.79114014249250797</v>
      </c>
      <c r="AY2034" s="29">
        <v>-0.50244949982849896</v>
      </c>
      <c r="AZ2034" s="60">
        <v>-0.51320912303131205</v>
      </c>
    </row>
    <row r="2035" spans="1:52" ht="15" customHeight="1">
      <c r="A2035" s="59" t="s">
        <v>536</v>
      </c>
      <c r="B2035" s="27">
        <v>2009</v>
      </c>
      <c r="C2035" s="27" t="s">
        <v>534</v>
      </c>
      <c r="D2035" s="27" t="s">
        <v>81</v>
      </c>
      <c r="E2035" s="27" t="s">
        <v>19</v>
      </c>
      <c r="F2035" s="27" t="s">
        <v>1238</v>
      </c>
      <c r="G2035" s="43">
        <v>1506</v>
      </c>
      <c r="H2035" s="43"/>
      <c r="I2035" s="43"/>
      <c r="J2035" s="43"/>
      <c r="K2035" s="71" t="s">
        <v>567</v>
      </c>
      <c r="L2035" s="28"/>
      <c r="M2035" s="71"/>
      <c r="N2035" s="27" t="s">
        <v>636</v>
      </c>
      <c r="O2035" s="18"/>
      <c r="P2035" s="244"/>
      <c r="Q2035" s="244"/>
      <c r="R2035" s="27"/>
      <c r="S2035" s="27"/>
      <c r="T2035" s="18"/>
      <c r="U2035" s="27"/>
      <c r="V2035" s="27"/>
      <c r="W2035" s="30"/>
      <c r="X2035" s="27"/>
      <c r="Y2035" s="27"/>
      <c r="Z2035" s="27"/>
      <c r="AA2035" s="27"/>
      <c r="AB2035" s="27"/>
      <c r="AC2035" s="273">
        <v>533783358</v>
      </c>
      <c r="AD2035" s="27">
        <v>15328314220.185898</v>
      </c>
      <c r="AE2035" s="228">
        <v>3.4823356980577765E-2</v>
      </c>
      <c r="AF2035" s="27">
        <v>3640321344.1519489</v>
      </c>
      <c r="AG2035" s="226">
        <v>0.1466308349007443</v>
      </c>
      <c r="AH2035" s="226">
        <v>0.77558188409904982</v>
      </c>
      <c r="AI2035" s="27">
        <v>1267060000</v>
      </c>
      <c r="AJ2035" s="226">
        <v>0.42127709658579704</v>
      </c>
      <c r="AK2035" s="27">
        <v>545729915.24264538</v>
      </c>
      <c r="AL2035" s="226">
        <v>0.97810902992676585</v>
      </c>
      <c r="AM2035" s="27" t="s">
        <v>2842</v>
      </c>
      <c r="AN2035" s="271" t="s">
        <v>2842</v>
      </c>
      <c r="AO2035" s="27">
        <v>12825031</v>
      </c>
      <c r="AP2035" s="27" t="s">
        <v>2842</v>
      </c>
      <c r="AQ2035" s="27">
        <v>53.11336585365855</v>
      </c>
      <c r="AR2035" s="27">
        <v>64.8</v>
      </c>
      <c r="AS2035" s="29">
        <v>92.220600000000005</v>
      </c>
      <c r="AT2035" s="270">
        <v>38</v>
      </c>
      <c r="AU2035" s="464">
        <v>60.803535044296524</v>
      </c>
      <c r="AV2035" s="29">
        <v>-0.319576629576935</v>
      </c>
      <c r="AW2035" s="29">
        <v>0.53465903763662503</v>
      </c>
      <c r="AX2035" s="29">
        <v>-0.79114014249250797</v>
      </c>
      <c r="AY2035" s="29">
        <v>-0.50244949982849896</v>
      </c>
      <c r="AZ2035" s="60">
        <v>-0.51320912303131205</v>
      </c>
    </row>
    <row r="2036" spans="1:52" ht="15" customHeight="1">
      <c r="A2036" s="59" t="s">
        <v>536</v>
      </c>
      <c r="B2036" s="27">
        <v>2009</v>
      </c>
      <c r="C2036" s="27" t="s">
        <v>534</v>
      </c>
      <c r="D2036" s="27" t="s">
        <v>81</v>
      </c>
      <c r="E2036" s="27" t="s">
        <v>19</v>
      </c>
      <c r="F2036" s="27" t="s">
        <v>576</v>
      </c>
      <c r="G2036" s="43"/>
      <c r="H2036" s="43">
        <v>655987</v>
      </c>
      <c r="I2036" s="43"/>
      <c r="J2036" s="43"/>
      <c r="K2036" s="71"/>
      <c r="L2036" s="44">
        <v>5149.7385833333301</v>
      </c>
      <c r="M2036" s="27" t="s">
        <v>568</v>
      </c>
      <c r="N2036" s="27" t="s">
        <v>633</v>
      </c>
      <c r="O2036" s="18">
        <f>SUM(G2038:G2039)*L2036</f>
        <v>3852004460.3333311</v>
      </c>
      <c r="P2036" s="244"/>
      <c r="Q2036" s="244"/>
      <c r="R2036" s="27"/>
      <c r="S2036" s="27"/>
      <c r="T2036" s="18"/>
      <c r="U2036" s="27"/>
      <c r="V2036" s="27"/>
      <c r="W2036" s="30"/>
      <c r="X2036" s="27"/>
      <c r="Y2036" s="27"/>
      <c r="Z2036" s="27"/>
      <c r="AA2036" s="27"/>
      <c r="AB2036" s="27"/>
      <c r="AC2036" s="273">
        <v>533783358</v>
      </c>
      <c r="AD2036" s="27">
        <v>15328314220.185898</v>
      </c>
      <c r="AE2036" s="228">
        <v>3.4823356980577765E-2</v>
      </c>
      <c r="AF2036" s="27">
        <v>3640321344.1519489</v>
      </c>
      <c r="AG2036" s="226">
        <v>0.1466308349007443</v>
      </c>
      <c r="AH2036" s="226">
        <v>0.77558188409904982</v>
      </c>
      <c r="AI2036" s="27">
        <v>1267060000</v>
      </c>
      <c r="AJ2036" s="226">
        <v>0.42127709658579704</v>
      </c>
      <c r="AK2036" s="27">
        <v>545729915.24264538</v>
      </c>
      <c r="AL2036" s="226">
        <v>0.97810902992676585</v>
      </c>
      <c r="AM2036" s="27" t="s">
        <v>2842</v>
      </c>
      <c r="AN2036" s="271" t="s">
        <v>2842</v>
      </c>
      <c r="AO2036" s="27">
        <v>12825031</v>
      </c>
      <c r="AP2036" s="27" t="s">
        <v>2842</v>
      </c>
      <c r="AQ2036" s="27">
        <v>53.11336585365855</v>
      </c>
      <c r="AR2036" s="27">
        <v>64.8</v>
      </c>
      <c r="AS2036" s="29">
        <v>92.220600000000005</v>
      </c>
      <c r="AT2036" s="270">
        <v>38</v>
      </c>
      <c r="AU2036" s="464">
        <v>60.803535044296524</v>
      </c>
      <c r="AV2036" s="29">
        <v>-0.319576629576935</v>
      </c>
      <c r="AW2036" s="29">
        <v>0.53465903763662503</v>
      </c>
      <c r="AX2036" s="29">
        <v>-0.79114014249250797</v>
      </c>
      <c r="AY2036" s="29">
        <v>-0.50244949982849896</v>
      </c>
      <c r="AZ2036" s="60">
        <v>-0.51320912303131205</v>
      </c>
    </row>
    <row r="2037" spans="1:52" ht="15" customHeight="1">
      <c r="A2037" s="59" t="s">
        <v>536</v>
      </c>
      <c r="B2037" s="27">
        <v>2009</v>
      </c>
      <c r="C2037" s="27" t="s">
        <v>534</v>
      </c>
      <c r="D2037" s="27" t="s">
        <v>81</v>
      </c>
      <c r="E2037" s="27" t="s">
        <v>19</v>
      </c>
      <c r="F2037" s="27" t="s">
        <v>1226</v>
      </c>
      <c r="G2037" s="43">
        <v>698000</v>
      </c>
      <c r="H2037" s="43"/>
      <c r="I2037" s="43"/>
      <c r="J2037" s="43"/>
      <c r="K2037" s="71" t="s">
        <v>567</v>
      </c>
      <c r="L2037" s="28"/>
      <c r="M2037" s="71"/>
      <c r="N2037" s="27" t="s">
        <v>636</v>
      </c>
      <c r="O2037" s="18"/>
      <c r="P2037" s="244"/>
      <c r="Q2037" s="244"/>
      <c r="R2037" s="27"/>
      <c r="S2037" s="27"/>
      <c r="T2037" s="18"/>
      <c r="U2037" s="27"/>
      <c r="V2037" s="27"/>
      <c r="W2037" s="30"/>
      <c r="X2037" s="27"/>
      <c r="Y2037" s="27"/>
      <c r="Z2037" s="27"/>
      <c r="AA2037" s="27"/>
      <c r="AB2037" s="27"/>
      <c r="AC2037" s="273">
        <v>533783358</v>
      </c>
      <c r="AD2037" s="27">
        <v>15328314220.185898</v>
      </c>
      <c r="AE2037" s="228">
        <v>3.4823356980577765E-2</v>
      </c>
      <c r="AF2037" s="27">
        <v>3640321344.1519489</v>
      </c>
      <c r="AG2037" s="226">
        <v>0.1466308349007443</v>
      </c>
      <c r="AH2037" s="226">
        <v>0.77558188409904982</v>
      </c>
      <c r="AI2037" s="27">
        <v>1267060000</v>
      </c>
      <c r="AJ2037" s="226">
        <v>0.42127709658579704</v>
      </c>
      <c r="AK2037" s="27">
        <v>545729915.24264538</v>
      </c>
      <c r="AL2037" s="226">
        <v>0.97810902992676585</v>
      </c>
      <c r="AM2037" s="27" t="s">
        <v>2842</v>
      </c>
      <c r="AN2037" s="271" t="s">
        <v>2842</v>
      </c>
      <c r="AO2037" s="27">
        <v>12825031</v>
      </c>
      <c r="AP2037" s="27" t="s">
        <v>2842</v>
      </c>
      <c r="AQ2037" s="27">
        <v>53.11336585365855</v>
      </c>
      <c r="AR2037" s="27">
        <v>64.8</v>
      </c>
      <c r="AS2037" s="29">
        <v>92.220600000000005</v>
      </c>
      <c r="AT2037" s="270">
        <v>38</v>
      </c>
      <c r="AU2037" s="464">
        <v>60.803535044296524</v>
      </c>
      <c r="AV2037" s="29">
        <v>-0.319576629576935</v>
      </c>
      <c r="AW2037" s="29">
        <v>0.53465903763662503</v>
      </c>
      <c r="AX2037" s="29">
        <v>-0.79114014249250797</v>
      </c>
      <c r="AY2037" s="29">
        <v>-0.50244949982849896</v>
      </c>
      <c r="AZ2037" s="60">
        <v>-0.51320912303131205</v>
      </c>
    </row>
    <row r="2038" spans="1:52" ht="15" customHeight="1">
      <c r="A2038" s="59" t="s">
        <v>536</v>
      </c>
      <c r="B2038" s="27">
        <v>2009</v>
      </c>
      <c r="C2038" s="27" t="s">
        <v>534</v>
      </c>
      <c r="D2038" s="27" t="s">
        <v>81</v>
      </c>
      <c r="E2038" s="27" t="s">
        <v>19</v>
      </c>
      <c r="F2038" s="27" t="s">
        <v>1227</v>
      </c>
      <c r="G2038" s="43">
        <v>334000</v>
      </c>
      <c r="H2038" s="43"/>
      <c r="I2038" s="43"/>
      <c r="J2038" s="43"/>
      <c r="K2038" s="71" t="s">
        <v>567</v>
      </c>
      <c r="L2038" s="28"/>
      <c r="M2038" s="71"/>
      <c r="N2038" s="27" t="s">
        <v>636</v>
      </c>
      <c r="O2038" s="18"/>
      <c r="P2038" s="244"/>
      <c r="Q2038" s="244"/>
      <c r="R2038" s="27"/>
      <c r="S2038" s="27"/>
      <c r="T2038" s="18"/>
      <c r="U2038" s="27"/>
      <c r="V2038" s="27"/>
      <c r="W2038" s="30"/>
      <c r="X2038" s="27"/>
      <c r="Y2038" s="27"/>
      <c r="Z2038" s="27"/>
      <c r="AA2038" s="27"/>
      <c r="AB2038" s="27"/>
      <c r="AC2038" s="273">
        <v>533783358</v>
      </c>
      <c r="AD2038" s="27">
        <v>15328314220.185898</v>
      </c>
      <c r="AE2038" s="228">
        <v>3.4823356980577765E-2</v>
      </c>
      <c r="AF2038" s="27">
        <v>3640321344.1519489</v>
      </c>
      <c r="AG2038" s="226">
        <v>0.1466308349007443</v>
      </c>
      <c r="AH2038" s="226">
        <v>0.77558188409904982</v>
      </c>
      <c r="AI2038" s="27">
        <v>1267060000</v>
      </c>
      <c r="AJ2038" s="226">
        <v>0.42127709658579704</v>
      </c>
      <c r="AK2038" s="27">
        <v>545729915.24264538</v>
      </c>
      <c r="AL2038" s="226">
        <v>0.97810902992676585</v>
      </c>
      <c r="AM2038" s="27" t="s">
        <v>2842</v>
      </c>
      <c r="AN2038" s="271" t="s">
        <v>2842</v>
      </c>
      <c r="AO2038" s="27">
        <v>12825031</v>
      </c>
      <c r="AP2038" s="27" t="s">
        <v>2842</v>
      </c>
      <c r="AQ2038" s="27">
        <v>53.11336585365855</v>
      </c>
      <c r="AR2038" s="27">
        <v>64.8</v>
      </c>
      <c r="AS2038" s="29">
        <v>92.220600000000005</v>
      </c>
      <c r="AT2038" s="270">
        <v>38</v>
      </c>
      <c r="AU2038" s="464">
        <v>60.803535044296524</v>
      </c>
      <c r="AV2038" s="29">
        <v>-0.319576629576935</v>
      </c>
      <c r="AW2038" s="29">
        <v>0.53465903763662503</v>
      </c>
      <c r="AX2038" s="29">
        <v>-0.79114014249250797</v>
      </c>
      <c r="AY2038" s="29">
        <v>-0.50244949982849896</v>
      </c>
      <c r="AZ2038" s="60">
        <v>-0.51320912303131205</v>
      </c>
    </row>
    <row r="2039" spans="1:52" ht="15" customHeight="1">
      <c r="A2039" s="59" t="s">
        <v>536</v>
      </c>
      <c r="B2039" s="27">
        <v>2009</v>
      </c>
      <c r="C2039" s="27" t="s">
        <v>534</v>
      </c>
      <c r="D2039" s="27" t="s">
        <v>81</v>
      </c>
      <c r="E2039" s="27" t="s">
        <v>19</v>
      </c>
      <c r="F2039" s="27" t="s">
        <v>1228</v>
      </c>
      <c r="G2039" s="43">
        <v>414000</v>
      </c>
      <c r="H2039" s="43"/>
      <c r="I2039" s="43"/>
      <c r="J2039" s="43"/>
      <c r="K2039" s="71" t="s">
        <v>567</v>
      </c>
      <c r="L2039" s="28"/>
      <c r="M2039" s="71"/>
      <c r="N2039" s="27" t="s">
        <v>636</v>
      </c>
      <c r="O2039" s="18"/>
      <c r="P2039" s="244"/>
      <c r="Q2039" s="244"/>
      <c r="R2039" s="27"/>
      <c r="S2039" s="27"/>
      <c r="T2039" s="18"/>
      <c r="U2039" s="27"/>
      <c r="V2039" s="27"/>
      <c r="W2039" s="30"/>
      <c r="X2039" s="27"/>
      <c r="Y2039" s="27"/>
      <c r="Z2039" s="27"/>
      <c r="AA2039" s="27"/>
      <c r="AB2039" s="27"/>
      <c r="AC2039" s="273">
        <v>533783358</v>
      </c>
      <c r="AD2039" s="27">
        <v>15328314220.185898</v>
      </c>
      <c r="AE2039" s="228">
        <v>3.4823356980577765E-2</v>
      </c>
      <c r="AF2039" s="27">
        <v>3640321344.1519489</v>
      </c>
      <c r="AG2039" s="226">
        <v>0.1466308349007443</v>
      </c>
      <c r="AH2039" s="226">
        <v>0.77558188409904982</v>
      </c>
      <c r="AI2039" s="27">
        <v>1267060000</v>
      </c>
      <c r="AJ2039" s="226">
        <v>0.42127709658579704</v>
      </c>
      <c r="AK2039" s="27">
        <v>545729915.24264538</v>
      </c>
      <c r="AL2039" s="226">
        <v>0.97810902992676585</v>
      </c>
      <c r="AM2039" s="27" t="s">
        <v>2842</v>
      </c>
      <c r="AN2039" s="271" t="s">
        <v>2842</v>
      </c>
      <c r="AO2039" s="27">
        <v>12825031</v>
      </c>
      <c r="AP2039" s="27" t="s">
        <v>2842</v>
      </c>
      <c r="AQ2039" s="27">
        <v>53.11336585365855</v>
      </c>
      <c r="AR2039" s="27">
        <v>64.8</v>
      </c>
      <c r="AS2039" s="29">
        <v>92.220600000000005</v>
      </c>
      <c r="AT2039" s="270">
        <v>38</v>
      </c>
      <c r="AU2039" s="464">
        <v>60.803535044296524</v>
      </c>
      <c r="AV2039" s="29">
        <v>-0.319576629576935</v>
      </c>
      <c r="AW2039" s="29">
        <v>0.53465903763662503</v>
      </c>
      <c r="AX2039" s="29">
        <v>-0.79114014249250797</v>
      </c>
      <c r="AY2039" s="29">
        <v>-0.50244949982849896</v>
      </c>
      <c r="AZ2039" s="60">
        <v>-0.51320912303131205</v>
      </c>
    </row>
    <row r="2040" spans="1:52" ht="15" customHeight="1">
      <c r="A2040" s="59" t="s">
        <v>536</v>
      </c>
      <c r="B2040" s="27">
        <v>2009</v>
      </c>
      <c r="C2040" s="27" t="s">
        <v>534</v>
      </c>
      <c r="D2040" s="27" t="s">
        <v>81</v>
      </c>
      <c r="E2040" s="27" t="s">
        <v>19</v>
      </c>
      <c r="F2040" s="27" t="s">
        <v>2237</v>
      </c>
      <c r="G2040" s="595">
        <v>11000000</v>
      </c>
      <c r="H2040" s="595">
        <v>196385185</v>
      </c>
      <c r="I2040" s="43"/>
      <c r="J2040" s="43"/>
      <c r="K2040" s="18" t="s">
        <v>905</v>
      </c>
      <c r="L2040" s="28">
        <v>3200</v>
      </c>
      <c r="M2040" s="27" t="s">
        <v>906</v>
      </c>
      <c r="N2040" s="68" t="s">
        <v>2238</v>
      </c>
      <c r="O2040" s="18">
        <f>G2040*L2040</f>
        <v>35200000000</v>
      </c>
      <c r="P2040" s="214"/>
      <c r="Q2040" s="214"/>
      <c r="R2040" s="27"/>
      <c r="S2040" s="27"/>
      <c r="T2040" s="18"/>
      <c r="U2040" s="27"/>
      <c r="V2040" s="27"/>
      <c r="W2040" s="30"/>
      <c r="X2040" s="27"/>
      <c r="Y2040" s="27"/>
      <c r="Z2040" s="27"/>
      <c r="AA2040" s="27"/>
      <c r="AB2040" s="27"/>
      <c r="AC2040" s="273">
        <v>533783358</v>
      </c>
      <c r="AD2040" s="27">
        <v>15328314220.185898</v>
      </c>
      <c r="AE2040" s="228">
        <v>3.4823356980577765E-2</v>
      </c>
      <c r="AF2040" s="27">
        <v>3640321344.1519489</v>
      </c>
      <c r="AG2040" s="226">
        <v>0.1466308349007443</v>
      </c>
      <c r="AH2040" s="226">
        <v>0.77558188409904982</v>
      </c>
      <c r="AI2040" s="27">
        <v>1267060000</v>
      </c>
      <c r="AJ2040" s="226">
        <v>0.42127709658579704</v>
      </c>
      <c r="AK2040" s="27">
        <v>545729915.24264538</v>
      </c>
      <c r="AL2040" s="226">
        <v>0.97810902992676585</v>
      </c>
      <c r="AM2040" s="27" t="s">
        <v>2842</v>
      </c>
      <c r="AN2040" s="271" t="s">
        <v>2842</v>
      </c>
      <c r="AO2040" s="27">
        <v>12825031</v>
      </c>
      <c r="AP2040" s="27" t="s">
        <v>2842</v>
      </c>
      <c r="AQ2040" s="27">
        <v>53.11336585365855</v>
      </c>
      <c r="AR2040" s="27">
        <v>64.8</v>
      </c>
      <c r="AS2040" s="29">
        <v>92.220600000000005</v>
      </c>
      <c r="AT2040" s="270">
        <v>38</v>
      </c>
      <c r="AU2040" s="464">
        <v>60.803535044296524</v>
      </c>
      <c r="AV2040" s="29">
        <v>-0.319576629576935</v>
      </c>
      <c r="AW2040" s="29">
        <v>0.53465903763662503</v>
      </c>
      <c r="AX2040" s="29">
        <v>-0.79114014249250797</v>
      </c>
      <c r="AY2040" s="29">
        <v>-0.50244949982849896</v>
      </c>
      <c r="AZ2040" s="60">
        <v>-0.51320912303131205</v>
      </c>
    </row>
    <row r="2041" spans="1:52" ht="15" customHeight="1">
      <c r="A2041" s="59" t="s">
        <v>536</v>
      </c>
      <c r="B2041" s="27">
        <v>2009</v>
      </c>
      <c r="C2041" s="27" t="s">
        <v>534</v>
      </c>
      <c r="D2041" s="27" t="s">
        <v>81</v>
      </c>
      <c r="E2041" s="27" t="s">
        <v>19</v>
      </c>
      <c r="F2041" s="27" t="s">
        <v>730</v>
      </c>
      <c r="G2041" s="43">
        <f>3300*32.1507431265</f>
        <v>106097.45231744999</v>
      </c>
      <c r="H2041" s="43">
        <v>99936</v>
      </c>
      <c r="I2041" s="43"/>
      <c r="J2041" s="43"/>
      <c r="K2041" s="27" t="s">
        <v>731</v>
      </c>
      <c r="L2041" s="28">
        <v>972.96591666666995</v>
      </c>
      <c r="M2041" s="27" t="s">
        <v>732</v>
      </c>
      <c r="N2041" s="27" t="s">
        <v>733</v>
      </c>
      <c r="O2041" s="18">
        <f>G2041*L2041</f>
        <v>103229204.95004603</v>
      </c>
      <c r="P2041" s="214"/>
      <c r="Q2041" s="214"/>
      <c r="R2041" s="27"/>
      <c r="S2041" s="27"/>
      <c r="T2041" s="18"/>
      <c r="U2041" s="27"/>
      <c r="V2041" s="27"/>
      <c r="W2041" s="30"/>
      <c r="X2041" s="27"/>
      <c r="Y2041" s="27"/>
      <c r="Z2041" s="27"/>
      <c r="AA2041" s="27"/>
      <c r="AB2041" s="27"/>
      <c r="AC2041" s="273">
        <v>533783358</v>
      </c>
      <c r="AD2041" s="27">
        <v>15328314220.185898</v>
      </c>
      <c r="AE2041" s="228">
        <v>3.4823356980577765E-2</v>
      </c>
      <c r="AF2041" s="27">
        <v>3640321344.1519489</v>
      </c>
      <c r="AG2041" s="226">
        <v>0.1466308349007443</v>
      </c>
      <c r="AH2041" s="226">
        <v>0.77558188409904982</v>
      </c>
      <c r="AI2041" s="27">
        <v>1267060000</v>
      </c>
      <c r="AJ2041" s="226">
        <v>0.42127709658579704</v>
      </c>
      <c r="AK2041" s="27">
        <v>545729915.24264538</v>
      </c>
      <c r="AL2041" s="226">
        <v>0.97810902992676585</v>
      </c>
      <c r="AM2041" s="27" t="s">
        <v>2842</v>
      </c>
      <c r="AN2041" s="271" t="s">
        <v>2842</v>
      </c>
      <c r="AO2041" s="27">
        <v>12825031</v>
      </c>
      <c r="AP2041" s="27" t="s">
        <v>2842</v>
      </c>
      <c r="AQ2041" s="27">
        <v>53.11336585365855</v>
      </c>
      <c r="AR2041" s="27">
        <v>64.8</v>
      </c>
      <c r="AS2041" s="29">
        <v>92.220600000000005</v>
      </c>
      <c r="AT2041" s="270">
        <v>38</v>
      </c>
      <c r="AU2041" s="464">
        <v>60.803535044296524</v>
      </c>
      <c r="AV2041" s="29">
        <v>-0.319576629576935</v>
      </c>
      <c r="AW2041" s="29">
        <v>0.53465903763662503</v>
      </c>
      <c r="AX2041" s="29">
        <v>-0.79114014249250797</v>
      </c>
      <c r="AY2041" s="29">
        <v>-0.50244949982849896</v>
      </c>
      <c r="AZ2041" s="60">
        <v>-0.51320912303131205</v>
      </c>
    </row>
    <row r="2042" spans="1:52" ht="15" customHeight="1">
      <c r="A2042" s="59" t="s">
        <v>536</v>
      </c>
      <c r="B2042" s="27">
        <v>2009</v>
      </c>
      <c r="C2042" s="27" t="s">
        <v>534</v>
      </c>
      <c r="D2042" s="27" t="s">
        <v>81</v>
      </c>
      <c r="E2042" s="27" t="s">
        <v>19</v>
      </c>
      <c r="F2042" s="27" t="s">
        <v>653</v>
      </c>
      <c r="G2042" s="595">
        <v>3070000</v>
      </c>
      <c r="H2042" s="595">
        <v>938947</v>
      </c>
      <c r="I2042" s="43"/>
      <c r="J2042" s="43"/>
      <c r="K2042" s="27" t="s">
        <v>567</v>
      </c>
      <c r="L2042" s="28">
        <v>8.8699999999999992</v>
      </c>
      <c r="M2042" s="27" t="s">
        <v>568</v>
      </c>
      <c r="N2042" s="27" t="s">
        <v>1759</v>
      </c>
      <c r="O2042" s="18">
        <f>G2042*L2042</f>
        <v>27230899.999999996</v>
      </c>
      <c r="P2042" s="214"/>
      <c r="Q2042" s="214"/>
      <c r="R2042" s="18"/>
      <c r="S2042" s="27"/>
      <c r="T2042" s="18"/>
      <c r="U2042" s="18"/>
      <c r="V2042" s="18"/>
      <c r="W2042" s="30"/>
      <c r="X2042" s="27"/>
      <c r="Y2042" s="27"/>
      <c r="Z2042" s="27"/>
      <c r="AA2042" s="27"/>
      <c r="AB2042" s="27"/>
      <c r="AC2042" s="273">
        <v>533783358</v>
      </c>
      <c r="AD2042" s="27">
        <v>15328314220.185898</v>
      </c>
      <c r="AE2042" s="228">
        <v>3.4823356980577765E-2</v>
      </c>
      <c r="AF2042" s="27">
        <v>3640321344.1519489</v>
      </c>
      <c r="AG2042" s="226">
        <v>0.1466308349007443</v>
      </c>
      <c r="AH2042" s="226">
        <v>0.77558188409904982</v>
      </c>
      <c r="AI2042" s="27">
        <v>1267060000</v>
      </c>
      <c r="AJ2042" s="226">
        <v>0.42127709658579704</v>
      </c>
      <c r="AK2042" s="27">
        <v>545729915.24264538</v>
      </c>
      <c r="AL2042" s="226">
        <v>0.97810902992676585</v>
      </c>
      <c r="AM2042" s="27" t="s">
        <v>2842</v>
      </c>
      <c r="AN2042" s="271" t="s">
        <v>2842</v>
      </c>
      <c r="AO2042" s="27">
        <v>12825031</v>
      </c>
      <c r="AP2042" s="27" t="s">
        <v>2842</v>
      </c>
      <c r="AQ2042" s="27">
        <v>53.11336585365855</v>
      </c>
      <c r="AR2042" s="27">
        <v>64.8</v>
      </c>
      <c r="AS2042" s="29">
        <v>92.220600000000005</v>
      </c>
      <c r="AT2042" s="270">
        <v>38</v>
      </c>
      <c r="AU2042" s="464">
        <v>60.803535044296524</v>
      </c>
      <c r="AV2042" s="29">
        <v>-0.319576629576935</v>
      </c>
      <c r="AW2042" s="29">
        <v>0.53465903763662503</v>
      </c>
      <c r="AX2042" s="29">
        <v>-0.79114014249250797</v>
      </c>
      <c r="AY2042" s="29">
        <v>-0.50244949982849896</v>
      </c>
      <c r="AZ2042" s="60">
        <v>-0.51320912303131205</v>
      </c>
    </row>
    <row r="2043" spans="1:52" ht="15" customHeight="1">
      <c r="A2043" s="59" t="s">
        <v>536</v>
      </c>
      <c r="B2043" s="27">
        <v>2009</v>
      </c>
      <c r="C2043" s="27" t="s">
        <v>534</v>
      </c>
      <c r="D2043" s="27" t="s">
        <v>81</v>
      </c>
      <c r="E2043" s="27" t="s">
        <v>19</v>
      </c>
      <c r="F2043" s="27" t="s">
        <v>2239</v>
      </c>
      <c r="G2043" s="43"/>
      <c r="H2043" s="43">
        <v>16611</v>
      </c>
      <c r="I2043" s="43"/>
      <c r="J2043" s="43"/>
      <c r="K2043" s="27"/>
      <c r="L2043" s="28">
        <v>7.95</v>
      </c>
      <c r="M2043" s="27" t="s">
        <v>568</v>
      </c>
      <c r="N2043" s="27" t="s">
        <v>785</v>
      </c>
      <c r="O2043" s="18">
        <f>G2045*L2043</f>
        <v>103350</v>
      </c>
      <c r="P2043" s="214"/>
      <c r="Q2043" s="214"/>
      <c r="R2043" s="18"/>
      <c r="S2043" s="27"/>
      <c r="T2043" s="18"/>
      <c r="U2043" s="18"/>
      <c r="V2043" s="18"/>
      <c r="W2043" s="30"/>
      <c r="X2043" s="27"/>
      <c r="Y2043" s="27"/>
      <c r="Z2043" s="27"/>
      <c r="AA2043" s="27"/>
      <c r="AB2043" s="27"/>
      <c r="AC2043" s="273">
        <v>533783358</v>
      </c>
      <c r="AD2043" s="27">
        <v>15328314220.185898</v>
      </c>
      <c r="AE2043" s="228">
        <v>3.4823356980577765E-2</v>
      </c>
      <c r="AF2043" s="27">
        <v>3640321344.1519489</v>
      </c>
      <c r="AG2043" s="226">
        <v>0.1466308349007443</v>
      </c>
      <c r="AH2043" s="226">
        <v>0.77558188409904982</v>
      </c>
      <c r="AI2043" s="27">
        <v>1267060000</v>
      </c>
      <c r="AJ2043" s="226">
        <v>0.42127709658579704</v>
      </c>
      <c r="AK2043" s="27">
        <v>545729915.24264538</v>
      </c>
      <c r="AL2043" s="226">
        <v>0.97810902992676585</v>
      </c>
      <c r="AM2043" s="27" t="s">
        <v>2842</v>
      </c>
      <c r="AN2043" s="271" t="s">
        <v>2842</v>
      </c>
      <c r="AO2043" s="27">
        <v>12825031</v>
      </c>
      <c r="AP2043" s="27" t="s">
        <v>2842</v>
      </c>
      <c r="AQ2043" s="27">
        <v>53.11336585365855</v>
      </c>
      <c r="AR2043" s="27">
        <v>64.8</v>
      </c>
      <c r="AS2043" s="29">
        <v>92.220600000000005</v>
      </c>
      <c r="AT2043" s="270">
        <v>38</v>
      </c>
      <c r="AU2043" s="464">
        <v>60.803535044296524</v>
      </c>
      <c r="AV2043" s="29">
        <v>-0.319576629576935</v>
      </c>
      <c r="AW2043" s="29">
        <v>0.53465903763662503</v>
      </c>
      <c r="AX2043" s="29">
        <v>-0.79114014249250797</v>
      </c>
      <c r="AY2043" s="29">
        <v>-0.50244949982849896</v>
      </c>
      <c r="AZ2043" s="60">
        <v>-0.51320912303131205</v>
      </c>
    </row>
    <row r="2044" spans="1:52" ht="15" customHeight="1">
      <c r="A2044" s="59" t="s">
        <v>536</v>
      </c>
      <c r="B2044" s="27">
        <v>2009</v>
      </c>
      <c r="C2044" s="27" t="s">
        <v>534</v>
      </c>
      <c r="D2044" s="27" t="s">
        <v>81</v>
      </c>
      <c r="E2044" s="27" t="s">
        <v>19</v>
      </c>
      <c r="F2044" s="27" t="s">
        <v>982</v>
      </c>
      <c r="G2044" s="43">
        <v>40000</v>
      </c>
      <c r="H2044" s="43"/>
      <c r="I2044" s="43"/>
      <c r="J2044" s="43"/>
      <c r="K2044" s="27" t="s">
        <v>567</v>
      </c>
      <c r="L2044" s="28"/>
      <c r="M2044" s="27"/>
      <c r="N2044" s="27" t="s">
        <v>636</v>
      </c>
      <c r="O2044" s="18"/>
      <c r="P2044" s="214"/>
      <c r="Q2044" s="214"/>
      <c r="R2044" s="18"/>
      <c r="S2044" s="27"/>
      <c r="T2044" s="18"/>
      <c r="U2044" s="18"/>
      <c r="V2044" s="18"/>
      <c r="W2044" s="30"/>
      <c r="X2044" s="27"/>
      <c r="Y2044" s="27"/>
      <c r="Z2044" s="27"/>
      <c r="AA2044" s="27"/>
      <c r="AB2044" s="27"/>
      <c r="AC2044" s="273">
        <v>533783358</v>
      </c>
      <c r="AD2044" s="27">
        <v>15328314220.185898</v>
      </c>
      <c r="AE2044" s="228">
        <v>3.4823356980577765E-2</v>
      </c>
      <c r="AF2044" s="27">
        <v>3640321344.1519489</v>
      </c>
      <c r="AG2044" s="226">
        <v>0.1466308349007443</v>
      </c>
      <c r="AH2044" s="226">
        <v>0.77558188409904982</v>
      </c>
      <c r="AI2044" s="27">
        <v>1267060000</v>
      </c>
      <c r="AJ2044" s="226">
        <v>0.42127709658579704</v>
      </c>
      <c r="AK2044" s="27">
        <v>545729915.24264538</v>
      </c>
      <c r="AL2044" s="226">
        <v>0.97810902992676585</v>
      </c>
      <c r="AM2044" s="27" t="s">
        <v>2842</v>
      </c>
      <c r="AN2044" s="271" t="s">
        <v>2842</v>
      </c>
      <c r="AO2044" s="27">
        <v>12825031</v>
      </c>
      <c r="AP2044" s="27" t="s">
        <v>2842</v>
      </c>
      <c r="AQ2044" s="27">
        <v>53.11336585365855</v>
      </c>
      <c r="AR2044" s="27">
        <v>64.8</v>
      </c>
      <c r="AS2044" s="29">
        <v>92.220600000000005</v>
      </c>
      <c r="AT2044" s="270">
        <v>38</v>
      </c>
      <c r="AU2044" s="464">
        <v>60.803535044296524</v>
      </c>
      <c r="AV2044" s="29">
        <v>-0.319576629576935</v>
      </c>
      <c r="AW2044" s="29">
        <v>0.53465903763662503</v>
      </c>
      <c r="AX2044" s="29">
        <v>-0.79114014249250797</v>
      </c>
      <c r="AY2044" s="29">
        <v>-0.50244949982849896</v>
      </c>
      <c r="AZ2044" s="60">
        <v>-0.51320912303131205</v>
      </c>
    </row>
    <row r="2045" spans="1:52" ht="15" customHeight="1">
      <c r="A2045" s="59" t="s">
        <v>536</v>
      </c>
      <c r="B2045" s="27">
        <v>2009</v>
      </c>
      <c r="C2045" s="27" t="s">
        <v>534</v>
      </c>
      <c r="D2045" s="27" t="s">
        <v>81</v>
      </c>
      <c r="E2045" s="27" t="s">
        <v>19</v>
      </c>
      <c r="F2045" s="27" t="s">
        <v>1321</v>
      </c>
      <c r="G2045" s="43">
        <v>13000</v>
      </c>
      <c r="H2045" s="43"/>
      <c r="I2045" s="43"/>
      <c r="J2045" s="43"/>
      <c r="K2045" s="27" t="s">
        <v>567</v>
      </c>
      <c r="L2045" s="28"/>
      <c r="M2045" s="27"/>
      <c r="N2045" s="27" t="s">
        <v>636</v>
      </c>
      <c r="O2045" s="18"/>
      <c r="P2045" s="214"/>
      <c r="Q2045" s="214"/>
      <c r="R2045" s="18"/>
      <c r="S2045" s="27"/>
      <c r="T2045" s="18"/>
      <c r="U2045" s="18"/>
      <c r="V2045" s="18"/>
      <c r="W2045" s="30"/>
      <c r="X2045" s="27"/>
      <c r="Y2045" s="27"/>
      <c r="Z2045" s="27"/>
      <c r="AA2045" s="27"/>
      <c r="AB2045" s="27"/>
      <c r="AC2045" s="273">
        <v>533783358</v>
      </c>
      <c r="AD2045" s="27">
        <v>15328314220.185898</v>
      </c>
      <c r="AE2045" s="228">
        <v>3.4823356980577765E-2</v>
      </c>
      <c r="AF2045" s="27">
        <v>3640321344.1519489</v>
      </c>
      <c r="AG2045" s="226">
        <v>0.1466308349007443</v>
      </c>
      <c r="AH2045" s="226">
        <v>0.77558188409904982</v>
      </c>
      <c r="AI2045" s="27">
        <v>1267060000</v>
      </c>
      <c r="AJ2045" s="226">
        <v>0.42127709658579704</v>
      </c>
      <c r="AK2045" s="27">
        <v>545729915.24264538</v>
      </c>
      <c r="AL2045" s="226">
        <v>0.97810902992676585</v>
      </c>
      <c r="AM2045" s="27" t="s">
        <v>2842</v>
      </c>
      <c r="AN2045" s="271" t="s">
        <v>2842</v>
      </c>
      <c r="AO2045" s="27">
        <v>12825031</v>
      </c>
      <c r="AP2045" s="27" t="s">
        <v>2842</v>
      </c>
      <c r="AQ2045" s="27">
        <v>53.11336585365855</v>
      </c>
      <c r="AR2045" s="27">
        <v>64.8</v>
      </c>
      <c r="AS2045" s="29">
        <v>92.220600000000005</v>
      </c>
      <c r="AT2045" s="270">
        <v>38</v>
      </c>
      <c r="AU2045" s="464">
        <v>60.803535044296524</v>
      </c>
      <c r="AV2045" s="29">
        <v>-0.319576629576935</v>
      </c>
      <c r="AW2045" s="29">
        <v>0.53465903763662503</v>
      </c>
      <c r="AX2045" s="29">
        <v>-0.79114014249250797</v>
      </c>
      <c r="AY2045" s="29">
        <v>-0.50244949982849896</v>
      </c>
      <c r="AZ2045" s="60">
        <v>-0.51320912303131205</v>
      </c>
    </row>
    <row r="2046" spans="1:52" s="287" customFormat="1" ht="15" customHeight="1">
      <c r="A2046" s="344" t="s">
        <v>536</v>
      </c>
      <c r="B2046" s="284">
        <v>2009</v>
      </c>
      <c r="C2046" s="284" t="s">
        <v>534</v>
      </c>
      <c r="D2046" s="284" t="s">
        <v>81</v>
      </c>
      <c r="E2046" s="284" t="s">
        <v>19</v>
      </c>
      <c r="F2046" s="284" t="s">
        <v>2228</v>
      </c>
      <c r="G2046" s="303">
        <v>280</v>
      </c>
      <c r="H2046" s="303">
        <v>116</v>
      </c>
      <c r="I2046" s="303"/>
      <c r="J2046" s="303"/>
      <c r="K2046" s="284" t="s">
        <v>567</v>
      </c>
      <c r="L2046" s="367">
        <v>14654.629499999999</v>
      </c>
      <c r="M2046" s="284" t="s">
        <v>568</v>
      </c>
      <c r="N2046" s="284" t="s">
        <v>1554</v>
      </c>
      <c r="O2046" s="305">
        <f>G2046*L2046</f>
        <v>4103296.26</v>
      </c>
      <c r="P2046" s="346"/>
      <c r="Q2046" s="346"/>
      <c r="R2046" s="305"/>
      <c r="S2046" s="284"/>
      <c r="T2046" s="305"/>
      <c r="U2046" s="284"/>
      <c r="V2046" s="305"/>
      <c r="W2046" s="307"/>
      <c r="X2046" s="284"/>
      <c r="Y2046" s="284"/>
      <c r="Z2046" s="284"/>
      <c r="AA2046" s="284"/>
      <c r="AB2046" s="284"/>
      <c r="AC2046" s="308">
        <v>533783358</v>
      </c>
      <c r="AD2046" s="284">
        <v>15328314220.185898</v>
      </c>
      <c r="AE2046" s="309">
        <v>3.4823356980577765E-2</v>
      </c>
      <c r="AF2046" s="284">
        <v>3640321344.1519489</v>
      </c>
      <c r="AG2046" s="310">
        <v>0.1466308349007443</v>
      </c>
      <c r="AH2046" s="310">
        <v>0.77558188409904982</v>
      </c>
      <c r="AI2046" s="284">
        <v>1267060000</v>
      </c>
      <c r="AJ2046" s="310">
        <v>0.42127709658579704</v>
      </c>
      <c r="AK2046" s="284">
        <v>545729915.24264538</v>
      </c>
      <c r="AL2046" s="310">
        <v>0.97810902992676585</v>
      </c>
      <c r="AM2046" s="284" t="s">
        <v>2842</v>
      </c>
      <c r="AN2046" s="311" t="s">
        <v>2842</v>
      </c>
      <c r="AO2046" s="284">
        <v>12825031</v>
      </c>
      <c r="AP2046" s="284" t="s">
        <v>2842</v>
      </c>
      <c r="AQ2046" s="284">
        <v>53.11336585365855</v>
      </c>
      <c r="AR2046" s="284">
        <v>64.8</v>
      </c>
      <c r="AS2046" s="287">
        <v>92.220600000000005</v>
      </c>
      <c r="AT2046" s="312">
        <v>38</v>
      </c>
      <c r="AU2046" s="465">
        <v>60.803535044296524</v>
      </c>
      <c r="AV2046" s="287">
        <v>-0.319576629576935</v>
      </c>
      <c r="AW2046" s="287">
        <v>0.53465903763662503</v>
      </c>
      <c r="AX2046" s="287">
        <v>-0.79114014249250797</v>
      </c>
      <c r="AY2046" s="287">
        <v>-0.50244949982849896</v>
      </c>
      <c r="AZ2046" s="313">
        <v>-0.51320912303131205</v>
      </c>
    </row>
    <row r="2047" spans="1:52" s="29" customFormat="1" ht="15" customHeight="1">
      <c r="A2047" s="332" t="s">
        <v>538</v>
      </c>
      <c r="B2047" s="27">
        <v>2010</v>
      </c>
      <c r="C2047" s="27" t="s">
        <v>534</v>
      </c>
      <c r="D2047" s="27" t="s">
        <v>81</v>
      </c>
      <c r="E2047" s="27" t="s">
        <v>19</v>
      </c>
      <c r="F2047" s="27" t="s">
        <v>659</v>
      </c>
      <c r="G2047" s="43"/>
      <c r="H2047" s="43"/>
      <c r="I2047" s="43"/>
      <c r="J2047" s="43"/>
      <c r="K2047" s="27"/>
      <c r="L2047" s="28"/>
      <c r="M2047" s="27"/>
      <c r="N2047" s="27"/>
      <c r="O2047" s="18">
        <f>SUM(O2048:O2067)</f>
        <v>157220004123.46591</v>
      </c>
      <c r="P2047" s="253">
        <v>757063737</v>
      </c>
      <c r="Q2047" s="253">
        <v>758825945</v>
      </c>
      <c r="R2047" s="27" t="s">
        <v>619</v>
      </c>
      <c r="S2047" s="27"/>
      <c r="T2047" s="18"/>
      <c r="U2047" s="27" t="s">
        <v>590</v>
      </c>
      <c r="V2047" s="27" t="s">
        <v>2205</v>
      </c>
      <c r="W2047" s="30">
        <v>5000</v>
      </c>
      <c r="X2047" s="27">
        <v>22</v>
      </c>
      <c r="Y2047" s="27" t="s">
        <v>2240</v>
      </c>
      <c r="Z2047" s="27">
        <v>20</v>
      </c>
      <c r="AA2047" s="27">
        <v>9</v>
      </c>
      <c r="AB2047" s="27" t="s">
        <v>2242</v>
      </c>
      <c r="AC2047" s="273">
        <v>757063737</v>
      </c>
      <c r="AD2047" s="27">
        <v>20265396325.594734</v>
      </c>
      <c r="AE2047" s="228">
        <v>3.7357460216252754E-2</v>
      </c>
      <c r="AF2047" s="27">
        <v>4722850613.6798525</v>
      </c>
      <c r="AG2047" s="226">
        <v>0.16029804855718841</v>
      </c>
      <c r="AH2047" s="226">
        <v>0.80614603267526574</v>
      </c>
      <c r="AI2047" s="27">
        <v>914370000</v>
      </c>
      <c r="AJ2047" s="226">
        <v>0.82796213458446799</v>
      </c>
      <c r="AK2047" s="27">
        <v>753535811.59887922</v>
      </c>
      <c r="AL2047" s="226">
        <v>1.004681828450376</v>
      </c>
      <c r="AM2047" s="27" t="s">
        <v>2842</v>
      </c>
      <c r="AN2047" s="271" t="s">
        <v>2842</v>
      </c>
      <c r="AO2047" s="27">
        <v>13216985</v>
      </c>
      <c r="AP2047" s="27">
        <v>60.5</v>
      </c>
      <c r="AQ2047" s="27">
        <v>54.527560975609767</v>
      </c>
      <c r="AR2047" s="27">
        <v>63.5</v>
      </c>
      <c r="AS2047" s="29">
        <v>89.567220000000006</v>
      </c>
      <c r="AT2047" s="270">
        <v>38</v>
      </c>
      <c r="AU2047" s="464">
        <v>60.803535044296524</v>
      </c>
      <c r="AV2047" s="29">
        <v>-0.25570042695842599</v>
      </c>
      <c r="AW2047" s="29">
        <v>0.46161488492609998</v>
      </c>
      <c r="AX2047" s="29">
        <v>-0.83001481515334596</v>
      </c>
      <c r="AY2047" s="29">
        <v>-0.478631304027406</v>
      </c>
      <c r="AZ2047" s="60">
        <v>-0.56542897489310295</v>
      </c>
    </row>
    <row r="2048" spans="1:52" s="29" customFormat="1" ht="15" customHeight="1">
      <c r="A2048" s="59" t="s">
        <v>538</v>
      </c>
      <c r="B2048" s="27">
        <v>2010</v>
      </c>
      <c r="C2048" s="27" t="s">
        <v>534</v>
      </c>
      <c r="D2048" s="27" t="s">
        <v>81</v>
      </c>
      <c r="E2048" s="27" t="s">
        <v>19</v>
      </c>
      <c r="F2048" s="27" t="s">
        <v>2233</v>
      </c>
      <c r="G2048" s="43">
        <v>1300000</v>
      </c>
      <c r="H2048" s="43"/>
      <c r="I2048" s="43"/>
      <c r="J2048" s="43"/>
      <c r="K2048" s="27" t="s">
        <v>894</v>
      </c>
      <c r="L2048" s="18">
        <f>17.5/0.0002</f>
        <v>87500</v>
      </c>
      <c r="M2048" s="27" t="s">
        <v>1743</v>
      </c>
      <c r="N2048" s="68" t="s">
        <v>2243</v>
      </c>
      <c r="O2048" s="18">
        <f>G2048*L2048</f>
        <v>113750000000</v>
      </c>
      <c r="P2048" s="253"/>
      <c r="Q2048" s="253"/>
      <c r="R2048" s="27"/>
      <c r="S2048" s="27"/>
      <c r="T2048" s="18"/>
      <c r="U2048" s="27"/>
      <c r="V2048" s="27"/>
      <c r="W2048" s="30"/>
      <c r="X2048" s="27"/>
      <c r="Y2048" s="27"/>
      <c r="Z2048" s="27"/>
      <c r="AA2048" s="27">
        <v>36</v>
      </c>
      <c r="AB2048" s="27"/>
      <c r="AC2048" s="273">
        <v>757063737</v>
      </c>
      <c r="AD2048" s="27">
        <v>20265396325.594734</v>
      </c>
      <c r="AE2048" s="228">
        <v>3.7357460216252754E-2</v>
      </c>
      <c r="AF2048" s="27">
        <v>4722850613.6798525</v>
      </c>
      <c r="AG2048" s="226">
        <v>0.16029804855718841</v>
      </c>
      <c r="AH2048" s="226">
        <v>0.80614603267526574</v>
      </c>
      <c r="AI2048" s="27">
        <v>914370000</v>
      </c>
      <c r="AJ2048" s="226">
        <v>0.82796213458446799</v>
      </c>
      <c r="AK2048" s="27">
        <v>753535811.59887922</v>
      </c>
      <c r="AL2048" s="226">
        <v>1.004681828450376</v>
      </c>
      <c r="AM2048" s="27" t="s">
        <v>2842</v>
      </c>
      <c r="AN2048" s="271" t="s">
        <v>2842</v>
      </c>
      <c r="AO2048" s="27">
        <v>13216985</v>
      </c>
      <c r="AP2048" s="27">
        <v>60.5</v>
      </c>
      <c r="AQ2048" s="27">
        <v>54.527560975609767</v>
      </c>
      <c r="AR2048" s="27">
        <v>63.5</v>
      </c>
      <c r="AS2048" s="29">
        <v>89.567220000000006</v>
      </c>
      <c r="AT2048" s="270">
        <v>38</v>
      </c>
      <c r="AU2048" s="464">
        <v>60.803535044296524</v>
      </c>
      <c r="AV2048" s="29">
        <v>-0.25570042695842599</v>
      </c>
      <c r="AW2048" s="29">
        <v>0.46161488492609998</v>
      </c>
      <c r="AX2048" s="29">
        <v>-0.83001481515334596</v>
      </c>
      <c r="AY2048" s="29">
        <v>-0.478631304027406</v>
      </c>
      <c r="AZ2048" s="60">
        <v>-0.56542897489310295</v>
      </c>
    </row>
    <row r="2049" spans="1:52" s="29" customFormat="1" ht="15" customHeight="1">
      <c r="A2049" s="59" t="s">
        <v>538</v>
      </c>
      <c r="B2049" s="27">
        <v>2010</v>
      </c>
      <c r="C2049" s="27" t="s">
        <v>534</v>
      </c>
      <c r="D2049" s="27" t="s">
        <v>81</v>
      </c>
      <c r="E2049" s="27" t="s">
        <v>19</v>
      </c>
      <c r="F2049" s="27" t="s">
        <v>2236</v>
      </c>
      <c r="G2049" s="43">
        <v>13000000</v>
      </c>
      <c r="H2049" s="43"/>
      <c r="I2049" s="43"/>
      <c r="J2049" s="43"/>
      <c r="K2049" s="27" t="s">
        <v>905</v>
      </c>
      <c r="L2049" s="28"/>
      <c r="M2049" s="27"/>
      <c r="N2049" s="27" t="s">
        <v>636</v>
      </c>
      <c r="O2049" s="18"/>
      <c r="P2049" s="253"/>
      <c r="Q2049" s="253"/>
      <c r="R2049" s="27"/>
      <c r="S2049" s="27"/>
      <c r="T2049" s="18"/>
      <c r="U2049" s="27"/>
      <c r="V2049" s="27"/>
      <c r="W2049" s="30"/>
      <c r="X2049" s="27"/>
      <c r="Y2049" s="27"/>
      <c r="Z2049" s="27"/>
      <c r="AA2049" s="27"/>
      <c r="AB2049" s="27"/>
      <c r="AC2049" s="273">
        <v>757063737</v>
      </c>
      <c r="AD2049" s="27">
        <v>20265396325.594734</v>
      </c>
      <c r="AE2049" s="228">
        <v>3.7357460216252754E-2</v>
      </c>
      <c r="AF2049" s="27">
        <v>4722850613.6798525</v>
      </c>
      <c r="AG2049" s="226">
        <v>0.16029804855718841</v>
      </c>
      <c r="AH2049" s="226">
        <v>0.80614603267526574</v>
      </c>
      <c r="AI2049" s="27">
        <v>914370000</v>
      </c>
      <c r="AJ2049" s="226">
        <v>0.82796213458446799</v>
      </c>
      <c r="AK2049" s="27">
        <v>753535811.59887922</v>
      </c>
      <c r="AL2049" s="226">
        <v>1.004681828450376</v>
      </c>
      <c r="AM2049" s="27" t="s">
        <v>2842</v>
      </c>
      <c r="AN2049" s="271" t="s">
        <v>2842</v>
      </c>
      <c r="AO2049" s="27">
        <v>13216985</v>
      </c>
      <c r="AP2049" s="27">
        <v>60.5</v>
      </c>
      <c r="AQ2049" s="27">
        <v>54.527560975609767</v>
      </c>
      <c r="AR2049" s="27">
        <v>63.5</v>
      </c>
      <c r="AS2049" s="29">
        <v>89.567220000000006</v>
      </c>
      <c r="AT2049" s="270">
        <v>38</v>
      </c>
      <c r="AU2049" s="464">
        <v>60.803535044296524</v>
      </c>
      <c r="AV2049" s="29">
        <v>-0.25570042695842599</v>
      </c>
      <c r="AW2049" s="29">
        <v>0.46161488492609998</v>
      </c>
      <c r="AX2049" s="29">
        <v>-0.83001481515334596</v>
      </c>
      <c r="AY2049" s="29">
        <v>-0.478631304027406</v>
      </c>
      <c r="AZ2049" s="60">
        <v>-0.56542897489310295</v>
      </c>
    </row>
    <row r="2050" spans="1:52" s="29" customFormat="1" ht="15" customHeight="1">
      <c r="A2050" s="59" t="s">
        <v>538</v>
      </c>
      <c r="B2050" s="27">
        <v>2010</v>
      </c>
      <c r="C2050" s="27" t="s">
        <v>534</v>
      </c>
      <c r="D2050" s="27" t="s">
        <v>81</v>
      </c>
      <c r="E2050" s="27" t="s">
        <v>19</v>
      </c>
      <c r="F2050" s="27" t="s">
        <v>566</v>
      </c>
      <c r="G2050" s="43">
        <v>1126728</v>
      </c>
      <c r="H2050" s="43"/>
      <c r="I2050" s="43"/>
      <c r="J2050" s="43"/>
      <c r="K2050" s="27" t="s">
        <v>567</v>
      </c>
      <c r="L2050" s="28">
        <v>92</v>
      </c>
      <c r="M2050" s="27" t="s">
        <v>568</v>
      </c>
      <c r="N2050" s="27" t="s">
        <v>1122</v>
      </c>
      <c r="O2050" s="18">
        <f>G2050*L2050</f>
        <v>103658976</v>
      </c>
      <c r="P2050" s="253"/>
      <c r="Q2050" s="253"/>
      <c r="R2050" s="27"/>
      <c r="S2050" s="27"/>
      <c r="T2050" s="18"/>
      <c r="U2050" s="27"/>
      <c r="V2050" s="27"/>
      <c r="W2050" s="30"/>
      <c r="X2050" s="27"/>
      <c r="Y2050" s="27"/>
      <c r="Z2050" s="27"/>
      <c r="AA2050" s="27"/>
      <c r="AB2050" s="27"/>
      <c r="AC2050" s="273">
        <v>757063737</v>
      </c>
      <c r="AD2050" s="27">
        <v>20265396325.594734</v>
      </c>
      <c r="AE2050" s="228">
        <v>3.7357460216252754E-2</v>
      </c>
      <c r="AF2050" s="27">
        <v>4722850613.6798525</v>
      </c>
      <c r="AG2050" s="226">
        <v>0.16029804855718841</v>
      </c>
      <c r="AH2050" s="226">
        <v>0.80614603267526574</v>
      </c>
      <c r="AI2050" s="27">
        <v>914370000</v>
      </c>
      <c r="AJ2050" s="226">
        <v>0.82796213458446799</v>
      </c>
      <c r="AK2050" s="27">
        <v>753535811.59887922</v>
      </c>
      <c r="AL2050" s="226">
        <v>1.004681828450376</v>
      </c>
      <c r="AM2050" s="27" t="s">
        <v>2842</v>
      </c>
      <c r="AN2050" s="271" t="s">
        <v>2842</v>
      </c>
      <c r="AO2050" s="27">
        <v>13216985</v>
      </c>
      <c r="AP2050" s="27">
        <v>60.5</v>
      </c>
      <c r="AQ2050" s="27">
        <v>54.527560975609767</v>
      </c>
      <c r="AR2050" s="27">
        <v>63.5</v>
      </c>
      <c r="AS2050" s="29">
        <v>89.567220000000006</v>
      </c>
      <c r="AT2050" s="270">
        <v>38</v>
      </c>
      <c r="AU2050" s="464">
        <v>60.803535044296524</v>
      </c>
      <c r="AV2050" s="29">
        <v>-0.25570042695842599</v>
      </c>
      <c r="AW2050" s="29">
        <v>0.46161488492609998</v>
      </c>
      <c r="AX2050" s="29">
        <v>-0.83001481515334596</v>
      </c>
      <c r="AY2050" s="29">
        <v>-0.478631304027406</v>
      </c>
      <c r="AZ2050" s="60">
        <v>-0.56542897489310295</v>
      </c>
    </row>
    <row r="2051" spans="1:52" s="29" customFormat="1" ht="15" customHeight="1">
      <c r="A2051" s="59" t="s">
        <v>538</v>
      </c>
      <c r="B2051" s="27">
        <v>2010</v>
      </c>
      <c r="C2051" s="27" t="s">
        <v>534</v>
      </c>
      <c r="D2051" s="27" t="s">
        <v>81</v>
      </c>
      <c r="E2051" s="27" t="s">
        <v>19</v>
      </c>
      <c r="F2051" s="27" t="s">
        <v>573</v>
      </c>
      <c r="G2051" s="43">
        <v>200000</v>
      </c>
      <c r="H2051" s="43"/>
      <c r="I2051" s="43"/>
      <c r="J2051" s="43"/>
      <c r="K2051" s="27" t="s">
        <v>567</v>
      </c>
      <c r="L2051" s="28">
        <v>89.852021850427363</v>
      </c>
      <c r="M2051" s="27" t="s">
        <v>568</v>
      </c>
      <c r="N2051" s="27" t="s">
        <v>1022</v>
      </c>
      <c r="O2051" s="18">
        <f>G2051*L2051</f>
        <v>17970404.370085474</v>
      </c>
      <c r="P2051" s="214"/>
      <c r="Q2051" s="214"/>
      <c r="R2051" s="27"/>
      <c r="S2051" s="27"/>
      <c r="T2051" s="18"/>
      <c r="U2051" s="27"/>
      <c r="V2051" s="27"/>
      <c r="W2051" s="30"/>
      <c r="X2051" s="27"/>
      <c r="Y2051" s="27"/>
      <c r="Z2051" s="27"/>
      <c r="AA2051" s="27">
        <v>36</v>
      </c>
      <c r="AB2051" s="27"/>
      <c r="AC2051" s="273">
        <v>757063737</v>
      </c>
      <c r="AD2051" s="27">
        <v>20265396325.594734</v>
      </c>
      <c r="AE2051" s="228">
        <v>3.7357460216252754E-2</v>
      </c>
      <c r="AF2051" s="27">
        <v>4722850613.6798525</v>
      </c>
      <c r="AG2051" s="226">
        <v>0.16029804855718841</v>
      </c>
      <c r="AH2051" s="226">
        <v>0.80614603267526574</v>
      </c>
      <c r="AI2051" s="27">
        <v>914370000</v>
      </c>
      <c r="AJ2051" s="226">
        <v>0.82796213458446799</v>
      </c>
      <c r="AK2051" s="27">
        <v>753535811.59887922</v>
      </c>
      <c r="AL2051" s="226">
        <v>1.004681828450376</v>
      </c>
      <c r="AM2051" s="27" t="s">
        <v>2842</v>
      </c>
      <c r="AN2051" s="271" t="s">
        <v>2842</v>
      </c>
      <c r="AO2051" s="27">
        <v>13216985</v>
      </c>
      <c r="AP2051" s="27">
        <v>60.5</v>
      </c>
      <c r="AQ2051" s="27">
        <v>54.527560975609767</v>
      </c>
      <c r="AR2051" s="27">
        <v>63.5</v>
      </c>
      <c r="AS2051" s="29">
        <v>89.567220000000006</v>
      </c>
      <c r="AT2051" s="270">
        <v>38</v>
      </c>
      <c r="AU2051" s="464">
        <v>60.803535044296524</v>
      </c>
      <c r="AV2051" s="29">
        <v>-0.25570042695842599</v>
      </c>
      <c r="AW2051" s="29">
        <v>0.46161488492609998</v>
      </c>
      <c r="AX2051" s="29">
        <v>-0.83001481515334596</v>
      </c>
      <c r="AY2051" s="29">
        <v>-0.478631304027406</v>
      </c>
      <c r="AZ2051" s="60">
        <v>-0.56542897489310295</v>
      </c>
    </row>
    <row r="2052" spans="1:52" s="29" customFormat="1" ht="15" customHeight="1">
      <c r="A2052" s="59" t="s">
        <v>538</v>
      </c>
      <c r="B2052" s="27">
        <v>2010</v>
      </c>
      <c r="C2052" s="27" t="s">
        <v>534</v>
      </c>
      <c r="D2052" s="27" t="s">
        <v>81</v>
      </c>
      <c r="E2052" s="27" t="s">
        <v>19</v>
      </c>
      <c r="F2052" s="27" t="s">
        <v>977</v>
      </c>
      <c r="G2052" s="43"/>
      <c r="H2052" s="43"/>
      <c r="I2052" s="43"/>
      <c r="J2052" s="43"/>
      <c r="K2052" s="27"/>
      <c r="L2052" s="28">
        <v>35160.39</v>
      </c>
      <c r="M2052" s="27" t="s">
        <v>568</v>
      </c>
      <c r="N2052" s="27" t="s">
        <v>2244</v>
      </c>
      <c r="O2052" s="18">
        <f>G2053*L2052</f>
        <v>217994418</v>
      </c>
      <c r="P2052" s="244"/>
      <c r="Q2052" s="244"/>
      <c r="R2052" s="27"/>
      <c r="S2052" s="27"/>
      <c r="T2052" s="18"/>
      <c r="U2052" s="27"/>
      <c r="V2052" s="27"/>
      <c r="W2052" s="30"/>
      <c r="X2052" s="27"/>
      <c r="Y2052" s="27"/>
      <c r="Z2052" s="27"/>
      <c r="AA2052" s="27">
        <v>36</v>
      </c>
      <c r="AB2052" s="27"/>
      <c r="AC2052" s="273">
        <v>757063737</v>
      </c>
      <c r="AD2052" s="27">
        <v>20265396325.594734</v>
      </c>
      <c r="AE2052" s="228">
        <v>3.7357460216252754E-2</v>
      </c>
      <c r="AF2052" s="27">
        <v>4722850613.6798525</v>
      </c>
      <c r="AG2052" s="226">
        <v>0.16029804855718841</v>
      </c>
      <c r="AH2052" s="226">
        <v>0.80614603267526574</v>
      </c>
      <c r="AI2052" s="27">
        <v>914370000</v>
      </c>
      <c r="AJ2052" s="226">
        <v>0.82796213458446799</v>
      </c>
      <c r="AK2052" s="27">
        <v>753535811.59887922</v>
      </c>
      <c r="AL2052" s="226">
        <v>1.004681828450376</v>
      </c>
      <c r="AM2052" s="27" t="s">
        <v>2842</v>
      </c>
      <c r="AN2052" s="271" t="s">
        <v>2842</v>
      </c>
      <c r="AO2052" s="27">
        <v>13216985</v>
      </c>
      <c r="AP2052" s="27">
        <v>60.5</v>
      </c>
      <c r="AQ2052" s="27">
        <v>54.527560975609767</v>
      </c>
      <c r="AR2052" s="27">
        <v>63.5</v>
      </c>
      <c r="AS2052" s="29">
        <v>89.567220000000006</v>
      </c>
      <c r="AT2052" s="270">
        <v>38</v>
      </c>
      <c r="AU2052" s="464">
        <v>60.803535044296524</v>
      </c>
      <c r="AV2052" s="29">
        <v>-0.25570042695842599</v>
      </c>
      <c r="AW2052" s="29">
        <v>0.46161488492609998</v>
      </c>
      <c r="AX2052" s="29">
        <v>-0.83001481515334596</v>
      </c>
      <c r="AY2052" s="29">
        <v>-0.478631304027406</v>
      </c>
      <c r="AZ2052" s="60">
        <v>-0.56542897489310295</v>
      </c>
    </row>
    <row r="2053" spans="1:52" s="29" customFormat="1" ht="15" customHeight="1">
      <c r="A2053" s="59" t="s">
        <v>538</v>
      </c>
      <c r="B2053" s="27">
        <v>2010</v>
      </c>
      <c r="C2053" s="27" t="s">
        <v>534</v>
      </c>
      <c r="D2053" s="27" t="s">
        <v>81</v>
      </c>
      <c r="E2053" s="27" t="s">
        <v>19</v>
      </c>
      <c r="F2053" s="27" t="s">
        <v>2213</v>
      </c>
      <c r="G2053" s="43">
        <v>6200</v>
      </c>
      <c r="H2053" s="43"/>
      <c r="I2053" s="43"/>
      <c r="J2053" s="43"/>
      <c r="K2053" s="71" t="s">
        <v>567</v>
      </c>
      <c r="L2053" s="28"/>
      <c r="M2053" s="71"/>
      <c r="N2053" s="27" t="s">
        <v>636</v>
      </c>
      <c r="O2053" s="18"/>
      <c r="P2053" s="244"/>
      <c r="Q2053" s="244"/>
      <c r="R2053" s="27"/>
      <c r="S2053" s="27"/>
      <c r="T2053" s="18"/>
      <c r="U2053" s="27"/>
      <c r="V2053" s="27"/>
      <c r="W2053" s="30"/>
      <c r="X2053" s="27"/>
      <c r="Y2053" s="27"/>
      <c r="Z2053" s="27"/>
      <c r="AA2053" s="27"/>
      <c r="AB2053" s="27"/>
      <c r="AC2053" s="273">
        <v>757063737</v>
      </c>
      <c r="AD2053" s="27">
        <v>20265396325.594734</v>
      </c>
      <c r="AE2053" s="228">
        <v>3.7357460216252754E-2</v>
      </c>
      <c r="AF2053" s="27">
        <v>4722850613.6798525</v>
      </c>
      <c r="AG2053" s="226">
        <v>0.16029804855718841</v>
      </c>
      <c r="AH2053" s="226">
        <v>0.80614603267526574</v>
      </c>
      <c r="AI2053" s="27">
        <v>914370000</v>
      </c>
      <c r="AJ2053" s="226">
        <v>0.82796213458446799</v>
      </c>
      <c r="AK2053" s="27">
        <v>753535811.59887922</v>
      </c>
      <c r="AL2053" s="226">
        <v>1.004681828450376</v>
      </c>
      <c r="AM2053" s="27" t="s">
        <v>2842</v>
      </c>
      <c r="AN2053" s="271" t="s">
        <v>2842</v>
      </c>
      <c r="AO2053" s="27">
        <v>13216985</v>
      </c>
      <c r="AP2053" s="27">
        <v>60.5</v>
      </c>
      <c r="AQ2053" s="27">
        <v>54.527560975609767</v>
      </c>
      <c r="AR2053" s="27">
        <v>63.5</v>
      </c>
      <c r="AS2053" s="29">
        <v>89.567220000000006</v>
      </c>
      <c r="AT2053" s="270">
        <v>38</v>
      </c>
      <c r="AU2053" s="464">
        <v>60.803535044296524</v>
      </c>
      <c r="AV2053" s="29">
        <v>-0.25570042695842599</v>
      </c>
      <c r="AW2053" s="29">
        <v>0.46161488492609998</v>
      </c>
      <c r="AX2053" s="29">
        <v>-0.83001481515334596</v>
      </c>
      <c r="AY2053" s="29">
        <v>-0.478631304027406</v>
      </c>
      <c r="AZ2053" s="60">
        <v>-0.56542897489310295</v>
      </c>
    </row>
    <row r="2054" spans="1:52" s="29" customFormat="1" ht="15" customHeight="1">
      <c r="A2054" s="59" t="s">
        <v>538</v>
      </c>
      <c r="B2054" s="27">
        <v>2010</v>
      </c>
      <c r="C2054" s="27" t="s">
        <v>534</v>
      </c>
      <c r="D2054" s="27" t="s">
        <v>81</v>
      </c>
      <c r="E2054" s="27" t="s">
        <v>19</v>
      </c>
      <c r="F2054" s="27" t="s">
        <v>1238</v>
      </c>
      <c r="G2054" s="43">
        <v>5026</v>
      </c>
      <c r="H2054" s="43"/>
      <c r="I2054" s="43"/>
      <c r="J2054" s="43"/>
      <c r="K2054" s="71" t="s">
        <v>567</v>
      </c>
      <c r="L2054" s="28"/>
      <c r="M2054" s="71"/>
      <c r="N2054" s="27" t="s">
        <v>636</v>
      </c>
      <c r="O2054" s="18"/>
      <c r="P2054" s="244"/>
      <c r="Q2054" s="244"/>
      <c r="R2054" s="27"/>
      <c r="S2054" s="27"/>
      <c r="T2054" s="18"/>
      <c r="U2054" s="27"/>
      <c r="V2054" s="27"/>
      <c r="W2054" s="30"/>
      <c r="X2054" s="27"/>
      <c r="Y2054" s="27"/>
      <c r="Z2054" s="27"/>
      <c r="AA2054" s="27"/>
      <c r="AB2054" s="27"/>
      <c r="AC2054" s="273">
        <v>757063737</v>
      </c>
      <c r="AD2054" s="27">
        <v>20265396325.594734</v>
      </c>
      <c r="AE2054" s="228">
        <v>3.7357460216252754E-2</v>
      </c>
      <c r="AF2054" s="27">
        <v>4722850613.6798525</v>
      </c>
      <c r="AG2054" s="226">
        <v>0.16029804855718841</v>
      </c>
      <c r="AH2054" s="226">
        <v>0.80614603267526574</v>
      </c>
      <c r="AI2054" s="27">
        <v>914370000</v>
      </c>
      <c r="AJ2054" s="226">
        <v>0.82796213458446799</v>
      </c>
      <c r="AK2054" s="27">
        <v>753535811.59887922</v>
      </c>
      <c r="AL2054" s="226">
        <v>1.004681828450376</v>
      </c>
      <c r="AM2054" s="27" t="s">
        <v>2842</v>
      </c>
      <c r="AN2054" s="271" t="s">
        <v>2842</v>
      </c>
      <c r="AO2054" s="27">
        <v>13216985</v>
      </c>
      <c r="AP2054" s="27">
        <v>60.5</v>
      </c>
      <c r="AQ2054" s="27">
        <v>54.527560975609767</v>
      </c>
      <c r="AR2054" s="27">
        <v>63.5</v>
      </c>
      <c r="AS2054" s="29">
        <v>89.567220000000006</v>
      </c>
      <c r="AT2054" s="270">
        <v>38</v>
      </c>
      <c r="AU2054" s="464">
        <v>60.803535044296524</v>
      </c>
      <c r="AV2054" s="29">
        <v>-0.25570042695842599</v>
      </c>
      <c r="AW2054" s="29">
        <v>0.46161488492609998</v>
      </c>
      <c r="AX2054" s="29">
        <v>-0.83001481515334596</v>
      </c>
      <c r="AY2054" s="29">
        <v>-0.478631304027406</v>
      </c>
      <c r="AZ2054" s="60">
        <v>-0.56542897489310295</v>
      </c>
    </row>
    <row r="2055" spans="1:52" s="29" customFormat="1" ht="15" customHeight="1">
      <c r="A2055" s="59" t="s">
        <v>538</v>
      </c>
      <c r="B2055" s="27">
        <v>2010</v>
      </c>
      <c r="C2055" s="27" t="s">
        <v>534</v>
      </c>
      <c r="D2055" s="27" t="s">
        <v>81</v>
      </c>
      <c r="E2055" s="27" t="s">
        <v>19</v>
      </c>
      <c r="F2055" s="27" t="s">
        <v>576</v>
      </c>
      <c r="G2055" s="43"/>
      <c r="H2055" s="43"/>
      <c r="I2055" s="43"/>
      <c r="J2055" s="43"/>
      <c r="K2055" s="71"/>
      <c r="L2055" s="44">
        <v>7534.7795833333303</v>
      </c>
      <c r="M2055" s="27" t="s">
        <v>568</v>
      </c>
      <c r="N2055" s="27" t="s">
        <v>633</v>
      </c>
      <c r="O2055" s="18">
        <f>SUM(G2057:G2058)*L2055</f>
        <v>7685475174.9999971</v>
      </c>
      <c r="P2055" s="244"/>
      <c r="Q2055" s="244"/>
      <c r="R2055" s="27"/>
      <c r="S2055" s="27"/>
      <c r="T2055" s="18"/>
      <c r="U2055" s="27"/>
      <c r="V2055" s="27"/>
      <c r="W2055" s="30"/>
      <c r="X2055" s="27"/>
      <c r="Y2055" s="27"/>
      <c r="Z2055" s="27"/>
      <c r="AA2055" s="27">
        <v>36</v>
      </c>
      <c r="AB2055" s="27"/>
      <c r="AC2055" s="273">
        <v>757063737</v>
      </c>
      <c r="AD2055" s="27">
        <v>20265396325.594734</v>
      </c>
      <c r="AE2055" s="228">
        <v>3.7357460216252754E-2</v>
      </c>
      <c r="AF2055" s="27">
        <v>4722850613.6798525</v>
      </c>
      <c r="AG2055" s="226">
        <v>0.16029804855718841</v>
      </c>
      <c r="AH2055" s="226">
        <v>0.80614603267526574</v>
      </c>
      <c r="AI2055" s="27">
        <v>914370000</v>
      </c>
      <c r="AJ2055" s="226">
        <v>0.82796213458446799</v>
      </c>
      <c r="AK2055" s="27">
        <v>753535811.59887922</v>
      </c>
      <c r="AL2055" s="226">
        <v>1.004681828450376</v>
      </c>
      <c r="AM2055" s="27" t="s">
        <v>2842</v>
      </c>
      <c r="AN2055" s="271" t="s">
        <v>2842</v>
      </c>
      <c r="AO2055" s="27">
        <v>13216985</v>
      </c>
      <c r="AP2055" s="27">
        <v>60.5</v>
      </c>
      <c r="AQ2055" s="27">
        <v>54.527560975609767</v>
      </c>
      <c r="AR2055" s="27">
        <v>63.5</v>
      </c>
      <c r="AS2055" s="29">
        <v>89.567220000000006</v>
      </c>
      <c r="AT2055" s="270">
        <v>38</v>
      </c>
      <c r="AU2055" s="464">
        <v>60.803535044296524</v>
      </c>
      <c r="AV2055" s="29">
        <v>-0.25570042695842599</v>
      </c>
      <c r="AW2055" s="29">
        <v>0.46161488492609998</v>
      </c>
      <c r="AX2055" s="29">
        <v>-0.83001481515334596</v>
      </c>
      <c r="AY2055" s="29">
        <v>-0.478631304027406</v>
      </c>
      <c r="AZ2055" s="60">
        <v>-0.56542897489310295</v>
      </c>
    </row>
    <row r="2056" spans="1:52" s="29" customFormat="1" ht="15" customHeight="1">
      <c r="A2056" s="59" t="s">
        <v>538</v>
      </c>
      <c r="B2056" s="27">
        <v>2010</v>
      </c>
      <c r="C2056" s="27" t="s">
        <v>534</v>
      </c>
      <c r="D2056" s="27" t="s">
        <v>81</v>
      </c>
      <c r="E2056" s="27" t="s">
        <v>19</v>
      </c>
      <c r="F2056" s="27" t="s">
        <v>1226</v>
      </c>
      <c r="G2056" s="43">
        <v>686000</v>
      </c>
      <c r="H2056" s="43"/>
      <c r="I2056" s="43"/>
      <c r="J2056" s="43"/>
      <c r="K2056" s="71" t="s">
        <v>567</v>
      </c>
      <c r="L2056" s="28"/>
      <c r="M2056" s="71"/>
      <c r="N2056" s="27" t="s">
        <v>636</v>
      </c>
      <c r="O2056" s="18"/>
      <c r="P2056" s="244"/>
      <c r="Q2056" s="244"/>
      <c r="R2056" s="27"/>
      <c r="S2056" s="27"/>
      <c r="T2056" s="18"/>
      <c r="U2056" s="27"/>
      <c r="V2056" s="27"/>
      <c r="W2056" s="30"/>
      <c r="X2056" s="27"/>
      <c r="Y2056" s="27"/>
      <c r="Z2056" s="27"/>
      <c r="AA2056" s="27"/>
      <c r="AB2056" s="27"/>
      <c r="AC2056" s="273">
        <v>757063737</v>
      </c>
      <c r="AD2056" s="27">
        <v>20265396325.594734</v>
      </c>
      <c r="AE2056" s="228">
        <v>3.7357460216252754E-2</v>
      </c>
      <c r="AF2056" s="27">
        <v>4722850613.6798525</v>
      </c>
      <c r="AG2056" s="226">
        <v>0.16029804855718841</v>
      </c>
      <c r="AH2056" s="226">
        <v>0.80614603267526574</v>
      </c>
      <c r="AI2056" s="27">
        <v>914370000</v>
      </c>
      <c r="AJ2056" s="226">
        <v>0.82796213458446799</v>
      </c>
      <c r="AK2056" s="27">
        <v>753535811.59887922</v>
      </c>
      <c r="AL2056" s="226">
        <v>1.004681828450376</v>
      </c>
      <c r="AM2056" s="27" t="s">
        <v>2842</v>
      </c>
      <c r="AN2056" s="271" t="s">
        <v>2842</v>
      </c>
      <c r="AO2056" s="27">
        <v>13216985</v>
      </c>
      <c r="AP2056" s="27">
        <v>60.5</v>
      </c>
      <c r="AQ2056" s="27">
        <v>54.527560975609767</v>
      </c>
      <c r="AR2056" s="27">
        <v>63.5</v>
      </c>
      <c r="AS2056" s="29">
        <v>89.567220000000006</v>
      </c>
      <c r="AT2056" s="270">
        <v>38</v>
      </c>
      <c r="AU2056" s="464">
        <v>60.803535044296524</v>
      </c>
      <c r="AV2056" s="29">
        <v>-0.25570042695842599</v>
      </c>
      <c r="AW2056" s="29">
        <v>0.46161488492609998</v>
      </c>
      <c r="AX2056" s="29">
        <v>-0.83001481515334596</v>
      </c>
      <c r="AY2056" s="29">
        <v>-0.478631304027406</v>
      </c>
      <c r="AZ2056" s="60">
        <v>-0.56542897489310295</v>
      </c>
    </row>
    <row r="2057" spans="1:52" s="29" customFormat="1" ht="15" customHeight="1">
      <c r="A2057" s="59" t="s">
        <v>538</v>
      </c>
      <c r="B2057" s="27">
        <v>2010</v>
      </c>
      <c r="C2057" s="27" t="s">
        <v>534</v>
      </c>
      <c r="D2057" s="27" t="s">
        <v>81</v>
      </c>
      <c r="E2057" s="27" t="s">
        <v>19</v>
      </c>
      <c r="F2057" s="27" t="s">
        <v>1227</v>
      </c>
      <c r="G2057" s="43">
        <v>490000</v>
      </c>
      <c r="H2057" s="43"/>
      <c r="I2057" s="43"/>
      <c r="J2057" s="43"/>
      <c r="K2057" s="71" t="s">
        <v>567</v>
      </c>
      <c r="L2057" s="28"/>
      <c r="M2057" s="71"/>
      <c r="N2057" s="27" t="s">
        <v>636</v>
      </c>
      <c r="O2057" s="18"/>
      <c r="P2057" s="244"/>
      <c r="Q2057" s="244"/>
      <c r="R2057" s="27"/>
      <c r="S2057" s="27"/>
      <c r="T2057" s="18"/>
      <c r="U2057" s="27"/>
      <c r="V2057" s="27"/>
      <c r="W2057" s="30"/>
      <c r="X2057" s="27"/>
      <c r="Y2057" s="27"/>
      <c r="Z2057" s="27"/>
      <c r="AA2057" s="27"/>
      <c r="AB2057" s="27"/>
      <c r="AC2057" s="273">
        <v>757063737</v>
      </c>
      <c r="AD2057" s="27">
        <v>20265396325.594734</v>
      </c>
      <c r="AE2057" s="228">
        <v>3.7357460216252754E-2</v>
      </c>
      <c r="AF2057" s="27">
        <v>4722850613.6798525</v>
      </c>
      <c r="AG2057" s="226">
        <v>0.16029804855718841</v>
      </c>
      <c r="AH2057" s="226">
        <v>0.80614603267526574</v>
      </c>
      <c r="AI2057" s="27">
        <v>914370000</v>
      </c>
      <c r="AJ2057" s="226">
        <v>0.82796213458446799</v>
      </c>
      <c r="AK2057" s="27">
        <v>753535811.59887922</v>
      </c>
      <c r="AL2057" s="226">
        <v>1.004681828450376</v>
      </c>
      <c r="AM2057" s="27" t="s">
        <v>2842</v>
      </c>
      <c r="AN2057" s="271" t="s">
        <v>2842</v>
      </c>
      <c r="AO2057" s="27">
        <v>13216985</v>
      </c>
      <c r="AP2057" s="27">
        <v>60.5</v>
      </c>
      <c r="AQ2057" s="27">
        <v>54.527560975609767</v>
      </c>
      <c r="AR2057" s="27">
        <v>63.5</v>
      </c>
      <c r="AS2057" s="29">
        <v>89.567220000000006</v>
      </c>
      <c r="AT2057" s="270">
        <v>38</v>
      </c>
      <c r="AU2057" s="464">
        <v>60.803535044296524</v>
      </c>
      <c r="AV2057" s="29">
        <v>-0.25570042695842599</v>
      </c>
      <c r="AW2057" s="29">
        <v>0.46161488492609998</v>
      </c>
      <c r="AX2057" s="29">
        <v>-0.83001481515334596</v>
      </c>
      <c r="AY2057" s="29">
        <v>-0.478631304027406</v>
      </c>
      <c r="AZ2057" s="60">
        <v>-0.56542897489310295</v>
      </c>
    </row>
    <row r="2058" spans="1:52" s="29" customFormat="1" ht="15" customHeight="1">
      <c r="A2058" s="59" t="s">
        <v>538</v>
      </c>
      <c r="B2058" s="27">
        <v>2010</v>
      </c>
      <c r="C2058" s="27" t="s">
        <v>534</v>
      </c>
      <c r="D2058" s="27" t="s">
        <v>81</v>
      </c>
      <c r="E2058" s="27" t="s">
        <v>19</v>
      </c>
      <c r="F2058" s="27" t="s">
        <v>1228</v>
      </c>
      <c r="G2058" s="43">
        <v>530000</v>
      </c>
      <c r="H2058" s="43"/>
      <c r="I2058" s="43"/>
      <c r="J2058" s="43"/>
      <c r="K2058" s="71" t="s">
        <v>567</v>
      </c>
      <c r="L2058" s="28"/>
      <c r="M2058" s="71"/>
      <c r="N2058" s="27" t="s">
        <v>636</v>
      </c>
      <c r="O2058" s="18"/>
      <c r="P2058" s="244"/>
      <c r="Q2058" s="244"/>
      <c r="R2058" s="27"/>
      <c r="S2058" s="27"/>
      <c r="T2058" s="18"/>
      <c r="U2058" s="27"/>
      <c r="V2058" s="27"/>
      <c r="W2058" s="30"/>
      <c r="X2058" s="27"/>
      <c r="Y2058" s="27"/>
      <c r="Z2058" s="27"/>
      <c r="AA2058" s="27"/>
      <c r="AB2058" s="27"/>
      <c r="AC2058" s="273">
        <v>757063737</v>
      </c>
      <c r="AD2058" s="27">
        <v>20265396325.594734</v>
      </c>
      <c r="AE2058" s="228">
        <v>3.7357460216252754E-2</v>
      </c>
      <c r="AF2058" s="27">
        <v>4722850613.6798525</v>
      </c>
      <c r="AG2058" s="226">
        <v>0.16029804855718841</v>
      </c>
      <c r="AH2058" s="226">
        <v>0.80614603267526574</v>
      </c>
      <c r="AI2058" s="27">
        <v>914370000</v>
      </c>
      <c r="AJ2058" s="226">
        <v>0.82796213458446799</v>
      </c>
      <c r="AK2058" s="27">
        <v>753535811.59887922</v>
      </c>
      <c r="AL2058" s="226">
        <v>1.004681828450376</v>
      </c>
      <c r="AM2058" s="27" t="s">
        <v>2842</v>
      </c>
      <c r="AN2058" s="271" t="s">
        <v>2842</v>
      </c>
      <c r="AO2058" s="27">
        <v>13216985</v>
      </c>
      <c r="AP2058" s="27">
        <v>60.5</v>
      </c>
      <c r="AQ2058" s="27">
        <v>54.527560975609767</v>
      </c>
      <c r="AR2058" s="27">
        <v>63.5</v>
      </c>
      <c r="AS2058" s="29">
        <v>89.567220000000006</v>
      </c>
      <c r="AT2058" s="270">
        <v>38</v>
      </c>
      <c r="AU2058" s="464">
        <v>60.803535044296524</v>
      </c>
      <c r="AV2058" s="29">
        <v>-0.25570042695842599</v>
      </c>
      <c r="AW2058" s="29">
        <v>0.46161488492609998</v>
      </c>
      <c r="AX2058" s="29">
        <v>-0.83001481515334596</v>
      </c>
      <c r="AY2058" s="29">
        <v>-0.478631304027406</v>
      </c>
      <c r="AZ2058" s="60">
        <v>-0.56542897489310295</v>
      </c>
    </row>
    <row r="2059" spans="1:52" s="29" customFormat="1" ht="15" customHeight="1">
      <c r="A2059" s="59" t="s">
        <v>538</v>
      </c>
      <c r="B2059" s="27">
        <v>2010</v>
      </c>
      <c r="C2059" s="27" t="s">
        <v>534</v>
      </c>
      <c r="D2059" s="27" t="s">
        <v>81</v>
      </c>
      <c r="E2059" s="27" t="s">
        <v>19</v>
      </c>
      <c r="F2059" s="27" t="s">
        <v>2237</v>
      </c>
      <c r="G2059" s="43">
        <v>11000000</v>
      </c>
      <c r="H2059" s="43"/>
      <c r="I2059" s="43"/>
      <c r="J2059" s="43"/>
      <c r="K2059" s="18" t="s">
        <v>905</v>
      </c>
      <c r="L2059" s="18">
        <v>3200</v>
      </c>
      <c r="M2059" s="27" t="s">
        <v>906</v>
      </c>
      <c r="N2059" s="68" t="s">
        <v>2245</v>
      </c>
      <c r="O2059" s="18">
        <f>G2059*L2059</f>
        <v>35200000000</v>
      </c>
      <c r="P2059" s="214"/>
      <c r="Q2059" s="214"/>
      <c r="R2059" s="27"/>
      <c r="S2059" s="27"/>
      <c r="T2059" s="18"/>
      <c r="U2059" s="27"/>
      <c r="V2059" s="27"/>
      <c r="W2059" s="30"/>
      <c r="X2059" s="27"/>
      <c r="Y2059" s="27"/>
      <c r="Z2059" s="27"/>
      <c r="AA2059" s="27">
        <v>36</v>
      </c>
      <c r="AB2059" s="27"/>
      <c r="AC2059" s="273">
        <v>757063737</v>
      </c>
      <c r="AD2059" s="27">
        <v>20265396325.594734</v>
      </c>
      <c r="AE2059" s="228">
        <v>3.7357460216252754E-2</v>
      </c>
      <c r="AF2059" s="27">
        <v>4722850613.6798525</v>
      </c>
      <c r="AG2059" s="226">
        <v>0.16029804855718841</v>
      </c>
      <c r="AH2059" s="226">
        <v>0.80614603267526574</v>
      </c>
      <c r="AI2059" s="27">
        <v>914370000</v>
      </c>
      <c r="AJ2059" s="226">
        <v>0.82796213458446799</v>
      </c>
      <c r="AK2059" s="27">
        <v>753535811.59887922</v>
      </c>
      <c r="AL2059" s="226">
        <v>1.004681828450376</v>
      </c>
      <c r="AM2059" s="27" t="s">
        <v>2842</v>
      </c>
      <c r="AN2059" s="271" t="s">
        <v>2842</v>
      </c>
      <c r="AO2059" s="27">
        <v>13216985</v>
      </c>
      <c r="AP2059" s="27">
        <v>60.5</v>
      </c>
      <c r="AQ2059" s="27">
        <v>54.527560975609767</v>
      </c>
      <c r="AR2059" s="27">
        <v>63.5</v>
      </c>
      <c r="AS2059" s="29">
        <v>89.567220000000006</v>
      </c>
      <c r="AT2059" s="270">
        <v>38</v>
      </c>
      <c r="AU2059" s="464">
        <v>60.803535044296524</v>
      </c>
      <c r="AV2059" s="29">
        <v>-0.25570042695842599</v>
      </c>
      <c r="AW2059" s="29">
        <v>0.46161488492609998</v>
      </c>
      <c r="AX2059" s="29">
        <v>-0.83001481515334596</v>
      </c>
      <c r="AY2059" s="29">
        <v>-0.478631304027406</v>
      </c>
      <c r="AZ2059" s="60">
        <v>-0.56542897489310295</v>
      </c>
    </row>
    <row r="2060" spans="1:52" s="29" customFormat="1" ht="15" customHeight="1">
      <c r="A2060" s="59" t="s">
        <v>538</v>
      </c>
      <c r="B2060" s="27">
        <v>2010</v>
      </c>
      <c r="C2060" s="27" t="s">
        <v>534</v>
      </c>
      <c r="D2060" s="27" t="s">
        <v>81</v>
      </c>
      <c r="E2060" s="27" t="s">
        <v>19</v>
      </c>
      <c r="F2060" s="27" t="s">
        <v>730</v>
      </c>
      <c r="G2060" s="43">
        <f>3600*32.1507431265</f>
        <v>115742.67525539998</v>
      </c>
      <c r="H2060" s="43"/>
      <c r="I2060" s="43"/>
      <c r="J2060" s="43"/>
      <c r="K2060" s="27" t="s">
        <v>731</v>
      </c>
      <c r="L2060" s="28">
        <v>1224.66425</v>
      </c>
      <c r="M2060" s="27" t="s">
        <v>732</v>
      </c>
      <c r="N2060" s="27" t="s">
        <v>733</v>
      </c>
      <c r="O2060" s="18">
        <f>G2060*L2060</f>
        <v>141745916.58464798</v>
      </c>
      <c r="P2060" s="214"/>
      <c r="Q2060" s="214"/>
      <c r="R2060" s="27"/>
      <c r="S2060" s="27"/>
      <c r="T2060" s="18"/>
      <c r="U2060" s="27"/>
      <c r="V2060" s="27"/>
      <c r="W2060" s="30"/>
      <c r="X2060" s="27"/>
      <c r="Y2060" s="27"/>
      <c r="Z2060" s="27"/>
      <c r="AA2060" s="27">
        <v>36</v>
      </c>
      <c r="AB2060" s="27"/>
      <c r="AC2060" s="273">
        <v>757063737</v>
      </c>
      <c r="AD2060" s="27">
        <v>20265396325.594734</v>
      </c>
      <c r="AE2060" s="228">
        <v>3.7357460216252754E-2</v>
      </c>
      <c r="AF2060" s="27">
        <v>4722850613.6798525</v>
      </c>
      <c r="AG2060" s="226">
        <v>0.16029804855718841</v>
      </c>
      <c r="AH2060" s="226">
        <v>0.80614603267526574</v>
      </c>
      <c r="AI2060" s="27">
        <v>914370000</v>
      </c>
      <c r="AJ2060" s="226">
        <v>0.82796213458446799</v>
      </c>
      <c r="AK2060" s="27">
        <v>753535811.59887922</v>
      </c>
      <c r="AL2060" s="226">
        <v>1.004681828450376</v>
      </c>
      <c r="AM2060" s="27" t="s">
        <v>2842</v>
      </c>
      <c r="AN2060" s="271" t="s">
        <v>2842</v>
      </c>
      <c r="AO2060" s="27">
        <v>13216985</v>
      </c>
      <c r="AP2060" s="27">
        <v>60.5</v>
      </c>
      <c r="AQ2060" s="27">
        <v>54.527560975609767</v>
      </c>
      <c r="AR2060" s="27">
        <v>63.5</v>
      </c>
      <c r="AS2060" s="29">
        <v>89.567220000000006</v>
      </c>
      <c r="AT2060" s="270">
        <v>38</v>
      </c>
      <c r="AU2060" s="464">
        <v>60.803535044296524</v>
      </c>
      <c r="AV2060" s="29">
        <v>-0.25570042695842599</v>
      </c>
      <c r="AW2060" s="29">
        <v>0.46161488492609998</v>
      </c>
      <c r="AX2060" s="29">
        <v>-0.83001481515334596</v>
      </c>
      <c r="AY2060" s="29">
        <v>-0.478631304027406</v>
      </c>
      <c r="AZ2060" s="60">
        <v>-0.56542897489310295</v>
      </c>
    </row>
    <row r="2061" spans="1:52" s="29" customFormat="1" ht="15" customHeight="1">
      <c r="A2061" s="59" t="s">
        <v>538</v>
      </c>
      <c r="B2061" s="27">
        <v>2010</v>
      </c>
      <c r="C2061" s="27" t="s">
        <v>534</v>
      </c>
      <c r="D2061" s="27" t="s">
        <v>81</v>
      </c>
      <c r="E2061" s="27" t="s">
        <v>19</v>
      </c>
      <c r="F2061" s="27" t="s">
        <v>1934</v>
      </c>
      <c r="G2061" s="43">
        <v>140000</v>
      </c>
      <c r="H2061" s="43"/>
      <c r="I2061" s="43"/>
      <c r="J2061" s="43"/>
      <c r="K2061" s="27" t="s">
        <v>567</v>
      </c>
      <c r="L2061" s="28">
        <v>114.2</v>
      </c>
      <c r="M2061" s="27" t="s">
        <v>568</v>
      </c>
      <c r="N2061" s="27" t="s">
        <v>1429</v>
      </c>
      <c r="O2061" s="18">
        <f>G2061*L2061</f>
        <v>15988000</v>
      </c>
      <c r="P2061" s="214"/>
      <c r="Q2061" s="214"/>
      <c r="R2061" s="27"/>
      <c r="S2061" s="27"/>
      <c r="T2061" s="18"/>
      <c r="U2061" s="27"/>
      <c r="V2061" s="27"/>
      <c r="W2061" s="30"/>
      <c r="X2061" s="27"/>
      <c r="Y2061" s="27"/>
      <c r="Z2061" s="27"/>
      <c r="AA2061" s="27"/>
      <c r="AB2061" s="27"/>
      <c r="AC2061" s="273">
        <v>757063737</v>
      </c>
      <c r="AD2061" s="27">
        <v>20265396325.594734</v>
      </c>
      <c r="AE2061" s="228">
        <v>3.7357460216252754E-2</v>
      </c>
      <c r="AF2061" s="27">
        <v>4722850613.6798525</v>
      </c>
      <c r="AG2061" s="226">
        <v>0.16029804855718841</v>
      </c>
      <c r="AH2061" s="226">
        <v>0.80614603267526574</v>
      </c>
      <c r="AI2061" s="27">
        <v>914370000</v>
      </c>
      <c r="AJ2061" s="226">
        <v>0.82796213458446799</v>
      </c>
      <c r="AK2061" s="27">
        <v>753535811.59887922</v>
      </c>
      <c r="AL2061" s="226">
        <v>1.004681828450376</v>
      </c>
      <c r="AM2061" s="27" t="s">
        <v>2842</v>
      </c>
      <c r="AN2061" s="271" t="s">
        <v>2842</v>
      </c>
      <c r="AO2061" s="27">
        <v>13216985</v>
      </c>
      <c r="AP2061" s="27">
        <v>60.5</v>
      </c>
      <c r="AQ2061" s="27">
        <v>54.527560975609767</v>
      </c>
      <c r="AR2061" s="27">
        <v>63.5</v>
      </c>
      <c r="AS2061" s="29">
        <v>89.567220000000006</v>
      </c>
      <c r="AT2061" s="270">
        <v>38</v>
      </c>
      <c r="AU2061" s="464">
        <v>60.803535044296524</v>
      </c>
      <c r="AV2061" s="29">
        <v>-0.25570042695842599</v>
      </c>
      <c r="AW2061" s="29">
        <v>0.46161488492609998</v>
      </c>
      <c r="AX2061" s="29">
        <v>-0.83001481515334596</v>
      </c>
      <c r="AY2061" s="29">
        <v>-0.478631304027406</v>
      </c>
      <c r="AZ2061" s="60">
        <v>-0.56542897489310295</v>
      </c>
    </row>
    <row r="2062" spans="1:52" s="29" customFormat="1" ht="15" customHeight="1">
      <c r="A2062" s="59" t="s">
        <v>538</v>
      </c>
      <c r="B2062" s="27">
        <v>2010</v>
      </c>
      <c r="C2062" s="27" t="s">
        <v>534</v>
      </c>
      <c r="D2062" s="27" t="s">
        <v>81</v>
      </c>
      <c r="E2062" s="27" t="s">
        <v>19</v>
      </c>
      <c r="F2062" s="27" t="s">
        <v>653</v>
      </c>
      <c r="G2062" s="43">
        <v>3150000</v>
      </c>
      <c r="H2062" s="43"/>
      <c r="I2062" s="43"/>
      <c r="J2062" s="43"/>
      <c r="K2062" s="27" t="s">
        <v>567</v>
      </c>
      <c r="L2062" s="28">
        <v>9.0299999999999994</v>
      </c>
      <c r="M2062" s="27" t="s">
        <v>568</v>
      </c>
      <c r="N2062" s="27" t="s">
        <v>654</v>
      </c>
      <c r="O2062" s="18">
        <f>G2062*L2062</f>
        <v>28444499.999999996</v>
      </c>
      <c r="P2062" s="214"/>
      <c r="Q2062" s="214"/>
      <c r="R2062" s="18"/>
      <c r="S2062" s="27"/>
      <c r="T2062" s="18"/>
      <c r="U2062" s="18"/>
      <c r="V2062" s="18"/>
      <c r="W2062" s="30"/>
      <c r="X2062" s="27"/>
      <c r="Y2062" s="27"/>
      <c r="Z2062" s="27"/>
      <c r="AA2062" s="27">
        <v>36</v>
      </c>
      <c r="AB2062" s="27"/>
      <c r="AC2062" s="273">
        <v>757063737</v>
      </c>
      <c r="AD2062" s="27">
        <v>20265396325.594734</v>
      </c>
      <c r="AE2062" s="228">
        <v>3.7357460216252754E-2</v>
      </c>
      <c r="AF2062" s="27">
        <v>4722850613.6798525</v>
      </c>
      <c r="AG2062" s="226">
        <v>0.16029804855718841</v>
      </c>
      <c r="AH2062" s="226">
        <v>0.80614603267526574</v>
      </c>
      <c r="AI2062" s="27">
        <v>914370000</v>
      </c>
      <c r="AJ2062" s="226">
        <v>0.82796213458446799</v>
      </c>
      <c r="AK2062" s="27">
        <v>753535811.59887922</v>
      </c>
      <c r="AL2062" s="226">
        <v>1.004681828450376</v>
      </c>
      <c r="AM2062" s="27" t="s">
        <v>2842</v>
      </c>
      <c r="AN2062" s="271" t="s">
        <v>2842</v>
      </c>
      <c r="AO2062" s="27">
        <v>13216985</v>
      </c>
      <c r="AP2062" s="27">
        <v>60.5</v>
      </c>
      <c r="AQ2062" s="27">
        <v>54.527560975609767</v>
      </c>
      <c r="AR2062" s="27">
        <v>63.5</v>
      </c>
      <c r="AS2062" s="29">
        <v>89.567220000000006</v>
      </c>
      <c r="AT2062" s="270">
        <v>38</v>
      </c>
      <c r="AU2062" s="464">
        <v>60.803535044296524</v>
      </c>
      <c r="AV2062" s="29">
        <v>-0.25570042695842599</v>
      </c>
      <c r="AW2062" s="29">
        <v>0.46161488492609998</v>
      </c>
      <c r="AX2062" s="29">
        <v>-0.83001481515334596</v>
      </c>
      <c r="AY2062" s="29">
        <v>-0.478631304027406</v>
      </c>
      <c r="AZ2062" s="60">
        <v>-0.56542897489310295</v>
      </c>
    </row>
    <row r="2063" spans="1:52" s="29" customFormat="1" ht="15" customHeight="1">
      <c r="A2063" s="59" t="s">
        <v>538</v>
      </c>
      <c r="B2063" s="27">
        <v>2010</v>
      </c>
      <c r="C2063" s="27" t="s">
        <v>534</v>
      </c>
      <c r="D2063" s="27" t="s">
        <v>81</v>
      </c>
      <c r="E2063" s="27" t="s">
        <v>19</v>
      </c>
      <c r="F2063" s="27" t="s">
        <v>2246</v>
      </c>
      <c r="G2063" s="43"/>
      <c r="H2063" s="43"/>
      <c r="I2063" s="43"/>
      <c r="J2063" s="43"/>
      <c r="K2063" s="27"/>
      <c r="L2063" s="28">
        <v>9.64</v>
      </c>
      <c r="M2063" s="27" t="s">
        <v>568</v>
      </c>
      <c r="N2063" s="27" t="s">
        <v>785</v>
      </c>
      <c r="O2063" s="18">
        <f>G2065*L2063</f>
        <v>385600</v>
      </c>
      <c r="P2063" s="214"/>
      <c r="Q2063" s="214"/>
      <c r="R2063" s="18"/>
      <c r="S2063" s="27"/>
      <c r="T2063" s="18"/>
      <c r="U2063" s="18"/>
      <c r="V2063" s="18"/>
      <c r="W2063" s="30"/>
      <c r="X2063" s="27"/>
      <c r="Y2063" s="27"/>
      <c r="Z2063" s="27"/>
      <c r="AA2063" s="27">
        <v>36</v>
      </c>
      <c r="AB2063" s="27"/>
      <c r="AC2063" s="273">
        <v>757063737</v>
      </c>
      <c r="AD2063" s="27">
        <v>20265396325.594734</v>
      </c>
      <c r="AE2063" s="228">
        <v>3.7357460216252754E-2</v>
      </c>
      <c r="AF2063" s="27">
        <v>4722850613.6798525</v>
      </c>
      <c r="AG2063" s="226">
        <v>0.16029804855718841</v>
      </c>
      <c r="AH2063" s="226">
        <v>0.80614603267526574</v>
      </c>
      <c r="AI2063" s="27">
        <v>914370000</v>
      </c>
      <c r="AJ2063" s="226">
        <v>0.82796213458446799</v>
      </c>
      <c r="AK2063" s="27">
        <v>753535811.59887922</v>
      </c>
      <c r="AL2063" s="226">
        <v>1.004681828450376</v>
      </c>
      <c r="AM2063" s="27" t="s">
        <v>2842</v>
      </c>
      <c r="AN2063" s="271" t="s">
        <v>2842</v>
      </c>
      <c r="AO2063" s="27">
        <v>13216985</v>
      </c>
      <c r="AP2063" s="27">
        <v>60.5</v>
      </c>
      <c r="AQ2063" s="27">
        <v>54.527560975609767</v>
      </c>
      <c r="AR2063" s="27">
        <v>63.5</v>
      </c>
      <c r="AS2063" s="29">
        <v>89.567220000000006</v>
      </c>
      <c r="AT2063" s="270">
        <v>38</v>
      </c>
      <c r="AU2063" s="464">
        <v>60.803535044296524</v>
      </c>
      <c r="AV2063" s="29">
        <v>-0.25570042695842599</v>
      </c>
      <c r="AW2063" s="29">
        <v>0.46161488492609998</v>
      </c>
      <c r="AX2063" s="29">
        <v>-0.83001481515334596</v>
      </c>
      <c r="AY2063" s="29">
        <v>-0.478631304027406</v>
      </c>
      <c r="AZ2063" s="60">
        <v>-0.56542897489310295</v>
      </c>
    </row>
    <row r="2064" spans="1:52" s="29" customFormat="1" ht="15" customHeight="1">
      <c r="A2064" s="59" t="s">
        <v>538</v>
      </c>
      <c r="B2064" s="27">
        <v>2010</v>
      </c>
      <c r="C2064" s="27" t="s">
        <v>534</v>
      </c>
      <c r="D2064" s="27" t="s">
        <v>81</v>
      </c>
      <c r="E2064" s="27" t="s">
        <v>19</v>
      </c>
      <c r="F2064" s="27" t="s">
        <v>982</v>
      </c>
      <c r="G2064" s="43">
        <v>120000</v>
      </c>
      <c r="H2064" s="43"/>
      <c r="I2064" s="43"/>
      <c r="J2064" s="43"/>
      <c r="K2064" s="27" t="s">
        <v>567</v>
      </c>
      <c r="L2064" s="28"/>
      <c r="M2064" s="27"/>
      <c r="N2064" s="27" t="s">
        <v>636</v>
      </c>
      <c r="O2064" s="18"/>
      <c r="P2064" s="214"/>
      <c r="Q2064" s="214"/>
      <c r="R2064" s="18"/>
      <c r="S2064" s="27"/>
      <c r="T2064" s="18"/>
      <c r="U2064" s="18"/>
      <c r="V2064" s="18"/>
      <c r="W2064" s="30"/>
      <c r="X2064" s="27"/>
      <c r="Y2064" s="27"/>
      <c r="Z2064" s="27"/>
      <c r="AA2064" s="27"/>
      <c r="AB2064" s="27"/>
      <c r="AC2064" s="273">
        <v>757063737</v>
      </c>
      <c r="AD2064" s="27">
        <v>20265396325.594734</v>
      </c>
      <c r="AE2064" s="228">
        <v>3.7357460216252754E-2</v>
      </c>
      <c r="AF2064" s="27">
        <v>4722850613.6798525</v>
      </c>
      <c r="AG2064" s="226">
        <v>0.16029804855718841</v>
      </c>
      <c r="AH2064" s="226">
        <v>0.80614603267526574</v>
      </c>
      <c r="AI2064" s="27">
        <v>914370000</v>
      </c>
      <c r="AJ2064" s="226">
        <v>0.82796213458446799</v>
      </c>
      <c r="AK2064" s="27">
        <v>753535811.59887922</v>
      </c>
      <c r="AL2064" s="226">
        <v>1.004681828450376</v>
      </c>
      <c r="AM2064" s="27" t="s">
        <v>2842</v>
      </c>
      <c r="AN2064" s="271" t="s">
        <v>2842</v>
      </c>
      <c r="AO2064" s="27">
        <v>13216985</v>
      </c>
      <c r="AP2064" s="27">
        <v>60.5</v>
      </c>
      <c r="AQ2064" s="27">
        <v>54.527560975609767</v>
      </c>
      <c r="AR2064" s="27">
        <v>63.5</v>
      </c>
      <c r="AS2064" s="29">
        <v>89.567220000000006</v>
      </c>
      <c r="AT2064" s="270">
        <v>38</v>
      </c>
      <c r="AU2064" s="464">
        <v>60.803535044296524</v>
      </c>
      <c r="AV2064" s="29">
        <v>-0.25570042695842599</v>
      </c>
      <c r="AW2064" s="29">
        <v>0.46161488492609998</v>
      </c>
      <c r="AX2064" s="29">
        <v>-0.83001481515334596</v>
      </c>
      <c r="AY2064" s="29">
        <v>-0.478631304027406</v>
      </c>
      <c r="AZ2064" s="60">
        <v>-0.56542897489310295</v>
      </c>
    </row>
    <row r="2065" spans="1:52" s="29" customFormat="1" ht="15" customHeight="1">
      <c r="A2065" s="59" t="s">
        <v>538</v>
      </c>
      <c r="B2065" s="27">
        <v>2010</v>
      </c>
      <c r="C2065" s="27" t="s">
        <v>534</v>
      </c>
      <c r="D2065" s="27" t="s">
        <v>81</v>
      </c>
      <c r="E2065" s="27" t="s">
        <v>19</v>
      </c>
      <c r="F2065" s="27" t="s">
        <v>1321</v>
      </c>
      <c r="G2065" s="43">
        <v>40000</v>
      </c>
      <c r="H2065" s="43"/>
      <c r="I2065" s="43"/>
      <c r="J2065" s="43"/>
      <c r="K2065" s="27" t="s">
        <v>567</v>
      </c>
      <c r="L2065" s="28"/>
      <c r="M2065" s="27"/>
      <c r="N2065" s="27" t="s">
        <v>636</v>
      </c>
      <c r="O2065" s="18"/>
      <c r="P2065" s="214"/>
      <c r="Q2065" s="214"/>
      <c r="R2065" s="18"/>
      <c r="S2065" s="27"/>
      <c r="T2065" s="18"/>
      <c r="U2065" s="18"/>
      <c r="V2065" s="18"/>
      <c r="W2065" s="30"/>
      <c r="X2065" s="27"/>
      <c r="Y2065" s="27"/>
      <c r="Z2065" s="27"/>
      <c r="AA2065" s="27"/>
      <c r="AB2065" s="27"/>
      <c r="AC2065" s="273">
        <v>757063737</v>
      </c>
      <c r="AD2065" s="27">
        <v>20265396325.594734</v>
      </c>
      <c r="AE2065" s="228">
        <v>3.7357460216252754E-2</v>
      </c>
      <c r="AF2065" s="27">
        <v>4722850613.6798525</v>
      </c>
      <c r="AG2065" s="226">
        <v>0.16029804855718841</v>
      </c>
      <c r="AH2065" s="226">
        <v>0.80614603267526574</v>
      </c>
      <c r="AI2065" s="27">
        <v>914370000</v>
      </c>
      <c r="AJ2065" s="226">
        <v>0.82796213458446799</v>
      </c>
      <c r="AK2065" s="27">
        <v>753535811.59887922</v>
      </c>
      <c r="AL2065" s="226">
        <v>1.004681828450376</v>
      </c>
      <c r="AM2065" s="27" t="s">
        <v>2842</v>
      </c>
      <c r="AN2065" s="271" t="s">
        <v>2842</v>
      </c>
      <c r="AO2065" s="27">
        <v>13216985</v>
      </c>
      <c r="AP2065" s="27">
        <v>60.5</v>
      </c>
      <c r="AQ2065" s="27">
        <v>54.527560975609767</v>
      </c>
      <c r="AR2065" s="27">
        <v>63.5</v>
      </c>
      <c r="AS2065" s="29">
        <v>89.567220000000006</v>
      </c>
      <c r="AT2065" s="270">
        <v>38</v>
      </c>
      <c r="AU2065" s="464">
        <v>60.803535044296524</v>
      </c>
      <c r="AV2065" s="29">
        <v>-0.25570042695842599</v>
      </c>
      <c r="AW2065" s="29">
        <v>0.46161488492609998</v>
      </c>
      <c r="AX2065" s="29">
        <v>-0.83001481515334596</v>
      </c>
      <c r="AY2065" s="29">
        <v>-0.478631304027406</v>
      </c>
      <c r="AZ2065" s="60">
        <v>-0.56542897489310295</v>
      </c>
    </row>
    <row r="2066" spans="1:52" s="29" customFormat="1" ht="15" customHeight="1">
      <c r="A2066" s="59" t="s">
        <v>538</v>
      </c>
      <c r="B2066" s="27">
        <v>2010</v>
      </c>
      <c r="C2066" s="27" t="s">
        <v>534</v>
      </c>
      <c r="D2066" s="27" t="s">
        <v>81</v>
      </c>
      <c r="E2066" s="27" t="s">
        <v>19</v>
      </c>
      <c r="F2066" s="27" t="s">
        <v>2228</v>
      </c>
      <c r="G2066" s="43">
        <v>2482</v>
      </c>
      <c r="H2066" s="43"/>
      <c r="I2066" s="43"/>
      <c r="J2066" s="43"/>
      <c r="K2066" s="27" t="s">
        <v>567</v>
      </c>
      <c r="L2066" s="44">
        <v>21808.852416666701</v>
      </c>
      <c r="M2066" s="27" t="s">
        <v>568</v>
      </c>
      <c r="N2066" s="27" t="s">
        <v>1554</v>
      </c>
      <c r="O2066" s="18">
        <f>G2066*L2066</f>
        <v>54129571.69816675</v>
      </c>
      <c r="P2066" s="214">
        <v>1753873.2</v>
      </c>
      <c r="Q2066" s="214">
        <v>3901248</v>
      </c>
      <c r="R2066" s="18"/>
      <c r="S2066" s="27"/>
      <c r="T2066" s="18"/>
      <c r="U2066" s="27"/>
      <c r="V2066" s="18"/>
      <c r="W2066" s="30"/>
      <c r="X2066" s="27"/>
      <c r="Y2066" s="27"/>
      <c r="Z2066" s="27"/>
      <c r="AA2066" s="27">
        <v>36</v>
      </c>
      <c r="AB2066" s="27"/>
      <c r="AC2066" s="273">
        <v>757063737</v>
      </c>
      <c r="AD2066" s="27">
        <v>20265396325.594734</v>
      </c>
      <c r="AE2066" s="228">
        <v>3.7357460216252754E-2</v>
      </c>
      <c r="AF2066" s="27">
        <v>4722850613.6798525</v>
      </c>
      <c r="AG2066" s="226">
        <v>0.16029804855718841</v>
      </c>
      <c r="AH2066" s="226">
        <v>0.80614603267526574</v>
      </c>
      <c r="AI2066" s="27">
        <v>914370000</v>
      </c>
      <c r="AJ2066" s="226">
        <v>0.82796213458446799</v>
      </c>
      <c r="AK2066" s="27">
        <v>753535811.59887922</v>
      </c>
      <c r="AL2066" s="226">
        <v>1.004681828450376</v>
      </c>
      <c r="AM2066" s="27" t="s">
        <v>2842</v>
      </c>
      <c r="AN2066" s="271" t="s">
        <v>2842</v>
      </c>
      <c r="AO2066" s="27">
        <v>13216985</v>
      </c>
      <c r="AP2066" s="27">
        <v>60.5</v>
      </c>
      <c r="AQ2066" s="27">
        <v>54.527560975609767</v>
      </c>
      <c r="AR2066" s="27">
        <v>63.5</v>
      </c>
      <c r="AS2066" s="29">
        <v>89.567220000000006</v>
      </c>
      <c r="AT2066" s="270">
        <v>38</v>
      </c>
      <c r="AU2066" s="464">
        <v>60.803535044296524</v>
      </c>
      <c r="AV2066" s="29">
        <v>-0.25570042695842599</v>
      </c>
      <c r="AW2066" s="29">
        <v>0.46161488492609998</v>
      </c>
      <c r="AX2066" s="29">
        <v>-0.83001481515334596</v>
      </c>
      <c r="AY2066" s="29">
        <v>-0.478631304027406</v>
      </c>
      <c r="AZ2066" s="60">
        <v>-0.56542897489310295</v>
      </c>
    </row>
    <row r="2067" spans="1:52" s="287" customFormat="1" ht="15" customHeight="1">
      <c r="A2067" s="344" t="s">
        <v>538</v>
      </c>
      <c r="B2067" s="284">
        <v>2010</v>
      </c>
      <c r="C2067" s="284" t="s">
        <v>534</v>
      </c>
      <c r="D2067" s="284" t="s">
        <v>81</v>
      </c>
      <c r="E2067" s="284" t="s">
        <v>19</v>
      </c>
      <c r="F2067" s="284" t="s">
        <v>735</v>
      </c>
      <c r="G2067" s="303">
        <f>6500*32.1507431265</f>
        <v>208979.83032224997</v>
      </c>
      <c r="H2067" s="303"/>
      <c r="I2067" s="303"/>
      <c r="J2067" s="303"/>
      <c r="K2067" s="284" t="s">
        <v>731</v>
      </c>
      <c r="L2067" s="304">
        <f>20.15295833333/1</f>
        <v>20.152958333330002</v>
      </c>
      <c r="M2067" s="284" t="s">
        <v>732</v>
      </c>
      <c r="N2067" s="284" t="s">
        <v>744</v>
      </c>
      <c r="O2067" s="305">
        <f>G2067*L2067</f>
        <v>4211561.8129906775</v>
      </c>
      <c r="P2067" s="346"/>
      <c r="Q2067" s="346"/>
      <c r="R2067" s="305"/>
      <c r="S2067" s="284"/>
      <c r="T2067" s="305"/>
      <c r="U2067" s="284"/>
      <c r="V2067" s="305"/>
      <c r="W2067" s="307"/>
      <c r="X2067" s="284"/>
      <c r="Y2067" s="284"/>
      <c r="Z2067" s="284"/>
      <c r="AA2067" s="284"/>
      <c r="AB2067" s="284"/>
      <c r="AC2067" s="308">
        <v>757063737</v>
      </c>
      <c r="AD2067" s="284">
        <v>20265396325.594734</v>
      </c>
      <c r="AE2067" s="309">
        <v>3.7357460216252754E-2</v>
      </c>
      <c r="AF2067" s="284">
        <v>4722850613.6798525</v>
      </c>
      <c r="AG2067" s="310">
        <v>0.16029804855718841</v>
      </c>
      <c r="AH2067" s="310">
        <v>0.80614603267526574</v>
      </c>
      <c r="AI2067" s="284">
        <v>914370000</v>
      </c>
      <c r="AJ2067" s="310">
        <v>0.82796213458446799</v>
      </c>
      <c r="AK2067" s="284">
        <v>753535811.59887922</v>
      </c>
      <c r="AL2067" s="310">
        <v>1.004681828450376</v>
      </c>
      <c r="AM2067" s="284" t="s">
        <v>2842</v>
      </c>
      <c r="AN2067" s="311" t="s">
        <v>2842</v>
      </c>
      <c r="AO2067" s="284">
        <v>13216985</v>
      </c>
      <c r="AP2067" s="284">
        <v>60.5</v>
      </c>
      <c r="AQ2067" s="284">
        <v>54.527560975609767</v>
      </c>
      <c r="AR2067" s="284">
        <v>63.5</v>
      </c>
      <c r="AS2067" s="287">
        <v>89.567220000000006</v>
      </c>
      <c r="AT2067" s="312">
        <v>38</v>
      </c>
      <c r="AU2067" s="465">
        <v>60.803535044296524</v>
      </c>
      <c r="AV2067" s="287">
        <v>-0.25570042695842599</v>
      </c>
      <c r="AW2067" s="287">
        <v>0.46161488492609998</v>
      </c>
      <c r="AX2067" s="287">
        <v>-0.83001481515334596</v>
      </c>
      <c r="AY2067" s="287">
        <v>-0.478631304027406</v>
      </c>
      <c r="AZ2067" s="313">
        <v>-0.56542897489310295</v>
      </c>
    </row>
    <row r="2068" spans="1:52" ht="15" customHeight="1">
      <c r="A2068" s="59" t="s">
        <v>540</v>
      </c>
      <c r="B2068" s="27">
        <v>2011</v>
      </c>
      <c r="C2068" s="27" t="s">
        <v>534</v>
      </c>
      <c r="D2068" s="27" t="s">
        <v>81</v>
      </c>
      <c r="E2068" s="27" t="s">
        <v>19</v>
      </c>
      <c r="F2068" s="27" t="s">
        <v>659</v>
      </c>
      <c r="G2068" s="43"/>
      <c r="H2068" s="43"/>
      <c r="I2068" s="43"/>
      <c r="J2068" s="43"/>
      <c r="K2068" s="27"/>
      <c r="L2068" s="28"/>
      <c r="M2068" s="27"/>
      <c r="N2068" s="27"/>
      <c r="O2068" s="18">
        <f>SUM(O2069:O2088)</f>
        <v>146061644279.72226</v>
      </c>
      <c r="P2068" s="253">
        <v>1588841770</v>
      </c>
      <c r="Q2068" s="253">
        <v>1600810082</v>
      </c>
      <c r="R2068" s="27" t="s">
        <v>3693</v>
      </c>
      <c r="S2068" s="27" t="s">
        <v>871</v>
      </c>
      <c r="T2068" s="18">
        <v>15165226</v>
      </c>
      <c r="U2068" s="27" t="s">
        <v>917</v>
      </c>
      <c r="V2068" s="27" t="s">
        <v>2205</v>
      </c>
      <c r="W2068" s="30">
        <v>4.8600000000000003</v>
      </c>
      <c r="X2068" s="27">
        <v>26</v>
      </c>
      <c r="Y2068" s="27" t="s">
        <v>2247</v>
      </c>
      <c r="Z2068" s="27">
        <v>25</v>
      </c>
      <c r="AA2068" s="27">
        <v>7</v>
      </c>
      <c r="AB2068" s="27" t="s">
        <v>2248</v>
      </c>
      <c r="AC2068" s="273">
        <v>1588841770</v>
      </c>
      <c r="AD2068" s="27">
        <v>23731894786.497993</v>
      </c>
      <c r="AE2068" s="228">
        <v>6.6949638210260162E-2</v>
      </c>
      <c r="AF2068" s="27">
        <v>10354700333.244804</v>
      </c>
      <c r="AG2068" s="226">
        <v>0.15344159839168536</v>
      </c>
      <c r="AH2068" s="226">
        <v>0.80830848520332743</v>
      </c>
      <c r="AI2068" s="27">
        <v>1035060000</v>
      </c>
      <c r="AJ2068" s="226">
        <v>1.5350238343670899</v>
      </c>
      <c r="AK2068" s="27">
        <v>930861126.36274886</v>
      </c>
      <c r="AL2068" s="226">
        <v>1.7068515646455749</v>
      </c>
      <c r="AM2068" s="27" t="s">
        <v>2842</v>
      </c>
      <c r="AN2068" s="271" t="s">
        <v>2842</v>
      </c>
      <c r="AO2068" s="27">
        <v>13633796</v>
      </c>
      <c r="AP2068" s="27" t="s">
        <v>2842</v>
      </c>
      <c r="AQ2068" s="27">
        <v>55.833146341463419</v>
      </c>
      <c r="AR2068" s="27">
        <v>59.3</v>
      </c>
      <c r="AS2068" s="29">
        <v>93.626670000000004</v>
      </c>
      <c r="AT2068" s="270">
        <v>38</v>
      </c>
      <c r="AU2068" s="464">
        <v>60.803535044296524</v>
      </c>
      <c r="AV2068" s="29">
        <v>-0.19122445119574899</v>
      </c>
      <c r="AW2068" s="29">
        <v>0.47312848392783102</v>
      </c>
      <c r="AX2068" s="29">
        <v>-0.63896441900571799</v>
      </c>
      <c r="AY2068" s="29">
        <v>-0.42115388453417202</v>
      </c>
      <c r="AZ2068" s="60">
        <v>-0.47027036788454601</v>
      </c>
    </row>
    <row r="2069" spans="1:52" ht="15" customHeight="1">
      <c r="A2069" s="59" t="s">
        <v>540</v>
      </c>
      <c r="B2069" s="27">
        <v>2011</v>
      </c>
      <c r="C2069" s="27" t="s">
        <v>534</v>
      </c>
      <c r="D2069" s="27" t="s">
        <v>81</v>
      </c>
      <c r="E2069" s="27" t="s">
        <v>19</v>
      </c>
      <c r="F2069" s="27" t="s">
        <v>2233</v>
      </c>
      <c r="G2069" s="43">
        <v>1000000</v>
      </c>
      <c r="H2069" s="43"/>
      <c r="I2069" s="43"/>
      <c r="J2069" s="43"/>
      <c r="K2069" s="27" t="s">
        <v>894</v>
      </c>
      <c r="L2069" s="18">
        <f>17.5/0.0002</f>
        <v>87500</v>
      </c>
      <c r="M2069" s="27" t="s">
        <v>1743</v>
      </c>
      <c r="N2069" s="68" t="s">
        <v>2249</v>
      </c>
      <c r="O2069" s="18">
        <f>G2069*L2069</f>
        <v>87500000000</v>
      </c>
      <c r="P2069" s="253"/>
      <c r="Q2069" s="253"/>
      <c r="R2069" s="27"/>
      <c r="S2069" s="27"/>
      <c r="T2069" s="18"/>
      <c r="U2069" s="27"/>
      <c r="V2069" s="27"/>
      <c r="W2069" s="30"/>
      <c r="X2069" s="27"/>
      <c r="Y2069" s="27"/>
      <c r="Z2069" s="27"/>
      <c r="AA2069" s="27"/>
      <c r="AB2069" s="27"/>
      <c r="AC2069" s="273">
        <v>1588841770</v>
      </c>
      <c r="AD2069" s="27">
        <v>23731894786.497993</v>
      </c>
      <c r="AE2069" s="228">
        <v>6.6949638210260162E-2</v>
      </c>
      <c r="AF2069" s="27">
        <v>10354700333.244804</v>
      </c>
      <c r="AG2069" s="226">
        <v>0.15344159839168536</v>
      </c>
      <c r="AH2069" s="226">
        <v>0.80830848520332743</v>
      </c>
      <c r="AI2069" s="27">
        <v>1035060000</v>
      </c>
      <c r="AJ2069" s="226">
        <v>1.5350238343670899</v>
      </c>
      <c r="AK2069" s="27">
        <v>930861126.36274886</v>
      </c>
      <c r="AL2069" s="226">
        <v>1.7068515646455749</v>
      </c>
      <c r="AM2069" s="27" t="s">
        <v>2842</v>
      </c>
      <c r="AN2069" s="271" t="s">
        <v>2842</v>
      </c>
      <c r="AO2069" s="27">
        <v>13633796</v>
      </c>
      <c r="AP2069" s="27" t="s">
        <v>2842</v>
      </c>
      <c r="AQ2069" s="27">
        <v>55.833146341463419</v>
      </c>
      <c r="AR2069" s="27">
        <v>59.3</v>
      </c>
      <c r="AS2069" s="29">
        <v>93.626670000000004</v>
      </c>
      <c r="AT2069" s="270">
        <v>38</v>
      </c>
      <c r="AU2069" s="464">
        <v>60.803535044296524</v>
      </c>
      <c r="AV2069" s="29">
        <v>-0.19122445119574899</v>
      </c>
      <c r="AW2069" s="29">
        <v>0.47312848392783102</v>
      </c>
      <c r="AX2069" s="29">
        <v>-0.63896441900571799</v>
      </c>
      <c r="AY2069" s="29">
        <v>-0.42115388453417202</v>
      </c>
      <c r="AZ2069" s="60">
        <v>-0.47027036788454601</v>
      </c>
    </row>
    <row r="2070" spans="1:52" ht="15" customHeight="1">
      <c r="A2070" s="59" t="s">
        <v>540</v>
      </c>
      <c r="B2070" s="27">
        <v>2011</v>
      </c>
      <c r="C2070" s="27" t="s">
        <v>534</v>
      </c>
      <c r="D2070" s="27" t="s">
        <v>81</v>
      </c>
      <c r="E2070" s="27" t="s">
        <v>19</v>
      </c>
      <c r="F2070" s="27" t="s">
        <v>2236</v>
      </c>
      <c r="G2070" s="43">
        <v>7000000</v>
      </c>
      <c r="H2070" s="43"/>
      <c r="I2070" s="43"/>
      <c r="J2070" s="43"/>
      <c r="K2070" s="27" t="s">
        <v>905</v>
      </c>
      <c r="L2070" s="28"/>
      <c r="M2070" s="27"/>
      <c r="N2070" s="27" t="s">
        <v>636</v>
      </c>
      <c r="O2070" s="18"/>
      <c r="P2070" s="253"/>
      <c r="Q2070" s="253"/>
      <c r="R2070" s="27"/>
      <c r="S2070" s="27"/>
      <c r="T2070" s="18"/>
      <c r="U2070" s="27"/>
      <c r="V2070" s="27"/>
      <c r="W2070" s="30"/>
      <c r="X2070" s="27"/>
      <c r="Y2070" s="27"/>
      <c r="Z2070" s="27"/>
      <c r="AA2070" s="27"/>
      <c r="AB2070" s="27"/>
      <c r="AC2070" s="273">
        <v>1588841770</v>
      </c>
      <c r="AD2070" s="27">
        <v>23731894786.497993</v>
      </c>
      <c r="AE2070" s="228">
        <v>6.6949638210260162E-2</v>
      </c>
      <c r="AF2070" s="27">
        <v>10354700333.244804</v>
      </c>
      <c r="AG2070" s="226">
        <v>0.15344159839168536</v>
      </c>
      <c r="AH2070" s="226">
        <v>0.80830848520332743</v>
      </c>
      <c r="AI2070" s="27">
        <v>1035060000</v>
      </c>
      <c r="AJ2070" s="226">
        <v>1.5350238343670899</v>
      </c>
      <c r="AK2070" s="27">
        <v>930861126.36274886</v>
      </c>
      <c r="AL2070" s="226">
        <v>1.7068515646455749</v>
      </c>
      <c r="AM2070" s="27" t="s">
        <v>2842</v>
      </c>
      <c r="AN2070" s="271" t="s">
        <v>2842</v>
      </c>
      <c r="AO2070" s="27">
        <v>13633796</v>
      </c>
      <c r="AP2070" s="27" t="s">
        <v>2842</v>
      </c>
      <c r="AQ2070" s="27">
        <v>55.833146341463419</v>
      </c>
      <c r="AR2070" s="27">
        <v>59.3</v>
      </c>
      <c r="AS2070" s="29">
        <v>93.626670000000004</v>
      </c>
      <c r="AT2070" s="270">
        <v>38</v>
      </c>
      <c r="AU2070" s="464">
        <v>60.803535044296524</v>
      </c>
      <c r="AV2070" s="29">
        <v>-0.19122445119574899</v>
      </c>
      <c r="AW2070" s="29">
        <v>0.47312848392783102</v>
      </c>
      <c r="AX2070" s="29">
        <v>-0.63896441900571799</v>
      </c>
      <c r="AY2070" s="29">
        <v>-0.42115388453417202</v>
      </c>
      <c r="AZ2070" s="60">
        <v>-0.47027036788454601</v>
      </c>
    </row>
    <row r="2071" spans="1:52" ht="15" customHeight="1">
      <c r="A2071" s="59" t="s">
        <v>540</v>
      </c>
      <c r="B2071" s="27">
        <v>2011</v>
      </c>
      <c r="C2071" s="27" t="s">
        <v>534</v>
      </c>
      <c r="D2071" s="27" t="s">
        <v>81</v>
      </c>
      <c r="E2071" s="27" t="s">
        <v>19</v>
      </c>
      <c r="F2071" s="27" t="s">
        <v>677</v>
      </c>
      <c r="G2071" s="43">
        <v>34300</v>
      </c>
      <c r="H2071" s="43"/>
      <c r="I2071" s="43"/>
      <c r="J2071" s="43"/>
      <c r="K2071" s="27" t="s">
        <v>567</v>
      </c>
      <c r="L2071" s="28">
        <v>12</v>
      </c>
      <c r="M2071" s="27" t="s">
        <v>568</v>
      </c>
      <c r="N2071" s="27" t="s">
        <v>1128</v>
      </c>
      <c r="O2071" s="18">
        <f>G2071*L2071</f>
        <v>411600</v>
      </c>
      <c r="P2071" s="253"/>
      <c r="Q2071" s="253"/>
      <c r="R2071" s="27"/>
      <c r="S2071" s="27"/>
      <c r="T2071" s="18"/>
      <c r="U2071" s="27"/>
      <c r="V2071" s="27"/>
      <c r="W2071" s="30"/>
      <c r="X2071" s="27"/>
      <c r="Y2071" s="27"/>
      <c r="Z2071" s="27"/>
      <c r="AA2071" s="27"/>
      <c r="AB2071" s="27"/>
      <c r="AC2071" s="273">
        <v>1588841770</v>
      </c>
      <c r="AD2071" s="27">
        <v>23731894786.497993</v>
      </c>
      <c r="AE2071" s="228">
        <v>6.6949638210260162E-2</v>
      </c>
      <c r="AF2071" s="27">
        <v>10354700333.244804</v>
      </c>
      <c r="AG2071" s="226">
        <v>0.15344159839168536</v>
      </c>
      <c r="AH2071" s="226">
        <v>0.80830848520332743</v>
      </c>
      <c r="AI2071" s="27">
        <v>1035060000</v>
      </c>
      <c r="AJ2071" s="226">
        <v>1.5350238343670899</v>
      </c>
      <c r="AK2071" s="27">
        <v>930861126.36274886</v>
      </c>
      <c r="AL2071" s="226">
        <v>1.7068515646455749</v>
      </c>
      <c r="AM2071" s="27" t="s">
        <v>2842</v>
      </c>
      <c r="AN2071" s="271" t="s">
        <v>2842</v>
      </c>
      <c r="AO2071" s="27">
        <v>13633796</v>
      </c>
      <c r="AP2071" s="27" t="s">
        <v>2842</v>
      </c>
      <c r="AQ2071" s="27">
        <v>55.833146341463419</v>
      </c>
      <c r="AR2071" s="27">
        <v>59.3</v>
      </c>
      <c r="AS2071" s="29">
        <v>93.626670000000004</v>
      </c>
      <c r="AT2071" s="270">
        <v>38</v>
      </c>
      <c r="AU2071" s="464">
        <v>60.803535044296524</v>
      </c>
      <c r="AV2071" s="29">
        <v>-0.19122445119574899</v>
      </c>
      <c r="AW2071" s="29">
        <v>0.47312848392783102</v>
      </c>
      <c r="AX2071" s="29">
        <v>-0.63896441900571799</v>
      </c>
      <c r="AY2071" s="29">
        <v>-0.42115388453417202</v>
      </c>
      <c r="AZ2071" s="60">
        <v>-0.47027036788454601</v>
      </c>
    </row>
    <row r="2072" spans="1:52" ht="15" customHeight="1">
      <c r="A2072" s="59" t="s">
        <v>540</v>
      </c>
      <c r="B2072" s="27">
        <v>2011</v>
      </c>
      <c r="C2072" s="27" t="s">
        <v>534</v>
      </c>
      <c r="D2072" s="27" t="s">
        <v>81</v>
      </c>
      <c r="E2072" s="27" t="s">
        <v>19</v>
      </c>
      <c r="F2072" s="27" t="s">
        <v>573</v>
      </c>
      <c r="G2072" s="43">
        <v>220000</v>
      </c>
      <c r="H2072" s="43"/>
      <c r="I2072" s="43"/>
      <c r="J2072" s="43"/>
      <c r="K2072" s="27" t="s">
        <v>567</v>
      </c>
      <c r="L2072" s="28">
        <v>111.54662184722224</v>
      </c>
      <c r="M2072" s="27" t="s">
        <v>568</v>
      </c>
      <c r="N2072" s="27" t="s">
        <v>1022</v>
      </c>
      <c r="O2072" s="18">
        <f>G2072*L2072</f>
        <v>24540256.806388892</v>
      </c>
      <c r="P2072" s="253"/>
      <c r="Q2072" s="253"/>
      <c r="R2072" s="27"/>
      <c r="S2072" s="27"/>
      <c r="T2072" s="18"/>
      <c r="U2072" s="27"/>
      <c r="V2072" s="27"/>
      <c r="W2072" s="30"/>
      <c r="X2072" s="27"/>
      <c r="Y2072" s="27"/>
      <c r="Z2072" s="27"/>
      <c r="AA2072" s="27"/>
      <c r="AB2072" s="27"/>
      <c r="AC2072" s="273">
        <v>1588841770</v>
      </c>
      <c r="AD2072" s="27">
        <v>23731894786.497993</v>
      </c>
      <c r="AE2072" s="228">
        <v>6.6949638210260162E-2</v>
      </c>
      <c r="AF2072" s="27">
        <v>10354700333.244804</v>
      </c>
      <c r="AG2072" s="226">
        <v>0.15344159839168536</v>
      </c>
      <c r="AH2072" s="226">
        <v>0.80830848520332743</v>
      </c>
      <c r="AI2072" s="27">
        <v>1035060000</v>
      </c>
      <c r="AJ2072" s="226">
        <v>1.5350238343670899</v>
      </c>
      <c r="AK2072" s="27">
        <v>930861126.36274886</v>
      </c>
      <c r="AL2072" s="226">
        <v>1.7068515646455749</v>
      </c>
      <c r="AM2072" s="27" t="s">
        <v>2842</v>
      </c>
      <c r="AN2072" s="271" t="s">
        <v>2842</v>
      </c>
      <c r="AO2072" s="27">
        <v>13633796</v>
      </c>
      <c r="AP2072" s="27" t="s">
        <v>2842</v>
      </c>
      <c r="AQ2072" s="27">
        <v>55.833146341463419</v>
      </c>
      <c r="AR2072" s="27">
        <v>59.3</v>
      </c>
      <c r="AS2072" s="29">
        <v>93.626670000000004</v>
      </c>
      <c r="AT2072" s="270">
        <v>38</v>
      </c>
      <c r="AU2072" s="464">
        <v>60.803535044296524</v>
      </c>
      <c r="AV2072" s="29">
        <v>-0.19122445119574899</v>
      </c>
      <c r="AW2072" s="29">
        <v>0.47312848392783102</v>
      </c>
      <c r="AX2072" s="29">
        <v>-0.63896441900571799</v>
      </c>
      <c r="AY2072" s="29">
        <v>-0.42115388453417202</v>
      </c>
      <c r="AZ2072" s="60">
        <v>-0.47027036788454601</v>
      </c>
    </row>
    <row r="2073" spans="1:52" ht="15" customHeight="1">
      <c r="A2073" s="59" t="s">
        <v>540</v>
      </c>
      <c r="B2073" s="27">
        <v>2011</v>
      </c>
      <c r="C2073" s="27" t="s">
        <v>534</v>
      </c>
      <c r="D2073" s="27" t="s">
        <v>81</v>
      </c>
      <c r="E2073" s="27" t="s">
        <v>19</v>
      </c>
      <c r="F2073" s="27" t="s">
        <v>977</v>
      </c>
      <c r="G2073" s="43"/>
      <c r="H2073" s="43"/>
      <c r="I2073" s="43"/>
      <c r="J2073" s="43"/>
      <c r="K2073" s="27"/>
      <c r="L2073" s="28">
        <v>32693.17</v>
      </c>
      <c r="M2073" s="27" t="s">
        <v>568</v>
      </c>
      <c r="N2073" s="27" t="s">
        <v>2250</v>
      </c>
      <c r="O2073" s="18">
        <f>G2074*L2073</f>
        <v>176543118</v>
      </c>
      <c r="P2073" s="244"/>
      <c r="Q2073" s="244"/>
      <c r="R2073" s="27"/>
      <c r="S2073" s="27"/>
      <c r="T2073" s="18"/>
      <c r="U2073" s="27"/>
      <c r="V2073" s="27"/>
      <c r="W2073" s="30"/>
      <c r="X2073" s="27"/>
      <c r="Y2073" s="27"/>
      <c r="Z2073" s="27"/>
      <c r="AA2073" s="27" t="s">
        <v>2251</v>
      </c>
      <c r="AB2073" s="27"/>
      <c r="AC2073" s="273">
        <v>1588841770</v>
      </c>
      <c r="AD2073" s="27">
        <v>23731894786.497993</v>
      </c>
      <c r="AE2073" s="228">
        <v>6.6949638210260162E-2</v>
      </c>
      <c r="AF2073" s="27">
        <v>10354700333.244804</v>
      </c>
      <c r="AG2073" s="226">
        <v>0.15344159839168536</v>
      </c>
      <c r="AH2073" s="226">
        <v>0.80830848520332743</v>
      </c>
      <c r="AI2073" s="27">
        <v>1035060000</v>
      </c>
      <c r="AJ2073" s="226">
        <v>1.5350238343670899</v>
      </c>
      <c r="AK2073" s="27">
        <v>930861126.36274886</v>
      </c>
      <c r="AL2073" s="226">
        <v>1.7068515646455749</v>
      </c>
      <c r="AM2073" s="27" t="s">
        <v>2842</v>
      </c>
      <c r="AN2073" s="271" t="s">
        <v>2842</v>
      </c>
      <c r="AO2073" s="27">
        <v>13633796</v>
      </c>
      <c r="AP2073" s="27" t="s">
        <v>2842</v>
      </c>
      <c r="AQ2073" s="27">
        <v>55.833146341463419</v>
      </c>
      <c r="AR2073" s="27">
        <v>59.3</v>
      </c>
      <c r="AS2073" s="29">
        <v>93.626670000000004</v>
      </c>
      <c r="AT2073" s="270">
        <v>38</v>
      </c>
      <c r="AU2073" s="464">
        <v>60.803535044296524</v>
      </c>
      <c r="AV2073" s="29">
        <v>-0.19122445119574899</v>
      </c>
      <c r="AW2073" s="29">
        <v>0.47312848392783102</v>
      </c>
      <c r="AX2073" s="29">
        <v>-0.63896441900571799</v>
      </c>
      <c r="AY2073" s="29">
        <v>-0.42115388453417202</v>
      </c>
      <c r="AZ2073" s="60">
        <v>-0.47027036788454601</v>
      </c>
    </row>
    <row r="2074" spans="1:52" ht="15" customHeight="1">
      <c r="A2074" s="59" t="s">
        <v>540</v>
      </c>
      <c r="B2074" s="27">
        <v>2011</v>
      </c>
      <c r="C2074" s="27" t="s">
        <v>534</v>
      </c>
      <c r="D2074" s="27" t="s">
        <v>81</v>
      </c>
      <c r="E2074" s="27" t="s">
        <v>19</v>
      </c>
      <c r="F2074" s="27" t="s">
        <v>2213</v>
      </c>
      <c r="G2074" s="43">
        <v>5400</v>
      </c>
      <c r="H2074" s="43"/>
      <c r="I2074" s="43"/>
      <c r="J2074" s="43"/>
      <c r="K2074" s="71"/>
      <c r="L2074" s="28"/>
      <c r="M2074" s="71"/>
      <c r="N2074" s="27" t="s">
        <v>636</v>
      </c>
      <c r="O2074" s="18"/>
      <c r="P2074" s="244"/>
      <c r="Q2074" s="244"/>
      <c r="R2074" s="27"/>
      <c r="S2074" s="27"/>
      <c r="T2074" s="18"/>
      <c r="U2074" s="27"/>
      <c r="V2074" s="27"/>
      <c r="W2074" s="30"/>
      <c r="X2074" s="27"/>
      <c r="Y2074" s="27"/>
      <c r="Z2074" s="27"/>
      <c r="AA2074" s="27"/>
      <c r="AB2074" s="27"/>
      <c r="AC2074" s="273">
        <v>1588841770</v>
      </c>
      <c r="AD2074" s="27">
        <v>23731894786.497993</v>
      </c>
      <c r="AE2074" s="228">
        <v>6.6949638210260162E-2</v>
      </c>
      <c r="AF2074" s="27">
        <v>10354700333.244804</v>
      </c>
      <c r="AG2074" s="226">
        <v>0.15344159839168536</v>
      </c>
      <c r="AH2074" s="226">
        <v>0.80830848520332743</v>
      </c>
      <c r="AI2074" s="27">
        <v>1035060000</v>
      </c>
      <c r="AJ2074" s="226">
        <v>1.5350238343670899</v>
      </c>
      <c r="AK2074" s="27">
        <v>930861126.36274886</v>
      </c>
      <c r="AL2074" s="226">
        <v>1.7068515646455749</v>
      </c>
      <c r="AM2074" s="27" t="s">
        <v>2842</v>
      </c>
      <c r="AN2074" s="271" t="s">
        <v>2842</v>
      </c>
      <c r="AO2074" s="27">
        <v>13633796</v>
      </c>
      <c r="AP2074" s="27" t="s">
        <v>2842</v>
      </c>
      <c r="AQ2074" s="27">
        <v>55.833146341463419</v>
      </c>
      <c r="AR2074" s="27">
        <v>59.3</v>
      </c>
      <c r="AS2074" s="29">
        <v>93.626670000000004</v>
      </c>
      <c r="AT2074" s="270">
        <v>38</v>
      </c>
      <c r="AU2074" s="464">
        <v>60.803535044296524</v>
      </c>
      <c r="AV2074" s="29">
        <v>-0.19122445119574899</v>
      </c>
      <c r="AW2074" s="29">
        <v>0.47312848392783102</v>
      </c>
      <c r="AX2074" s="29">
        <v>-0.63896441900571799</v>
      </c>
      <c r="AY2074" s="29">
        <v>-0.42115388453417202</v>
      </c>
      <c r="AZ2074" s="60">
        <v>-0.47027036788454601</v>
      </c>
    </row>
    <row r="2075" spans="1:52" ht="15" customHeight="1">
      <c r="A2075" s="59" t="s">
        <v>540</v>
      </c>
      <c r="B2075" s="27">
        <v>2011</v>
      </c>
      <c r="C2075" s="27" t="s">
        <v>534</v>
      </c>
      <c r="D2075" s="27" t="s">
        <v>81</v>
      </c>
      <c r="E2075" s="27" t="s">
        <v>19</v>
      </c>
      <c r="F2075" s="27" t="s">
        <v>1238</v>
      </c>
      <c r="G2075" s="43">
        <v>5746</v>
      </c>
      <c r="H2075" s="43"/>
      <c r="I2075" s="43"/>
      <c r="J2075" s="43"/>
      <c r="K2075" s="71"/>
      <c r="L2075" s="28"/>
      <c r="M2075" s="71"/>
      <c r="N2075" s="27" t="s">
        <v>636</v>
      </c>
      <c r="O2075" s="18"/>
      <c r="P2075" s="244"/>
      <c r="Q2075" s="244"/>
      <c r="R2075" s="27"/>
      <c r="S2075" s="27"/>
      <c r="T2075" s="18"/>
      <c r="U2075" s="27"/>
      <c r="V2075" s="27"/>
      <c r="W2075" s="30"/>
      <c r="X2075" s="27"/>
      <c r="Y2075" s="27"/>
      <c r="Z2075" s="27"/>
      <c r="AA2075" s="27"/>
      <c r="AB2075" s="27"/>
      <c r="AC2075" s="273">
        <v>1588841770</v>
      </c>
      <c r="AD2075" s="27">
        <v>23731894786.497993</v>
      </c>
      <c r="AE2075" s="228">
        <v>6.6949638210260162E-2</v>
      </c>
      <c r="AF2075" s="27">
        <v>10354700333.244804</v>
      </c>
      <c r="AG2075" s="226">
        <v>0.15344159839168536</v>
      </c>
      <c r="AH2075" s="226">
        <v>0.80830848520332743</v>
      </c>
      <c r="AI2075" s="27">
        <v>1035060000</v>
      </c>
      <c r="AJ2075" s="226">
        <v>1.5350238343670899</v>
      </c>
      <c r="AK2075" s="27">
        <v>930861126.36274886</v>
      </c>
      <c r="AL2075" s="226">
        <v>1.7068515646455749</v>
      </c>
      <c r="AM2075" s="27" t="s">
        <v>2842</v>
      </c>
      <c r="AN2075" s="271" t="s">
        <v>2842</v>
      </c>
      <c r="AO2075" s="27">
        <v>13633796</v>
      </c>
      <c r="AP2075" s="27" t="s">
        <v>2842</v>
      </c>
      <c r="AQ2075" s="27">
        <v>55.833146341463419</v>
      </c>
      <c r="AR2075" s="27">
        <v>59.3</v>
      </c>
      <c r="AS2075" s="29">
        <v>93.626670000000004</v>
      </c>
      <c r="AT2075" s="270">
        <v>38</v>
      </c>
      <c r="AU2075" s="464">
        <v>60.803535044296524</v>
      </c>
      <c r="AV2075" s="29">
        <v>-0.19122445119574899</v>
      </c>
      <c r="AW2075" s="29">
        <v>0.47312848392783102</v>
      </c>
      <c r="AX2075" s="29">
        <v>-0.63896441900571799</v>
      </c>
      <c r="AY2075" s="29">
        <v>-0.42115388453417202</v>
      </c>
      <c r="AZ2075" s="60">
        <v>-0.47027036788454601</v>
      </c>
    </row>
    <row r="2076" spans="1:52" ht="15" customHeight="1">
      <c r="A2076" s="59" t="s">
        <v>540</v>
      </c>
      <c r="B2076" s="27">
        <v>2011</v>
      </c>
      <c r="C2076" s="27" t="s">
        <v>534</v>
      </c>
      <c r="D2076" s="27" t="s">
        <v>81</v>
      </c>
      <c r="E2076" s="27" t="s">
        <v>19</v>
      </c>
      <c r="F2076" s="27" t="s">
        <v>576</v>
      </c>
      <c r="G2076" s="43"/>
      <c r="H2076" s="43"/>
      <c r="I2076" s="43"/>
      <c r="J2076" s="43"/>
      <c r="K2076" s="71"/>
      <c r="L2076" s="44">
        <v>8828.1875</v>
      </c>
      <c r="M2076" s="27" t="s">
        <v>568</v>
      </c>
      <c r="N2076" s="27" t="s">
        <v>633</v>
      </c>
      <c r="O2076" s="18">
        <f>SUM(G2078:G2079)*L2076</f>
        <v>9066548562.5</v>
      </c>
      <c r="P2076" s="244"/>
      <c r="Q2076" s="244"/>
      <c r="R2076" s="27"/>
      <c r="S2076" s="27"/>
      <c r="T2076" s="18"/>
      <c r="U2076" s="27"/>
      <c r="V2076" s="27"/>
      <c r="W2076" s="30"/>
      <c r="X2076" s="27"/>
      <c r="Y2076" s="27"/>
      <c r="Z2076" s="27"/>
      <c r="AA2076" s="27">
        <v>11</v>
      </c>
      <c r="AB2076" s="27"/>
      <c r="AC2076" s="273">
        <v>1588841770</v>
      </c>
      <c r="AD2076" s="27">
        <v>23731894786.497993</v>
      </c>
      <c r="AE2076" s="228">
        <v>6.6949638210260162E-2</v>
      </c>
      <c r="AF2076" s="27">
        <v>10354700333.244804</v>
      </c>
      <c r="AG2076" s="226">
        <v>0.15344159839168536</v>
      </c>
      <c r="AH2076" s="226">
        <v>0.80830848520332743</v>
      </c>
      <c r="AI2076" s="27">
        <v>1035060000</v>
      </c>
      <c r="AJ2076" s="226">
        <v>1.5350238343670899</v>
      </c>
      <c r="AK2076" s="27">
        <v>930861126.36274886</v>
      </c>
      <c r="AL2076" s="226">
        <v>1.7068515646455749</v>
      </c>
      <c r="AM2076" s="27" t="s">
        <v>2842</v>
      </c>
      <c r="AN2076" s="271" t="s">
        <v>2842</v>
      </c>
      <c r="AO2076" s="27">
        <v>13633796</v>
      </c>
      <c r="AP2076" s="27" t="s">
        <v>2842</v>
      </c>
      <c r="AQ2076" s="27">
        <v>55.833146341463419</v>
      </c>
      <c r="AR2076" s="27">
        <v>59.3</v>
      </c>
      <c r="AS2076" s="29">
        <v>93.626670000000004</v>
      </c>
      <c r="AT2076" s="270">
        <v>38</v>
      </c>
      <c r="AU2076" s="464">
        <v>60.803535044296524</v>
      </c>
      <c r="AV2076" s="29">
        <v>-0.19122445119574899</v>
      </c>
      <c r="AW2076" s="29">
        <v>0.47312848392783102</v>
      </c>
      <c r="AX2076" s="29">
        <v>-0.63896441900571799</v>
      </c>
      <c r="AY2076" s="29">
        <v>-0.42115388453417202</v>
      </c>
      <c r="AZ2076" s="60">
        <v>-0.47027036788454601</v>
      </c>
    </row>
    <row r="2077" spans="1:52" ht="15" customHeight="1">
      <c r="A2077" s="59" t="s">
        <v>540</v>
      </c>
      <c r="B2077" s="27">
        <v>2011</v>
      </c>
      <c r="C2077" s="27" t="s">
        <v>534</v>
      </c>
      <c r="D2077" s="27" t="s">
        <v>81</v>
      </c>
      <c r="E2077" s="27" t="s">
        <v>19</v>
      </c>
      <c r="F2077" s="27" t="s">
        <v>1226</v>
      </c>
      <c r="G2077" s="43">
        <v>668000</v>
      </c>
      <c r="H2077" s="43"/>
      <c r="I2077" s="43"/>
      <c r="J2077" s="43"/>
      <c r="K2077" s="71"/>
      <c r="L2077" s="28"/>
      <c r="M2077" s="71"/>
      <c r="N2077" s="27" t="s">
        <v>636</v>
      </c>
      <c r="O2077" s="18"/>
      <c r="P2077" s="244"/>
      <c r="Q2077" s="244"/>
      <c r="R2077" s="27"/>
      <c r="S2077" s="27"/>
      <c r="T2077" s="18"/>
      <c r="U2077" s="27"/>
      <c r="V2077" s="27"/>
      <c r="W2077" s="30"/>
      <c r="X2077" s="27"/>
      <c r="Y2077" s="27"/>
      <c r="Z2077" s="27"/>
      <c r="AA2077" s="27"/>
      <c r="AB2077" s="27"/>
      <c r="AC2077" s="273">
        <v>1588841770</v>
      </c>
      <c r="AD2077" s="27">
        <v>23731894786.497993</v>
      </c>
      <c r="AE2077" s="228">
        <v>6.6949638210260162E-2</v>
      </c>
      <c r="AF2077" s="27">
        <v>10354700333.244804</v>
      </c>
      <c r="AG2077" s="226">
        <v>0.15344159839168536</v>
      </c>
      <c r="AH2077" s="226">
        <v>0.80830848520332743</v>
      </c>
      <c r="AI2077" s="27">
        <v>1035060000</v>
      </c>
      <c r="AJ2077" s="226">
        <v>1.5350238343670899</v>
      </c>
      <c r="AK2077" s="27">
        <v>930861126.36274886</v>
      </c>
      <c r="AL2077" s="226">
        <v>1.7068515646455749</v>
      </c>
      <c r="AM2077" s="27" t="s">
        <v>2842</v>
      </c>
      <c r="AN2077" s="271" t="s">
        <v>2842</v>
      </c>
      <c r="AO2077" s="27">
        <v>13633796</v>
      </c>
      <c r="AP2077" s="27" t="s">
        <v>2842</v>
      </c>
      <c r="AQ2077" s="27">
        <v>55.833146341463419</v>
      </c>
      <c r="AR2077" s="27">
        <v>59.3</v>
      </c>
      <c r="AS2077" s="29">
        <v>93.626670000000004</v>
      </c>
      <c r="AT2077" s="270">
        <v>38</v>
      </c>
      <c r="AU2077" s="464">
        <v>60.803535044296524</v>
      </c>
      <c r="AV2077" s="29">
        <v>-0.19122445119574899</v>
      </c>
      <c r="AW2077" s="29">
        <v>0.47312848392783102</v>
      </c>
      <c r="AX2077" s="29">
        <v>-0.63896441900571799</v>
      </c>
      <c r="AY2077" s="29">
        <v>-0.42115388453417202</v>
      </c>
      <c r="AZ2077" s="60">
        <v>-0.47027036788454601</v>
      </c>
    </row>
    <row r="2078" spans="1:52" ht="15" customHeight="1">
      <c r="A2078" s="59" t="s">
        <v>540</v>
      </c>
      <c r="B2078" s="27">
        <v>2011</v>
      </c>
      <c r="C2078" s="27" t="s">
        <v>534</v>
      </c>
      <c r="D2078" s="27" t="s">
        <v>81</v>
      </c>
      <c r="E2078" s="27" t="s">
        <v>19</v>
      </c>
      <c r="F2078" s="27" t="s">
        <v>1227</v>
      </c>
      <c r="G2078" s="43">
        <v>511000</v>
      </c>
      <c r="H2078" s="43"/>
      <c r="I2078" s="43"/>
      <c r="J2078" s="43"/>
      <c r="K2078" s="71"/>
      <c r="L2078" s="28"/>
      <c r="M2078" s="71"/>
      <c r="N2078" s="27" t="s">
        <v>636</v>
      </c>
      <c r="O2078" s="18"/>
      <c r="P2078" s="244"/>
      <c r="Q2078" s="244"/>
      <c r="R2078" s="27"/>
      <c r="S2078" s="27"/>
      <c r="T2078" s="18"/>
      <c r="U2078" s="27"/>
      <c r="V2078" s="27"/>
      <c r="W2078" s="30"/>
      <c r="X2078" s="27"/>
      <c r="Y2078" s="27"/>
      <c r="Z2078" s="27"/>
      <c r="AA2078" s="27"/>
      <c r="AB2078" s="27"/>
      <c r="AC2078" s="273">
        <v>1588841770</v>
      </c>
      <c r="AD2078" s="27">
        <v>23731894786.497993</v>
      </c>
      <c r="AE2078" s="228">
        <v>6.6949638210260162E-2</v>
      </c>
      <c r="AF2078" s="27">
        <v>10354700333.244804</v>
      </c>
      <c r="AG2078" s="226">
        <v>0.15344159839168536</v>
      </c>
      <c r="AH2078" s="226">
        <v>0.80830848520332743</v>
      </c>
      <c r="AI2078" s="27">
        <v>1035060000</v>
      </c>
      <c r="AJ2078" s="226">
        <v>1.5350238343670899</v>
      </c>
      <c r="AK2078" s="27">
        <v>930861126.36274886</v>
      </c>
      <c r="AL2078" s="226">
        <v>1.7068515646455749</v>
      </c>
      <c r="AM2078" s="27" t="s">
        <v>2842</v>
      </c>
      <c r="AN2078" s="271" t="s">
        <v>2842</v>
      </c>
      <c r="AO2078" s="27">
        <v>13633796</v>
      </c>
      <c r="AP2078" s="27" t="s">
        <v>2842</v>
      </c>
      <c r="AQ2078" s="27">
        <v>55.833146341463419</v>
      </c>
      <c r="AR2078" s="27">
        <v>59.3</v>
      </c>
      <c r="AS2078" s="29">
        <v>93.626670000000004</v>
      </c>
      <c r="AT2078" s="270">
        <v>38</v>
      </c>
      <c r="AU2078" s="464">
        <v>60.803535044296524</v>
      </c>
      <c r="AV2078" s="29">
        <v>-0.19122445119574899</v>
      </c>
      <c r="AW2078" s="29">
        <v>0.47312848392783102</v>
      </c>
      <c r="AX2078" s="29">
        <v>-0.63896441900571799</v>
      </c>
      <c r="AY2078" s="29">
        <v>-0.42115388453417202</v>
      </c>
      <c r="AZ2078" s="60">
        <v>-0.47027036788454601</v>
      </c>
    </row>
    <row r="2079" spans="1:52" ht="15" customHeight="1">
      <c r="A2079" s="59" t="s">
        <v>540</v>
      </c>
      <c r="B2079" s="27">
        <v>2011</v>
      </c>
      <c r="C2079" s="27" t="s">
        <v>534</v>
      </c>
      <c r="D2079" s="27" t="s">
        <v>81</v>
      </c>
      <c r="E2079" s="27" t="s">
        <v>19</v>
      </c>
      <c r="F2079" s="27" t="s">
        <v>1228</v>
      </c>
      <c r="G2079" s="43">
        <v>516000</v>
      </c>
      <c r="H2079" s="43"/>
      <c r="I2079" s="43"/>
      <c r="J2079" s="43"/>
      <c r="K2079" s="71"/>
      <c r="L2079" s="28"/>
      <c r="M2079" s="71"/>
      <c r="N2079" s="27" t="s">
        <v>636</v>
      </c>
      <c r="O2079" s="18"/>
      <c r="P2079" s="244"/>
      <c r="Q2079" s="244"/>
      <c r="R2079" s="27"/>
      <c r="S2079" s="27"/>
      <c r="T2079" s="18"/>
      <c r="U2079" s="27"/>
      <c r="V2079" s="27"/>
      <c r="W2079" s="30"/>
      <c r="X2079" s="27"/>
      <c r="Y2079" s="27"/>
      <c r="Z2079" s="27"/>
      <c r="AA2079" s="27"/>
      <c r="AB2079" s="27"/>
      <c r="AC2079" s="273">
        <v>1588841770</v>
      </c>
      <c r="AD2079" s="27">
        <v>23731894786.497993</v>
      </c>
      <c r="AE2079" s="228">
        <v>6.6949638210260162E-2</v>
      </c>
      <c r="AF2079" s="27">
        <v>10354700333.244804</v>
      </c>
      <c r="AG2079" s="226">
        <v>0.15344159839168536</v>
      </c>
      <c r="AH2079" s="226">
        <v>0.80830848520332743</v>
      </c>
      <c r="AI2079" s="27">
        <v>1035060000</v>
      </c>
      <c r="AJ2079" s="226">
        <v>1.5350238343670899</v>
      </c>
      <c r="AK2079" s="27">
        <v>930861126.36274886</v>
      </c>
      <c r="AL2079" s="226">
        <v>1.7068515646455749</v>
      </c>
      <c r="AM2079" s="27" t="s">
        <v>2842</v>
      </c>
      <c r="AN2079" s="271" t="s">
        <v>2842</v>
      </c>
      <c r="AO2079" s="27">
        <v>13633796</v>
      </c>
      <c r="AP2079" s="27" t="s">
        <v>2842</v>
      </c>
      <c r="AQ2079" s="27">
        <v>55.833146341463419</v>
      </c>
      <c r="AR2079" s="27">
        <v>59.3</v>
      </c>
      <c r="AS2079" s="29">
        <v>93.626670000000004</v>
      </c>
      <c r="AT2079" s="270">
        <v>38</v>
      </c>
      <c r="AU2079" s="464">
        <v>60.803535044296524</v>
      </c>
      <c r="AV2079" s="29">
        <v>-0.19122445119574899</v>
      </c>
      <c r="AW2079" s="29">
        <v>0.47312848392783102</v>
      </c>
      <c r="AX2079" s="29">
        <v>-0.63896441900571799</v>
      </c>
      <c r="AY2079" s="29">
        <v>-0.42115388453417202</v>
      </c>
      <c r="AZ2079" s="60">
        <v>-0.47027036788454601</v>
      </c>
    </row>
    <row r="2080" spans="1:52" ht="15" customHeight="1">
      <c r="A2080" s="59" t="s">
        <v>540</v>
      </c>
      <c r="B2080" s="27">
        <v>2011</v>
      </c>
      <c r="C2080" s="27" t="s">
        <v>534</v>
      </c>
      <c r="D2080" s="27" t="s">
        <v>81</v>
      </c>
      <c r="E2080" s="27" t="s">
        <v>19</v>
      </c>
      <c r="F2080" s="27" t="s">
        <v>2237</v>
      </c>
      <c r="G2080" s="43">
        <v>14000000</v>
      </c>
      <c r="H2080" s="43"/>
      <c r="I2080" s="43"/>
      <c r="J2080" s="43"/>
      <c r="K2080" s="18" t="s">
        <v>905</v>
      </c>
      <c r="L2080" s="18">
        <v>3500</v>
      </c>
      <c r="M2080" s="27" t="s">
        <v>906</v>
      </c>
      <c r="N2080" s="68" t="s">
        <v>2252</v>
      </c>
      <c r="O2080" s="18">
        <f>G2080*L2080</f>
        <v>49000000000</v>
      </c>
      <c r="P2080" s="214"/>
      <c r="Q2080" s="214"/>
      <c r="R2080" s="27"/>
      <c r="S2080" s="27"/>
      <c r="T2080" s="18"/>
      <c r="U2080" s="27"/>
      <c r="V2080" s="27"/>
      <c r="W2080" s="30"/>
      <c r="X2080" s="27"/>
      <c r="Y2080" s="27"/>
      <c r="Z2080" s="27"/>
      <c r="AA2080" s="27"/>
      <c r="AB2080" s="27"/>
      <c r="AC2080" s="273">
        <v>1588841770</v>
      </c>
      <c r="AD2080" s="27">
        <v>23731894786.497993</v>
      </c>
      <c r="AE2080" s="228">
        <v>6.6949638210260162E-2</v>
      </c>
      <c r="AF2080" s="27">
        <v>10354700333.244804</v>
      </c>
      <c r="AG2080" s="226">
        <v>0.15344159839168536</v>
      </c>
      <c r="AH2080" s="226">
        <v>0.80830848520332743</v>
      </c>
      <c r="AI2080" s="27">
        <v>1035060000</v>
      </c>
      <c r="AJ2080" s="226">
        <v>1.5350238343670899</v>
      </c>
      <c r="AK2080" s="27">
        <v>930861126.36274886</v>
      </c>
      <c r="AL2080" s="226">
        <v>1.7068515646455749</v>
      </c>
      <c r="AM2080" s="27" t="s">
        <v>2842</v>
      </c>
      <c r="AN2080" s="271" t="s">
        <v>2842</v>
      </c>
      <c r="AO2080" s="27">
        <v>13633796</v>
      </c>
      <c r="AP2080" s="27" t="s">
        <v>2842</v>
      </c>
      <c r="AQ2080" s="27">
        <v>55.833146341463419</v>
      </c>
      <c r="AR2080" s="27">
        <v>59.3</v>
      </c>
      <c r="AS2080" s="29">
        <v>93.626670000000004</v>
      </c>
      <c r="AT2080" s="270">
        <v>38</v>
      </c>
      <c r="AU2080" s="464">
        <v>60.803535044296524</v>
      </c>
      <c r="AV2080" s="29">
        <v>-0.19122445119574899</v>
      </c>
      <c r="AW2080" s="29">
        <v>0.47312848392783102</v>
      </c>
      <c r="AX2080" s="29">
        <v>-0.63896441900571799</v>
      </c>
      <c r="AY2080" s="29">
        <v>-0.42115388453417202</v>
      </c>
      <c r="AZ2080" s="60">
        <v>-0.47027036788454601</v>
      </c>
    </row>
    <row r="2081" spans="1:52" ht="15" customHeight="1">
      <c r="A2081" s="59" t="s">
        <v>540</v>
      </c>
      <c r="B2081" s="27">
        <v>2011</v>
      </c>
      <c r="C2081" s="27" t="s">
        <v>534</v>
      </c>
      <c r="D2081" s="27" t="s">
        <v>81</v>
      </c>
      <c r="E2081" s="27" t="s">
        <v>19</v>
      </c>
      <c r="F2081" s="27" t="s">
        <v>730</v>
      </c>
      <c r="G2081" s="43">
        <f>3800*32.1507431265</f>
        <v>122172.82388069999</v>
      </c>
      <c r="H2081" s="43"/>
      <c r="I2081" s="43"/>
      <c r="J2081" s="43"/>
      <c r="K2081" s="27" t="s">
        <v>731</v>
      </c>
      <c r="L2081" s="28">
        <v>1569.2108333333299</v>
      </c>
      <c r="M2081" s="27" t="s">
        <v>732</v>
      </c>
      <c r="N2081" s="27" t="s">
        <v>733</v>
      </c>
      <c r="O2081" s="18">
        <f>G2081*L2081</f>
        <v>191714918.77251938</v>
      </c>
      <c r="P2081" s="214"/>
      <c r="Q2081" s="214"/>
      <c r="R2081" s="27"/>
      <c r="S2081" s="27"/>
      <c r="T2081" s="18"/>
      <c r="U2081" s="27"/>
      <c r="V2081" s="27"/>
      <c r="W2081" s="30"/>
      <c r="X2081" s="27"/>
      <c r="Y2081" s="27"/>
      <c r="Z2081" s="27"/>
      <c r="AA2081" s="27">
        <v>27</v>
      </c>
      <c r="AB2081" s="27"/>
      <c r="AC2081" s="273">
        <v>1588841770</v>
      </c>
      <c r="AD2081" s="27">
        <v>23731894786.497993</v>
      </c>
      <c r="AE2081" s="228">
        <v>6.6949638210260162E-2</v>
      </c>
      <c r="AF2081" s="27">
        <v>10354700333.244804</v>
      </c>
      <c r="AG2081" s="226">
        <v>0.15344159839168536</v>
      </c>
      <c r="AH2081" s="226">
        <v>0.80830848520332743</v>
      </c>
      <c r="AI2081" s="27">
        <v>1035060000</v>
      </c>
      <c r="AJ2081" s="226">
        <v>1.5350238343670899</v>
      </c>
      <c r="AK2081" s="27">
        <v>930861126.36274886</v>
      </c>
      <c r="AL2081" s="226">
        <v>1.7068515646455749</v>
      </c>
      <c r="AM2081" s="27" t="s">
        <v>2842</v>
      </c>
      <c r="AN2081" s="271" t="s">
        <v>2842</v>
      </c>
      <c r="AO2081" s="27">
        <v>13633796</v>
      </c>
      <c r="AP2081" s="27" t="s">
        <v>2842</v>
      </c>
      <c r="AQ2081" s="27">
        <v>55.833146341463419</v>
      </c>
      <c r="AR2081" s="27">
        <v>59.3</v>
      </c>
      <c r="AS2081" s="29">
        <v>93.626670000000004</v>
      </c>
      <c r="AT2081" s="270">
        <v>38</v>
      </c>
      <c r="AU2081" s="464">
        <v>60.803535044296524</v>
      </c>
      <c r="AV2081" s="29">
        <v>-0.19122445119574899</v>
      </c>
      <c r="AW2081" s="29">
        <v>0.47312848392783102</v>
      </c>
      <c r="AX2081" s="29">
        <v>-0.63896441900571799</v>
      </c>
      <c r="AY2081" s="29">
        <v>-0.42115388453417202</v>
      </c>
      <c r="AZ2081" s="60">
        <v>-0.47027036788454601</v>
      </c>
    </row>
    <row r="2082" spans="1:52" ht="15" customHeight="1">
      <c r="A2082" s="59" t="s">
        <v>540</v>
      </c>
      <c r="B2082" s="27">
        <v>2011</v>
      </c>
      <c r="C2082" s="27" t="s">
        <v>534</v>
      </c>
      <c r="D2082" s="27" t="s">
        <v>81</v>
      </c>
      <c r="E2082" s="27" t="s">
        <v>19</v>
      </c>
      <c r="F2082" s="27" t="s">
        <v>2225</v>
      </c>
      <c r="G2082" s="43">
        <v>1000</v>
      </c>
      <c r="H2082" s="43"/>
      <c r="I2082" s="43"/>
      <c r="J2082" s="43"/>
      <c r="K2082" s="27" t="s">
        <v>567</v>
      </c>
      <c r="L2082" s="44">
        <v>2400.8120833333301</v>
      </c>
      <c r="M2082" s="27" t="s">
        <v>568</v>
      </c>
      <c r="N2082" s="27" t="s">
        <v>2226</v>
      </c>
      <c r="O2082" s="18">
        <f>G2082*L2082</f>
        <v>2400812.0833333302</v>
      </c>
      <c r="P2082" s="214"/>
      <c r="Q2082" s="214"/>
      <c r="R2082" s="27"/>
      <c r="S2082" s="27"/>
      <c r="T2082" s="18"/>
      <c r="U2082" s="27"/>
      <c r="V2082" s="27"/>
      <c r="W2082" s="30"/>
      <c r="X2082" s="27"/>
      <c r="Y2082" s="27"/>
      <c r="Z2082" s="27"/>
      <c r="AA2082" s="27"/>
      <c r="AB2082" s="27"/>
      <c r="AC2082" s="273">
        <v>1588841770</v>
      </c>
      <c r="AD2082" s="27">
        <v>23731894786.497993</v>
      </c>
      <c r="AE2082" s="228">
        <v>6.6949638210260162E-2</v>
      </c>
      <c r="AF2082" s="27">
        <v>10354700333.244804</v>
      </c>
      <c r="AG2082" s="226">
        <v>0.15344159839168536</v>
      </c>
      <c r="AH2082" s="226">
        <v>0.80830848520332743</v>
      </c>
      <c r="AI2082" s="27">
        <v>1035060000</v>
      </c>
      <c r="AJ2082" s="226">
        <v>1.5350238343670899</v>
      </c>
      <c r="AK2082" s="27">
        <v>930861126.36274886</v>
      </c>
      <c r="AL2082" s="226">
        <v>1.7068515646455749</v>
      </c>
      <c r="AM2082" s="27" t="s">
        <v>2842</v>
      </c>
      <c r="AN2082" s="271" t="s">
        <v>2842</v>
      </c>
      <c r="AO2082" s="27">
        <v>13633796</v>
      </c>
      <c r="AP2082" s="27" t="s">
        <v>2842</v>
      </c>
      <c r="AQ2082" s="27">
        <v>55.833146341463419</v>
      </c>
      <c r="AR2082" s="27">
        <v>59.3</v>
      </c>
      <c r="AS2082" s="29">
        <v>93.626670000000004</v>
      </c>
      <c r="AT2082" s="270">
        <v>38</v>
      </c>
      <c r="AU2082" s="464">
        <v>60.803535044296524</v>
      </c>
      <c r="AV2082" s="29">
        <v>-0.19122445119574899</v>
      </c>
      <c r="AW2082" s="29">
        <v>0.47312848392783102</v>
      </c>
      <c r="AX2082" s="29">
        <v>-0.63896441900571799</v>
      </c>
      <c r="AY2082" s="29">
        <v>-0.42115388453417202</v>
      </c>
      <c r="AZ2082" s="60">
        <v>-0.47027036788454601</v>
      </c>
    </row>
    <row r="2083" spans="1:52" ht="15" customHeight="1">
      <c r="A2083" s="59" t="s">
        <v>540</v>
      </c>
      <c r="B2083" s="27">
        <v>2011</v>
      </c>
      <c r="C2083" s="27" t="s">
        <v>534</v>
      </c>
      <c r="D2083" s="27" t="s">
        <v>81</v>
      </c>
      <c r="E2083" s="27" t="s">
        <v>19</v>
      </c>
      <c r="F2083" s="27" t="s">
        <v>653</v>
      </c>
      <c r="G2083" s="43">
        <v>3760000</v>
      </c>
      <c r="H2083" s="43"/>
      <c r="I2083" s="43"/>
      <c r="J2083" s="43"/>
      <c r="K2083" s="27" t="s">
        <v>567</v>
      </c>
      <c r="L2083" s="28">
        <v>9.06</v>
      </c>
      <c r="M2083" s="27" t="s">
        <v>568</v>
      </c>
      <c r="N2083" s="27" t="s">
        <v>1785</v>
      </c>
      <c r="O2083" s="18">
        <f>G2083*L2083</f>
        <v>34065600</v>
      </c>
      <c r="P2083" s="214"/>
      <c r="Q2083" s="214"/>
      <c r="R2083" s="18"/>
      <c r="S2083" s="27"/>
      <c r="T2083" s="18"/>
      <c r="U2083" s="18"/>
      <c r="V2083" s="18"/>
      <c r="W2083" s="30"/>
      <c r="X2083" s="27"/>
      <c r="Y2083" s="27"/>
      <c r="Z2083" s="27"/>
      <c r="AA2083" s="27"/>
      <c r="AB2083" s="27"/>
      <c r="AC2083" s="273">
        <v>1588841770</v>
      </c>
      <c r="AD2083" s="27">
        <v>23731894786.497993</v>
      </c>
      <c r="AE2083" s="228">
        <v>6.6949638210260162E-2</v>
      </c>
      <c r="AF2083" s="27">
        <v>10354700333.244804</v>
      </c>
      <c r="AG2083" s="226">
        <v>0.15344159839168536</v>
      </c>
      <c r="AH2083" s="226">
        <v>0.80830848520332743</v>
      </c>
      <c r="AI2083" s="27">
        <v>1035060000</v>
      </c>
      <c r="AJ2083" s="226">
        <v>1.5350238343670899</v>
      </c>
      <c r="AK2083" s="27">
        <v>930861126.36274886</v>
      </c>
      <c r="AL2083" s="226">
        <v>1.7068515646455749</v>
      </c>
      <c r="AM2083" s="27" t="s">
        <v>2842</v>
      </c>
      <c r="AN2083" s="271" t="s">
        <v>2842</v>
      </c>
      <c r="AO2083" s="27">
        <v>13633796</v>
      </c>
      <c r="AP2083" s="27" t="s">
        <v>2842</v>
      </c>
      <c r="AQ2083" s="27">
        <v>55.833146341463419</v>
      </c>
      <c r="AR2083" s="27">
        <v>59.3</v>
      </c>
      <c r="AS2083" s="29">
        <v>93.626670000000004</v>
      </c>
      <c r="AT2083" s="270">
        <v>38</v>
      </c>
      <c r="AU2083" s="464">
        <v>60.803535044296524</v>
      </c>
      <c r="AV2083" s="29">
        <v>-0.19122445119574899</v>
      </c>
      <c r="AW2083" s="29">
        <v>0.47312848392783102</v>
      </c>
      <c r="AX2083" s="29">
        <v>-0.63896441900571799</v>
      </c>
      <c r="AY2083" s="29">
        <v>-0.42115388453417202</v>
      </c>
      <c r="AZ2083" s="60">
        <v>-0.47027036788454601</v>
      </c>
    </row>
    <row r="2084" spans="1:52" ht="15" customHeight="1">
      <c r="A2084" s="59" t="s">
        <v>540</v>
      </c>
      <c r="B2084" s="27">
        <v>2011</v>
      </c>
      <c r="C2084" s="27" t="s">
        <v>534</v>
      </c>
      <c r="D2084" s="27" t="s">
        <v>81</v>
      </c>
      <c r="E2084" s="27" t="s">
        <v>19</v>
      </c>
      <c r="F2084" s="27" t="s">
        <v>2246</v>
      </c>
      <c r="G2084" s="43"/>
      <c r="H2084" s="43"/>
      <c r="I2084" s="43"/>
      <c r="J2084" s="43"/>
      <c r="K2084" s="27"/>
      <c r="L2084" s="28">
        <v>7.88</v>
      </c>
      <c r="M2084" s="27" t="s">
        <v>568</v>
      </c>
      <c r="N2084" s="27" t="s">
        <v>785</v>
      </c>
      <c r="O2084" s="18">
        <f>G2086*L2084</f>
        <v>315200</v>
      </c>
      <c r="P2084" s="214"/>
      <c r="Q2084" s="214"/>
      <c r="R2084" s="18"/>
      <c r="S2084" s="27"/>
      <c r="T2084" s="18"/>
      <c r="U2084" s="18"/>
      <c r="V2084" s="18"/>
      <c r="W2084" s="30"/>
      <c r="X2084" s="27"/>
      <c r="Y2084" s="27"/>
      <c r="Z2084" s="27"/>
      <c r="AA2084" s="27"/>
      <c r="AB2084" s="27"/>
      <c r="AC2084" s="273">
        <v>1588841770</v>
      </c>
      <c r="AD2084" s="27">
        <v>23731894786.497993</v>
      </c>
      <c r="AE2084" s="228">
        <v>6.6949638210260162E-2</v>
      </c>
      <c r="AF2084" s="27">
        <v>10354700333.244804</v>
      </c>
      <c r="AG2084" s="226">
        <v>0.15344159839168536</v>
      </c>
      <c r="AH2084" s="226">
        <v>0.80830848520332743</v>
      </c>
      <c r="AI2084" s="27">
        <v>1035060000</v>
      </c>
      <c r="AJ2084" s="226">
        <v>1.5350238343670899</v>
      </c>
      <c r="AK2084" s="27">
        <v>930861126.36274886</v>
      </c>
      <c r="AL2084" s="226">
        <v>1.7068515646455749</v>
      </c>
      <c r="AM2084" s="27" t="s">
        <v>2842</v>
      </c>
      <c r="AN2084" s="271" t="s">
        <v>2842</v>
      </c>
      <c r="AO2084" s="27">
        <v>13633796</v>
      </c>
      <c r="AP2084" s="27" t="s">
        <v>2842</v>
      </c>
      <c r="AQ2084" s="27">
        <v>55.833146341463419</v>
      </c>
      <c r="AR2084" s="27">
        <v>59.3</v>
      </c>
      <c r="AS2084" s="29">
        <v>93.626670000000004</v>
      </c>
      <c r="AT2084" s="270">
        <v>38</v>
      </c>
      <c r="AU2084" s="464">
        <v>60.803535044296524</v>
      </c>
      <c r="AV2084" s="29">
        <v>-0.19122445119574899</v>
      </c>
      <c r="AW2084" s="29">
        <v>0.47312848392783102</v>
      </c>
      <c r="AX2084" s="29">
        <v>-0.63896441900571799</v>
      </c>
      <c r="AY2084" s="29">
        <v>-0.42115388453417202</v>
      </c>
      <c r="AZ2084" s="60">
        <v>-0.47027036788454601</v>
      </c>
    </row>
    <row r="2085" spans="1:52" ht="15" customHeight="1">
      <c r="A2085" s="59" t="s">
        <v>540</v>
      </c>
      <c r="B2085" s="27">
        <v>2011</v>
      </c>
      <c r="C2085" s="27" t="s">
        <v>534</v>
      </c>
      <c r="D2085" s="27" t="s">
        <v>81</v>
      </c>
      <c r="E2085" s="27" t="s">
        <v>19</v>
      </c>
      <c r="F2085" s="27" t="s">
        <v>982</v>
      </c>
      <c r="G2085" s="43">
        <v>120000</v>
      </c>
      <c r="H2085" s="43"/>
      <c r="I2085" s="43"/>
      <c r="J2085" s="43"/>
      <c r="K2085" s="27" t="s">
        <v>567</v>
      </c>
      <c r="L2085" s="28"/>
      <c r="M2085" s="27"/>
      <c r="N2085" s="27" t="s">
        <v>636</v>
      </c>
      <c r="O2085" s="18"/>
      <c r="P2085" s="214"/>
      <c r="Q2085" s="214"/>
      <c r="R2085" s="18"/>
      <c r="S2085" s="27"/>
      <c r="T2085" s="18"/>
      <c r="U2085" s="18"/>
      <c r="V2085" s="18"/>
      <c r="W2085" s="30"/>
      <c r="X2085" s="27"/>
      <c r="Y2085" s="27"/>
      <c r="Z2085" s="27"/>
      <c r="AA2085" s="27"/>
      <c r="AB2085" s="27"/>
      <c r="AC2085" s="273">
        <v>1588841770</v>
      </c>
      <c r="AD2085" s="27">
        <v>23731894786.497993</v>
      </c>
      <c r="AE2085" s="228">
        <v>6.6949638210260162E-2</v>
      </c>
      <c r="AF2085" s="27">
        <v>10354700333.244804</v>
      </c>
      <c r="AG2085" s="226">
        <v>0.15344159839168536</v>
      </c>
      <c r="AH2085" s="226">
        <v>0.80830848520332743</v>
      </c>
      <c r="AI2085" s="27">
        <v>1035060000</v>
      </c>
      <c r="AJ2085" s="226">
        <v>1.5350238343670899</v>
      </c>
      <c r="AK2085" s="27">
        <v>930861126.36274886</v>
      </c>
      <c r="AL2085" s="226">
        <v>1.7068515646455749</v>
      </c>
      <c r="AM2085" s="27" t="s">
        <v>2842</v>
      </c>
      <c r="AN2085" s="271" t="s">
        <v>2842</v>
      </c>
      <c r="AO2085" s="27">
        <v>13633796</v>
      </c>
      <c r="AP2085" s="27" t="s">
        <v>2842</v>
      </c>
      <c r="AQ2085" s="27">
        <v>55.833146341463419</v>
      </c>
      <c r="AR2085" s="27">
        <v>59.3</v>
      </c>
      <c r="AS2085" s="29">
        <v>93.626670000000004</v>
      </c>
      <c r="AT2085" s="270">
        <v>38</v>
      </c>
      <c r="AU2085" s="464">
        <v>60.803535044296524</v>
      </c>
      <c r="AV2085" s="29">
        <v>-0.19122445119574899</v>
      </c>
      <c r="AW2085" s="29">
        <v>0.47312848392783102</v>
      </c>
      <c r="AX2085" s="29">
        <v>-0.63896441900571799</v>
      </c>
      <c r="AY2085" s="29">
        <v>-0.42115388453417202</v>
      </c>
      <c r="AZ2085" s="60">
        <v>-0.47027036788454601</v>
      </c>
    </row>
    <row r="2086" spans="1:52" ht="15" customHeight="1">
      <c r="A2086" s="59" t="s">
        <v>540</v>
      </c>
      <c r="B2086" s="27">
        <v>2011</v>
      </c>
      <c r="C2086" s="27" t="s">
        <v>534</v>
      </c>
      <c r="D2086" s="27" t="s">
        <v>81</v>
      </c>
      <c r="E2086" s="27" t="s">
        <v>19</v>
      </c>
      <c r="F2086" s="27" t="s">
        <v>1321</v>
      </c>
      <c r="G2086" s="43">
        <v>40000</v>
      </c>
      <c r="H2086" s="43"/>
      <c r="I2086" s="43"/>
      <c r="J2086" s="43"/>
      <c r="K2086" s="27" t="s">
        <v>567</v>
      </c>
      <c r="L2086" s="28"/>
      <c r="M2086" s="27"/>
      <c r="N2086" s="27" t="s">
        <v>636</v>
      </c>
      <c r="O2086" s="18"/>
      <c r="P2086" s="214"/>
      <c r="Q2086" s="214"/>
      <c r="R2086" s="18"/>
      <c r="S2086" s="27"/>
      <c r="T2086" s="18"/>
      <c r="U2086" s="18"/>
      <c r="V2086" s="18"/>
      <c r="W2086" s="30"/>
      <c r="X2086" s="27"/>
      <c r="Y2086" s="27"/>
      <c r="Z2086" s="27"/>
      <c r="AA2086" s="27"/>
      <c r="AB2086" s="27"/>
      <c r="AC2086" s="273">
        <v>1588841770</v>
      </c>
      <c r="AD2086" s="27">
        <v>23731894786.497993</v>
      </c>
      <c r="AE2086" s="228">
        <v>6.6949638210260162E-2</v>
      </c>
      <c r="AF2086" s="27">
        <v>10354700333.244804</v>
      </c>
      <c r="AG2086" s="226">
        <v>0.15344159839168536</v>
      </c>
      <c r="AH2086" s="226">
        <v>0.80830848520332743</v>
      </c>
      <c r="AI2086" s="27">
        <v>1035060000</v>
      </c>
      <c r="AJ2086" s="226">
        <v>1.5350238343670899</v>
      </c>
      <c r="AK2086" s="27">
        <v>930861126.36274886</v>
      </c>
      <c r="AL2086" s="226">
        <v>1.7068515646455749</v>
      </c>
      <c r="AM2086" s="27" t="s">
        <v>2842</v>
      </c>
      <c r="AN2086" s="271" t="s">
        <v>2842</v>
      </c>
      <c r="AO2086" s="27">
        <v>13633796</v>
      </c>
      <c r="AP2086" s="27" t="s">
        <v>2842</v>
      </c>
      <c r="AQ2086" s="27">
        <v>55.833146341463419</v>
      </c>
      <c r="AR2086" s="27">
        <v>59.3</v>
      </c>
      <c r="AS2086" s="29">
        <v>93.626670000000004</v>
      </c>
      <c r="AT2086" s="270">
        <v>38</v>
      </c>
      <c r="AU2086" s="464">
        <v>60.803535044296524</v>
      </c>
      <c r="AV2086" s="29">
        <v>-0.19122445119574899</v>
      </c>
      <c r="AW2086" s="29">
        <v>0.47312848392783102</v>
      </c>
      <c r="AX2086" s="29">
        <v>-0.63896441900571799</v>
      </c>
      <c r="AY2086" s="29">
        <v>-0.42115388453417202</v>
      </c>
      <c r="AZ2086" s="60">
        <v>-0.47027036788454601</v>
      </c>
    </row>
    <row r="2087" spans="1:52" ht="15" customHeight="1">
      <c r="A2087" s="59" t="s">
        <v>540</v>
      </c>
      <c r="B2087" s="27">
        <v>2011</v>
      </c>
      <c r="C2087" s="27" t="s">
        <v>534</v>
      </c>
      <c r="D2087" s="27" t="s">
        <v>81</v>
      </c>
      <c r="E2087" s="27" t="s">
        <v>19</v>
      </c>
      <c r="F2087" s="27" t="s">
        <v>2228</v>
      </c>
      <c r="G2087" s="43">
        <v>2724</v>
      </c>
      <c r="H2087" s="43"/>
      <c r="I2087" s="43"/>
      <c r="J2087" s="43"/>
      <c r="K2087" s="27" t="s">
        <v>567</v>
      </c>
      <c r="L2087" s="44">
        <v>22910.356666666699</v>
      </c>
      <c r="M2087" s="27" t="s">
        <v>568</v>
      </c>
      <c r="N2087" s="27" t="s">
        <v>1554</v>
      </c>
      <c r="O2087" s="18">
        <f>G2087*L2087</f>
        <v>62407811.560000092</v>
      </c>
      <c r="P2087" s="214"/>
      <c r="Q2087" s="214"/>
      <c r="R2087" s="18"/>
      <c r="S2087" s="27"/>
      <c r="T2087" s="18"/>
      <c r="U2087" s="27"/>
      <c r="V2087" s="18"/>
      <c r="W2087" s="30"/>
      <c r="X2087" s="27"/>
      <c r="Y2087" s="27"/>
      <c r="Z2087" s="27"/>
      <c r="AA2087" s="27">
        <v>27</v>
      </c>
      <c r="AB2087" s="27"/>
      <c r="AC2087" s="273">
        <v>1588841770</v>
      </c>
      <c r="AD2087" s="27">
        <v>23731894786.497993</v>
      </c>
      <c r="AE2087" s="228">
        <v>6.6949638210260162E-2</v>
      </c>
      <c r="AF2087" s="27">
        <v>10354700333.244804</v>
      </c>
      <c r="AG2087" s="226">
        <v>0.15344159839168536</v>
      </c>
      <c r="AH2087" s="226">
        <v>0.80830848520332743</v>
      </c>
      <c r="AI2087" s="27">
        <v>1035060000</v>
      </c>
      <c r="AJ2087" s="226">
        <v>1.5350238343670899</v>
      </c>
      <c r="AK2087" s="27">
        <v>930861126.36274886</v>
      </c>
      <c r="AL2087" s="226">
        <v>1.7068515646455749</v>
      </c>
      <c r="AM2087" s="27" t="s">
        <v>2842</v>
      </c>
      <c r="AN2087" s="271" t="s">
        <v>2842</v>
      </c>
      <c r="AO2087" s="27">
        <v>13633796</v>
      </c>
      <c r="AP2087" s="27" t="s">
        <v>2842</v>
      </c>
      <c r="AQ2087" s="27">
        <v>55.833146341463419</v>
      </c>
      <c r="AR2087" s="27">
        <v>59.3</v>
      </c>
      <c r="AS2087" s="29">
        <v>93.626670000000004</v>
      </c>
      <c r="AT2087" s="270">
        <v>38</v>
      </c>
      <c r="AU2087" s="464">
        <v>60.803535044296524</v>
      </c>
      <c r="AV2087" s="29">
        <v>-0.19122445119574899</v>
      </c>
      <c r="AW2087" s="29">
        <v>0.47312848392783102</v>
      </c>
      <c r="AX2087" s="29">
        <v>-0.63896441900571799</v>
      </c>
      <c r="AY2087" s="29">
        <v>-0.42115388453417202</v>
      </c>
      <c r="AZ2087" s="60">
        <v>-0.47027036788454601</v>
      </c>
    </row>
    <row r="2088" spans="1:52" s="287" customFormat="1" ht="15" customHeight="1">
      <c r="A2088" s="344" t="s">
        <v>540</v>
      </c>
      <c r="B2088" s="284">
        <v>2011</v>
      </c>
      <c r="C2088" s="284" t="s">
        <v>534</v>
      </c>
      <c r="D2088" s="284" t="s">
        <v>81</v>
      </c>
      <c r="E2088" s="284" t="s">
        <v>19</v>
      </c>
      <c r="F2088" s="284" t="s">
        <v>2253</v>
      </c>
      <c r="G2088" s="303">
        <v>360000</v>
      </c>
      <c r="H2088" s="303"/>
      <c r="I2088" s="303"/>
      <c r="J2088" s="303"/>
      <c r="K2088" s="284" t="s">
        <v>567</v>
      </c>
      <c r="L2088" s="304">
        <v>7.49</v>
      </c>
      <c r="M2088" s="284" t="s">
        <v>568</v>
      </c>
      <c r="N2088" s="284" t="s">
        <v>1158</v>
      </c>
      <c r="O2088" s="305">
        <f>G2088*L2088</f>
        <v>2696400</v>
      </c>
      <c r="P2088" s="346"/>
      <c r="Q2088" s="346"/>
      <c r="R2088" s="305"/>
      <c r="S2088" s="284"/>
      <c r="T2088" s="305"/>
      <c r="U2088" s="284"/>
      <c r="V2088" s="305"/>
      <c r="W2088" s="307"/>
      <c r="X2088" s="284"/>
      <c r="Y2088" s="284"/>
      <c r="Z2088" s="284"/>
      <c r="AA2088" s="284"/>
      <c r="AB2088" s="284"/>
      <c r="AC2088" s="308">
        <v>1588841770</v>
      </c>
      <c r="AD2088" s="284">
        <v>23731894786.497993</v>
      </c>
      <c r="AE2088" s="309">
        <v>6.6949638210260162E-2</v>
      </c>
      <c r="AF2088" s="284">
        <v>10354700333.244804</v>
      </c>
      <c r="AG2088" s="310">
        <v>0.15344159839168536</v>
      </c>
      <c r="AH2088" s="310">
        <v>0.80830848520332743</v>
      </c>
      <c r="AI2088" s="284">
        <v>1035060000</v>
      </c>
      <c r="AJ2088" s="310">
        <v>1.5350238343670899</v>
      </c>
      <c r="AK2088" s="284">
        <v>930861126.36274886</v>
      </c>
      <c r="AL2088" s="310">
        <v>1.7068515646455749</v>
      </c>
      <c r="AM2088" s="284" t="s">
        <v>2842</v>
      </c>
      <c r="AN2088" s="311" t="s">
        <v>2842</v>
      </c>
      <c r="AO2088" s="284">
        <v>13633796</v>
      </c>
      <c r="AP2088" s="284" t="s">
        <v>2842</v>
      </c>
      <c r="AQ2088" s="284">
        <v>55.833146341463419</v>
      </c>
      <c r="AR2088" s="284">
        <v>59.3</v>
      </c>
      <c r="AS2088" s="287">
        <v>93.626670000000004</v>
      </c>
      <c r="AT2088" s="312">
        <v>38</v>
      </c>
      <c r="AU2088" s="465">
        <v>60.803535044296524</v>
      </c>
      <c r="AV2088" s="287">
        <v>-0.19122445119574899</v>
      </c>
      <c r="AW2088" s="287">
        <v>0.47312848392783102</v>
      </c>
      <c r="AX2088" s="287">
        <v>-0.63896441900571799</v>
      </c>
      <c r="AY2088" s="287">
        <v>-0.42115388453417202</v>
      </c>
      <c r="AZ2088" s="313">
        <v>-0.47027036788454601</v>
      </c>
    </row>
    <row r="2089" spans="1:52" ht="15" customHeight="1">
      <c r="A2089" s="59" t="s">
        <v>542</v>
      </c>
      <c r="B2089" s="27">
        <v>2012</v>
      </c>
      <c r="C2089" s="27" t="s">
        <v>534</v>
      </c>
      <c r="D2089" s="27" t="s">
        <v>81</v>
      </c>
      <c r="E2089" s="27" t="s">
        <v>36</v>
      </c>
      <c r="F2089" s="27" t="s">
        <v>659</v>
      </c>
      <c r="G2089" s="27"/>
      <c r="H2089" s="176"/>
      <c r="I2089" s="176"/>
      <c r="J2089" s="176"/>
      <c r="K2089" s="176"/>
      <c r="L2089" s="27"/>
      <c r="M2089" s="28"/>
      <c r="N2089" s="27"/>
      <c r="O2089" s="27"/>
      <c r="P2089" s="243">
        <v>1537626771.04</v>
      </c>
      <c r="Q2089" s="254">
        <v>1519219439.75</v>
      </c>
      <c r="R2089" s="27" t="s">
        <v>3693</v>
      </c>
      <c r="S2089" s="29"/>
      <c r="T2089" s="29"/>
      <c r="U2089" s="27" t="s">
        <v>1861</v>
      </c>
      <c r="V2089" s="27" t="s">
        <v>2205</v>
      </c>
      <c r="W2089" s="30">
        <v>5.0659999999999998</v>
      </c>
      <c r="X2089" s="27">
        <v>29</v>
      </c>
      <c r="Y2089" s="27" t="s">
        <v>2254</v>
      </c>
      <c r="Z2089" s="29">
        <v>29</v>
      </c>
      <c r="AA2089" s="29"/>
      <c r="AB2089" s="27" t="s">
        <v>2255</v>
      </c>
      <c r="AC2089" s="273">
        <v>1537626771.04</v>
      </c>
      <c r="AD2089" s="27">
        <v>24939543374.136166</v>
      </c>
      <c r="AE2089" s="228">
        <v>6.1654166957788532E-2</v>
      </c>
      <c r="AF2089" s="27">
        <v>5736593766.9188013</v>
      </c>
      <c r="AG2089" s="226">
        <v>0.26803828779144651</v>
      </c>
      <c r="AH2089" s="226">
        <v>0.70859694014265073</v>
      </c>
      <c r="AI2089" s="27">
        <v>957720000</v>
      </c>
      <c r="AJ2089" s="226">
        <v>1.6055076337969343</v>
      </c>
      <c r="AK2089" s="27">
        <v>1046243868.0027586</v>
      </c>
      <c r="AL2089" s="226">
        <v>1.4696638308382857</v>
      </c>
      <c r="AM2089" s="27" t="s">
        <v>2842</v>
      </c>
      <c r="AN2089" s="271" t="s">
        <v>2842</v>
      </c>
      <c r="AO2089" s="27">
        <v>14075099</v>
      </c>
      <c r="AP2089" s="27" t="s">
        <v>2842</v>
      </c>
      <c r="AQ2089" s="27">
        <v>57.022585365853665</v>
      </c>
      <c r="AR2089" s="27">
        <v>57.1</v>
      </c>
      <c r="AS2089" s="29">
        <v>97.876090000000005</v>
      </c>
      <c r="AT2089" s="270">
        <v>38</v>
      </c>
      <c r="AU2089" s="464">
        <v>60.803535044296524</v>
      </c>
      <c r="AV2089" s="29">
        <v>-0.15558153117561299</v>
      </c>
      <c r="AW2089" s="29">
        <v>0.61397274031289295</v>
      </c>
      <c r="AX2089" s="29">
        <v>-0.50167064815564</v>
      </c>
      <c r="AY2089" s="29">
        <v>-0.42878042603682198</v>
      </c>
      <c r="AZ2089" s="60">
        <v>-0.36075468296103302</v>
      </c>
    </row>
    <row r="2090" spans="1:52" ht="15" customHeight="1">
      <c r="A2090" s="59" t="s">
        <v>542</v>
      </c>
      <c r="B2090" s="27">
        <v>2012</v>
      </c>
      <c r="C2090" s="27" t="s">
        <v>534</v>
      </c>
      <c r="D2090" s="27" t="s">
        <v>81</v>
      </c>
      <c r="E2090" s="27" t="s">
        <v>19</v>
      </c>
      <c r="F2090" s="27" t="s">
        <v>559</v>
      </c>
      <c r="G2090" s="27"/>
      <c r="H2090" s="176"/>
      <c r="I2090" s="176"/>
      <c r="J2090" s="176"/>
      <c r="K2090" s="176"/>
      <c r="L2090" s="27"/>
      <c r="M2090" s="28"/>
      <c r="N2090" s="27"/>
      <c r="O2090" s="27"/>
      <c r="P2090" s="244"/>
      <c r="Q2090" s="244"/>
      <c r="R2090" s="18"/>
      <c r="S2090" s="30"/>
      <c r="T2090" s="27"/>
      <c r="U2090" s="27"/>
      <c r="V2090" s="56"/>
      <c r="W2090" s="57"/>
      <c r="X2090" s="27"/>
      <c r="Y2090" s="27"/>
      <c r="Z2090" s="27"/>
      <c r="AA2090" s="27"/>
      <c r="AB2090" s="27"/>
      <c r="AC2090" s="273">
        <v>1537626771.04</v>
      </c>
      <c r="AD2090" s="27">
        <v>24939543374.136166</v>
      </c>
      <c r="AE2090" s="228">
        <v>6.1654166957788532E-2</v>
      </c>
      <c r="AF2090" s="27">
        <v>5736593766.9188013</v>
      </c>
      <c r="AG2090" s="226">
        <v>0.26803828779144651</v>
      </c>
      <c r="AH2090" s="226">
        <v>0.70859694014265073</v>
      </c>
      <c r="AI2090" s="27">
        <v>957720000</v>
      </c>
      <c r="AJ2090" s="226">
        <v>1.6055076337969343</v>
      </c>
      <c r="AK2090" s="27">
        <v>1046243868.0027586</v>
      </c>
      <c r="AL2090" s="226">
        <v>1.4696638308382857</v>
      </c>
      <c r="AM2090" s="27" t="s">
        <v>2842</v>
      </c>
      <c r="AN2090" s="271" t="s">
        <v>2842</v>
      </c>
      <c r="AO2090" s="27">
        <v>14075099</v>
      </c>
      <c r="AP2090" s="27" t="s">
        <v>2842</v>
      </c>
      <c r="AQ2090" s="27">
        <v>57.022585365853665</v>
      </c>
      <c r="AR2090" s="27">
        <v>57.1</v>
      </c>
      <c r="AS2090" s="29">
        <v>97.876090000000005</v>
      </c>
      <c r="AT2090" s="270">
        <v>38</v>
      </c>
      <c r="AU2090" s="464">
        <v>60.803535044296524</v>
      </c>
      <c r="AV2090" s="29">
        <v>-0.15558153117561299</v>
      </c>
      <c r="AW2090" s="29">
        <v>0.61397274031289295</v>
      </c>
      <c r="AX2090" s="29">
        <v>-0.50167064815564</v>
      </c>
      <c r="AY2090" s="29">
        <v>-0.42878042603682198</v>
      </c>
      <c r="AZ2090" s="60">
        <v>-0.36075468296103302</v>
      </c>
    </row>
    <row r="2091" spans="1:52" ht="15" customHeight="1">
      <c r="A2091" s="59" t="s">
        <v>542</v>
      </c>
      <c r="B2091" s="27">
        <v>2012</v>
      </c>
      <c r="C2091" s="27" t="s">
        <v>534</v>
      </c>
      <c r="D2091" s="27" t="s">
        <v>81</v>
      </c>
      <c r="E2091" s="27" t="s">
        <v>19</v>
      </c>
      <c r="F2091" s="27" t="s">
        <v>576</v>
      </c>
      <c r="G2091" s="27"/>
      <c r="H2091" s="176"/>
      <c r="I2091" s="176"/>
      <c r="J2091" s="176">
        <v>681906</v>
      </c>
      <c r="K2091" s="27" t="s">
        <v>567</v>
      </c>
      <c r="L2091" s="27"/>
      <c r="M2091" s="28"/>
      <c r="N2091" s="27" t="s">
        <v>674</v>
      </c>
      <c r="O2091" s="27"/>
      <c r="P2091" s="244"/>
      <c r="Q2091" s="244"/>
      <c r="R2091" s="18"/>
      <c r="S2091" s="30"/>
      <c r="T2091" s="27"/>
      <c r="U2091" s="27"/>
      <c r="V2091" s="56"/>
      <c r="W2091" s="57"/>
      <c r="X2091" s="27"/>
      <c r="Y2091" s="27"/>
      <c r="Z2091" s="27"/>
      <c r="AA2091" s="27"/>
      <c r="AB2091" s="27"/>
      <c r="AC2091" s="273">
        <v>1537626771.04</v>
      </c>
      <c r="AD2091" s="27">
        <v>24939543374.136166</v>
      </c>
      <c r="AE2091" s="228">
        <v>6.1654166957788532E-2</v>
      </c>
      <c r="AF2091" s="27">
        <v>5736593766.9188013</v>
      </c>
      <c r="AG2091" s="226">
        <v>0.26803828779144651</v>
      </c>
      <c r="AH2091" s="226">
        <v>0.70859694014265073</v>
      </c>
      <c r="AI2091" s="27">
        <v>957720000</v>
      </c>
      <c r="AJ2091" s="226">
        <v>1.6055076337969343</v>
      </c>
      <c r="AK2091" s="27">
        <v>1046243868.0027586</v>
      </c>
      <c r="AL2091" s="226">
        <v>1.4696638308382857</v>
      </c>
      <c r="AM2091" s="27" t="s">
        <v>2842</v>
      </c>
      <c r="AN2091" s="271" t="s">
        <v>2842</v>
      </c>
      <c r="AO2091" s="27">
        <v>14075099</v>
      </c>
      <c r="AP2091" s="27" t="s">
        <v>2842</v>
      </c>
      <c r="AQ2091" s="27">
        <v>57.022585365853665</v>
      </c>
      <c r="AR2091" s="27">
        <v>57.1</v>
      </c>
      <c r="AS2091" s="29">
        <v>97.876090000000005</v>
      </c>
      <c r="AT2091" s="270">
        <v>38</v>
      </c>
      <c r="AU2091" s="464">
        <v>60.803535044296524</v>
      </c>
      <c r="AV2091" s="29">
        <v>-0.15558153117561299</v>
      </c>
      <c r="AW2091" s="29">
        <v>0.61397274031289295</v>
      </c>
      <c r="AX2091" s="29">
        <v>-0.50167064815564</v>
      </c>
      <c r="AY2091" s="29">
        <v>-0.42878042603682198</v>
      </c>
      <c r="AZ2091" s="60">
        <v>-0.36075468296103302</v>
      </c>
    </row>
    <row r="2092" spans="1:52" ht="15" customHeight="1">
      <c r="A2092" s="59" t="s">
        <v>542</v>
      </c>
      <c r="B2092" s="27">
        <v>2012</v>
      </c>
      <c r="C2092" s="27" t="s">
        <v>534</v>
      </c>
      <c r="D2092" s="27" t="s">
        <v>81</v>
      </c>
      <c r="E2092" s="27" t="s">
        <v>19</v>
      </c>
      <c r="F2092" s="27" t="s">
        <v>977</v>
      </c>
      <c r="G2092" s="27"/>
      <c r="H2092" s="176"/>
      <c r="I2092" s="176"/>
      <c r="J2092" s="176">
        <v>1508</v>
      </c>
      <c r="K2092" s="27" t="s">
        <v>567</v>
      </c>
      <c r="L2092" s="27"/>
      <c r="M2092" s="28"/>
      <c r="N2092" s="27" t="s">
        <v>674</v>
      </c>
      <c r="O2092" s="27"/>
      <c r="P2092" s="244"/>
      <c r="Q2092" s="244"/>
      <c r="R2092" s="18"/>
      <c r="S2092" s="30"/>
      <c r="T2092" s="27"/>
      <c r="U2092" s="27"/>
      <c r="V2092" s="56"/>
      <c r="W2092" s="57"/>
      <c r="X2092" s="27"/>
      <c r="Y2092" s="27"/>
      <c r="Z2092" s="27"/>
      <c r="AA2092" s="27"/>
      <c r="AB2092" s="27"/>
      <c r="AC2092" s="273">
        <v>1537626771.04</v>
      </c>
      <c r="AD2092" s="27">
        <v>24939543374.136166</v>
      </c>
      <c r="AE2092" s="228">
        <v>6.1654166957788532E-2</v>
      </c>
      <c r="AF2092" s="27">
        <v>5736593766.9188013</v>
      </c>
      <c r="AG2092" s="226">
        <v>0.26803828779144651</v>
      </c>
      <c r="AH2092" s="226">
        <v>0.70859694014265073</v>
      </c>
      <c r="AI2092" s="27">
        <v>957720000</v>
      </c>
      <c r="AJ2092" s="226">
        <v>1.6055076337969343</v>
      </c>
      <c r="AK2092" s="27">
        <v>1046243868.0027586</v>
      </c>
      <c r="AL2092" s="226">
        <v>1.4696638308382857</v>
      </c>
      <c r="AM2092" s="27" t="s">
        <v>2842</v>
      </c>
      <c r="AN2092" s="271" t="s">
        <v>2842</v>
      </c>
      <c r="AO2092" s="27">
        <v>14075099</v>
      </c>
      <c r="AP2092" s="27" t="s">
        <v>2842</v>
      </c>
      <c r="AQ2092" s="27">
        <v>57.022585365853665</v>
      </c>
      <c r="AR2092" s="27">
        <v>57.1</v>
      </c>
      <c r="AS2092" s="29">
        <v>97.876090000000005</v>
      </c>
      <c r="AT2092" s="270">
        <v>38</v>
      </c>
      <c r="AU2092" s="464">
        <v>60.803535044296524</v>
      </c>
      <c r="AV2092" s="29">
        <v>-0.15558153117561299</v>
      </c>
      <c r="AW2092" s="29">
        <v>0.61397274031289295</v>
      </c>
      <c r="AX2092" s="29">
        <v>-0.50167064815564</v>
      </c>
      <c r="AY2092" s="29">
        <v>-0.42878042603682198</v>
      </c>
      <c r="AZ2092" s="60">
        <v>-0.36075468296103302</v>
      </c>
    </row>
    <row r="2093" spans="1:52" ht="15" customHeight="1">
      <c r="A2093" s="59" t="s">
        <v>542</v>
      </c>
      <c r="B2093" s="27">
        <v>2012</v>
      </c>
      <c r="C2093" s="27" t="s">
        <v>534</v>
      </c>
      <c r="D2093" s="27" t="s">
        <v>81</v>
      </c>
      <c r="E2093" s="27" t="s">
        <v>19</v>
      </c>
      <c r="F2093" s="27" t="s">
        <v>730</v>
      </c>
      <c r="G2093" s="27"/>
      <c r="H2093" s="176"/>
      <c r="I2093" s="176"/>
      <c r="J2093" s="176">
        <v>136056</v>
      </c>
      <c r="K2093" s="27" t="s">
        <v>2256</v>
      </c>
      <c r="L2093" s="27"/>
      <c r="M2093" s="28"/>
      <c r="N2093" s="27" t="s">
        <v>674</v>
      </c>
      <c r="O2093" s="27"/>
      <c r="P2093" s="244"/>
      <c r="Q2093" s="244"/>
      <c r="R2093" s="18"/>
      <c r="S2093" s="30"/>
      <c r="T2093" s="27"/>
      <c r="U2093" s="27"/>
      <c r="V2093" s="56"/>
      <c r="W2093" s="57"/>
      <c r="X2093" s="27"/>
      <c r="Y2093" s="27"/>
      <c r="Z2093" s="27"/>
      <c r="AA2093" s="27"/>
      <c r="AB2093" s="27"/>
      <c r="AC2093" s="273">
        <v>1537626771.04</v>
      </c>
      <c r="AD2093" s="27">
        <v>24939543374.136166</v>
      </c>
      <c r="AE2093" s="228">
        <v>6.1654166957788532E-2</v>
      </c>
      <c r="AF2093" s="27">
        <v>5736593766.9188013</v>
      </c>
      <c r="AG2093" s="226">
        <v>0.26803828779144651</v>
      </c>
      <c r="AH2093" s="226">
        <v>0.70859694014265073</v>
      </c>
      <c r="AI2093" s="27">
        <v>957720000</v>
      </c>
      <c r="AJ2093" s="226">
        <v>1.6055076337969343</v>
      </c>
      <c r="AK2093" s="27">
        <v>1046243868.0027586</v>
      </c>
      <c r="AL2093" s="226">
        <v>1.4696638308382857</v>
      </c>
      <c r="AM2093" s="27" t="s">
        <v>2842</v>
      </c>
      <c r="AN2093" s="271" t="s">
        <v>2842</v>
      </c>
      <c r="AO2093" s="27">
        <v>14075099</v>
      </c>
      <c r="AP2093" s="27" t="s">
        <v>2842</v>
      </c>
      <c r="AQ2093" s="27">
        <v>57.022585365853665</v>
      </c>
      <c r="AR2093" s="27">
        <v>57.1</v>
      </c>
      <c r="AS2093" s="29">
        <v>97.876090000000005</v>
      </c>
      <c r="AT2093" s="270">
        <v>38</v>
      </c>
      <c r="AU2093" s="464">
        <v>60.803535044296524</v>
      </c>
      <c r="AV2093" s="29">
        <v>-0.15558153117561299</v>
      </c>
      <c r="AW2093" s="29">
        <v>0.61397274031289295</v>
      </c>
      <c r="AX2093" s="29">
        <v>-0.50167064815564</v>
      </c>
      <c r="AY2093" s="29">
        <v>-0.42878042603682198</v>
      </c>
      <c r="AZ2093" s="60">
        <v>-0.36075468296103302</v>
      </c>
    </row>
    <row r="2094" spans="1:52" ht="15" customHeight="1">
      <c r="A2094" s="59" t="s">
        <v>542</v>
      </c>
      <c r="B2094" s="27">
        <v>2012</v>
      </c>
      <c r="C2094" s="27" t="s">
        <v>534</v>
      </c>
      <c r="D2094" s="27" t="s">
        <v>81</v>
      </c>
      <c r="E2094" s="27" t="s">
        <v>19</v>
      </c>
      <c r="F2094" s="27" t="s">
        <v>2257</v>
      </c>
      <c r="G2094" s="27"/>
      <c r="H2094" s="176"/>
      <c r="I2094" s="176"/>
      <c r="J2094" s="176">
        <v>16304</v>
      </c>
      <c r="K2094" s="27" t="s">
        <v>567</v>
      </c>
      <c r="L2094" s="27"/>
      <c r="M2094" s="28"/>
      <c r="N2094" s="27" t="s">
        <v>674</v>
      </c>
      <c r="O2094" s="27"/>
      <c r="P2094" s="244"/>
      <c r="Q2094" s="244"/>
      <c r="R2094" s="18"/>
      <c r="S2094" s="30"/>
      <c r="T2094" s="27"/>
      <c r="U2094" s="27"/>
      <c r="V2094" s="56"/>
      <c r="W2094" s="57"/>
      <c r="X2094" s="27"/>
      <c r="Y2094" s="27"/>
      <c r="Z2094" s="27"/>
      <c r="AA2094" s="27"/>
      <c r="AB2094" s="27"/>
      <c r="AC2094" s="273">
        <v>1537626771.04</v>
      </c>
      <c r="AD2094" s="27">
        <v>24939543374.136166</v>
      </c>
      <c r="AE2094" s="228">
        <v>6.1654166957788532E-2</v>
      </c>
      <c r="AF2094" s="27">
        <v>5736593766.9188013</v>
      </c>
      <c r="AG2094" s="226">
        <v>0.26803828779144651</v>
      </c>
      <c r="AH2094" s="226">
        <v>0.70859694014265073</v>
      </c>
      <c r="AI2094" s="27">
        <v>957720000</v>
      </c>
      <c r="AJ2094" s="226">
        <v>1.6055076337969343</v>
      </c>
      <c r="AK2094" s="27">
        <v>1046243868.0027586</v>
      </c>
      <c r="AL2094" s="226">
        <v>1.4696638308382857</v>
      </c>
      <c r="AM2094" s="27" t="s">
        <v>2842</v>
      </c>
      <c r="AN2094" s="271" t="s">
        <v>2842</v>
      </c>
      <c r="AO2094" s="27">
        <v>14075099</v>
      </c>
      <c r="AP2094" s="27" t="s">
        <v>2842</v>
      </c>
      <c r="AQ2094" s="27">
        <v>57.022585365853665</v>
      </c>
      <c r="AR2094" s="27">
        <v>57.1</v>
      </c>
      <c r="AS2094" s="29">
        <v>97.876090000000005</v>
      </c>
      <c r="AT2094" s="270">
        <v>38</v>
      </c>
      <c r="AU2094" s="464">
        <v>60.803535044296524</v>
      </c>
      <c r="AV2094" s="29">
        <v>-0.15558153117561299</v>
      </c>
      <c r="AW2094" s="29">
        <v>0.61397274031289295</v>
      </c>
      <c r="AX2094" s="29">
        <v>-0.50167064815564</v>
      </c>
      <c r="AY2094" s="29">
        <v>-0.42878042603682198</v>
      </c>
      <c r="AZ2094" s="60">
        <v>-0.36075468296103302</v>
      </c>
    </row>
    <row r="2095" spans="1:52" ht="15" customHeight="1">
      <c r="A2095" s="59" t="s">
        <v>542</v>
      </c>
      <c r="B2095" s="27">
        <v>2012</v>
      </c>
      <c r="C2095" s="27" t="s">
        <v>534</v>
      </c>
      <c r="D2095" s="27" t="s">
        <v>81</v>
      </c>
      <c r="E2095" s="27" t="s">
        <v>19</v>
      </c>
      <c r="F2095" s="27" t="s">
        <v>653</v>
      </c>
      <c r="G2095" s="27"/>
      <c r="H2095" s="176"/>
      <c r="I2095" s="176"/>
      <c r="J2095" s="176">
        <v>980373</v>
      </c>
      <c r="K2095" s="27" t="s">
        <v>567</v>
      </c>
      <c r="L2095" s="27"/>
      <c r="M2095" s="28"/>
      <c r="N2095" s="27" t="s">
        <v>674</v>
      </c>
      <c r="O2095" s="27"/>
      <c r="P2095" s="244"/>
      <c r="Q2095" s="244"/>
      <c r="R2095" s="18"/>
      <c r="S2095" s="30"/>
      <c r="T2095" s="27"/>
      <c r="U2095" s="27"/>
      <c r="V2095" s="56"/>
      <c r="W2095" s="57"/>
      <c r="X2095" s="27"/>
      <c r="Y2095" s="27"/>
      <c r="Z2095" s="27"/>
      <c r="AA2095" s="27"/>
      <c r="AB2095" s="27"/>
      <c r="AC2095" s="273">
        <v>1537626771.04</v>
      </c>
      <c r="AD2095" s="27">
        <v>24939543374.136166</v>
      </c>
      <c r="AE2095" s="228">
        <v>6.1654166957788532E-2</v>
      </c>
      <c r="AF2095" s="27">
        <v>5736593766.9188013</v>
      </c>
      <c r="AG2095" s="226">
        <v>0.26803828779144651</v>
      </c>
      <c r="AH2095" s="226">
        <v>0.70859694014265073</v>
      </c>
      <c r="AI2095" s="27">
        <v>957720000</v>
      </c>
      <c r="AJ2095" s="226">
        <v>1.6055076337969343</v>
      </c>
      <c r="AK2095" s="27">
        <v>1046243868.0027586</v>
      </c>
      <c r="AL2095" s="226">
        <v>1.4696638308382857</v>
      </c>
      <c r="AM2095" s="27" t="s">
        <v>2842</v>
      </c>
      <c r="AN2095" s="271" t="s">
        <v>2842</v>
      </c>
      <c r="AO2095" s="27">
        <v>14075099</v>
      </c>
      <c r="AP2095" s="27" t="s">
        <v>2842</v>
      </c>
      <c r="AQ2095" s="27">
        <v>57.022585365853665</v>
      </c>
      <c r="AR2095" s="27">
        <v>57.1</v>
      </c>
      <c r="AS2095" s="29">
        <v>97.876090000000005</v>
      </c>
      <c r="AT2095" s="270">
        <v>38</v>
      </c>
      <c r="AU2095" s="464">
        <v>60.803535044296524</v>
      </c>
      <c r="AV2095" s="29">
        <v>-0.15558153117561299</v>
      </c>
      <c r="AW2095" s="29">
        <v>0.61397274031289295</v>
      </c>
      <c r="AX2095" s="29">
        <v>-0.50167064815564</v>
      </c>
      <c r="AY2095" s="29">
        <v>-0.42878042603682198</v>
      </c>
      <c r="AZ2095" s="60">
        <v>-0.36075468296103302</v>
      </c>
    </row>
    <row r="2096" spans="1:52" ht="15" customHeight="1">
      <c r="A2096" s="59" t="s">
        <v>542</v>
      </c>
      <c r="B2096" s="27">
        <v>2012</v>
      </c>
      <c r="C2096" s="27" t="s">
        <v>534</v>
      </c>
      <c r="D2096" s="27" t="s">
        <v>81</v>
      </c>
      <c r="E2096" s="27" t="s">
        <v>19</v>
      </c>
      <c r="F2096" s="27" t="s">
        <v>2258</v>
      </c>
      <c r="G2096" s="27"/>
      <c r="H2096" s="176"/>
      <c r="I2096" s="176"/>
      <c r="J2096" s="176">
        <v>45496</v>
      </c>
      <c r="K2096" s="27" t="s">
        <v>567</v>
      </c>
      <c r="L2096" s="27"/>
      <c r="M2096" s="28"/>
      <c r="N2096" s="27" t="s">
        <v>674</v>
      </c>
      <c r="O2096" s="27"/>
      <c r="P2096" s="244"/>
      <c r="Q2096" s="244"/>
      <c r="R2096" s="18"/>
      <c r="S2096" s="30"/>
      <c r="T2096" s="27"/>
      <c r="U2096" s="27"/>
      <c r="V2096" s="56"/>
      <c r="W2096" s="57"/>
      <c r="X2096" s="27"/>
      <c r="Y2096" s="27"/>
      <c r="Z2096" s="27"/>
      <c r="AA2096" s="27"/>
      <c r="AB2096" s="27"/>
      <c r="AC2096" s="273">
        <v>1537626771.04</v>
      </c>
      <c r="AD2096" s="27">
        <v>24939543374.136166</v>
      </c>
      <c r="AE2096" s="228">
        <v>6.1654166957788532E-2</v>
      </c>
      <c r="AF2096" s="27">
        <v>5736593766.9188013</v>
      </c>
      <c r="AG2096" s="226">
        <v>0.26803828779144651</v>
      </c>
      <c r="AH2096" s="226">
        <v>0.70859694014265073</v>
      </c>
      <c r="AI2096" s="27">
        <v>957720000</v>
      </c>
      <c r="AJ2096" s="226">
        <v>1.6055076337969343</v>
      </c>
      <c r="AK2096" s="27">
        <v>1046243868.0027586</v>
      </c>
      <c r="AL2096" s="226">
        <v>1.4696638308382857</v>
      </c>
      <c r="AM2096" s="27" t="s">
        <v>2842</v>
      </c>
      <c r="AN2096" s="271" t="s">
        <v>2842</v>
      </c>
      <c r="AO2096" s="27">
        <v>14075099</v>
      </c>
      <c r="AP2096" s="27" t="s">
        <v>2842</v>
      </c>
      <c r="AQ2096" s="27">
        <v>57.022585365853665</v>
      </c>
      <c r="AR2096" s="27">
        <v>57.1</v>
      </c>
      <c r="AS2096" s="29">
        <v>97.876090000000005</v>
      </c>
      <c r="AT2096" s="270">
        <v>38</v>
      </c>
      <c r="AU2096" s="464">
        <v>60.803535044296524</v>
      </c>
      <c r="AV2096" s="29">
        <v>-0.15558153117561299</v>
      </c>
      <c r="AW2096" s="29">
        <v>0.61397274031289295</v>
      </c>
      <c r="AX2096" s="29">
        <v>-0.50167064815564</v>
      </c>
      <c r="AY2096" s="29">
        <v>-0.42878042603682198</v>
      </c>
      <c r="AZ2096" s="60">
        <v>-0.36075468296103302</v>
      </c>
    </row>
    <row r="2097" spans="1:52" ht="15" customHeight="1">
      <c r="A2097" s="59" t="s">
        <v>542</v>
      </c>
      <c r="B2097" s="27">
        <v>2012</v>
      </c>
      <c r="C2097" s="27" t="s">
        <v>534</v>
      </c>
      <c r="D2097" s="27" t="s">
        <v>81</v>
      </c>
      <c r="E2097" s="27" t="s">
        <v>19</v>
      </c>
      <c r="F2097" s="27" t="s">
        <v>2259</v>
      </c>
      <c r="G2097" s="27"/>
      <c r="H2097" s="176"/>
      <c r="I2097" s="176"/>
      <c r="J2097" s="176">
        <v>87354</v>
      </c>
      <c r="K2097" s="27" t="s">
        <v>567</v>
      </c>
      <c r="L2097" s="27"/>
      <c r="M2097" s="28"/>
      <c r="N2097" s="27" t="s">
        <v>674</v>
      </c>
      <c r="O2097" s="27"/>
      <c r="P2097" s="244"/>
      <c r="Q2097" s="244"/>
      <c r="R2097" s="18"/>
      <c r="S2097" s="30"/>
      <c r="T2097" s="27"/>
      <c r="U2097" s="27"/>
      <c r="V2097" s="56"/>
      <c r="W2097" s="57"/>
      <c r="X2097" s="27"/>
      <c r="Y2097" s="27"/>
      <c r="Z2097" s="27"/>
      <c r="AA2097" s="27"/>
      <c r="AB2097" s="27"/>
      <c r="AC2097" s="273">
        <v>1537626771.04</v>
      </c>
      <c r="AD2097" s="27">
        <v>24939543374.136166</v>
      </c>
      <c r="AE2097" s="228">
        <v>6.1654166957788532E-2</v>
      </c>
      <c r="AF2097" s="27">
        <v>5736593766.9188013</v>
      </c>
      <c r="AG2097" s="226">
        <v>0.26803828779144651</v>
      </c>
      <c r="AH2097" s="226">
        <v>0.70859694014265073</v>
      </c>
      <c r="AI2097" s="27">
        <v>957720000</v>
      </c>
      <c r="AJ2097" s="226">
        <v>1.6055076337969343</v>
      </c>
      <c r="AK2097" s="27">
        <v>1046243868.0027586</v>
      </c>
      <c r="AL2097" s="226">
        <v>1.4696638308382857</v>
      </c>
      <c r="AM2097" s="27" t="s">
        <v>2842</v>
      </c>
      <c r="AN2097" s="271" t="s">
        <v>2842</v>
      </c>
      <c r="AO2097" s="27">
        <v>14075099</v>
      </c>
      <c r="AP2097" s="27" t="s">
        <v>2842</v>
      </c>
      <c r="AQ2097" s="27">
        <v>57.022585365853665</v>
      </c>
      <c r="AR2097" s="27">
        <v>57.1</v>
      </c>
      <c r="AS2097" s="29">
        <v>97.876090000000005</v>
      </c>
      <c r="AT2097" s="270">
        <v>38</v>
      </c>
      <c r="AU2097" s="464">
        <v>60.803535044296524</v>
      </c>
      <c r="AV2097" s="29">
        <v>-0.15558153117561299</v>
      </c>
      <c r="AW2097" s="29">
        <v>0.61397274031289295</v>
      </c>
      <c r="AX2097" s="29">
        <v>-0.50167064815564</v>
      </c>
      <c r="AY2097" s="29">
        <v>-0.42878042603682198</v>
      </c>
      <c r="AZ2097" s="60">
        <v>-0.36075468296103302</v>
      </c>
    </row>
    <row r="2098" spans="1:52" ht="15" customHeight="1">
      <c r="A2098" s="59" t="s">
        <v>542</v>
      </c>
      <c r="B2098" s="27">
        <v>2012</v>
      </c>
      <c r="C2098" s="27" t="s">
        <v>534</v>
      </c>
      <c r="D2098" s="27" t="s">
        <v>81</v>
      </c>
      <c r="E2098" s="27" t="s">
        <v>19</v>
      </c>
      <c r="F2098" s="27" t="s">
        <v>2237</v>
      </c>
      <c r="G2098" s="27"/>
      <c r="H2098" s="176"/>
      <c r="I2098" s="176"/>
      <c r="J2098" s="176">
        <v>1474</v>
      </c>
      <c r="K2098" s="27" t="s">
        <v>894</v>
      </c>
      <c r="L2098" s="27"/>
      <c r="M2098" s="28"/>
      <c r="N2098" s="27" t="s">
        <v>674</v>
      </c>
      <c r="O2098" s="27"/>
      <c r="P2098" s="244"/>
      <c r="Q2098" s="244"/>
      <c r="R2098" s="18"/>
      <c r="S2098" s="30"/>
      <c r="T2098" s="27"/>
      <c r="U2098" s="27"/>
      <c r="V2098" s="56"/>
      <c r="W2098" s="57"/>
      <c r="X2098" s="27"/>
      <c r="Y2098" s="27"/>
      <c r="Z2098" s="27"/>
      <c r="AA2098" s="27"/>
      <c r="AB2098" s="27"/>
      <c r="AC2098" s="273">
        <v>1537626771.04</v>
      </c>
      <c r="AD2098" s="27">
        <v>24939543374.136166</v>
      </c>
      <c r="AE2098" s="228">
        <v>6.1654166957788532E-2</v>
      </c>
      <c r="AF2098" s="27">
        <v>5736593766.9188013</v>
      </c>
      <c r="AG2098" s="226">
        <v>0.26803828779144651</v>
      </c>
      <c r="AH2098" s="226">
        <v>0.70859694014265073</v>
      </c>
      <c r="AI2098" s="27">
        <v>957720000</v>
      </c>
      <c r="AJ2098" s="226">
        <v>1.6055076337969343</v>
      </c>
      <c r="AK2098" s="27">
        <v>1046243868.0027586</v>
      </c>
      <c r="AL2098" s="226">
        <v>1.4696638308382857</v>
      </c>
      <c r="AM2098" s="27" t="s">
        <v>2842</v>
      </c>
      <c r="AN2098" s="271" t="s">
        <v>2842</v>
      </c>
      <c r="AO2098" s="27">
        <v>14075099</v>
      </c>
      <c r="AP2098" s="27" t="s">
        <v>2842</v>
      </c>
      <c r="AQ2098" s="27">
        <v>57.022585365853665</v>
      </c>
      <c r="AR2098" s="27">
        <v>57.1</v>
      </c>
      <c r="AS2098" s="29">
        <v>97.876090000000005</v>
      </c>
      <c r="AT2098" s="270">
        <v>38</v>
      </c>
      <c r="AU2098" s="464">
        <v>60.803535044296524</v>
      </c>
      <c r="AV2098" s="29">
        <v>-0.15558153117561299</v>
      </c>
      <c r="AW2098" s="29">
        <v>0.61397274031289295</v>
      </c>
      <c r="AX2098" s="29">
        <v>-0.50167064815564</v>
      </c>
      <c r="AY2098" s="29">
        <v>-0.42878042603682198</v>
      </c>
      <c r="AZ2098" s="60">
        <v>-0.36075468296103302</v>
      </c>
    </row>
    <row r="2099" spans="1:52" ht="15" customHeight="1">
      <c r="A2099" s="59" t="s">
        <v>542</v>
      </c>
      <c r="B2099" s="27">
        <v>2012</v>
      </c>
      <c r="C2099" s="27" t="s">
        <v>534</v>
      </c>
      <c r="D2099" s="27" t="s">
        <v>81</v>
      </c>
      <c r="E2099" s="27" t="s">
        <v>19</v>
      </c>
      <c r="F2099" s="27" t="s">
        <v>2260</v>
      </c>
      <c r="G2099" s="27"/>
      <c r="H2099" s="176"/>
      <c r="I2099" s="176"/>
      <c r="J2099" s="176">
        <v>45</v>
      </c>
      <c r="K2099" s="27" t="s">
        <v>894</v>
      </c>
      <c r="L2099" s="27"/>
      <c r="M2099" s="28"/>
      <c r="N2099" s="27" t="s">
        <v>674</v>
      </c>
      <c r="O2099" s="27"/>
      <c r="P2099" s="244"/>
      <c r="Q2099" s="244"/>
      <c r="R2099" s="18"/>
      <c r="S2099" s="30"/>
      <c r="T2099" s="27"/>
      <c r="U2099" s="27"/>
      <c r="V2099" s="56"/>
      <c r="W2099" s="57"/>
      <c r="X2099" s="27"/>
      <c r="Y2099" s="27"/>
      <c r="Z2099" s="27"/>
      <c r="AA2099" s="27"/>
      <c r="AB2099" s="27"/>
      <c r="AC2099" s="273">
        <v>1537626771.04</v>
      </c>
      <c r="AD2099" s="27">
        <v>24939543374.136166</v>
      </c>
      <c r="AE2099" s="228">
        <v>6.1654166957788532E-2</v>
      </c>
      <c r="AF2099" s="27">
        <v>5736593766.9188013</v>
      </c>
      <c r="AG2099" s="226">
        <v>0.26803828779144651</v>
      </c>
      <c r="AH2099" s="226">
        <v>0.70859694014265073</v>
      </c>
      <c r="AI2099" s="27">
        <v>957720000</v>
      </c>
      <c r="AJ2099" s="226">
        <v>1.6055076337969343</v>
      </c>
      <c r="AK2099" s="27">
        <v>1046243868.0027586</v>
      </c>
      <c r="AL2099" s="226">
        <v>1.4696638308382857</v>
      </c>
      <c r="AM2099" s="27" t="s">
        <v>2842</v>
      </c>
      <c r="AN2099" s="271" t="s">
        <v>2842</v>
      </c>
      <c r="AO2099" s="27">
        <v>14075099</v>
      </c>
      <c r="AP2099" s="27" t="s">
        <v>2842</v>
      </c>
      <c r="AQ2099" s="27">
        <v>57.022585365853665</v>
      </c>
      <c r="AR2099" s="27">
        <v>57.1</v>
      </c>
      <c r="AS2099" s="29">
        <v>97.876090000000005</v>
      </c>
      <c r="AT2099" s="270">
        <v>38</v>
      </c>
      <c r="AU2099" s="464">
        <v>60.803535044296524</v>
      </c>
      <c r="AV2099" s="29">
        <v>-0.15558153117561299</v>
      </c>
      <c r="AW2099" s="29">
        <v>0.61397274031289295</v>
      </c>
      <c r="AX2099" s="29">
        <v>-0.50167064815564</v>
      </c>
      <c r="AY2099" s="29">
        <v>-0.42878042603682198</v>
      </c>
      <c r="AZ2099" s="60">
        <v>-0.36075468296103302</v>
      </c>
    </row>
    <row r="2100" spans="1:52" ht="15" customHeight="1">
      <c r="A2100" s="59" t="s">
        <v>542</v>
      </c>
      <c r="B2100" s="27">
        <v>2012</v>
      </c>
      <c r="C2100" s="27" t="s">
        <v>534</v>
      </c>
      <c r="D2100" s="27" t="s">
        <v>81</v>
      </c>
      <c r="E2100" s="27" t="s">
        <v>19</v>
      </c>
      <c r="F2100" s="27" t="s">
        <v>2261</v>
      </c>
      <c r="G2100" s="27"/>
      <c r="H2100" s="176"/>
      <c r="I2100" s="176"/>
      <c r="J2100" s="176">
        <v>39</v>
      </c>
      <c r="K2100" s="27" t="s">
        <v>894</v>
      </c>
      <c r="L2100" s="27"/>
      <c r="M2100" s="28"/>
      <c r="N2100" s="27" t="s">
        <v>674</v>
      </c>
      <c r="O2100" s="27"/>
      <c r="P2100" s="244"/>
      <c r="Q2100" s="244"/>
      <c r="R2100" s="18"/>
      <c r="S2100" s="30"/>
      <c r="T2100" s="27"/>
      <c r="U2100" s="27"/>
      <c r="V2100" s="56"/>
      <c r="W2100" s="57"/>
      <c r="X2100" s="27"/>
      <c r="Y2100" s="27"/>
      <c r="Z2100" s="27"/>
      <c r="AA2100" s="27"/>
      <c r="AB2100" s="27"/>
      <c r="AC2100" s="273">
        <v>1537626771.04</v>
      </c>
      <c r="AD2100" s="27">
        <v>24939543374.136166</v>
      </c>
      <c r="AE2100" s="228">
        <v>6.1654166957788532E-2</v>
      </c>
      <c r="AF2100" s="27">
        <v>5736593766.9188013</v>
      </c>
      <c r="AG2100" s="226">
        <v>0.26803828779144651</v>
      </c>
      <c r="AH2100" s="226">
        <v>0.70859694014265073</v>
      </c>
      <c r="AI2100" s="27">
        <v>957720000</v>
      </c>
      <c r="AJ2100" s="226">
        <v>1.6055076337969343</v>
      </c>
      <c r="AK2100" s="27">
        <v>1046243868.0027586</v>
      </c>
      <c r="AL2100" s="226">
        <v>1.4696638308382857</v>
      </c>
      <c r="AM2100" s="27" t="s">
        <v>2842</v>
      </c>
      <c r="AN2100" s="271" t="s">
        <v>2842</v>
      </c>
      <c r="AO2100" s="27">
        <v>14075099</v>
      </c>
      <c r="AP2100" s="27" t="s">
        <v>2842</v>
      </c>
      <c r="AQ2100" s="27">
        <v>57.022585365853665</v>
      </c>
      <c r="AR2100" s="27">
        <v>57.1</v>
      </c>
      <c r="AS2100" s="29">
        <v>97.876090000000005</v>
      </c>
      <c r="AT2100" s="270">
        <v>38</v>
      </c>
      <c r="AU2100" s="464">
        <v>60.803535044296524</v>
      </c>
      <c r="AV2100" s="29">
        <v>-0.15558153117561299</v>
      </c>
      <c r="AW2100" s="29">
        <v>0.61397274031289295</v>
      </c>
      <c r="AX2100" s="29">
        <v>-0.50167064815564</v>
      </c>
      <c r="AY2100" s="29">
        <v>-0.42878042603682198</v>
      </c>
      <c r="AZ2100" s="60">
        <v>-0.36075468296103302</v>
      </c>
    </row>
    <row r="2101" spans="1:52" ht="15" customHeight="1">
      <c r="A2101" s="59" t="s">
        <v>542</v>
      </c>
      <c r="B2101" s="27">
        <v>2012</v>
      </c>
      <c r="C2101" s="27" t="s">
        <v>534</v>
      </c>
      <c r="D2101" s="27" t="s">
        <v>81</v>
      </c>
      <c r="E2101" s="27" t="s">
        <v>19</v>
      </c>
      <c r="F2101" s="27" t="s">
        <v>2236</v>
      </c>
      <c r="G2101" s="27"/>
      <c r="H2101" s="176"/>
      <c r="I2101" s="176"/>
      <c r="J2101" s="176">
        <v>48981</v>
      </c>
      <c r="K2101" s="27" t="s">
        <v>894</v>
      </c>
      <c r="L2101" s="27"/>
      <c r="M2101" s="28"/>
      <c r="N2101" s="27" t="s">
        <v>674</v>
      </c>
      <c r="O2101" s="27"/>
      <c r="P2101" s="244"/>
      <c r="Q2101" s="244"/>
      <c r="R2101" s="18"/>
      <c r="S2101" s="30"/>
      <c r="T2101" s="27"/>
      <c r="U2101" s="27"/>
      <c r="V2101" s="56"/>
      <c r="W2101" s="57"/>
      <c r="X2101" s="27"/>
      <c r="Y2101" s="27"/>
      <c r="Z2101" s="27"/>
      <c r="AA2101" s="27"/>
      <c r="AB2101" s="27"/>
      <c r="AC2101" s="273">
        <v>1537626771.04</v>
      </c>
      <c r="AD2101" s="27">
        <v>24939543374.136166</v>
      </c>
      <c r="AE2101" s="228">
        <v>6.1654166957788532E-2</v>
      </c>
      <c r="AF2101" s="27">
        <v>5736593766.9188013</v>
      </c>
      <c r="AG2101" s="226">
        <v>0.26803828779144651</v>
      </c>
      <c r="AH2101" s="226">
        <v>0.70859694014265073</v>
      </c>
      <c r="AI2101" s="27">
        <v>957720000</v>
      </c>
      <c r="AJ2101" s="226">
        <v>1.6055076337969343</v>
      </c>
      <c r="AK2101" s="27">
        <v>1046243868.0027586</v>
      </c>
      <c r="AL2101" s="226">
        <v>1.4696638308382857</v>
      </c>
      <c r="AM2101" s="27" t="s">
        <v>2842</v>
      </c>
      <c r="AN2101" s="271" t="s">
        <v>2842</v>
      </c>
      <c r="AO2101" s="27">
        <v>14075099</v>
      </c>
      <c r="AP2101" s="27" t="s">
        <v>2842</v>
      </c>
      <c r="AQ2101" s="27">
        <v>57.022585365853665</v>
      </c>
      <c r="AR2101" s="27">
        <v>57.1</v>
      </c>
      <c r="AS2101" s="29">
        <v>97.876090000000005</v>
      </c>
      <c r="AT2101" s="270">
        <v>38</v>
      </c>
      <c r="AU2101" s="464">
        <v>60.803535044296524</v>
      </c>
      <c r="AV2101" s="29">
        <v>-0.15558153117561299</v>
      </c>
      <c r="AW2101" s="29">
        <v>0.61397274031289295</v>
      </c>
      <c r="AX2101" s="29">
        <v>-0.50167064815564</v>
      </c>
      <c r="AY2101" s="29">
        <v>-0.42878042603682198</v>
      </c>
      <c r="AZ2101" s="60">
        <v>-0.36075468296103302</v>
      </c>
    </row>
    <row r="2102" spans="1:52" ht="15" customHeight="1">
      <c r="A2102" s="59" t="s">
        <v>542</v>
      </c>
      <c r="B2102" s="27">
        <v>2012</v>
      </c>
      <c r="C2102" s="27" t="s">
        <v>534</v>
      </c>
      <c r="D2102" s="27" t="s">
        <v>81</v>
      </c>
      <c r="E2102" s="27" t="s">
        <v>19</v>
      </c>
      <c r="F2102" s="27" t="s">
        <v>2262</v>
      </c>
      <c r="G2102" s="27"/>
      <c r="H2102" s="176"/>
      <c r="I2102" s="176"/>
      <c r="J2102" s="176">
        <v>2325</v>
      </c>
      <c r="K2102" s="27" t="s">
        <v>894</v>
      </c>
      <c r="L2102" s="27"/>
      <c r="M2102" s="28"/>
      <c r="N2102" s="27" t="s">
        <v>674</v>
      </c>
      <c r="O2102" s="27"/>
      <c r="P2102" s="244"/>
      <c r="Q2102" s="244"/>
      <c r="R2102" s="18"/>
      <c r="S2102" s="30"/>
      <c r="T2102" s="27"/>
      <c r="U2102" s="27"/>
      <c r="V2102" s="56"/>
      <c r="W2102" s="57"/>
      <c r="X2102" s="27"/>
      <c r="Y2102" s="27"/>
      <c r="Z2102" s="27"/>
      <c r="AA2102" s="27"/>
      <c r="AB2102" s="27"/>
      <c r="AC2102" s="273">
        <v>1537626771.04</v>
      </c>
      <c r="AD2102" s="27">
        <v>24939543374.136166</v>
      </c>
      <c r="AE2102" s="228">
        <v>6.1654166957788532E-2</v>
      </c>
      <c r="AF2102" s="27">
        <v>5736593766.9188013</v>
      </c>
      <c r="AG2102" s="226">
        <v>0.26803828779144651</v>
      </c>
      <c r="AH2102" s="226">
        <v>0.70859694014265073</v>
      </c>
      <c r="AI2102" s="27">
        <v>957720000</v>
      </c>
      <c r="AJ2102" s="226">
        <v>1.6055076337969343</v>
      </c>
      <c r="AK2102" s="27">
        <v>1046243868.0027586</v>
      </c>
      <c r="AL2102" s="226">
        <v>1.4696638308382857</v>
      </c>
      <c r="AM2102" s="27" t="s">
        <v>2842</v>
      </c>
      <c r="AN2102" s="271" t="s">
        <v>2842</v>
      </c>
      <c r="AO2102" s="27">
        <v>14075099</v>
      </c>
      <c r="AP2102" s="27" t="s">
        <v>2842</v>
      </c>
      <c r="AQ2102" s="27">
        <v>57.022585365853665</v>
      </c>
      <c r="AR2102" s="27">
        <v>57.1</v>
      </c>
      <c r="AS2102" s="29">
        <v>97.876090000000005</v>
      </c>
      <c r="AT2102" s="270">
        <v>38</v>
      </c>
      <c r="AU2102" s="464">
        <v>60.803535044296524</v>
      </c>
      <c r="AV2102" s="29">
        <v>-0.15558153117561299</v>
      </c>
      <c r="AW2102" s="29">
        <v>0.61397274031289295</v>
      </c>
      <c r="AX2102" s="29">
        <v>-0.50167064815564</v>
      </c>
      <c r="AY2102" s="29">
        <v>-0.42878042603682198</v>
      </c>
      <c r="AZ2102" s="60">
        <v>-0.36075468296103302</v>
      </c>
    </row>
    <row r="2103" spans="1:52" ht="15" customHeight="1">
      <c r="A2103" s="59" t="s">
        <v>542</v>
      </c>
      <c r="B2103" s="27">
        <v>2012</v>
      </c>
      <c r="C2103" s="27" t="s">
        <v>534</v>
      </c>
      <c r="D2103" s="27" t="s">
        <v>81</v>
      </c>
      <c r="E2103" s="27" t="s">
        <v>19</v>
      </c>
      <c r="F2103" s="27" t="s">
        <v>2263</v>
      </c>
      <c r="G2103" s="27"/>
      <c r="H2103" s="176"/>
      <c r="I2103" s="176"/>
      <c r="J2103" s="176">
        <v>1513</v>
      </c>
      <c r="K2103" s="27" t="s">
        <v>894</v>
      </c>
      <c r="L2103" s="27"/>
      <c r="M2103" s="28"/>
      <c r="N2103" s="27" t="s">
        <v>674</v>
      </c>
      <c r="O2103" s="27"/>
      <c r="P2103" s="244"/>
      <c r="Q2103" s="244"/>
      <c r="R2103" s="18"/>
      <c r="S2103" s="30"/>
      <c r="T2103" s="27"/>
      <c r="U2103" s="27"/>
      <c r="V2103" s="56"/>
      <c r="W2103" s="57"/>
      <c r="X2103" s="27"/>
      <c r="Y2103" s="27"/>
      <c r="Z2103" s="27"/>
      <c r="AA2103" s="27"/>
      <c r="AB2103" s="27"/>
      <c r="AC2103" s="273">
        <v>1537626771.04</v>
      </c>
      <c r="AD2103" s="27">
        <v>24939543374.136166</v>
      </c>
      <c r="AE2103" s="228">
        <v>6.1654166957788532E-2</v>
      </c>
      <c r="AF2103" s="27">
        <v>5736593766.9188013</v>
      </c>
      <c r="AG2103" s="226">
        <v>0.26803828779144651</v>
      </c>
      <c r="AH2103" s="226">
        <v>0.70859694014265073</v>
      </c>
      <c r="AI2103" s="27">
        <v>957720000</v>
      </c>
      <c r="AJ2103" s="226">
        <v>1.6055076337969343</v>
      </c>
      <c r="AK2103" s="27">
        <v>1046243868.0027586</v>
      </c>
      <c r="AL2103" s="226">
        <v>1.4696638308382857</v>
      </c>
      <c r="AM2103" s="27" t="s">
        <v>2842</v>
      </c>
      <c r="AN2103" s="271" t="s">
        <v>2842</v>
      </c>
      <c r="AO2103" s="27">
        <v>14075099</v>
      </c>
      <c r="AP2103" s="27" t="s">
        <v>2842</v>
      </c>
      <c r="AQ2103" s="27">
        <v>57.022585365853665</v>
      </c>
      <c r="AR2103" s="27">
        <v>57.1</v>
      </c>
      <c r="AS2103" s="29">
        <v>97.876090000000005</v>
      </c>
      <c r="AT2103" s="270">
        <v>38</v>
      </c>
      <c r="AU2103" s="464">
        <v>60.803535044296524</v>
      </c>
      <c r="AV2103" s="29">
        <v>-0.15558153117561299</v>
      </c>
      <c r="AW2103" s="29">
        <v>0.61397274031289295</v>
      </c>
      <c r="AX2103" s="29">
        <v>-0.50167064815564</v>
      </c>
      <c r="AY2103" s="29">
        <v>-0.42878042603682198</v>
      </c>
      <c r="AZ2103" s="60">
        <v>-0.36075468296103302</v>
      </c>
    </row>
    <row r="2104" spans="1:52" ht="15" customHeight="1">
      <c r="A2104" s="59" t="s">
        <v>542</v>
      </c>
      <c r="B2104" s="27">
        <v>2012</v>
      </c>
      <c r="C2104" s="27" t="s">
        <v>534</v>
      </c>
      <c r="D2104" s="27" t="s">
        <v>81</v>
      </c>
      <c r="E2104" s="27" t="s">
        <v>19</v>
      </c>
      <c r="F2104" s="27" t="s">
        <v>2264</v>
      </c>
      <c r="G2104" s="27"/>
      <c r="H2104" s="176"/>
      <c r="I2104" s="176"/>
      <c r="J2104" s="176">
        <v>26</v>
      </c>
      <c r="K2104" s="27" t="s">
        <v>894</v>
      </c>
      <c r="L2104" s="27"/>
      <c r="M2104" s="28"/>
      <c r="N2104" s="27" t="s">
        <v>674</v>
      </c>
      <c r="O2104" s="27"/>
      <c r="P2104" s="244"/>
      <c r="Q2104" s="244"/>
      <c r="R2104" s="18"/>
      <c r="S2104" s="30"/>
      <c r="T2104" s="27"/>
      <c r="U2104" s="27"/>
      <c r="V2104" s="56"/>
      <c r="W2104" s="57"/>
      <c r="X2104" s="27"/>
      <c r="Y2104" s="27"/>
      <c r="Z2104" s="27"/>
      <c r="AA2104" s="27"/>
      <c r="AB2104" s="27"/>
      <c r="AC2104" s="273">
        <v>1537626771.04</v>
      </c>
      <c r="AD2104" s="27">
        <v>24939543374.136166</v>
      </c>
      <c r="AE2104" s="228">
        <v>6.1654166957788532E-2</v>
      </c>
      <c r="AF2104" s="27">
        <v>5736593766.9188013</v>
      </c>
      <c r="AG2104" s="226">
        <v>0.26803828779144651</v>
      </c>
      <c r="AH2104" s="226">
        <v>0.70859694014265073</v>
      </c>
      <c r="AI2104" s="27">
        <v>957720000</v>
      </c>
      <c r="AJ2104" s="226">
        <v>1.6055076337969343</v>
      </c>
      <c r="AK2104" s="27">
        <v>1046243868.0027586</v>
      </c>
      <c r="AL2104" s="226">
        <v>1.4696638308382857</v>
      </c>
      <c r="AM2104" s="27" t="s">
        <v>2842</v>
      </c>
      <c r="AN2104" s="271" t="s">
        <v>2842</v>
      </c>
      <c r="AO2104" s="27">
        <v>14075099</v>
      </c>
      <c r="AP2104" s="27" t="s">
        <v>2842</v>
      </c>
      <c r="AQ2104" s="27">
        <v>57.022585365853665</v>
      </c>
      <c r="AR2104" s="27">
        <v>57.1</v>
      </c>
      <c r="AS2104" s="29">
        <v>97.876090000000005</v>
      </c>
      <c r="AT2104" s="270">
        <v>38</v>
      </c>
      <c r="AU2104" s="464">
        <v>60.803535044296524</v>
      </c>
      <c r="AV2104" s="29">
        <v>-0.15558153117561299</v>
      </c>
      <c r="AW2104" s="29">
        <v>0.61397274031289295</v>
      </c>
      <c r="AX2104" s="29">
        <v>-0.50167064815564</v>
      </c>
      <c r="AY2104" s="29">
        <v>-0.42878042603682198</v>
      </c>
      <c r="AZ2104" s="60">
        <v>-0.36075468296103302</v>
      </c>
    </row>
    <row r="2105" spans="1:52" ht="15" customHeight="1">
      <c r="A2105" s="59" t="s">
        <v>542</v>
      </c>
      <c r="B2105" s="27">
        <v>2012</v>
      </c>
      <c r="C2105" s="27" t="s">
        <v>534</v>
      </c>
      <c r="D2105" s="27" t="s">
        <v>81</v>
      </c>
      <c r="E2105" s="27" t="s">
        <v>19</v>
      </c>
      <c r="F2105" s="27" t="s">
        <v>2265</v>
      </c>
      <c r="G2105" s="27"/>
      <c r="H2105" s="176"/>
      <c r="I2105" s="176"/>
      <c r="J2105" s="176">
        <v>825</v>
      </c>
      <c r="K2105" s="27" t="s">
        <v>894</v>
      </c>
      <c r="L2105" s="27"/>
      <c r="M2105" s="28"/>
      <c r="N2105" s="27" t="s">
        <v>674</v>
      </c>
      <c r="O2105" s="27"/>
      <c r="P2105" s="244"/>
      <c r="Q2105" s="244"/>
      <c r="R2105" s="18"/>
      <c r="S2105" s="30"/>
      <c r="T2105" s="27"/>
      <c r="U2105" s="27"/>
      <c r="V2105" s="56"/>
      <c r="W2105" s="57"/>
      <c r="X2105" s="27"/>
      <c r="Y2105" s="27"/>
      <c r="Z2105" s="27"/>
      <c r="AA2105" s="27"/>
      <c r="AB2105" s="27"/>
      <c r="AC2105" s="273">
        <v>1537626771.04</v>
      </c>
      <c r="AD2105" s="27">
        <v>24939543374.136166</v>
      </c>
      <c r="AE2105" s="228">
        <v>6.1654166957788532E-2</v>
      </c>
      <c r="AF2105" s="27">
        <v>5736593766.9188013</v>
      </c>
      <c r="AG2105" s="226">
        <v>0.26803828779144651</v>
      </c>
      <c r="AH2105" s="226">
        <v>0.70859694014265073</v>
      </c>
      <c r="AI2105" s="27">
        <v>957720000</v>
      </c>
      <c r="AJ2105" s="226">
        <v>1.6055076337969343</v>
      </c>
      <c r="AK2105" s="27">
        <v>1046243868.0027586</v>
      </c>
      <c r="AL2105" s="226">
        <v>1.4696638308382857</v>
      </c>
      <c r="AM2105" s="27" t="s">
        <v>2842</v>
      </c>
      <c r="AN2105" s="271" t="s">
        <v>2842</v>
      </c>
      <c r="AO2105" s="27">
        <v>14075099</v>
      </c>
      <c r="AP2105" s="27" t="s">
        <v>2842</v>
      </c>
      <c r="AQ2105" s="27">
        <v>57.022585365853665</v>
      </c>
      <c r="AR2105" s="27">
        <v>57.1</v>
      </c>
      <c r="AS2105" s="29">
        <v>97.876090000000005</v>
      </c>
      <c r="AT2105" s="270">
        <v>38</v>
      </c>
      <c r="AU2105" s="464">
        <v>60.803535044296524</v>
      </c>
      <c r="AV2105" s="29">
        <v>-0.15558153117561299</v>
      </c>
      <c r="AW2105" s="29">
        <v>0.61397274031289295</v>
      </c>
      <c r="AX2105" s="29">
        <v>-0.50167064815564</v>
      </c>
      <c r="AY2105" s="29">
        <v>-0.42878042603682198</v>
      </c>
      <c r="AZ2105" s="60">
        <v>-0.36075468296103302</v>
      </c>
    </row>
    <row r="2106" spans="1:52" ht="15" customHeight="1">
      <c r="A2106" s="59" t="s">
        <v>542</v>
      </c>
      <c r="B2106" s="27">
        <v>2012</v>
      </c>
      <c r="C2106" s="27" t="s">
        <v>534</v>
      </c>
      <c r="D2106" s="27" t="s">
        <v>81</v>
      </c>
      <c r="E2106" s="27" t="s">
        <v>19</v>
      </c>
      <c r="F2106" s="27" t="s">
        <v>2266</v>
      </c>
      <c r="G2106" s="27"/>
      <c r="H2106" s="176"/>
      <c r="I2106" s="176"/>
      <c r="J2106" s="176">
        <v>26126</v>
      </c>
      <c r="K2106" s="27" t="s">
        <v>567</v>
      </c>
      <c r="L2106" s="27"/>
      <c r="M2106" s="28"/>
      <c r="N2106" s="27" t="s">
        <v>674</v>
      </c>
      <c r="O2106" s="27"/>
      <c r="P2106" s="244"/>
      <c r="Q2106" s="244"/>
      <c r="R2106" s="18"/>
      <c r="S2106" s="30"/>
      <c r="T2106" s="27"/>
      <c r="U2106" s="27"/>
      <c r="V2106" s="56"/>
      <c r="W2106" s="57"/>
      <c r="X2106" s="27"/>
      <c r="Y2106" s="27"/>
      <c r="Z2106" s="27"/>
      <c r="AA2106" s="27"/>
      <c r="AB2106" s="27"/>
      <c r="AC2106" s="273">
        <v>1537626771.04</v>
      </c>
      <c r="AD2106" s="27">
        <v>24939543374.136166</v>
      </c>
      <c r="AE2106" s="228">
        <v>6.1654166957788532E-2</v>
      </c>
      <c r="AF2106" s="27">
        <v>5736593766.9188013</v>
      </c>
      <c r="AG2106" s="226">
        <v>0.26803828779144651</v>
      </c>
      <c r="AH2106" s="226">
        <v>0.70859694014265073</v>
      </c>
      <c r="AI2106" s="27">
        <v>957720000</v>
      </c>
      <c r="AJ2106" s="226">
        <v>1.6055076337969343</v>
      </c>
      <c r="AK2106" s="27">
        <v>1046243868.0027586</v>
      </c>
      <c r="AL2106" s="226">
        <v>1.4696638308382857</v>
      </c>
      <c r="AM2106" s="27" t="s">
        <v>2842</v>
      </c>
      <c r="AN2106" s="271" t="s">
        <v>2842</v>
      </c>
      <c r="AO2106" s="27">
        <v>14075099</v>
      </c>
      <c r="AP2106" s="27" t="s">
        <v>2842</v>
      </c>
      <c r="AQ2106" s="27">
        <v>57.022585365853665</v>
      </c>
      <c r="AR2106" s="27">
        <v>57.1</v>
      </c>
      <c r="AS2106" s="29">
        <v>97.876090000000005</v>
      </c>
      <c r="AT2106" s="270">
        <v>38</v>
      </c>
      <c r="AU2106" s="464">
        <v>60.803535044296524</v>
      </c>
      <c r="AV2106" s="29">
        <v>-0.15558153117561299</v>
      </c>
      <c r="AW2106" s="29">
        <v>0.61397274031289295</v>
      </c>
      <c r="AX2106" s="29">
        <v>-0.50167064815564</v>
      </c>
      <c r="AY2106" s="29">
        <v>-0.42878042603682198</v>
      </c>
      <c r="AZ2106" s="60">
        <v>-0.36075468296103302</v>
      </c>
    </row>
    <row r="2107" spans="1:52" ht="15" customHeight="1">
      <c r="A2107" s="59" t="s">
        <v>542</v>
      </c>
      <c r="B2107" s="27">
        <v>2012</v>
      </c>
      <c r="C2107" s="27" t="s">
        <v>534</v>
      </c>
      <c r="D2107" s="27" t="s">
        <v>81</v>
      </c>
      <c r="E2107" s="27" t="s">
        <v>19</v>
      </c>
      <c r="F2107" s="27" t="s">
        <v>2267</v>
      </c>
      <c r="G2107" s="27"/>
      <c r="H2107" s="176"/>
      <c r="I2107" s="176"/>
      <c r="J2107" s="176">
        <v>149895</v>
      </c>
      <c r="K2107" s="27" t="s">
        <v>567</v>
      </c>
      <c r="L2107" s="27"/>
      <c r="M2107" s="28"/>
      <c r="N2107" s="27" t="s">
        <v>674</v>
      </c>
      <c r="O2107" s="27"/>
      <c r="P2107" s="244"/>
      <c r="Q2107" s="244"/>
      <c r="R2107" s="18"/>
      <c r="S2107" s="30"/>
      <c r="T2107" s="27"/>
      <c r="U2107" s="27"/>
      <c r="V2107" s="56"/>
      <c r="W2107" s="57"/>
      <c r="X2107" s="27"/>
      <c r="Y2107" s="27"/>
      <c r="Z2107" s="27"/>
      <c r="AA2107" s="27"/>
      <c r="AB2107" s="27"/>
      <c r="AC2107" s="273">
        <v>1537626771.04</v>
      </c>
      <c r="AD2107" s="27">
        <v>24939543374.136166</v>
      </c>
      <c r="AE2107" s="228">
        <v>6.1654166957788532E-2</v>
      </c>
      <c r="AF2107" s="27">
        <v>5736593766.9188013</v>
      </c>
      <c r="AG2107" s="226">
        <v>0.26803828779144651</v>
      </c>
      <c r="AH2107" s="226">
        <v>0.70859694014265073</v>
      </c>
      <c r="AI2107" s="27">
        <v>957720000</v>
      </c>
      <c r="AJ2107" s="226">
        <v>1.6055076337969343</v>
      </c>
      <c r="AK2107" s="27">
        <v>1046243868.0027586</v>
      </c>
      <c r="AL2107" s="226">
        <v>1.4696638308382857</v>
      </c>
      <c r="AM2107" s="27" t="s">
        <v>2842</v>
      </c>
      <c r="AN2107" s="271" t="s">
        <v>2842</v>
      </c>
      <c r="AO2107" s="27">
        <v>14075099</v>
      </c>
      <c r="AP2107" s="27" t="s">
        <v>2842</v>
      </c>
      <c r="AQ2107" s="27">
        <v>57.022585365853665</v>
      </c>
      <c r="AR2107" s="27">
        <v>57.1</v>
      </c>
      <c r="AS2107" s="29">
        <v>97.876090000000005</v>
      </c>
      <c r="AT2107" s="270">
        <v>38</v>
      </c>
      <c r="AU2107" s="464">
        <v>60.803535044296524</v>
      </c>
      <c r="AV2107" s="29">
        <v>-0.15558153117561299</v>
      </c>
      <c r="AW2107" s="29">
        <v>0.61397274031289295</v>
      </c>
      <c r="AX2107" s="29">
        <v>-0.50167064815564</v>
      </c>
      <c r="AY2107" s="29">
        <v>-0.42878042603682198</v>
      </c>
      <c r="AZ2107" s="60">
        <v>-0.36075468296103302</v>
      </c>
    </row>
    <row r="2108" spans="1:52" ht="15" customHeight="1">
      <c r="A2108" s="59" t="s">
        <v>542</v>
      </c>
      <c r="B2108" s="27">
        <v>2012</v>
      </c>
      <c r="C2108" s="27" t="s">
        <v>534</v>
      </c>
      <c r="D2108" s="27" t="s">
        <v>81</v>
      </c>
      <c r="E2108" s="27" t="s">
        <v>19</v>
      </c>
      <c r="F2108" s="27" t="s">
        <v>573</v>
      </c>
      <c r="G2108" s="27"/>
      <c r="H2108" s="176"/>
      <c r="I2108" s="176"/>
      <c r="J2108" s="176">
        <v>90493</v>
      </c>
      <c r="K2108" s="27" t="s">
        <v>567</v>
      </c>
      <c r="L2108" s="27"/>
      <c r="M2108" s="28"/>
      <c r="N2108" s="27" t="s">
        <v>674</v>
      </c>
      <c r="O2108" s="27"/>
      <c r="P2108" s="244"/>
      <c r="Q2108" s="244"/>
      <c r="R2108" s="18"/>
      <c r="S2108" s="30"/>
      <c r="T2108" s="27"/>
      <c r="U2108" s="27"/>
      <c r="V2108" s="56"/>
      <c r="W2108" s="57"/>
      <c r="X2108" s="27"/>
      <c r="Y2108" s="27"/>
      <c r="Z2108" s="27"/>
      <c r="AA2108" s="27"/>
      <c r="AB2108" s="27"/>
      <c r="AC2108" s="273">
        <v>1537626771.04</v>
      </c>
      <c r="AD2108" s="27">
        <v>24939543374.136166</v>
      </c>
      <c r="AE2108" s="228">
        <v>6.1654166957788532E-2</v>
      </c>
      <c r="AF2108" s="27">
        <v>5736593766.9188013</v>
      </c>
      <c r="AG2108" s="226">
        <v>0.26803828779144651</v>
      </c>
      <c r="AH2108" s="226">
        <v>0.70859694014265073</v>
      </c>
      <c r="AI2108" s="27">
        <v>957720000</v>
      </c>
      <c r="AJ2108" s="226">
        <v>1.6055076337969343</v>
      </c>
      <c r="AK2108" s="27">
        <v>1046243868.0027586</v>
      </c>
      <c r="AL2108" s="226">
        <v>1.4696638308382857</v>
      </c>
      <c r="AM2108" s="27" t="s">
        <v>2842</v>
      </c>
      <c r="AN2108" s="271" t="s">
        <v>2842</v>
      </c>
      <c r="AO2108" s="27">
        <v>14075099</v>
      </c>
      <c r="AP2108" s="27" t="s">
        <v>2842</v>
      </c>
      <c r="AQ2108" s="27">
        <v>57.022585365853665</v>
      </c>
      <c r="AR2108" s="27">
        <v>57.1</v>
      </c>
      <c r="AS2108" s="29">
        <v>97.876090000000005</v>
      </c>
      <c r="AT2108" s="270">
        <v>38</v>
      </c>
      <c r="AU2108" s="464">
        <v>60.803535044296524</v>
      </c>
      <c r="AV2108" s="29">
        <v>-0.15558153117561299</v>
      </c>
      <c r="AW2108" s="29">
        <v>0.61397274031289295</v>
      </c>
      <c r="AX2108" s="29">
        <v>-0.50167064815564</v>
      </c>
      <c r="AY2108" s="29">
        <v>-0.42878042603682198</v>
      </c>
      <c r="AZ2108" s="60">
        <v>-0.36075468296103302</v>
      </c>
    </row>
    <row r="2109" spans="1:52" s="287" customFormat="1" ht="15" customHeight="1" thickBot="1">
      <c r="A2109" s="332" t="s">
        <v>542</v>
      </c>
      <c r="B2109" s="27">
        <v>2012</v>
      </c>
      <c r="C2109" s="27" t="s">
        <v>534</v>
      </c>
      <c r="D2109" s="27" t="s">
        <v>81</v>
      </c>
      <c r="E2109" s="27" t="s">
        <v>19</v>
      </c>
      <c r="F2109" s="27" t="s">
        <v>784</v>
      </c>
      <c r="G2109" s="27"/>
      <c r="H2109" s="176"/>
      <c r="I2109" s="176"/>
      <c r="J2109" s="176">
        <v>50567</v>
      </c>
      <c r="K2109" s="27" t="s">
        <v>567</v>
      </c>
      <c r="L2109" s="27"/>
      <c r="M2109" s="28"/>
      <c r="N2109" s="27" t="s">
        <v>674</v>
      </c>
      <c r="O2109" s="27"/>
      <c r="P2109" s="244"/>
      <c r="Q2109" s="244"/>
      <c r="R2109" s="18"/>
      <c r="S2109" s="30"/>
      <c r="T2109" s="27"/>
      <c r="U2109" s="27"/>
      <c r="V2109" s="56"/>
      <c r="W2109" s="57"/>
      <c r="X2109" s="27"/>
      <c r="Y2109" s="27"/>
      <c r="Z2109" s="27"/>
      <c r="AA2109" s="27"/>
      <c r="AB2109" s="27"/>
      <c r="AC2109" s="308">
        <v>1537626771.04</v>
      </c>
      <c r="AD2109" s="284">
        <v>24939543374.136166</v>
      </c>
      <c r="AE2109" s="309">
        <v>6.1654166957788532E-2</v>
      </c>
      <c r="AF2109" s="284">
        <v>5736593766.9188013</v>
      </c>
      <c r="AG2109" s="310">
        <v>0.26803828779144651</v>
      </c>
      <c r="AH2109" s="310">
        <v>0.70859694014265073</v>
      </c>
      <c r="AI2109" s="284">
        <v>957720000</v>
      </c>
      <c r="AJ2109" s="310">
        <v>1.6055076337969343</v>
      </c>
      <c r="AK2109" s="284">
        <v>1046243868.0027586</v>
      </c>
      <c r="AL2109" s="310">
        <v>1.4696638308382857</v>
      </c>
      <c r="AM2109" s="284" t="s">
        <v>2842</v>
      </c>
      <c r="AN2109" s="311" t="s">
        <v>2842</v>
      </c>
      <c r="AO2109" s="284">
        <v>14075099</v>
      </c>
      <c r="AP2109" s="284" t="s">
        <v>2842</v>
      </c>
      <c r="AQ2109" s="284">
        <v>57.022585365853665</v>
      </c>
      <c r="AR2109" s="284">
        <v>57.1</v>
      </c>
      <c r="AS2109" s="287">
        <v>97.876090000000005</v>
      </c>
      <c r="AT2109" s="312">
        <v>38</v>
      </c>
      <c r="AU2109" s="465">
        <v>60.803535044296524</v>
      </c>
      <c r="AV2109" s="287">
        <v>-0.15558153117561299</v>
      </c>
      <c r="AW2109" s="287">
        <v>0.61397274031289295</v>
      </c>
      <c r="AX2109" s="287">
        <v>-0.50167064815564</v>
      </c>
      <c r="AY2109" s="287">
        <v>-0.42878042603682198</v>
      </c>
      <c r="AZ2109" s="313">
        <v>-0.36075468296103302</v>
      </c>
    </row>
    <row r="2110" spans="1:52" ht="15" customHeight="1">
      <c r="A2110" s="64" t="s">
        <v>545</v>
      </c>
      <c r="B2110" s="40">
        <v>2013</v>
      </c>
      <c r="C2110" s="40" t="s">
        <v>534</v>
      </c>
      <c r="D2110" s="40" t="s">
        <v>81</v>
      </c>
      <c r="E2110" s="40" t="s">
        <v>36</v>
      </c>
      <c r="F2110" s="40" t="s">
        <v>659</v>
      </c>
      <c r="G2110" s="429"/>
      <c r="H2110" s="429"/>
      <c r="I2110" s="40"/>
      <c r="J2110" s="429"/>
      <c r="K2110" s="40"/>
      <c r="L2110" s="48"/>
      <c r="M2110" s="40"/>
      <c r="N2110" s="40"/>
      <c r="O2110" s="40"/>
      <c r="P2110" s="430">
        <v>1498550077.77</v>
      </c>
      <c r="Q2110" s="252">
        <v>1428239205.4400001</v>
      </c>
      <c r="R2110" s="40" t="s">
        <v>3693</v>
      </c>
      <c r="S2110" s="40"/>
      <c r="T2110" s="49"/>
      <c r="U2110" s="40" t="s">
        <v>917</v>
      </c>
      <c r="V2110" s="40" t="s">
        <v>2205</v>
      </c>
      <c r="W2110" s="50">
        <v>5.3489000000000004</v>
      </c>
      <c r="X2110" s="40">
        <v>30</v>
      </c>
      <c r="Y2110" s="40" t="s">
        <v>2268</v>
      </c>
      <c r="Z2110" s="40">
        <v>29</v>
      </c>
      <c r="AA2110" s="40"/>
      <c r="AB2110" s="40" t="s">
        <v>2269</v>
      </c>
      <c r="AC2110" s="273">
        <v>1498550077.77</v>
      </c>
      <c r="AD2110" s="27">
        <v>26820870558.94062</v>
      </c>
      <c r="AE2110" s="228">
        <v>5.5872536817059608E-2</v>
      </c>
      <c r="AF2110" s="27">
        <v>6165045306.678091</v>
      </c>
      <c r="AG2110" s="226">
        <v>0.24307203000547989</v>
      </c>
      <c r="AH2110" s="226" t="s">
        <v>2842</v>
      </c>
      <c r="AI2110" s="27" t="s">
        <v>2842</v>
      </c>
      <c r="AJ2110" s="226" t="s">
        <v>2842</v>
      </c>
      <c r="AK2110" s="27" t="s">
        <v>2842</v>
      </c>
      <c r="AL2110" s="226" t="s">
        <v>2842</v>
      </c>
      <c r="AM2110" s="27" t="s">
        <v>2842</v>
      </c>
      <c r="AN2110" s="271" t="s">
        <v>2842</v>
      </c>
      <c r="AO2110" s="27">
        <v>14538640</v>
      </c>
      <c r="AP2110" s="27" t="s">
        <v>2842</v>
      </c>
      <c r="AQ2110" s="27" t="s">
        <v>2842</v>
      </c>
      <c r="AR2110" s="27">
        <v>55.8</v>
      </c>
      <c r="AS2110" s="29" t="s">
        <v>2842</v>
      </c>
      <c r="AT2110" s="270">
        <v>38</v>
      </c>
      <c r="AU2110" s="464">
        <v>60.803535044296524</v>
      </c>
      <c r="AV2110" s="29">
        <v>-0.111896798014641</v>
      </c>
      <c r="AW2110" s="29">
        <v>0.389405786991119</v>
      </c>
      <c r="AX2110" s="29">
        <v>-0.47539421916008001</v>
      </c>
      <c r="AY2110" s="29">
        <v>-0.46777227520942699</v>
      </c>
      <c r="AZ2110" s="60">
        <v>-0.38686278462410001</v>
      </c>
    </row>
    <row r="2111" spans="1:52" ht="15" customHeight="1">
      <c r="A2111" s="332" t="s">
        <v>545</v>
      </c>
      <c r="B2111" s="27">
        <v>2013</v>
      </c>
      <c r="C2111" s="27" t="s">
        <v>534</v>
      </c>
      <c r="D2111" s="27" t="s">
        <v>81</v>
      </c>
      <c r="E2111" s="27" t="s">
        <v>19</v>
      </c>
      <c r="F2111" s="27" t="s">
        <v>559</v>
      </c>
      <c r="G2111" s="176"/>
      <c r="H2111" s="176"/>
      <c r="I2111" s="27"/>
      <c r="J2111" s="176"/>
      <c r="K2111" s="27"/>
      <c r="L2111" s="28"/>
      <c r="M2111" s="27"/>
      <c r="N2111" s="27"/>
      <c r="O2111" s="27"/>
      <c r="P2111" s="244"/>
      <c r="Q2111" s="244"/>
      <c r="R2111" s="27"/>
      <c r="S2111" s="27"/>
      <c r="T2111" s="18"/>
      <c r="U2111" s="27"/>
      <c r="V2111" s="27"/>
      <c r="W2111" s="30"/>
      <c r="X2111" s="27"/>
      <c r="Y2111" s="27"/>
      <c r="Z2111" s="27"/>
      <c r="AA2111" s="27"/>
      <c r="AB2111" s="27"/>
      <c r="AC2111" s="273">
        <v>1498550077.77</v>
      </c>
      <c r="AD2111" s="27">
        <v>26820870558.94062</v>
      </c>
      <c r="AE2111" s="228">
        <v>5.5872536817059608E-2</v>
      </c>
      <c r="AF2111" s="27">
        <v>6165045306.678091</v>
      </c>
      <c r="AG2111" s="226">
        <v>0.24307203000547989</v>
      </c>
      <c r="AH2111" s="226" t="s">
        <v>2842</v>
      </c>
      <c r="AI2111" s="27" t="s">
        <v>2842</v>
      </c>
      <c r="AJ2111" s="226" t="s">
        <v>2842</v>
      </c>
      <c r="AK2111" s="27" t="s">
        <v>2842</v>
      </c>
      <c r="AL2111" s="226" t="s">
        <v>2842</v>
      </c>
      <c r="AM2111" s="27" t="s">
        <v>2842</v>
      </c>
      <c r="AN2111" s="271" t="s">
        <v>2842</v>
      </c>
      <c r="AO2111" s="27">
        <v>14538640</v>
      </c>
      <c r="AP2111" s="27" t="s">
        <v>2842</v>
      </c>
      <c r="AQ2111" s="27" t="s">
        <v>2842</v>
      </c>
      <c r="AR2111" s="27">
        <v>55.8</v>
      </c>
      <c r="AS2111" s="29" t="s">
        <v>2842</v>
      </c>
      <c r="AT2111" s="270">
        <v>38</v>
      </c>
      <c r="AU2111" s="464">
        <v>60.803535044296524</v>
      </c>
      <c r="AV2111" s="29">
        <v>-0.111896798014641</v>
      </c>
      <c r="AW2111" s="29">
        <v>0.389405786991119</v>
      </c>
      <c r="AX2111" s="29">
        <v>-0.47539421916008001</v>
      </c>
      <c r="AY2111" s="29">
        <v>-0.46777227520942699</v>
      </c>
      <c r="AZ2111" s="60">
        <v>-0.38686278462410001</v>
      </c>
    </row>
    <row r="2112" spans="1:52" ht="15" customHeight="1">
      <c r="A2112" s="332" t="s">
        <v>545</v>
      </c>
      <c r="B2112" s="27">
        <v>2013</v>
      </c>
      <c r="C2112" s="27" t="s">
        <v>534</v>
      </c>
      <c r="D2112" s="27" t="s">
        <v>81</v>
      </c>
      <c r="E2112" s="27" t="s">
        <v>19</v>
      </c>
      <c r="F2112" s="27" t="s">
        <v>576</v>
      </c>
      <c r="G2112" s="176"/>
      <c r="H2112" s="176"/>
      <c r="I2112" s="27"/>
      <c r="J2112" s="176">
        <v>739291</v>
      </c>
      <c r="K2112" s="27" t="s">
        <v>567</v>
      </c>
      <c r="L2112" s="28"/>
      <c r="M2112" s="27"/>
      <c r="N2112" s="27" t="s">
        <v>674</v>
      </c>
      <c r="O2112" s="27"/>
      <c r="P2112" s="244"/>
      <c r="Q2112" s="244"/>
      <c r="R2112" s="27"/>
      <c r="S2112" s="27"/>
      <c r="T2112" s="18"/>
      <c r="U2112" s="27"/>
      <c r="V2112" s="27"/>
      <c r="W2112" s="30"/>
      <c r="X2112" s="27"/>
      <c r="Y2112" s="27"/>
      <c r="Z2112" s="27"/>
      <c r="AA2112" s="27"/>
      <c r="AB2112" s="27"/>
      <c r="AC2112" s="273">
        <v>1498550077.77</v>
      </c>
      <c r="AD2112" s="27">
        <v>26820870558.94062</v>
      </c>
      <c r="AE2112" s="228">
        <v>5.5872536817059608E-2</v>
      </c>
      <c r="AF2112" s="27">
        <v>6165045306.678091</v>
      </c>
      <c r="AG2112" s="226">
        <v>0.24307203000547989</v>
      </c>
      <c r="AH2112" s="226" t="s">
        <v>2842</v>
      </c>
      <c r="AI2112" s="27" t="s">
        <v>2842</v>
      </c>
      <c r="AJ2112" s="226" t="s">
        <v>2842</v>
      </c>
      <c r="AK2112" s="27" t="s">
        <v>2842</v>
      </c>
      <c r="AL2112" s="226" t="s">
        <v>2842</v>
      </c>
      <c r="AM2112" s="27" t="s">
        <v>2842</v>
      </c>
      <c r="AN2112" s="271" t="s">
        <v>2842</v>
      </c>
      <c r="AO2112" s="27">
        <v>14538640</v>
      </c>
      <c r="AP2112" s="27" t="s">
        <v>2842</v>
      </c>
      <c r="AQ2112" s="27" t="s">
        <v>2842</v>
      </c>
      <c r="AR2112" s="27">
        <v>55.8</v>
      </c>
      <c r="AS2112" s="29" t="s">
        <v>2842</v>
      </c>
      <c r="AT2112" s="270">
        <v>38</v>
      </c>
      <c r="AU2112" s="464">
        <v>60.803535044296524</v>
      </c>
      <c r="AV2112" s="29">
        <v>-0.111896798014641</v>
      </c>
      <c r="AW2112" s="29">
        <v>0.389405786991119</v>
      </c>
      <c r="AX2112" s="29">
        <v>-0.47539421916008001</v>
      </c>
      <c r="AY2112" s="29">
        <v>-0.46777227520942699</v>
      </c>
      <c r="AZ2112" s="60">
        <v>-0.38686278462410001</v>
      </c>
    </row>
    <row r="2113" spans="1:52" ht="15" customHeight="1">
      <c r="A2113" s="332" t="s">
        <v>545</v>
      </c>
      <c r="B2113" s="27">
        <v>2013</v>
      </c>
      <c r="C2113" s="27" t="s">
        <v>534</v>
      </c>
      <c r="D2113" s="27" t="s">
        <v>81</v>
      </c>
      <c r="E2113" s="27" t="s">
        <v>19</v>
      </c>
      <c r="F2113" s="27" t="s">
        <v>977</v>
      </c>
      <c r="G2113" s="176"/>
      <c r="H2113" s="176"/>
      <c r="I2113" s="27"/>
      <c r="J2113" s="176">
        <v>1957</v>
      </c>
      <c r="K2113" s="27" t="s">
        <v>567</v>
      </c>
      <c r="L2113" s="28"/>
      <c r="M2113" s="27"/>
      <c r="N2113" s="27" t="s">
        <v>674</v>
      </c>
      <c r="O2113" s="27"/>
      <c r="P2113" s="244"/>
      <c r="Q2113" s="244"/>
      <c r="R2113" s="27"/>
      <c r="S2113" s="27"/>
      <c r="T2113" s="18"/>
      <c r="U2113" s="27"/>
      <c r="V2113" s="27"/>
      <c r="W2113" s="30"/>
      <c r="X2113" s="27"/>
      <c r="Y2113" s="27"/>
      <c r="Z2113" s="27"/>
      <c r="AA2113" s="27"/>
      <c r="AB2113" s="27"/>
      <c r="AC2113" s="273">
        <v>1498550077.77</v>
      </c>
      <c r="AD2113" s="27">
        <v>26820870558.94062</v>
      </c>
      <c r="AE2113" s="228">
        <v>5.5872536817059608E-2</v>
      </c>
      <c r="AF2113" s="27">
        <v>6165045306.678091</v>
      </c>
      <c r="AG2113" s="226">
        <v>0.24307203000547989</v>
      </c>
      <c r="AH2113" s="226" t="s">
        <v>2842</v>
      </c>
      <c r="AI2113" s="27" t="s">
        <v>2842</v>
      </c>
      <c r="AJ2113" s="226" t="s">
        <v>2842</v>
      </c>
      <c r="AK2113" s="27" t="s">
        <v>2842</v>
      </c>
      <c r="AL2113" s="226" t="s">
        <v>2842</v>
      </c>
      <c r="AM2113" s="27" t="s">
        <v>2842</v>
      </c>
      <c r="AN2113" s="271" t="s">
        <v>2842</v>
      </c>
      <c r="AO2113" s="27">
        <v>14538640</v>
      </c>
      <c r="AP2113" s="27" t="s">
        <v>2842</v>
      </c>
      <c r="AQ2113" s="27" t="s">
        <v>2842</v>
      </c>
      <c r="AR2113" s="27">
        <v>55.8</v>
      </c>
      <c r="AS2113" s="29" t="s">
        <v>2842</v>
      </c>
      <c r="AT2113" s="270">
        <v>38</v>
      </c>
      <c r="AU2113" s="464">
        <v>60.803535044296524</v>
      </c>
      <c r="AV2113" s="29">
        <v>-0.111896798014641</v>
      </c>
      <c r="AW2113" s="29">
        <v>0.389405786991119</v>
      </c>
      <c r="AX2113" s="29">
        <v>-0.47539421916008001</v>
      </c>
      <c r="AY2113" s="29">
        <v>-0.46777227520942699</v>
      </c>
      <c r="AZ2113" s="60">
        <v>-0.38686278462410001</v>
      </c>
    </row>
    <row r="2114" spans="1:52" ht="15" customHeight="1">
      <c r="A2114" s="332" t="s">
        <v>545</v>
      </c>
      <c r="B2114" s="27">
        <v>2013</v>
      </c>
      <c r="C2114" s="27" t="s">
        <v>534</v>
      </c>
      <c r="D2114" s="27" t="s">
        <v>81</v>
      </c>
      <c r="E2114" s="27" t="s">
        <v>19</v>
      </c>
      <c r="F2114" s="27" t="s">
        <v>730</v>
      </c>
      <c r="G2114" s="176"/>
      <c r="H2114" s="176"/>
      <c r="I2114" s="27"/>
      <c r="J2114" s="176">
        <v>167395</v>
      </c>
      <c r="K2114" s="27" t="s">
        <v>1111</v>
      </c>
      <c r="L2114" s="28"/>
      <c r="M2114" s="27"/>
      <c r="N2114" s="27" t="s">
        <v>674</v>
      </c>
      <c r="O2114" s="27"/>
      <c r="P2114" s="244"/>
      <c r="Q2114" s="244"/>
      <c r="R2114" s="27"/>
      <c r="S2114" s="27"/>
      <c r="T2114" s="18"/>
      <c r="U2114" s="27"/>
      <c r="V2114" s="27"/>
      <c r="W2114" s="30"/>
      <c r="X2114" s="27"/>
      <c r="Y2114" s="27"/>
      <c r="Z2114" s="27"/>
      <c r="AA2114" s="27"/>
      <c r="AB2114" s="27"/>
      <c r="AC2114" s="273">
        <v>1498550077.77</v>
      </c>
      <c r="AD2114" s="27">
        <v>26820870558.94062</v>
      </c>
      <c r="AE2114" s="228">
        <v>5.5872536817059608E-2</v>
      </c>
      <c r="AF2114" s="27">
        <v>6165045306.678091</v>
      </c>
      <c r="AG2114" s="226">
        <v>0.24307203000547989</v>
      </c>
      <c r="AH2114" s="226" t="s">
        <v>2842</v>
      </c>
      <c r="AI2114" s="27" t="s">
        <v>2842</v>
      </c>
      <c r="AJ2114" s="226" t="s">
        <v>2842</v>
      </c>
      <c r="AK2114" s="27" t="s">
        <v>2842</v>
      </c>
      <c r="AL2114" s="226" t="s">
        <v>2842</v>
      </c>
      <c r="AM2114" s="27" t="s">
        <v>2842</v>
      </c>
      <c r="AN2114" s="271" t="s">
        <v>2842</v>
      </c>
      <c r="AO2114" s="27">
        <v>14538640</v>
      </c>
      <c r="AP2114" s="27" t="s">
        <v>2842</v>
      </c>
      <c r="AQ2114" s="27" t="s">
        <v>2842</v>
      </c>
      <c r="AR2114" s="27">
        <v>55.8</v>
      </c>
      <c r="AS2114" s="29" t="s">
        <v>2842</v>
      </c>
      <c r="AT2114" s="270">
        <v>38</v>
      </c>
      <c r="AU2114" s="464">
        <v>60.803535044296524</v>
      </c>
      <c r="AV2114" s="29">
        <v>-0.111896798014641</v>
      </c>
      <c r="AW2114" s="29">
        <v>0.389405786991119</v>
      </c>
      <c r="AX2114" s="29">
        <v>-0.47539421916008001</v>
      </c>
      <c r="AY2114" s="29">
        <v>-0.46777227520942699</v>
      </c>
      <c r="AZ2114" s="60">
        <v>-0.38686278462410001</v>
      </c>
    </row>
    <row r="2115" spans="1:52" ht="15" customHeight="1">
      <c r="A2115" s="332" t="s">
        <v>545</v>
      </c>
      <c r="B2115" s="27">
        <v>2013</v>
      </c>
      <c r="C2115" s="27" t="s">
        <v>534</v>
      </c>
      <c r="D2115" s="27" t="s">
        <v>81</v>
      </c>
      <c r="E2115" s="27" t="s">
        <v>19</v>
      </c>
      <c r="F2115" s="27" t="s">
        <v>2257</v>
      </c>
      <c r="G2115" s="176"/>
      <c r="H2115" s="176"/>
      <c r="I2115" s="27"/>
      <c r="J2115" s="176">
        <v>7310</v>
      </c>
      <c r="K2115" s="27" t="s">
        <v>567</v>
      </c>
      <c r="L2115" s="28"/>
      <c r="M2115" s="27"/>
      <c r="N2115" s="27" t="s">
        <v>674</v>
      </c>
      <c r="O2115" s="27"/>
      <c r="P2115" s="244"/>
      <c r="Q2115" s="244"/>
      <c r="R2115" s="27"/>
      <c r="S2115" s="27"/>
      <c r="T2115" s="18"/>
      <c r="U2115" s="27"/>
      <c r="V2115" s="27"/>
      <c r="W2115" s="30"/>
      <c r="X2115" s="27"/>
      <c r="Y2115" s="27"/>
      <c r="Z2115" s="27"/>
      <c r="AA2115" s="27"/>
      <c r="AB2115" s="27"/>
      <c r="AC2115" s="273">
        <v>1498550077.77</v>
      </c>
      <c r="AD2115" s="27">
        <v>26820870558.94062</v>
      </c>
      <c r="AE2115" s="228">
        <v>5.5872536817059608E-2</v>
      </c>
      <c r="AF2115" s="27">
        <v>6165045306.678091</v>
      </c>
      <c r="AG2115" s="226">
        <v>0.24307203000547989</v>
      </c>
      <c r="AH2115" s="226" t="s">
        <v>2842</v>
      </c>
      <c r="AI2115" s="27" t="s">
        <v>2842</v>
      </c>
      <c r="AJ2115" s="226" t="s">
        <v>2842</v>
      </c>
      <c r="AK2115" s="27" t="s">
        <v>2842</v>
      </c>
      <c r="AL2115" s="226" t="s">
        <v>2842</v>
      </c>
      <c r="AM2115" s="27" t="s">
        <v>2842</v>
      </c>
      <c r="AN2115" s="271" t="s">
        <v>2842</v>
      </c>
      <c r="AO2115" s="27">
        <v>14538640</v>
      </c>
      <c r="AP2115" s="27" t="s">
        <v>2842</v>
      </c>
      <c r="AQ2115" s="27" t="s">
        <v>2842</v>
      </c>
      <c r="AR2115" s="27">
        <v>55.8</v>
      </c>
      <c r="AS2115" s="29" t="s">
        <v>2842</v>
      </c>
      <c r="AT2115" s="270">
        <v>38</v>
      </c>
      <c r="AU2115" s="464">
        <v>60.803535044296524</v>
      </c>
      <c r="AV2115" s="29">
        <v>-0.111896798014641</v>
      </c>
      <c r="AW2115" s="29">
        <v>0.389405786991119</v>
      </c>
      <c r="AX2115" s="29">
        <v>-0.47539421916008001</v>
      </c>
      <c r="AY2115" s="29">
        <v>-0.46777227520942699</v>
      </c>
      <c r="AZ2115" s="60">
        <v>-0.38686278462410001</v>
      </c>
    </row>
    <row r="2116" spans="1:52" ht="15" customHeight="1">
      <c r="A2116" s="332" t="s">
        <v>545</v>
      </c>
      <c r="B2116" s="27">
        <v>2013</v>
      </c>
      <c r="C2116" s="27" t="s">
        <v>534</v>
      </c>
      <c r="D2116" s="27" t="s">
        <v>81</v>
      </c>
      <c r="E2116" s="27" t="s">
        <v>19</v>
      </c>
      <c r="F2116" s="27" t="s">
        <v>653</v>
      </c>
      <c r="G2116" s="176"/>
      <c r="H2116" s="176"/>
      <c r="I2116" s="27"/>
      <c r="J2116" s="176">
        <v>2080237</v>
      </c>
      <c r="K2116" s="27" t="s">
        <v>567</v>
      </c>
      <c r="L2116" s="28"/>
      <c r="M2116" s="27"/>
      <c r="N2116" s="27" t="s">
        <v>674</v>
      </c>
      <c r="O2116" s="27"/>
      <c r="P2116" s="244"/>
      <c r="Q2116" s="244"/>
      <c r="R2116" s="27"/>
      <c r="S2116" s="27"/>
      <c r="T2116" s="18"/>
      <c r="U2116" s="27"/>
      <c r="V2116" s="27"/>
      <c r="W2116" s="30"/>
      <c r="X2116" s="27"/>
      <c r="Y2116" s="27"/>
      <c r="Z2116" s="27"/>
      <c r="AA2116" s="27"/>
      <c r="AB2116" s="27"/>
      <c r="AC2116" s="273">
        <v>1498550077.77</v>
      </c>
      <c r="AD2116" s="27">
        <v>26820870558.94062</v>
      </c>
      <c r="AE2116" s="228">
        <v>5.5872536817059608E-2</v>
      </c>
      <c r="AF2116" s="27">
        <v>6165045306.678091</v>
      </c>
      <c r="AG2116" s="226">
        <v>0.24307203000547989</v>
      </c>
      <c r="AH2116" s="226" t="s">
        <v>2842</v>
      </c>
      <c r="AI2116" s="27" t="s">
        <v>2842</v>
      </c>
      <c r="AJ2116" s="226" t="s">
        <v>2842</v>
      </c>
      <c r="AK2116" s="27" t="s">
        <v>2842</v>
      </c>
      <c r="AL2116" s="226" t="s">
        <v>2842</v>
      </c>
      <c r="AM2116" s="27" t="s">
        <v>2842</v>
      </c>
      <c r="AN2116" s="271" t="s">
        <v>2842</v>
      </c>
      <c r="AO2116" s="27">
        <v>14538640</v>
      </c>
      <c r="AP2116" s="27" t="s">
        <v>2842</v>
      </c>
      <c r="AQ2116" s="27" t="s">
        <v>2842</v>
      </c>
      <c r="AR2116" s="27">
        <v>55.8</v>
      </c>
      <c r="AS2116" s="29" t="s">
        <v>2842</v>
      </c>
      <c r="AT2116" s="270">
        <v>38</v>
      </c>
      <c r="AU2116" s="464">
        <v>60.803535044296524</v>
      </c>
      <c r="AV2116" s="29">
        <v>-0.111896798014641</v>
      </c>
      <c r="AW2116" s="29">
        <v>0.389405786991119</v>
      </c>
      <c r="AX2116" s="29">
        <v>-0.47539421916008001</v>
      </c>
      <c r="AY2116" s="29">
        <v>-0.46777227520942699</v>
      </c>
      <c r="AZ2116" s="60">
        <v>-0.38686278462410001</v>
      </c>
    </row>
    <row r="2117" spans="1:52" ht="15" customHeight="1">
      <c r="A2117" s="332" t="s">
        <v>545</v>
      </c>
      <c r="B2117" s="27">
        <v>2013</v>
      </c>
      <c r="C2117" s="27" t="s">
        <v>534</v>
      </c>
      <c r="D2117" s="27" t="s">
        <v>81</v>
      </c>
      <c r="E2117" s="27" t="s">
        <v>19</v>
      </c>
      <c r="F2117" s="27" t="s">
        <v>2270</v>
      </c>
      <c r="G2117" s="176"/>
      <c r="H2117" s="176"/>
      <c r="I2117" s="27"/>
      <c r="J2117" s="176">
        <v>163020</v>
      </c>
      <c r="K2117" s="27" t="s">
        <v>567</v>
      </c>
      <c r="L2117" s="28"/>
      <c r="M2117" s="27"/>
      <c r="N2117" s="27" t="s">
        <v>674</v>
      </c>
      <c r="O2117" s="27"/>
      <c r="P2117" s="244"/>
      <c r="Q2117" s="244"/>
      <c r="R2117" s="27"/>
      <c r="S2117" s="27"/>
      <c r="T2117" s="18"/>
      <c r="U2117" s="27"/>
      <c r="V2117" s="27"/>
      <c r="W2117" s="30"/>
      <c r="X2117" s="27"/>
      <c r="Y2117" s="27"/>
      <c r="Z2117" s="27"/>
      <c r="AA2117" s="27"/>
      <c r="AB2117" s="27"/>
      <c r="AC2117" s="273">
        <v>1498550077.77</v>
      </c>
      <c r="AD2117" s="27">
        <v>26820870558.94062</v>
      </c>
      <c r="AE2117" s="228">
        <v>5.5872536817059608E-2</v>
      </c>
      <c r="AF2117" s="27">
        <v>6165045306.678091</v>
      </c>
      <c r="AG2117" s="226">
        <v>0.24307203000547989</v>
      </c>
      <c r="AH2117" s="226" t="s">
        <v>2842</v>
      </c>
      <c r="AI2117" s="27" t="s">
        <v>2842</v>
      </c>
      <c r="AJ2117" s="226" t="s">
        <v>2842</v>
      </c>
      <c r="AK2117" s="27" t="s">
        <v>2842</v>
      </c>
      <c r="AL2117" s="226" t="s">
        <v>2842</v>
      </c>
      <c r="AM2117" s="27" t="s">
        <v>2842</v>
      </c>
      <c r="AN2117" s="271" t="s">
        <v>2842</v>
      </c>
      <c r="AO2117" s="27">
        <v>14538640</v>
      </c>
      <c r="AP2117" s="27" t="s">
        <v>2842</v>
      </c>
      <c r="AQ2117" s="27" t="s">
        <v>2842</v>
      </c>
      <c r="AR2117" s="27">
        <v>55.8</v>
      </c>
      <c r="AS2117" s="29" t="s">
        <v>2842</v>
      </c>
      <c r="AT2117" s="270">
        <v>38</v>
      </c>
      <c r="AU2117" s="464">
        <v>60.803535044296524</v>
      </c>
      <c r="AV2117" s="29">
        <v>-0.111896798014641</v>
      </c>
      <c r="AW2117" s="29">
        <v>0.389405786991119</v>
      </c>
      <c r="AX2117" s="29">
        <v>-0.47539421916008001</v>
      </c>
      <c r="AY2117" s="29">
        <v>-0.46777227520942699</v>
      </c>
      <c r="AZ2117" s="60">
        <v>-0.38686278462410001</v>
      </c>
    </row>
    <row r="2118" spans="1:52" ht="15" customHeight="1">
      <c r="A2118" s="332" t="s">
        <v>545</v>
      </c>
      <c r="B2118" s="27">
        <v>2013</v>
      </c>
      <c r="C2118" s="27" t="s">
        <v>534</v>
      </c>
      <c r="D2118" s="27" t="s">
        <v>81</v>
      </c>
      <c r="E2118" s="27" t="s">
        <v>19</v>
      </c>
      <c r="F2118" s="27" t="s">
        <v>2237</v>
      </c>
      <c r="G2118" s="176"/>
      <c r="H2118" s="176"/>
      <c r="I2118" s="27"/>
      <c r="J2118" s="176">
        <v>1587</v>
      </c>
      <c r="K2118" s="27" t="s">
        <v>894</v>
      </c>
      <c r="L2118" s="28"/>
      <c r="M2118" s="27"/>
      <c r="N2118" s="27" t="s">
        <v>674</v>
      </c>
      <c r="O2118" s="27"/>
      <c r="P2118" s="244"/>
      <c r="Q2118" s="244"/>
      <c r="R2118" s="27"/>
      <c r="S2118" s="27"/>
      <c r="T2118" s="18"/>
      <c r="U2118" s="27"/>
      <c r="V2118" s="27"/>
      <c r="W2118" s="30"/>
      <c r="X2118" s="27"/>
      <c r="Y2118" s="27"/>
      <c r="Z2118" s="27"/>
      <c r="AA2118" s="27"/>
      <c r="AB2118" s="27"/>
      <c r="AC2118" s="273">
        <v>1498550077.77</v>
      </c>
      <c r="AD2118" s="27">
        <v>26820870558.94062</v>
      </c>
      <c r="AE2118" s="228">
        <v>5.5872536817059608E-2</v>
      </c>
      <c r="AF2118" s="27">
        <v>6165045306.678091</v>
      </c>
      <c r="AG2118" s="226">
        <v>0.24307203000547989</v>
      </c>
      <c r="AH2118" s="226" t="s">
        <v>2842</v>
      </c>
      <c r="AI2118" s="27" t="s">
        <v>2842</v>
      </c>
      <c r="AJ2118" s="226" t="s">
        <v>2842</v>
      </c>
      <c r="AK2118" s="27" t="s">
        <v>2842</v>
      </c>
      <c r="AL2118" s="226" t="s">
        <v>2842</v>
      </c>
      <c r="AM2118" s="27" t="s">
        <v>2842</v>
      </c>
      <c r="AN2118" s="271" t="s">
        <v>2842</v>
      </c>
      <c r="AO2118" s="27">
        <v>14538640</v>
      </c>
      <c r="AP2118" s="27" t="s">
        <v>2842</v>
      </c>
      <c r="AQ2118" s="27" t="s">
        <v>2842</v>
      </c>
      <c r="AR2118" s="27">
        <v>55.8</v>
      </c>
      <c r="AS2118" s="29" t="s">
        <v>2842</v>
      </c>
      <c r="AT2118" s="270">
        <v>38</v>
      </c>
      <c r="AU2118" s="464">
        <v>60.803535044296524</v>
      </c>
      <c r="AV2118" s="29">
        <v>-0.111896798014641</v>
      </c>
      <c r="AW2118" s="29">
        <v>0.389405786991119</v>
      </c>
      <c r="AX2118" s="29">
        <v>-0.47539421916008001</v>
      </c>
      <c r="AY2118" s="29">
        <v>-0.46777227520942699</v>
      </c>
      <c r="AZ2118" s="60">
        <v>-0.38686278462410001</v>
      </c>
    </row>
    <row r="2119" spans="1:52" ht="15" customHeight="1">
      <c r="A2119" s="332" t="s">
        <v>545</v>
      </c>
      <c r="B2119" s="27">
        <v>2013</v>
      </c>
      <c r="C2119" s="27" t="s">
        <v>534</v>
      </c>
      <c r="D2119" s="27" t="s">
        <v>81</v>
      </c>
      <c r="E2119" s="27" t="s">
        <v>19</v>
      </c>
      <c r="F2119" s="27" t="s">
        <v>2260</v>
      </c>
      <c r="G2119" s="176"/>
      <c r="H2119" s="176"/>
      <c r="I2119" s="27"/>
      <c r="J2119" s="176">
        <v>27</v>
      </c>
      <c r="K2119" s="27" t="s">
        <v>894</v>
      </c>
      <c r="L2119" s="28"/>
      <c r="M2119" s="27"/>
      <c r="N2119" s="27" t="s">
        <v>674</v>
      </c>
      <c r="O2119" s="27"/>
      <c r="P2119" s="244"/>
      <c r="Q2119" s="244"/>
      <c r="R2119" s="27"/>
      <c r="S2119" s="27"/>
      <c r="T2119" s="18"/>
      <c r="U2119" s="27"/>
      <c r="V2119" s="27"/>
      <c r="W2119" s="30"/>
      <c r="X2119" s="27"/>
      <c r="Y2119" s="27"/>
      <c r="Z2119" s="27"/>
      <c r="AA2119" s="27"/>
      <c r="AB2119" s="27"/>
      <c r="AC2119" s="273">
        <v>1498550077.77</v>
      </c>
      <c r="AD2119" s="27">
        <v>26820870558.94062</v>
      </c>
      <c r="AE2119" s="228">
        <v>5.5872536817059608E-2</v>
      </c>
      <c r="AF2119" s="27">
        <v>6165045306.678091</v>
      </c>
      <c r="AG2119" s="226">
        <v>0.24307203000547989</v>
      </c>
      <c r="AH2119" s="226" t="s">
        <v>2842</v>
      </c>
      <c r="AI2119" s="27" t="s">
        <v>2842</v>
      </c>
      <c r="AJ2119" s="226" t="s">
        <v>2842</v>
      </c>
      <c r="AK2119" s="27" t="s">
        <v>2842</v>
      </c>
      <c r="AL2119" s="226" t="s">
        <v>2842</v>
      </c>
      <c r="AM2119" s="27" t="s">
        <v>2842</v>
      </c>
      <c r="AN2119" s="271" t="s">
        <v>2842</v>
      </c>
      <c r="AO2119" s="27">
        <v>14538640</v>
      </c>
      <c r="AP2119" s="27" t="s">
        <v>2842</v>
      </c>
      <c r="AQ2119" s="27" t="s">
        <v>2842</v>
      </c>
      <c r="AR2119" s="27">
        <v>55.8</v>
      </c>
      <c r="AS2119" s="29" t="s">
        <v>2842</v>
      </c>
      <c r="AT2119" s="270">
        <v>38</v>
      </c>
      <c r="AU2119" s="464">
        <v>60.803535044296524</v>
      </c>
      <c r="AV2119" s="29">
        <v>-0.111896798014641</v>
      </c>
      <c r="AW2119" s="29">
        <v>0.389405786991119</v>
      </c>
      <c r="AX2119" s="29">
        <v>-0.47539421916008001</v>
      </c>
      <c r="AY2119" s="29">
        <v>-0.46777227520942699</v>
      </c>
      <c r="AZ2119" s="60">
        <v>-0.38686278462410001</v>
      </c>
    </row>
    <row r="2120" spans="1:52" ht="15" customHeight="1">
      <c r="A2120" s="332" t="s">
        <v>545</v>
      </c>
      <c r="B2120" s="27">
        <v>2013</v>
      </c>
      <c r="C2120" s="27" t="s">
        <v>534</v>
      </c>
      <c r="D2120" s="27" t="s">
        <v>81</v>
      </c>
      <c r="E2120" s="27" t="s">
        <v>19</v>
      </c>
      <c r="F2120" s="27" t="s">
        <v>2271</v>
      </c>
      <c r="G2120" s="176"/>
      <c r="H2120" s="176"/>
      <c r="I2120" s="27"/>
      <c r="J2120" s="176">
        <v>86</v>
      </c>
      <c r="K2120" s="27" t="s">
        <v>894</v>
      </c>
      <c r="L2120" s="28"/>
      <c r="M2120" s="27"/>
      <c r="N2120" s="27" t="s">
        <v>674</v>
      </c>
      <c r="O2120" s="27"/>
      <c r="P2120" s="244"/>
      <c r="Q2120" s="244"/>
      <c r="R2120" s="27"/>
      <c r="S2120" s="27"/>
      <c r="T2120" s="18"/>
      <c r="U2120" s="27"/>
      <c r="V2120" s="27"/>
      <c r="W2120" s="30"/>
      <c r="X2120" s="27"/>
      <c r="Y2120" s="27"/>
      <c r="Z2120" s="27"/>
      <c r="AA2120" s="27"/>
      <c r="AB2120" s="27"/>
      <c r="AC2120" s="273">
        <v>1498550077.77</v>
      </c>
      <c r="AD2120" s="27">
        <v>26820870558.94062</v>
      </c>
      <c r="AE2120" s="228">
        <v>5.5872536817059608E-2</v>
      </c>
      <c r="AF2120" s="27">
        <v>6165045306.678091</v>
      </c>
      <c r="AG2120" s="226">
        <v>0.24307203000547989</v>
      </c>
      <c r="AH2120" s="226" t="s">
        <v>2842</v>
      </c>
      <c r="AI2120" s="27" t="s">
        <v>2842</v>
      </c>
      <c r="AJ2120" s="226" t="s">
        <v>2842</v>
      </c>
      <c r="AK2120" s="27" t="s">
        <v>2842</v>
      </c>
      <c r="AL2120" s="226" t="s">
        <v>2842</v>
      </c>
      <c r="AM2120" s="27" t="s">
        <v>2842</v>
      </c>
      <c r="AN2120" s="271" t="s">
        <v>2842</v>
      </c>
      <c r="AO2120" s="27">
        <v>14538640</v>
      </c>
      <c r="AP2120" s="27" t="s">
        <v>2842</v>
      </c>
      <c r="AQ2120" s="27" t="s">
        <v>2842</v>
      </c>
      <c r="AR2120" s="27">
        <v>55.8</v>
      </c>
      <c r="AS2120" s="29" t="s">
        <v>2842</v>
      </c>
      <c r="AT2120" s="270">
        <v>38</v>
      </c>
      <c r="AU2120" s="464">
        <v>60.803535044296524</v>
      </c>
      <c r="AV2120" s="29">
        <v>-0.111896798014641</v>
      </c>
      <c r="AW2120" s="29">
        <v>0.389405786991119</v>
      </c>
      <c r="AX2120" s="29">
        <v>-0.47539421916008001</v>
      </c>
      <c r="AY2120" s="29">
        <v>-0.46777227520942699</v>
      </c>
      <c r="AZ2120" s="60">
        <v>-0.38686278462410001</v>
      </c>
    </row>
    <row r="2121" spans="1:52" ht="15" customHeight="1">
      <c r="A2121" s="332" t="s">
        <v>545</v>
      </c>
      <c r="B2121" s="27">
        <v>2013</v>
      </c>
      <c r="C2121" s="27" t="s">
        <v>534</v>
      </c>
      <c r="D2121" s="27" t="s">
        <v>81</v>
      </c>
      <c r="E2121" s="27" t="s">
        <v>19</v>
      </c>
      <c r="F2121" s="27" t="s">
        <v>2236</v>
      </c>
      <c r="G2121" s="176"/>
      <c r="H2121" s="176"/>
      <c r="I2121" s="27"/>
      <c r="J2121" s="176">
        <v>41259</v>
      </c>
      <c r="K2121" s="27" t="s">
        <v>894</v>
      </c>
      <c r="L2121" s="28"/>
      <c r="M2121" s="27"/>
      <c r="N2121" s="27" t="s">
        <v>674</v>
      </c>
      <c r="O2121" s="27"/>
      <c r="P2121" s="244"/>
      <c r="Q2121" s="244"/>
      <c r="R2121" s="27"/>
      <c r="S2121" s="27"/>
      <c r="T2121" s="18"/>
      <c r="U2121" s="27"/>
      <c r="V2121" s="27"/>
      <c r="W2121" s="30"/>
      <c r="X2121" s="27"/>
      <c r="Y2121" s="27"/>
      <c r="Z2121" s="27"/>
      <c r="AA2121" s="27"/>
      <c r="AB2121" s="27"/>
      <c r="AC2121" s="273">
        <v>1498550077.77</v>
      </c>
      <c r="AD2121" s="27">
        <v>26820870558.94062</v>
      </c>
      <c r="AE2121" s="228">
        <v>5.5872536817059608E-2</v>
      </c>
      <c r="AF2121" s="27">
        <v>6165045306.678091</v>
      </c>
      <c r="AG2121" s="226">
        <v>0.24307203000547989</v>
      </c>
      <c r="AH2121" s="226" t="s">
        <v>2842</v>
      </c>
      <c r="AI2121" s="27" t="s">
        <v>2842</v>
      </c>
      <c r="AJ2121" s="226" t="s">
        <v>2842</v>
      </c>
      <c r="AK2121" s="27" t="s">
        <v>2842</v>
      </c>
      <c r="AL2121" s="226" t="s">
        <v>2842</v>
      </c>
      <c r="AM2121" s="27" t="s">
        <v>2842</v>
      </c>
      <c r="AN2121" s="271" t="s">
        <v>2842</v>
      </c>
      <c r="AO2121" s="27">
        <v>14538640</v>
      </c>
      <c r="AP2121" s="27" t="s">
        <v>2842</v>
      </c>
      <c r="AQ2121" s="27" t="s">
        <v>2842</v>
      </c>
      <c r="AR2121" s="27">
        <v>55.8</v>
      </c>
      <c r="AS2121" s="29" t="s">
        <v>2842</v>
      </c>
      <c r="AT2121" s="270">
        <v>38</v>
      </c>
      <c r="AU2121" s="464">
        <v>60.803535044296524</v>
      </c>
      <c r="AV2121" s="29">
        <v>-0.111896798014641</v>
      </c>
      <c r="AW2121" s="29">
        <v>0.389405786991119</v>
      </c>
      <c r="AX2121" s="29">
        <v>-0.47539421916008001</v>
      </c>
      <c r="AY2121" s="29">
        <v>-0.46777227520942699</v>
      </c>
      <c r="AZ2121" s="60">
        <v>-0.38686278462410001</v>
      </c>
    </row>
    <row r="2122" spans="1:52" ht="15" customHeight="1">
      <c r="A2122" s="332" t="s">
        <v>545</v>
      </c>
      <c r="B2122" s="27">
        <v>2013</v>
      </c>
      <c r="C2122" s="27" t="s">
        <v>534</v>
      </c>
      <c r="D2122" s="27" t="s">
        <v>81</v>
      </c>
      <c r="E2122" s="27" t="s">
        <v>19</v>
      </c>
      <c r="F2122" s="27" t="s">
        <v>2272</v>
      </c>
      <c r="G2122" s="176"/>
      <c r="H2122" s="176"/>
      <c r="I2122" s="27"/>
      <c r="J2122" s="176">
        <v>2141</v>
      </c>
      <c r="K2122" s="27" t="s">
        <v>894</v>
      </c>
      <c r="L2122" s="28"/>
      <c r="M2122" s="27"/>
      <c r="N2122" s="27" t="s">
        <v>674</v>
      </c>
      <c r="O2122" s="27"/>
      <c r="P2122" s="244"/>
      <c r="Q2122" s="244"/>
      <c r="R2122" s="27"/>
      <c r="S2122" s="27"/>
      <c r="T2122" s="18"/>
      <c r="U2122" s="27"/>
      <c r="V2122" s="27"/>
      <c r="W2122" s="30"/>
      <c r="X2122" s="27"/>
      <c r="Y2122" s="27"/>
      <c r="Z2122" s="27"/>
      <c r="AA2122" s="27"/>
      <c r="AB2122" s="27"/>
      <c r="AC2122" s="273">
        <v>1498550077.77</v>
      </c>
      <c r="AD2122" s="27">
        <v>26820870558.94062</v>
      </c>
      <c r="AE2122" s="228">
        <v>5.5872536817059608E-2</v>
      </c>
      <c r="AF2122" s="27">
        <v>6165045306.678091</v>
      </c>
      <c r="AG2122" s="226">
        <v>0.24307203000547989</v>
      </c>
      <c r="AH2122" s="226" t="s">
        <v>2842</v>
      </c>
      <c r="AI2122" s="27" t="s">
        <v>2842</v>
      </c>
      <c r="AJ2122" s="226" t="s">
        <v>2842</v>
      </c>
      <c r="AK2122" s="27" t="s">
        <v>2842</v>
      </c>
      <c r="AL2122" s="226" t="s">
        <v>2842</v>
      </c>
      <c r="AM2122" s="27" t="s">
        <v>2842</v>
      </c>
      <c r="AN2122" s="271" t="s">
        <v>2842</v>
      </c>
      <c r="AO2122" s="27">
        <v>14538640</v>
      </c>
      <c r="AP2122" s="27" t="s">
        <v>2842</v>
      </c>
      <c r="AQ2122" s="27" t="s">
        <v>2842</v>
      </c>
      <c r="AR2122" s="27">
        <v>55.8</v>
      </c>
      <c r="AS2122" s="29" t="s">
        <v>2842</v>
      </c>
      <c r="AT2122" s="270">
        <v>38</v>
      </c>
      <c r="AU2122" s="464">
        <v>60.803535044296524</v>
      </c>
      <c r="AV2122" s="29">
        <v>-0.111896798014641</v>
      </c>
      <c r="AW2122" s="29">
        <v>0.389405786991119</v>
      </c>
      <c r="AX2122" s="29">
        <v>-0.47539421916008001</v>
      </c>
      <c r="AY2122" s="29">
        <v>-0.46777227520942699</v>
      </c>
      <c r="AZ2122" s="60">
        <v>-0.38686278462410001</v>
      </c>
    </row>
    <row r="2123" spans="1:52" ht="15" customHeight="1">
      <c r="A2123" s="332" t="s">
        <v>545</v>
      </c>
      <c r="B2123" s="27">
        <v>2013</v>
      </c>
      <c r="C2123" s="27" t="s">
        <v>534</v>
      </c>
      <c r="D2123" s="27" t="s">
        <v>81</v>
      </c>
      <c r="E2123" s="27" t="s">
        <v>19</v>
      </c>
      <c r="F2123" s="27" t="s">
        <v>2273</v>
      </c>
      <c r="G2123" s="176"/>
      <c r="H2123" s="176"/>
      <c r="I2123" s="27"/>
      <c r="J2123" s="176">
        <v>1399</v>
      </c>
      <c r="K2123" s="27" t="s">
        <v>894</v>
      </c>
      <c r="L2123" s="28"/>
      <c r="M2123" s="27"/>
      <c r="N2123" s="27" t="s">
        <v>674</v>
      </c>
      <c r="O2123" s="27"/>
      <c r="P2123" s="244"/>
      <c r="Q2123" s="244"/>
      <c r="R2123" s="27"/>
      <c r="S2123" s="27"/>
      <c r="T2123" s="18"/>
      <c r="U2123" s="27"/>
      <c r="V2123" s="27"/>
      <c r="W2123" s="30"/>
      <c r="X2123" s="27"/>
      <c r="Y2123" s="27"/>
      <c r="Z2123" s="27"/>
      <c r="AA2123" s="27"/>
      <c r="AB2123" s="27"/>
      <c r="AC2123" s="273">
        <v>1498550077.77</v>
      </c>
      <c r="AD2123" s="27">
        <v>26820870558.94062</v>
      </c>
      <c r="AE2123" s="228">
        <v>5.5872536817059608E-2</v>
      </c>
      <c r="AF2123" s="27">
        <v>6165045306.678091</v>
      </c>
      <c r="AG2123" s="226">
        <v>0.24307203000547989</v>
      </c>
      <c r="AH2123" s="226" t="s">
        <v>2842</v>
      </c>
      <c r="AI2123" s="27" t="s">
        <v>2842</v>
      </c>
      <c r="AJ2123" s="226" t="s">
        <v>2842</v>
      </c>
      <c r="AK2123" s="27" t="s">
        <v>2842</v>
      </c>
      <c r="AL2123" s="226" t="s">
        <v>2842</v>
      </c>
      <c r="AM2123" s="27" t="s">
        <v>2842</v>
      </c>
      <c r="AN2123" s="271" t="s">
        <v>2842</v>
      </c>
      <c r="AO2123" s="27">
        <v>14538640</v>
      </c>
      <c r="AP2123" s="27" t="s">
        <v>2842</v>
      </c>
      <c r="AQ2123" s="27" t="s">
        <v>2842</v>
      </c>
      <c r="AR2123" s="27">
        <v>55.8</v>
      </c>
      <c r="AS2123" s="29" t="s">
        <v>2842</v>
      </c>
      <c r="AT2123" s="270">
        <v>38</v>
      </c>
      <c r="AU2123" s="464">
        <v>60.803535044296524</v>
      </c>
      <c r="AV2123" s="29">
        <v>-0.111896798014641</v>
      </c>
      <c r="AW2123" s="29">
        <v>0.389405786991119</v>
      </c>
      <c r="AX2123" s="29">
        <v>-0.47539421916008001</v>
      </c>
      <c r="AY2123" s="29">
        <v>-0.46777227520942699</v>
      </c>
      <c r="AZ2123" s="60">
        <v>-0.38686278462410001</v>
      </c>
    </row>
    <row r="2124" spans="1:52" ht="15" customHeight="1">
      <c r="A2124" s="332" t="s">
        <v>545</v>
      </c>
      <c r="B2124" s="27">
        <v>2013</v>
      </c>
      <c r="C2124" s="27" t="s">
        <v>534</v>
      </c>
      <c r="D2124" s="27" t="s">
        <v>81</v>
      </c>
      <c r="E2124" s="27" t="s">
        <v>19</v>
      </c>
      <c r="F2124" s="27" t="s">
        <v>784</v>
      </c>
      <c r="G2124" s="176"/>
      <c r="H2124" s="176"/>
      <c r="I2124" s="27"/>
      <c r="J2124" s="176">
        <v>45326</v>
      </c>
      <c r="K2124" s="27" t="s">
        <v>567</v>
      </c>
      <c r="L2124" s="28"/>
      <c r="M2124" s="27"/>
      <c r="N2124" s="27" t="s">
        <v>674</v>
      </c>
      <c r="O2124" s="27"/>
      <c r="P2124" s="244"/>
      <c r="Q2124" s="244"/>
      <c r="R2124" s="27"/>
      <c r="S2124" s="27"/>
      <c r="T2124" s="18"/>
      <c r="U2124" s="27"/>
      <c r="V2124" s="27"/>
      <c r="W2124" s="30"/>
      <c r="X2124" s="27"/>
      <c r="Y2124" s="27"/>
      <c r="Z2124" s="27"/>
      <c r="AA2124" s="27"/>
      <c r="AB2124" s="27"/>
      <c r="AC2124" s="273">
        <v>1498550077.77</v>
      </c>
      <c r="AD2124" s="27">
        <v>26820870558.94062</v>
      </c>
      <c r="AE2124" s="228">
        <v>5.5872536817059608E-2</v>
      </c>
      <c r="AF2124" s="27">
        <v>6165045306.678091</v>
      </c>
      <c r="AG2124" s="226">
        <v>0.24307203000547989</v>
      </c>
      <c r="AH2124" s="226" t="s">
        <v>2842</v>
      </c>
      <c r="AI2124" s="27" t="s">
        <v>2842</v>
      </c>
      <c r="AJ2124" s="226" t="s">
        <v>2842</v>
      </c>
      <c r="AK2124" s="27" t="s">
        <v>2842</v>
      </c>
      <c r="AL2124" s="226" t="s">
        <v>2842</v>
      </c>
      <c r="AM2124" s="27" t="s">
        <v>2842</v>
      </c>
      <c r="AN2124" s="271" t="s">
        <v>2842</v>
      </c>
      <c r="AO2124" s="27">
        <v>14538640</v>
      </c>
      <c r="AP2124" s="27" t="s">
        <v>2842</v>
      </c>
      <c r="AQ2124" s="27" t="s">
        <v>2842</v>
      </c>
      <c r="AR2124" s="27">
        <v>55.8</v>
      </c>
      <c r="AS2124" s="29" t="s">
        <v>2842</v>
      </c>
      <c r="AT2124" s="270">
        <v>38</v>
      </c>
      <c r="AU2124" s="464">
        <v>60.803535044296524</v>
      </c>
      <c r="AV2124" s="29">
        <v>-0.111896798014641</v>
      </c>
      <c r="AW2124" s="29">
        <v>0.389405786991119</v>
      </c>
      <c r="AX2124" s="29">
        <v>-0.47539421916008001</v>
      </c>
      <c r="AY2124" s="29">
        <v>-0.46777227520942699</v>
      </c>
      <c r="AZ2124" s="60">
        <v>-0.38686278462410001</v>
      </c>
    </row>
    <row r="2125" spans="1:52" ht="15" customHeight="1">
      <c r="A2125" s="332" t="s">
        <v>545</v>
      </c>
      <c r="B2125" s="27">
        <v>2013</v>
      </c>
      <c r="C2125" s="27" t="s">
        <v>534</v>
      </c>
      <c r="D2125" s="27" t="s">
        <v>81</v>
      </c>
      <c r="E2125" s="27" t="s">
        <v>19</v>
      </c>
      <c r="F2125" s="27" t="s">
        <v>2264</v>
      </c>
      <c r="G2125" s="176"/>
      <c r="H2125" s="176"/>
      <c r="I2125" s="27"/>
      <c r="J2125" s="176">
        <v>17</v>
      </c>
      <c r="K2125" s="27" t="s">
        <v>894</v>
      </c>
      <c r="L2125" s="28"/>
      <c r="M2125" s="27"/>
      <c r="N2125" s="27" t="s">
        <v>674</v>
      </c>
      <c r="O2125" s="27"/>
      <c r="P2125" s="244"/>
      <c r="Q2125" s="244"/>
      <c r="R2125" s="27"/>
      <c r="S2125" s="27"/>
      <c r="T2125" s="18"/>
      <c r="U2125" s="27"/>
      <c r="V2125" s="27"/>
      <c r="W2125" s="30"/>
      <c r="X2125" s="27"/>
      <c r="Y2125" s="27"/>
      <c r="Z2125" s="27"/>
      <c r="AA2125" s="27"/>
      <c r="AB2125" s="27"/>
      <c r="AC2125" s="273">
        <v>1498550077.77</v>
      </c>
      <c r="AD2125" s="27">
        <v>26820870558.94062</v>
      </c>
      <c r="AE2125" s="228">
        <v>5.5872536817059608E-2</v>
      </c>
      <c r="AF2125" s="27">
        <v>6165045306.678091</v>
      </c>
      <c r="AG2125" s="226">
        <v>0.24307203000547989</v>
      </c>
      <c r="AH2125" s="226" t="s">
        <v>2842</v>
      </c>
      <c r="AI2125" s="27" t="s">
        <v>2842</v>
      </c>
      <c r="AJ2125" s="226" t="s">
        <v>2842</v>
      </c>
      <c r="AK2125" s="27" t="s">
        <v>2842</v>
      </c>
      <c r="AL2125" s="226" t="s">
        <v>2842</v>
      </c>
      <c r="AM2125" s="27" t="s">
        <v>2842</v>
      </c>
      <c r="AN2125" s="271" t="s">
        <v>2842</v>
      </c>
      <c r="AO2125" s="27">
        <v>14538640</v>
      </c>
      <c r="AP2125" s="27" t="s">
        <v>2842</v>
      </c>
      <c r="AQ2125" s="27" t="s">
        <v>2842</v>
      </c>
      <c r="AR2125" s="27">
        <v>55.8</v>
      </c>
      <c r="AS2125" s="29" t="s">
        <v>2842</v>
      </c>
      <c r="AT2125" s="270">
        <v>38</v>
      </c>
      <c r="AU2125" s="464">
        <v>60.803535044296524</v>
      </c>
      <c r="AV2125" s="29">
        <v>-0.111896798014641</v>
      </c>
      <c r="AW2125" s="29">
        <v>0.389405786991119</v>
      </c>
      <c r="AX2125" s="29">
        <v>-0.47539421916008001</v>
      </c>
      <c r="AY2125" s="29">
        <v>-0.46777227520942699</v>
      </c>
      <c r="AZ2125" s="60">
        <v>-0.38686278462410001</v>
      </c>
    </row>
    <row r="2126" spans="1:52" ht="15" customHeight="1">
      <c r="A2126" s="332" t="s">
        <v>545</v>
      </c>
      <c r="B2126" s="27">
        <v>2013</v>
      </c>
      <c r="C2126" s="27" t="s">
        <v>534</v>
      </c>
      <c r="D2126" s="27" t="s">
        <v>81</v>
      </c>
      <c r="E2126" s="27" t="s">
        <v>19</v>
      </c>
      <c r="F2126" s="27" t="s">
        <v>2265</v>
      </c>
      <c r="G2126" s="176"/>
      <c r="H2126" s="176"/>
      <c r="I2126" s="27"/>
      <c r="J2126" s="176">
        <v>1259</v>
      </c>
      <c r="K2126" s="27" t="s">
        <v>894</v>
      </c>
      <c r="L2126" s="28"/>
      <c r="M2126" s="27"/>
      <c r="N2126" s="27" t="s">
        <v>674</v>
      </c>
      <c r="O2126" s="27"/>
      <c r="P2126" s="244"/>
      <c r="Q2126" s="244"/>
      <c r="R2126" s="27"/>
      <c r="S2126" s="27"/>
      <c r="T2126" s="18"/>
      <c r="U2126" s="27"/>
      <c r="V2126" s="27"/>
      <c r="W2126" s="30"/>
      <c r="X2126" s="27"/>
      <c r="Y2126" s="27"/>
      <c r="Z2126" s="27"/>
      <c r="AA2126" s="27"/>
      <c r="AB2126" s="27"/>
      <c r="AC2126" s="273">
        <v>1498550077.77</v>
      </c>
      <c r="AD2126" s="27">
        <v>26820870558.94062</v>
      </c>
      <c r="AE2126" s="228">
        <v>5.5872536817059608E-2</v>
      </c>
      <c r="AF2126" s="27">
        <v>6165045306.678091</v>
      </c>
      <c r="AG2126" s="226">
        <v>0.24307203000547989</v>
      </c>
      <c r="AH2126" s="226" t="s">
        <v>2842</v>
      </c>
      <c r="AI2126" s="27" t="s">
        <v>2842</v>
      </c>
      <c r="AJ2126" s="226" t="s">
        <v>2842</v>
      </c>
      <c r="AK2126" s="27" t="s">
        <v>2842</v>
      </c>
      <c r="AL2126" s="226" t="s">
        <v>2842</v>
      </c>
      <c r="AM2126" s="27" t="s">
        <v>2842</v>
      </c>
      <c r="AN2126" s="271" t="s">
        <v>2842</v>
      </c>
      <c r="AO2126" s="27">
        <v>14538640</v>
      </c>
      <c r="AP2126" s="27" t="s">
        <v>2842</v>
      </c>
      <c r="AQ2126" s="27" t="s">
        <v>2842</v>
      </c>
      <c r="AR2126" s="27">
        <v>55.8</v>
      </c>
      <c r="AS2126" s="29" t="s">
        <v>2842</v>
      </c>
      <c r="AT2126" s="270">
        <v>38</v>
      </c>
      <c r="AU2126" s="464">
        <v>60.803535044296524</v>
      </c>
      <c r="AV2126" s="29">
        <v>-0.111896798014641</v>
      </c>
      <c r="AW2126" s="29">
        <v>0.389405786991119</v>
      </c>
      <c r="AX2126" s="29">
        <v>-0.47539421916008001</v>
      </c>
      <c r="AY2126" s="29">
        <v>-0.46777227520942699</v>
      </c>
      <c r="AZ2126" s="60">
        <v>-0.38686278462410001</v>
      </c>
    </row>
    <row r="2127" spans="1:52" ht="15" customHeight="1">
      <c r="A2127" s="332" t="s">
        <v>545</v>
      </c>
      <c r="B2127" s="27">
        <v>2013</v>
      </c>
      <c r="C2127" s="27" t="s">
        <v>534</v>
      </c>
      <c r="D2127" s="27" t="s">
        <v>81</v>
      </c>
      <c r="E2127" s="27" t="s">
        <v>19</v>
      </c>
      <c r="F2127" s="27" t="s">
        <v>2266</v>
      </c>
      <c r="G2127" s="176"/>
      <c r="H2127" s="176"/>
      <c r="I2127" s="27"/>
      <c r="J2127" s="176">
        <v>18793</v>
      </c>
      <c r="K2127" s="27" t="s">
        <v>567</v>
      </c>
      <c r="L2127" s="28"/>
      <c r="M2127" s="27"/>
      <c r="N2127" s="27" t="s">
        <v>674</v>
      </c>
      <c r="O2127" s="27"/>
      <c r="P2127" s="244"/>
      <c r="Q2127" s="244"/>
      <c r="R2127" s="27"/>
      <c r="S2127" s="27"/>
      <c r="T2127" s="18"/>
      <c r="U2127" s="27"/>
      <c r="V2127" s="27"/>
      <c r="W2127" s="30"/>
      <c r="X2127" s="27"/>
      <c r="Y2127" s="27"/>
      <c r="Z2127" s="27"/>
      <c r="AA2127" s="27"/>
      <c r="AB2127" s="27"/>
      <c r="AC2127" s="273">
        <v>1498550077.77</v>
      </c>
      <c r="AD2127" s="27">
        <v>26820870558.94062</v>
      </c>
      <c r="AE2127" s="228">
        <v>5.5872536817059608E-2</v>
      </c>
      <c r="AF2127" s="27">
        <v>6165045306.678091</v>
      </c>
      <c r="AG2127" s="226">
        <v>0.24307203000547989</v>
      </c>
      <c r="AH2127" s="226" t="s">
        <v>2842</v>
      </c>
      <c r="AI2127" s="27" t="s">
        <v>2842</v>
      </c>
      <c r="AJ2127" s="226" t="s">
        <v>2842</v>
      </c>
      <c r="AK2127" s="27" t="s">
        <v>2842</v>
      </c>
      <c r="AL2127" s="226" t="s">
        <v>2842</v>
      </c>
      <c r="AM2127" s="27" t="s">
        <v>2842</v>
      </c>
      <c r="AN2127" s="271" t="s">
        <v>2842</v>
      </c>
      <c r="AO2127" s="27">
        <v>14538640</v>
      </c>
      <c r="AP2127" s="27" t="s">
        <v>2842</v>
      </c>
      <c r="AQ2127" s="27" t="s">
        <v>2842</v>
      </c>
      <c r="AR2127" s="27">
        <v>55.8</v>
      </c>
      <c r="AS2127" s="29" t="s">
        <v>2842</v>
      </c>
      <c r="AT2127" s="270">
        <v>38</v>
      </c>
      <c r="AU2127" s="464">
        <v>60.803535044296524</v>
      </c>
      <c r="AV2127" s="29">
        <v>-0.111896798014641</v>
      </c>
      <c r="AW2127" s="29">
        <v>0.389405786991119</v>
      </c>
      <c r="AX2127" s="29">
        <v>-0.47539421916008001</v>
      </c>
      <c r="AY2127" s="29">
        <v>-0.46777227520942699</v>
      </c>
      <c r="AZ2127" s="60">
        <v>-0.38686278462410001</v>
      </c>
    </row>
    <row r="2128" spans="1:52" ht="15" customHeight="1">
      <c r="A2128" s="332" t="s">
        <v>545</v>
      </c>
      <c r="B2128" s="27">
        <v>2013</v>
      </c>
      <c r="C2128" s="27" t="s">
        <v>534</v>
      </c>
      <c r="D2128" s="27" t="s">
        <v>81</v>
      </c>
      <c r="E2128" s="27" t="s">
        <v>19</v>
      </c>
      <c r="F2128" s="27" t="s">
        <v>2267</v>
      </c>
      <c r="G2128" s="176"/>
      <c r="H2128" s="176"/>
      <c r="I2128" s="27"/>
      <c r="J2128" s="176">
        <v>127281</v>
      </c>
      <c r="K2128" s="27" t="s">
        <v>567</v>
      </c>
      <c r="L2128" s="28"/>
      <c r="M2128" s="27"/>
      <c r="N2128" s="27" t="s">
        <v>674</v>
      </c>
      <c r="O2128" s="27"/>
      <c r="P2128" s="244"/>
      <c r="Q2128" s="244"/>
      <c r="R2128" s="27"/>
      <c r="S2128" s="27"/>
      <c r="T2128" s="18"/>
      <c r="U2128" s="27"/>
      <c r="V2128" s="27"/>
      <c r="W2128" s="30"/>
      <c r="X2128" s="27"/>
      <c r="Y2128" s="27"/>
      <c r="Z2128" s="27"/>
      <c r="AA2128" s="27"/>
      <c r="AB2128" s="27"/>
      <c r="AC2128" s="273">
        <v>1498550077.77</v>
      </c>
      <c r="AD2128" s="27">
        <v>26820870558.94062</v>
      </c>
      <c r="AE2128" s="228">
        <v>5.5872536817059608E-2</v>
      </c>
      <c r="AF2128" s="27">
        <v>6165045306.678091</v>
      </c>
      <c r="AG2128" s="226">
        <v>0.24307203000547989</v>
      </c>
      <c r="AH2128" s="226" t="s">
        <v>2842</v>
      </c>
      <c r="AI2128" s="27" t="s">
        <v>2842</v>
      </c>
      <c r="AJ2128" s="226" t="s">
        <v>2842</v>
      </c>
      <c r="AK2128" s="27" t="s">
        <v>2842</v>
      </c>
      <c r="AL2128" s="226" t="s">
        <v>2842</v>
      </c>
      <c r="AM2128" s="27" t="s">
        <v>2842</v>
      </c>
      <c r="AN2128" s="271" t="s">
        <v>2842</v>
      </c>
      <c r="AO2128" s="27">
        <v>14538640</v>
      </c>
      <c r="AP2128" s="27" t="s">
        <v>2842</v>
      </c>
      <c r="AQ2128" s="27" t="s">
        <v>2842</v>
      </c>
      <c r="AR2128" s="27">
        <v>55.8</v>
      </c>
      <c r="AS2128" s="29" t="s">
        <v>2842</v>
      </c>
      <c r="AT2128" s="270">
        <v>38</v>
      </c>
      <c r="AU2128" s="464">
        <v>60.803535044296524</v>
      </c>
      <c r="AV2128" s="29">
        <v>-0.111896798014641</v>
      </c>
      <c r="AW2128" s="29">
        <v>0.389405786991119</v>
      </c>
      <c r="AX2128" s="29">
        <v>-0.47539421916008001</v>
      </c>
      <c r="AY2128" s="29">
        <v>-0.46777227520942699</v>
      </c>
      <c r="AZ2128" s="60">
        <v>-0.38686278462410001</v>
      </c>
    </row>
    <row r="2129" spans="1:52" ht="15" customHeight="1">
      <c r="A2129" s="332" t="s">
        <v>545</v>
      </c>
      <c r="B2129" s="27">
        <v>2013</v>
      </c>
      <c r="C2129" s="27" t="s">
        <v>534</v>
      </c>
      <c r="D2129" s="27" t="s">
        <v>81</v>
      </c>
      <c r="E2129" s="27" t="s">
        <v>19</v>
      </c>
      <c r="F2129" s="27" t="s">
        <v>573</v>
      </c>
      <c r="G2129" s="176"/>
      <c r="H2129" s="176"/>
      <c r="I2129" s="27"/>
      <c r="J2129" s="176">
        <v>415233</v>
      </c>
      <c r="K2129" s="27" t="s">
        <v>567</v>
      </c>
      <c r="L2129" s="28"/>
      <c r="M2129" s="27"/>
      <c r="N2129" s="27" t="s">
        <v>674</v>
      </c>
      <c r="O2129" s="27"/>
      <c r="P2129" s="244"/>
      <c r="Q2129" s="244"/>
      <c r="R2129" s="27"/>
      <c r="S2129" s="27"/>
      <c r="T2129" s="18"/>
      <c r="U2129" s="27"/>
      <c r="V2129" s="27"/>
      <c r="W2129" s="30"/>
      <c r="X2129" s="27"/>
      <c r="Y2129" s="27"/>
      <c r="Z2129" s="27"/>
      <c r="AA2129" s="27"/>
      <c r="AB2129" s="27"/>
      <c r="AC2129" s="273">
        <v>1498550077.77</v>
      </c>
      <c r="AD2129" s="27">
        <v>26820870558.94062</v>
      </c>
      <c r="AE2129" s="228">
        <v>5.5872536817059608E-2</v>
      </c>
      <c r="AF2129" s="27">
        <v>6165045306.678091</v>
      </c>
      <c r="AG2129" s="226">
        <v>0.24307203000547989</v>
      </c>
      <c r="AH2129" s="226" t="s">
        <v>2842</v>
      </c>
      <c r="AI2129" s="27" t="s">
        <v>2842</v>
      </c>
      <c r="AJ2129" s="226" t="s">
        <v>2842</v>
      </c>
      <c r="AK2129" s="27" t="s">
        <v>2842</v>
      </c>
      <c r="AL2129" s="226" t="s">
        <v>2842</v>
      </c>
      <c r="AM2129" s="27" t="s">
        <v>2842</v>
      </c>
      <c r="AN2129" s="271" t="s">
        <v>2842</v>
      </c>
      <c r="AO2129" s="27">
        <v>14538640</v>
      </c>
      <c r="AP2129" s="27" t="s">
        <v>2842</v>
      </c>
      <c r="AQ2129" s="27" t="s">
        <v>2842</v>
      </c>
      <c r="AR2129" s="27">
        <v>55.8</v>
      </c>
      <c r="AS2129" s="29" t="s">
        <v>2842</v>
      </c>
      <c r="AT2129" s="270">
        <v>38</v>
      </c>
      <c r="AU2129" s="464">
        <v>60.803535044296524</v>
      </c>
      <c r="AV2129" s="29">
        <v>-0.111896798014641</v>
      </c>
      <c r="AW2129" s="29">
        <v>0.389405786991119</v>
      </c>
      <c r="AX2129" s="29">
        <v>-0.47539421916008001</v>
      </c>
      <c r="AY2129" s="29">
        <v>-0.46777227520942699</v>
      </c>
      <c r="AZ2129" s="60">
        <v>-0.38686278462410001</v>
      </c>
    </row>
    <row r="2130" spans="1:52" s="232" customFormat="1" ht="15" customHeight="1" thickBot="1">
      <c r="A2130" s="360" t="s">
        <v>545</v>
      </c>
      <c r="B2130" s="230">
        <v>2013</v>
      </c>
      <c r="C2130" s="230" t="s">
        <v>534</v>
      </c>
      <c r="D2130" s="230" t="s">
        <v>81</v>
      </c>
      <c r="E2130" s="230" t="s">
        <v>19</v>
      </c>
      <c r="F2130" s="230" t="s">
        <v>2274</v>
      </c>
      <c r="G2130" s="317"/>
      <c r="H2130" s="317"/>
      <c r="I2130" s="230"/>
      <c r="J2130" s="317">
        <v>642262</v>
      </c>
      <c r="K2130" s="230" t="s">
        <v>567</v>
      </c>
      <c r="L2130" s="298"/>
      <c r="M2130" s="230"/>
      <c r="N2130" s="230" t="s">
        <v>674</v>
      </c>
      <c r="O2130" s="230"/>
      <c r="P2130" s="318"/>
      <c r="Q2130" s="318"/>
      <c r="R2130" s="230"/>
      <c r="S2130" s="230"/>
      <c r="T2130" s="285"/>
      <c r="U2130" s="230"/>
      <c r="V2130" s="230"/>
      <c r="W2130" s="300"/>
      <c r="X2130" s="230"/>
      <c r="Y2130" s="230"/>
      <c r="Z2130" s="230"/>
      <c r="AA2130" s="230"/>
      <c r="AB2130" s="230"/>
      <c r="AC2130" s="274">
        <v>1498550077.77</v>
      </c>
      <c r="AD2130" s="230">
        <v>26820870558.94062</v>
      </c>
      <c r="AE2130" s="229">
        <v>5.5872536817059608E-2</v>
      </c>
      <c r="AF2130" s="230">
        <v>6165045306.678091</v>
      </c>
      <c r="AG2130" s="231">
        <v>0.24307203000547989</v>
      </c>
      <c r="AH2130" s="231" t="s">
        <v>2842</v>
      </c>
      <c r="AI2130" s="230" t="s">
        <v>2842</v>
      </c>
      <c r="AJ2130" s="231" t="s">
        <v>2842</v>
      </c>
      <c r="AK2130" s="230" t="s">
        <v>2842</v>
      </c>
      <c r="AL2130" s="231" t="s">
        <v>2842</v>
      </c>
      <c r="AM2130" s="230" t="s">
        <v>2842</v>
      </c>
      <c r="AN2130" s="275" t="s">
        <v>2842</v>
      </c>
      <c r="AO2130" s="230">
        <v>14538640</v>
      </c>
      <c r="AP2130" s="230" t="s">
        <v>2842</v>
      </c>
      <c r="AQ2130" s="230" t="s">
        <v>2842</v>
      </c>
      <c r="AR2130" s="230">
        <v>55.8</v>
      </c>
      <c r="AS2130" s="232" t="s">
        <v>2842</v>
      </c>
      <c r="AT2130" s="276">
        <v>38</v>
      </c>
      <c r="AU2130" s="466">
        <v>60.803535044296524</v>
      </c>
      <c r="AV2130" s="232">
        <v>-0.111896798014641</v>
      </c>
      <c r="AW2130" s="232">
        <v>0.389405786991119</v>
      </c>
      <c r="AX2130" s="232">
        <v>-0.47539421916008001</v>
      </c>
      <c r="AY2130" s="232">
        <v>-0.46777227520942699</v>
      </c>
      <c r="AZ2130" s="293">
        <v>-0.38686278462410001</v>
      </c>
    </row>
    <row r="2131" spans="1:52" s="93" customFormat="1" ht="15" customHeight="1">
      <c r="A2131" s="86"/>
      <c r="B2131" s="86"/>
      <c r="C2131" s="147"/>
      <c r="D2131" s="86"/>
      <c r="E2131" s="86"/>
      <c r="F2131" s="86"/>
      <c r="G2131" s="87"/>
      <c r="H2131" s="87"/>
      <c r="I2131" s="87"/>
      <c r="J2131" s="87"/>
      <c r="K2131" s="86"/>
      <c r="L2131" s="88"/>
      <c r="M2131" s="86"/>
      <c r="N2131" s="89"/>
      <c r="O2131" s="90"/>
      <c r="P2131" s="86"/>
      <c r="Q2131" s="86"/>
      <c r="R2131" s="86"/>
      <c r="S2131" s="86"/>
      <c r="T2131" s="92"/>
      <c r="U2131" s="86"/>
      <c r="V2131" s="86"/>
      <c r="W2131" s="91"/>
      <c r="X2131" s="86"/>
      <c r="Y2131" s="86"/>
      <c r="Z2131" s="86"/>
      <c r="AA2131" s="86"/>
      <c r="AB2131" s="86"/>
      <c r="AC2131" s="277"/>
      <c r="AD2131" s="147"/>
      <c r="AE2131" s="277"/>
      <c r="AF2131" s="147"/>
      <c r="AG2131" s="277"/>
      <c r="AH2131" s="277"/>
      <c r="AI2131" s="277"/>
      <c r="AJ2131" s="607"/>
      <c r="AK2131" s="277"/>
      <c r="AL2131" s="277"/>
      <c r="AM2131" s="277"/>
      <c r="AN2131" s="277"/>
      <c r="AO2131" s="147"/>
      <c r="AP2131" s="277"/>
      <c r="AQ2131" s="277"/>
      <c r="AR2131" s="277"/>
      <c r="AS2131" s="277"/>
      <c r="AT2131" s="277"/>
      <c r="AU2131" s="277"/>
      <c r="AV2131" s="277"/>
      <c r="AW2131" s="277"/>
      <c r="AX2131" s="277"/>
      <c r="AY2131" s="277"/>
      <c r="AZ2131" s="277"/>
    </row>
    <row r="2132" spans="1:52" ht="15" customHeight="1">
      <c r="N2132" s="7"/>
      <c r="O2132" s="16"/>
    </row>
  </sheetData>
  <autoFilter ref="A1:AZ2130"/>
  <conditionalFormatting sqref="F444">
    <cfRule type="cellIs" dxfId="13" priority="8" stopIfTrue="1" operator="equal">
      <formula>1</formula>
    </cfRule>
  </conditionalFormatting>
  <conditionalFormatting sqref="F445">
    <cfRule type="cellIs" dxfId="12" priority="7" stopIfTrue="1" operator="equal">
      <formula>1</formula>
    </cfRule>
  </conditionalFormatting>
  <conditionalFormatting sqref="F446">
    <cfRule type="cellIs" dxfId="11" priority="6" stopIfTrue="1" operator="equal">
      <formula>1</formula>
    </cfRule>
  </conditionalFormatting>
  <conditionalFormatting sqref="F447:F449">
    <cfRule type="cellIs" dxfId="10" priority="5" stopIfTrue="1" operator="equal">
      <formula>1</formula>
    </cfRule>
  </conditionalFormatting>
  <conditionalFormatting sqref="F454">
    <cfRule type="cellIs" dxfId="9" priority="4" stopIfTrue="1" operator="equal">
      <formula>1</formula>
    </cfRule>
  </conditionalFormatting>
  <conditionalFormatting sqref="F455">
    <cfRule type="cellIs" dxfId="8" priority="3" stopIfTrue="1" operator="equal">
      <formula>1</formula>
    </cfRule>
  </conditionalFormatting>
  <conditionalFormatting sqref="F456:F458">
    <cfRule type="cellIs" dxfId="7" priority="2" stopIfTrue="1" operator="equal">
      <formula>1</formula>
    </cfRule>
  </conditionalFormatting>
  <conditionalFormatting sqref="F453">
    <cfRule type="cellIs" dxfId="6" priority="1" stopIfTrue="1" operator="equal">
      <formula>1</formula>
    </cfRule>
  </conditionalFormatting>
  <conditionalFormatting sqref="E1955:E1956">
    <cfRule type="duplicateValues" dxfId="5" priority="9"/>
  </conditionalFormatting>
  <conditionalFormatting sqref="F1934 E1934:E1935">
    <cfRule type="duplicateValues" dxfId="4" priority="10"/>
  </conditionalFormatting>
  <conditionalFormatting sqref="F1944 E1944:E1945">
    <cfRule type="duplicateValues" dxfId="3" priority="11"/>
  </conditionalFormatting>
  <conditionalFormatting sqref="E1953:F1954">
    <cfRule type="duplicateValues" dxfId="2" priority="12"/>
  </conditionalFormatting>
  <pageMargins left="0.75" right="0.75" top="1" bottom="1" header="0.5" footer="0.5"/>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24"/>
  <sheetViews>
    <sheetView topLeftCell="A204" workbookViewId="0">
      <selection activeCell="B213" sqref="B213"/>
    </sheetView>
  </sheetViews>
  <sheetFormatPr defaultColWidth="8.85546875" defaultRowHeight="15"/>
  <cols>
    <col min="2" max="2" width="12.28515625" customWidth="1"/>
    <col min="6" max="6" width="9.140625" customWidth="1"/>
    <col min="7" max="7" width="14.140625" customWidth="1"/>
  </cols>
  <sheetData>
    <row r="1" spans="1:7" ht="45">
      <c r="A1" s="1" t="s">
        <v>1</v>
      </c>
      <c r="B1" s="1" t="s">
        <v>2</v>
      </c>
      <c r="C1" s="1"/>
      <c r="D1" s="1" t="s">
        <v>3</v>
      </c>
      <c r="E1" s="2" t="s">
        <v>4</v>
      </c>
      <c r="F1" s="1" t="s">
        <v>5</v>
      </c>
      <c r="G1" s="1" t="s">
        <v>6</v>
      </c>
    </row>
    <row r="2" spans="1:7" ht="30">
      <c r="A2" s="20">
        <v>2008</v>
      </c>
      <c r="B2" s="20" t="s">
        <v>16</v>
      </c>
      <c r="C2" s="20" t="str">
        <f>$A2&amp;"_"&amp;$B2</f>
        <v>2008_Afghanistan</v>
      </c>
      <c r="D2" s="20" t="s">
        <v>17</v>
      </c>
      <c r="E2" s="162" t="s">
        <v>18</v>
      </c>
      <c r="F2" s="20" t="s">
        <v>19</v>
      </c>
      <c r="G2" s="23">
        <v>89690970</v>
      </c>
    </row>
    <row r="3" spans="1:7" ht="30">
      <c r="A3" s="20">
        <v>2009</v>
      </c>
      <c r="B3" s="20" t="s">
        <v>16</v>
      </c>
      <c r="C3" s="20" t="str">
        <f t="shared" ref="C3:C66" si="0">$A3&amp;"_"&amp;$B3</f>
        <v>2009_Afghanistan</v>
      </c>
      <c r="D3" s="20" t="s">
        <v>17</v>
      </c>
      <c r="E3" s="162" t="s">
        <v>18</v>
      </c>
      <c r="F3" s="20" t="s">
        <v>19</v>
      </c>
      <c r="G3" s="23">
        <v>7788994</v>
      </c>
    </row>
    <row r="4" spans="1:7" ht="30">
      <c r="A4" s="20">
        <v>2010</v>
      </c>
      <c r="B4" s="20" t="s">
        <v>16</v>
      </c>
      <c r="C4" s="20" t="str">
        <f t="shared" si="0"/>
        <v>2010_Afghanistan</v>
      </c>
      <c r="D4" s="20" t="s">
        <v>17</v>
      </c>
      <c r="E4" s="162" t="s">
        <v>26</v>
      </c>
      <c r="F4" s="20" t="s">
        <v>19</v>
      </c>
      <c r="G4" s="23">
        <v>23383829.469999999</v>
      </c>
    </row>
    <row r="5" spans="1:7" ht="30">
      <c r="A5" s="20">
        <v>2011</v>
      </c>
      <c r="B5" s="20" t="s">
        <v>16</v>
      </c>
      <c r="C5" s="20" t="str">
        <f t="shared" si="0"/>
        <v>2011_Afghanistan</v>
      </c>
      <c r="D5" s="20" t="s">
        <v>17</v>
      </c>
      <c r="E5" s="162" t="s">
        <v>29</v>
      </c>
      <c r="F5" s="22" t="s">
        <v>30</v>
      </c>
      <c r="G5" s="23">
        <v>101776402</v>
      </c>
    </row>
    <row r="6" spans="1:7" ht="30">
      <c r="A6" s="20">
        <v>2009</v>
      </c>
      <c r="B6" s="20" t="s">
        <v>33</v>
      </c>
      <c r="C6" s="20" t="str">
        <f t="shared" si="0"/>
        <v>2009_Albania</v>
      </c>
      <c r="D6" s="20" t="s">
        <v>34</v>
      </c>
      <c r="E6" s="162" t="s">
        <v>35</v>
      </c>
      <c r="F6" s="20" t="s">
        <v>36</v>
      </c>
      <c r="G6" s="23">
        <v>33298711.201804318</v>
      </c>
    </row>
    <row r="7" spans="1:7" ht="30">
      <c r="A7" s="20">
        <v>2010</v>
      </c>
      <c r="B7" s="20" t="s">
        <v>33</v>
      </c>
      <c r="C7" s="20" t="str">
        <f t="shared" si="0"/>
        <v>2010_Albania</v>
      </c>
      <c r="D7" s="20" t="s">
        <v>34</v>
      </c>
      <c r="E7" s="162" t="s">
        <v>39</v>
      </c>
      <c r="F7" s="20" t="s">
        <v>30</v>
      </c>
      <c r="G7" s="23">
        <v>62819643</v>
      </c>
    </row>
    <row r="8" spans="1:7" ht="30">
      <c r="A8" s="20">
        <v>2011</v>
      </c>
      <c r="B8" s="20" t="s">
        <v>33</v>
      </c>
      <c r="C8" s="20" t="str">
        <f t="shared" si="0"/>
        <v>2011_Albania</v>
      </c>
      <c r="D8" s="20" t="s">
        <v>34</v>
      </c>
      <c r="E8" s="162" t="s">
        <v>42</v>
      </c>
      <c r="F8" s="20" t="s">
        <v>30</v>
      </c>
      <c r="G8" s="23">
        <v>87672150.568453237</v>
      </c>
    </row>
    <row r="9" spans="1:7" ht="60">
      <c r="A9" s="163">
        <v>2012</v>
      </c>
      <c r="B9" s="163" t="s">
        <v>33</v>
      </c>
      <c r="C9" s="20" t="str">
        <f t="shared" si="0"/>
        <v>2012_Albania</v>
      </c>
      <c r="D9" s="163" t="s">
        <v>34</v>
      </c>
      <c r="E9" s="162" t="s">
        <v>45</v>
      </c>
      <c r="F9" s="163" t="s">
        <v>36</v>
      </c>
      <c r="G9" s="164">
        <v>92136623.819999993</v>
      </c>
    </row>
    <row r="10" spans="1:7" ht="30">
      <c r="A10" s="20">
        <v>2003</v>
      </c>
      <c r="B10" s="22" t="s">
        <v>48</v>
      </c>
      <c r="C10" s="20" t="str">
        <f t="shared" si="0"/>
        <v>2003_Azerbaijan</v>
      </c>
      <c r="D10" s="20" t="s">
        <v>34</v>
      </c>
      <c r="E10" s="162" t="s">
        <v>49</v>
      </c>
      <c r="F10" s="20" t="s">
        <v>50</v>
      </c>
      <c r="G10" s="23">
        <v>622338949.75102043</v>
      </c>
    </row>
    <row r="11" spans="1:7" ht="30">
      <c r="A11" s="20">
        <v>2004</v>
      </c>
      <c r="B11" s="22" t="s">
        <v>48</v>
      </c>
      <c r="C11" s="20" t="str">
        <f t="shared" si="0"/>
        <v>2004_Azerbaijan</v>
      </c>
      <c r="D11" s="20" t="s">
        <v>34</v>
      </c>
      <c r="E11" s="162" t="s">
        <v>53</v>
      </c>
      <c r="F11" s="20" t="s">
        <v>50</v>
      </c>
      <c r="G11" s="23">
        <v>1099837402.0408163</v>
      </c>
    </row>
    <row r="12" spans="1:7" ht="30">
      <c r="A12" s="20">
        <v>2005</v>
      </c>
      <c r="B12" s="22" t="s">
        <v>48</v>
      </c>
      <c r="C12" s="20" t="str">
        <f t="shared" si="0"/>
        <v>2005_Azerbaijan</v>
      </c>
      <c r="D12" s="20" t="s">
        <v>34</v>
      </c>
      <c r="E12" s="162" t="s">
        <v>56</v>
      </c>
      <c r="F12" s="20" t="s">
        <v>50</v>
      </c>
      <c r="G12" s="23">
        <v>1475500561.5275025</v>
      </c>
    </row>
    <row r="13" spans="1:7">
      <c r="A13" s="20">
        <v>2006</v>
      </c>
      <c r="B13" s="22" t="s">
        <v>48</v>
      </c>
      <c r="C13" s="20" t="str">
        <f t="shared" si="0"/>
        <v>2006_Azerbaijan</v>
      </c>
      <c r="D13" s="20" t="s">
        <v>34</v>
      </c>
      <c r="E13" s="162" t="s">
        <v>59</v>
      </c>
      <c r="F13" s="20" t="s">
        <v>50</v>
      </c>
      <c r="G13" s="23">
        <v>3510790699.9586</v>
      </c>
    </row>
    <row r="14" spans="1:7" ht="30">
      <c r="A14" s="20">
        <v>2007</v>
      </c>
      <c r="B14" s="22" t="s">
        <v>48</v>
      </c>
      <c r="C14" s="20" t="str">
        <f t="shared" si="0"/>
        <v>2007_Azerbaijan</v>
      </c>
      <c r="D14" s="20" t="s">
        <v>34</v>
      </c>
      <c r="E14" s="162" t="s">
        <v>62</v>
      </c>
      <c r="F14" s="20" t="s">
        <v>50</v>
      </c>
      <c r="G14" s="23">
        <v>5563486877.5584002</v>
      </c>
    </row>
    <row r="15" spans="1:7" ht="30">
      <c r="A15" s="20">
        <v>2008</v>
      </c>
      <c r="B15" s="22" t="s">
        <v>48</v>
      </c>
      <c r="C15" s="20" t="str">
        <f t="shared" si="0"/>
        <v>2008_Azerbaijan</v>
      </c>
      <c r="D15" s="20" t="s">
        <v>34</v>
      </c>
      <c r="E15" s="162" t="s">
        <v>65</v>
      </c>
      <c r="F15" s="20" t="s">
        <v>50</v>
      </c>
      <c r="G15" s="23">
        <v>19134087707.225998</v>
      </c>
    </row>
    <row r="16" spans="1:7" ht="30">
      <c r="A16" s="20">
        <v>2009</v>
      </c>
      <c r="B16" s="22" t="s">
        <v>48</v>
      </c>
      <c r="C16" s="20" t="str">
        <f t="shared" si="0"/>
        <v>2009_Azerbaijan</v>
      </c>
      <c r="D16" s="20" t="s">
        <v>34</v>
      </c>
      <c r="E16" s="162" t="s">
        <v>68</v>
      </c>
      <c r="F16" s="22" t="s">
        <v>30</v>
      </c>
      <c r="G16" s="23">
        <v>14160319906.428267</v>
      </c>
    </row>
    <row r="17" spans="1:7" ht="30">
      <c r="A17" s="20">
        <v>2010</v>
      </c>
      <c r="B17" s="22" t="s">
        <v>48</v>
      </c>
      <c r="C17" s="20" t="str">
        <f t="shared" si="0"/>
        <v>2010_Azerbaijan</v>
      </c>
      <c r="D17" s="20" t="s">
        <v>34</v>
      </c>
      <c r="E17" s="162" t="s">
        <v>71</v>
      </c>
      <c r="F17" s="22" t="s">
        <v>30</v>
      </c>
      <c r="G17" s="23">
        <v>19732689646.414902</v>
      </c>
    </row>
    <row r="18" spans="1:7" ht="30">
      <c r="A18" s="20">
        <v>2011</v>
      </c>
      <c r="B18" s="22" t="s">
        <v>48</v>
      </c>
      <c r="C18" s="20" t="str">
        <f t="shared" si="0"/>
        <v>2011_Azerbaijan</v>
      </c>
      <c r="D18" s="20" t="s">
        <v>34</v>
      </c>
      <c r="E18" s="162" t="s">
        <v>74</v>
      </c>
      <c r="F18" s="22" t="s">
        <v>30</v>
      </c>
      <c r="G18" s="23">
        <v>23901723059.816406</v>
      </c>
    </row>
    <row r="19" spans="1:7" ht="30">
      <c r="A19" s="20">
        <v>2012</v>
      </c>
      <c r="B19" s="22" t="s">
        <v>48</v>
      </c>
      <c r="C19" s="20" t="str">
        <f t="shared" si="0"/>
        <v>2012_Azerbaijan</v>
      </c>
      <c r="D19" s="20" t="s">
        <v>34</v>
      </c>
      <c r="E19" s="162" t="s">
        <v>77</v>
      </c>
      <c r="F19" s="22" t="s">
        <v>30</v>
      </c>
      <c r="G19" s="23">
        <v>21826952015.575878</v>
      </c>
    </row>
    <row r="20" spans="1:7" ht="30">
      <c r="A20" s="20">
        <v>2008</v>
      </c>
      <c r="B20" s="22" t="s">
        <v>93</v>
      </c>
      <c r="C20" s="20" t="str">
        <f t="shared" si="0"/>
        <v>2008_Burkina Faso</v>
      </c>
      <c r="D20" s="20" t="s">
        <v>81</v>
      </c>
      <c r="E20" s="162" t="s">
        <v>82</v>
      </c>
      <c r="F20" s="22" t="s">
        <v>19</v>
      </c>
      <c r="G20" s="23">
        <v>3746160.96432199</v>
      </c>
    </row>
    <row r="21" spans="1:7" ht="30">
      <c r="A21" s="20">
        <v>2009</v>
      </c>
      <c r="B21" s="22" t="s">
        <v>93</v>
      </c>
      <c r="C21" s="20" t="str">
        <f t="shared" si="0"/>
        <v>2009_Burkina Faso</v>
      </c>
      <c r="D21" s="20" t="s">
        <v>81</v>
      </c>
      <c r="E21" s="162" t="s">
        <v>82</v>
      </c>
      <c r="F21" s="22" t="s">
        <v>19</v>
      </c>
      <c r="G21" s="23">
        <v>22698094.711444009</v>
      </c>
    </row>
    <row r="22" spans="1:7">
      <c r="A22" s="20">
        <v>2010</v>
      </c>
      <c r="B22" s="22" t="s">
        <v>93</v>
      </c>
      <c r="C22" s="20" t="str">
        <f t="shared" si="0"/>
        <v>2010_Burkina Faso</v>
      </c>
      <c r="D22" s="20" t="s">
        <v>81</v>
      </c>
      <c r="E22" s="162" t="s">
        <v>87</v>
      </c>
      <c r="F22" s="22" t="s">
        <v>19</v>
      </c>
      <c r="G22" s="23">
        <v>47170416</v>
      </c>
    </row>
    <row r="23" spans="1:7" ht="30">
      <c r="A23" s="20">
        <v>2011</v>
      </c>
      <c r="B23" s="22" t="s">
        <v>93</v>
      </c>
      <c r="C23" s="20" t="str">
        <f t="shared" si="0"/>
        <v>2011_Burkina Faso</v>
      </c>
      <c r="D23" s="20" t="s">
        <v>81</v>
      </c>
      <c r="E23" s="162" t="s">
        <v>90</v>
      </c>
      <c r="F23" s="22" t="s">
        <v>19</v>
      </c>
      <c r="G23" s="23">
        <v>236414921.89335009</v>
      </c>
    </row>
    <row r="24" spans="1:7" ht="30">
      <c r="A24" s="165">
        <v>2012</v>
      </c>
      <c r="B24" s="166" t="s">
        <v>93</v>
      </c>
      <c r="C24" s="20" t="str">
        <f t="shared" si="0"/>
        <v>2012_Burkina Faso</v>
      </c>
      <c r="D24" s="166" t="s">
        <v>81</v>
      </c>
      <c r="E24" s="162" t="s">
        <v>45</v>
      </c>
      <c r="F24" s="166" t="s">
        <v>19</v>
      </c>
      <c r="G24" s="164">
        <v>366304044.26999998</v>
      </c>
    </row>
    <row r="25" spans="1:7" ht="30">
      <c r="A25" s="20">
        <v>2001</v>
      </c>
      <c r="B25" s="22" t="s">
        <v>96</v>
      </c>
      <c r="C25" s="20" t="str">
        <f t="shared" si="0"/>
        <v>2001_Cameroon</v>
      </c>
      <c r="D25" s="20" t="s">
        <v>81</v>
      </c>
      <c r="E25" s="162" t="s">
        <v>97</v>
      </c>
      <c r="F25" s="22" t="s">
        <v>98</v>
      </c>
      <c r="G25" s="23">
        <v>731900794.85081637</v>
      </c>
    </row>
    <row r="26" spans="1:7" ht="30">
      <c r="A26" s="20">
        <v>2002</v>
      </c>
      <c r="B26" s="22" t="s">
        <v>96</v>
      </c>
      <c r="C26" s="20" t="str">
        <f t="shared" si="0"/>
        <v>2002_Cameroon</v>
      </c>
      <c r="D26" s="20" t="s">
        <v>81</v>
      </c>
      <c r="E26" s="162" t="s">
        <v>97</v>
      </c>
      <c r="F26" s="22" t="s">
        <v>98</v>
      </c>
      <c r="G26" s="23">
        <v>338323283.56164378</v>
      </c>
    </row>
    <row r="27" spans="1:7" ht="30">
      <c r="A27" s="20">
        <v>2003</v>
      </c>
      <c r="B27" s="22" t="s">
        <v>96</v>
      </c>
      <c r="C27" s="20" t="str">
        <f t="shared" si="0"/>
        <v>2003_Cameroon</v>
      </c>
      <c r="D27" s="20" t="s">
        <v>81</v>
      </c>
      <c r="E27" s="162" t="s">
        <v>97</v>
      </c>
      <c r="F27" s="22" t="s">
        <v>98</v>
      </c>
      <c r="G27" s="23">
        <v>753768010</v>
      </c>
    </row>
    <row r="28" spans="1:7" ht="30">
      <c r="A28" s="20">
        <v>2004</v>
      </c>
      <c r="B28" s="22" t="s">
        <v>96</v>
      </c>
      <c r="C28" s="20" t="str">
        <f t="shared" si="0"/>
        <v>2004_Cameroon</v>
      </c>
      <c r="D28" s="20" t="s">
        <v>81</v>
      </c>
      <c r="E28" s="162" t="s">
        <v>97</v>
      </c>
      <c r="F28" s="22" t="s">
        <v>98</v>
      </c>
      <c r="G28" s="23">
        <v>954798250</v>
      </c>
    </row>
    <row r="29" spans="1:7" ht="30">
      <c r="A29" s="20">
        <v>2005</v>
      </c>
      <c r="B29" s="22" t="s">
        <v>96</v>
      </c>
      <c r="C29" s="20" t="str">
        <f t="shared" si="0"/>
        <v>2005_Cameroon</v>
      </c>
      <c r="D29" s="20" t="s">
        <v>81</v>
      </c>
      <c r="E29" s="162" t="s">
        <v>104</v>
      </c>
      <c r="F29" s="22" t="s">
        <v>98</v>
      </c>
      <c r="G29" s="23">
        <v>1188024922.5</v>
      </c>
    </row>
    <row r="30" spans="1:7" ht="30">
      <c r="A30" s="20">
        <v>2006</v>
      </c>
      <c r="B30" s="22" t="s">
        <v>96</v>
      </c>
      <c r="C30" s="20" t="str">
        <f t="shared" si="0"/>
        <v>2006_Cameroon</v>
      </c>
      <c r="D30" s="20" t="s">
        <v>81</v>
      </c>
      <c r="E30" s="162" t="s">
        <v>107</v>
      </c>
      <c r="F30" s="22" t="s">
        <v>36</v>
      </c>
      <c r="G30" s="23">
        <v>1599006845.6187501</v>
      </c>
    </row>
    <row r="31" spans="1:7" ht="30">
      <c r="A31" s="20">
        <v>2007</v>
      </c>
      <c r="B31" s="22" t="s">
        <v>96</v>
      </c>
      <c r="C31" s="20" t="str">
        <f t="shared" si="0"/>
        <v>2007_Cameroon</v>
      </c>
      <c r="D31" s="20" t="s">
        <v>81</v>
      </c>
      <c r="E31" s="162" t="s">
        <v>107</v>
      </c>
      <c r="F31" s="22" t="s">
        <v>36</v>
      </c>
      <c r="G31" s="23">
        <v>1803241787.7304473</v>
      </c>
    </row>
    <row r="32" spans="1:7" ht="30">
      <c r="A32" s="20">
        <v>2008</v>
      </c>
      <c r="B32" s="22" t="s">
        <v>96</v>
      </c>
      <c r="C32" s="20" t="str">
        <f t="shared" si="0"/>
        <v>2008_Cameroon</v>
      </c>
      <c r="D32" s="20" t="s">
        <v>81</v>
      </c>
      <c r="E32" s="162" t="s">
        <v>107</v>
      </c>
      <c r="F32" s="22" t="s">
        <v>36</v>
      </c>
      <c r="G32" s="23">
        <v>2362223467.224865</v>
      </c>
    </row>
    <row r="33" spans="1:7" ht="30">
      <c r="A33" s="20">
        <v>2009</v>
      </c>
      <c r="B33" s="22" t="s">
        <v>96</v>
      </c>
      <c r="C33" s="20" t="str">
        <f t="shared" si="0"/>
        <v>2009_Cameroon</v>
      </c>
      <c r="D33" s="20" t="s">
        <v>81</v>
      </c>
      <c r="E33" s="162" t="s">
        <v>112</v>
      </c>
      <c r="F33" s="22" t="s">
        <v>36</v>
      </c>
      <c r="G33" s="23">
        <v>3501213151.7658243</v>
      </c>
    </row>
    <row r="34" spans="1:7" ht="30">
      <c r="A34" s="20">
        <v>2010</v>
      </c>
      <c r="B34" s="22" t="s">
        <v>96</v>
      </c>
      <c r="C34" s="20" t="str">
        <f t="shared" si="0"/>
        <v>2010_Cameroon</v>
      </c>
      <c r="D34" s="20" t="s">
        <v>81</v>
      </c>
      <c r="E34" s="162" t="s">
        <v>112</v>
      </c>
      <c r="F34" s="22" t="s">
        <v>36</v>
      </c>
      <c r="G34" s="23">
        <v>3676246858.7772026</v>
      </c>
    </row>
    <row r="35" spans="1:7" ht="30">
      <c r="A35" s="20">
        <v>2011</v>
      </c>
      <c r="B35" s="22" t="s">
        <v>96</v>
      </c>
      <c r="C35" s="20" t="str">
        <f t="shared" si="0"/>
        <v>2011_Cameroon</v>
      </c>
      <c r="D35" s="20" t="s">
        <v>81</v>
      </c>
      <c r="E35" s="162" t="s">
        <v>117</v>
      </c>
      <c r="F35" s="22" t="s">
        <v>30</v>
      </c>
      <c r="G35" s="167">
        <v>1566015122</v>
      </c>
    </row>
    <row r="36" spans="1:7" ht="30">
      <c r="A36" s="163">
        <v>2012</v>
      </c>
      <c r="B36" s="163" t="s">
        <v>96</v>
      </c>
      <c r="C36" s="20" t="str">
        <f t="shared" si="0"/>
        <v>2012_Cameroon</v>
      </c>
      <c r="D36" s="163" t="s">
        <v>81</v>
      </c>
      <c r="E36" s="162" t="s">
        <v>45</v>
      </c>
      <c r="F36" s="163" t="s">
        <v>30</v>
      </c>
      <c r="G36" s="17">
        <v>1529320794.4000001</v>
      </c>
    </row>
    <row r="37" spans="1:7" ht="45">
      <c r="A37" s="20">
        <v>2006</v>
      </c>
      <c r="B37" s="22" t="s">
        <v>122</v>
      </c>
      <c r="C37" s="20" t="str">
        <f t="shared" si="0"/>
        <v>2006_Central African Republic</v>
      </c>
      <c r="D37" s="20" t="s">
        <v>81</v>
      </c>
      <c r="E37" s="162" t="s">
        <v>123</v>
      </c>
      <c r="F37" s="22" t="s">
        <v>19</v>
      </c>
      <c r="G37" s="23">
        <v>10973706.76241657</v>
      </c>
    </row>
    <row r="38" spans="1:7" ht="45">
      <c r="A38" s="20">
        <v>2007</v>
      </c>
      <c r="B38" s="22" t="s">
        <v>122</v>
      </c>
      <c r="C38" s="20" t="str">
        <f t="shared" si="0"/>
        <v>2007_Central African Republic</v>
      </c>
      <c r="D38" s="20" t="s">
        <v>81</v>
      </c>
      <c r="E38" s="162" t="s">
        <v>126</v>
      </c>
      <c r="F38" s="22" t="s">
        <v>19</v>
      </c>
      <c r="G38" s="23">
        <v>3520131.5240083509</v>
      </c>
    </row>
    <row r="39" spans="1:7" ht="45">
      <c r="A39" s="20">
        <v>2008</v>
      </c>
      <c r="B39" s="22" t="s">
        <v>122</v>
      </c>
      <c r="C39" s="20" t="str">
        <f t="shared" si="0"/>
        <v>2008_Central African Republic</v>
      </c>
      <c r="D39" s="20" t="s">
        <v>81</v>
      </c>
      <c r="E39" s="162" t="s">
        <v>126</v>
      </c>
      <c r="F39" s="22" t="s">
        <v>19</v>
      </c>
      <c r="G39" s="23">
        <v>4042178.5714285714</v>
      </c>
    </row>
    <row r="40" spans="1:7" ht="45">
      <c r="A40" s="20">
        <v>2009</v>
      </c>
      <c r="B40" s="22" t="s">
        <v>122</v>
      </c>
      <c r="C40" s="20" t="str">
        <f t="shared" si="0"/>
        <v>2009_Central African Republic</v>
      </c>
      <c r="D40" s="20" t="s">
        <v>81</v>
      </c>
      <c r="E40" s="162" t="s">
        <v>126</v>
      </c>
      <c r="F40" s="22" t="s">
        <v>19</v>
      </c>
      <c r="G40" s="23">
        <v>6056423.7288135597</v>
      </c>
    </row>
    <row r="41" spans="1:7" ht="45">
      <c r="A41" s="20">
        <v>2010</v>
      </c>
      <c r="B41" s="22" t="s">
        <v>122</v>
      </c>
      <c r="C41" s="20" t="str">
        <f t="shared" si="0"/>
        <v>2010_Central African Republic</v>
      </c>
      <c r="D41" s="20" t="s">
        <v>81</v>
      </c>
      <c r="E41" s="162" t="s">
        <v>39</v>
      </c>
      <c r="F41" s="22" t="s">
        <v>19</v>
      </c>
      <c r="G41" s="23">
        <v>20633575</v>
      </c>
    </row>
    <row r="42" spans="1:7" ht="30">
      <c r="A42" s="20">
        <v>2007</v>
      </c>
      <c r="B42" s="22" t="s">
        <v>133</v>
      </c>
      <c r="C42" s="20" t="str">
        <f t="shared" si="0"/>
        <v>2007_Chad</v>
      </c>
      <c r="D42" s="20" t="s">
        <v>81</v>
      </c>
      <c r="E42" s="162" t="s">
        <v>26</v>
      </c>
      <c r="F42" s="22" t="s">
        <v>30</v>
      </c>
      <c r="G42" s="23">
        <v>1183293262</v>
      </c>
    </row>
    <row r="43" spans="1:7" ht="30">
      <c r="A43" s="20">
        <v>2008</v>
      </c>
      <c r="B43" s="22" t="s">
        <v>133</v>
      </c>
      <c r="C43" s="20" t="str">
        <f t="shared" si="0"/>
        <v>2008_Chad</v>
      </c>
      <c r="D43" s="20" t="s">
        <v>81</v>
      </c>
      <c r="E43" s="162" t="s">
        <v>26</v>
      </c>
      <c r="F43" s="22" t="s">
        <v>30</v>
      </c>
      <c r="G43" s="23">
        <v>1908801646</v>
      </c>
    </row>
    <row r="44" spans="1:7" ht="30">
      <c r="A44" s="20">
        <v>2009</v>
      </c>
      <c r="B44" s="22" t="s">
        <v>133</v>
      </c>
      <c r="C44" s="20" t="str">
        <f t="shared" si="0"/>
        <v>2009_Chad</v>
      </c>
      <c r="D44" s="20" t="s">
        <v>81</v>
      </c>
      <c r="E44" s="162" t="s">
        <v>26</v>
      </c>
      <c r="F44" s="22" t="s">
        <v>30</v>
      </c>
      <c r="G44" s="23">
        <v>614882373</v>
      </c>
    </row>
    <row r="45" spans="1:7" ht="30">
      <c r="A45" s="20">
        <v>2010</v>
      </c>
      <c r="B45" s="22" t="s">
        <v>133</v>
      </c>
      <c r="C45" s="20" t="str">
        <f t="shared" si="0"/>
        <v>2010_Chad</v>
      </c>
      <c r="D45" s="20" t="s">
        <v>81</v>
      </c>
      <c r="E45" s="162" t="s">
        <v>140</v>
      </c>
      <c r="F45" s="22" t="s">
        <v>30</v>
      </c>
      <c r="G45" s="23">
        <v>1347744000</v>
      </c>
    </row>
    <row r="46" spans="1:7" ht="30">
      <c r="A46" s="20">
        <v>2011</v>
      </c>
      <c r="B46" s="22" t="s">
        <v>133</v>
      </c>
      <c r="C46" s="20" t="str">
        <f t="shared" si="0"/>
        <v>2011_Chad</v>
      </c>
      <c r="D46" s="20" t="s">
        <v>81</v>
      </c>
      <c r="E46" s="162" t="s">
        <v>140</v>
      </c>
      <c r="F46" s="22" t="s">
        <v>30</v>
      </c>
      <c r="G46" s="23">
        <v>2146562000</v>
      </c>
    </row>
    <row r="47" spans="1:7" ht="30">
      <c r="A47" s="20">
        <v>2012</v>
      </c>
      <c r="B47" s="22" t="s">
        <v>133</v>
      </c>
      <c r="C47" s="20" t="str">
        <f t="shared" si="0"/>
        <v>2012_Chad</v>
      </c>
      <c r="D47" s="20" t="s">
        <v>81</v>
      </c>
      <c r="E47" s="162" t="s">
        <v>145</v>
      </c>
      <c r="F47" s="22" t="s">
        <v>30</v>
      </c>
      <c r="G47" s="23">
        <v>2109663000</v>
      </c>
    </row>
    <row r="48" spans="1:7" ht="30">
      <c r="A48" s="20">
        <v>2006</v>
      </c>
      <c r="B48" s="33" t="s">
        <v>3542</v>
      </c>
      <c r="C48" s="20" t="str">
        <f t="shared" si="0"/>
        <v>2006_Côte d'Ivoire</v>
      </c>
      <c r="D48" s="20" t="s">
        <v>81</v>
      </c>
      <c r="E48" s="22" t="s">
        <v>149</v>
      </c>
      <c r="F48" s="22" t="s">
        <v>50</v>
      </c>
      <c r="G48" s="23">
        <v>84482680</v>
      </c>
    </row>
    <row r="49" spans="1:7" ht="30">
      <c r="A49" s="20">
        <v>2007</v>
      </c>
      <c r="B49" s="33" t="s">
        <v>3542</v>
      </c>
      <c r="C49" s="20" t="str">
        <f t="shared" si="0"/>
        <v>2007_Côte d'Ivoire</v>
      </c>
      <c r="D49" s="20" t="s">
        <v>81</v>
      </c>
      <c r="E49" s="22" t="s">
        <v>149</v>
      </c>
      <c r="F49" s="22" t="s">
        <v>50</v>
      </c>
      <c r="G49" s="23">
        <v>121454480.00000001</v>
      </c>
    </row>
    <row r="50" spans="1:7" ht="30">
      <c r="A50" s="20">
        <v>2008</v>
      </c>
      <c r="B50" s="33" t="s">
        <v>3542</v>
      </c>
      <c r="C50" s="20" t="str">
        <f t="shared" si="0"/>
        <v>2008_Côte d'Ivoire</v>
      </c>
      <c r="D50" s="20" t="s">
        <v>81</v>
      </c>
      <c r="E50" s="22" t="s">
        <v>154</v>
      </c>
      <c r="F50" s="22" t="s">
        <v>30</v>
      </c>
      <c r="G50" s="23">
        <v>594748911</v>
      </c>
    </row>
    <row r="51" spans="1:7" ht="30">
      <c r="A51" s="20">
        <v>2009</v>
      </c>
      <c r="B51" s="33" t="s">
        <v>3542</v>
      </c>
      <c r="C51" s="20" t="str">
        <f t="shared" si="0"/>
        <v>2009_Côte d'Ivoire</v>
      </c>
      <c r="D51" s="20" t="s">
        <v>81</v>
      </c>
      <c r="E51" s="22" t="s">
        <v>154</v>
      </c>
      <c r="F51" s="22" t="s">
        <v>30</v>
      </c>
      <c r="G51" s="23">
        <v>284861428.97265005</v>
      </c>
    </row>
    <row r="52" spans="1:7" ht="30">
      <c r="A52" s="20">
        <v>2010</v>
      </c>
      <c r="B52" s="33" t="s">
        <v>3542</v>
      </c>
      <c r="C52" s="20" t="str">
        <f t="shared" si="0"/>
        <v>2010_Côte d'Ivoire</v>
      </c>
      <c r="D52" s="20" t="s">
        <v>81</v>
      </c>
      <c r="E52" s="22" t="s">
        <v>154</v>
      </c>
      <c r="F52" s="22" t="s">
        <v>30</v>
      </c>
      <c r="G52" s="23">
        <v>245231916.38661528</v>
      </c>
    </row>
    <row r="53" spans="1:7" ht="30">
      <c r="A53" s="20">
        <v>2011</v>
      </c>
      <c r="B53" s="33" t="s">
        <v>3542</v>
      </c>
      <c r="C53" s="20" t="str">
        <f t="shared" si="0"/>
        <v>2011_Côte d'Ivoire</v>
      </c>
      <c r="D53" s="20" t="s">
        <v>81</v>
      </c>
      <c r="E53" s="22" t="s">
        <v>140</v>
      </c>
      <c r="F53" s="22" t="s">
        <v>30</v>
      </c>
      <c r="G53" s="23">
        <v>389368836.09803921</v>
      </c>
    </row>
    <row r="54" spans="1:7" ht="30">
      <c r="A54" s="163">
        <v>2012</v>
      </c>
      <c r="B54" s="33" t="s">
        <v>3542</v>
      </c>
      <c r="C54" s="20" t="str">
        <f t="shared" si="0"/>
        <v>2012_Côte d'Ivoire</v>
      </c>
      <c r="D54" s="163" t="s">
        <v>81</v>
      </c>
      <c r="E54" s="162" t="s">
        <v>45</v>
      </c>
      <c r="F54" s="163" t="s">
        <v>30</v>
      </c>
      <c r="G54" s="17">
        <v>615027475</v>
      </c>
    </row>
    <row r="55" spans="1:7" ht="45">
      <c r="A55" s="20">
        <v>2007</v>
      </c>
      <c r="B55" s="22" t="s">
        <v>165</v>
      </c>
      <c r="C55" s="20" t="str">
        <f t="shared" si="0"/>
        <v>2007_Democratic Republic of Congo</v>
      </c>
      <c r="D55" s="20" t="s">
        <v>81</v>
      </c>
      <c r="E55" s="22" t="s">
        <v>166</v>
      </c>
      <c r="F55" s="22" t="s">
        <v>30</v>
      </c>
      <c r="G55" s="23">
        <v>416300000</v>
      </c>
    </row>
    <row r="56" spans="1:7" ht="45">
      <c r="A56" s="20">
        <v>2008</v>
      </c>
      <c r="B56" s="22" t="s">
        <v>165</v>
      </c>
      <c r="C56" s="20" t="str">
        <f t="shared" si="0"/>
        <v>2008_Democratic Republic of Congo</v>
      </c>
      <c r="D56" s="20" t="s">
        <v>81</v>
      </c>
      <c r="E56" s="22" t="s">
        <v>169</v>
      </c>
      <c r="F56" s="22" t="s">
        <v>30</v>
      </c>
      <c r="G56" s="23">
        <v>516117440.10301042</v>
      </c>
    </row>
    <row r="57" spans="1:7" ht="45">
      <c r="A57" s="20">
        <v>2009</v>
      </c>
      <c r="B57" s="22" t="s">
        <v>165</v>
      </c>
      <c r="C57" s="20" t="str">
        <f t="shared" si="0"/>
        <v>2009_Democratic Republic of Congo</v>
      </c>
      <c r="D57" s="20" t="s">
        <v>81</v>
      </c>
      <c r="E57" s="22" t="s">
        <v>169</v>
      </c>
      <c r="F57" s="22" t="s">
        <v>30</v>
      </c>
      <c r="G57" s="23">
        <v>253718209.59147424</v>
      </c>
    </row>
    <row r="58" spans="1:7" ht="45">
      <c r="A58" s="20">
        <v>2010</v>
      </c>
      <c r="B58" s="22" t="s">
        <v>165</v>
      </c>
      <c r="C58" s="20" t="str">
        <f t="shared" si="0"/>
        <v>2010_Democratic Republic of Congo</v>
      </c>
      <c r="D58" s="20" t="s">
        <v>81</v>
      </c>
      <c r="E58" s="22" t="s">
        <v>174</v>
      </c>
      <c r="F58" s="22" t="s">
        <v>30</v>
      </c>
      <c r="G58" s="23">
        <v>875938726</v>
      </c>
    </row>
    <row r="59" spans="1:7" ht="45">
      <c r="A59" s="20">
        <v>2011</v>
      </c>
      <c r="B59" s="22" t="s">
        <v>165</v>
      </c>
      <c r="C59" s="20" t="str">
        <f t="shared" si="0"/>
        <v>2011_Democratic Republic of Congo</v>
      </c>
      <c r="D59" s="20" t="s">
        <v>81</v>
      </c>
      <c r="E59" s="162" t="s">
        <v>90</v>
      </c>
      <c r="F59" s="22" t="s">
        <v>30</v>
      </c>
      <c r="G59" s="23">
        <v>1413126313</v>
      </c>
    </row>
    <row r="60" spans="1:7" ht="45">
      <c r="A60" s="168">
        <v>2012</v>
      </c>
      <c r="B60" s="22" t="s">
        <v>165</v>
      </c>
      <c r="C60" s="20" t="str">
        <f t="shared" si="0"/>
        <v>2012_Democratic Republic of Congo</v>
      </c>
      <c r="D60" s="163" t="s">
        <v>81</v>
      </c>
      <c r="E60" s="162" t="s">
        <v>45</v>
      </c>
      <c r="F60" s="163" t="s">
        <v>36</v>
      </c>
      <c r="G60" s="17">
        <v>1505213145</v>
      </c>
    </row>
    <row r="61" spans="1:7" ht="30">
      <c r="A61" s="20">
        <v>2007</v>
      </c>
      <c r="B61" s="22" t="s">
        <v>182</v>
      </c>
      <c r="C61" s="20" t="str">
        <f t="shared" si="0"/>
        <v>2007_Equatorial Guinea</v>
      </c>
      <c r="D61" s="20" t="s">
        <v>81</v>
      </c>
      <c r="E61" s="162"/>
      <c r="F61" s="22" t="s">
        <v>50</v>
      </c>
      <c r="G61" s="23">
        <v>6148771541.7605944</v>
      </c>
    </row>
    <row r="62" spans="1:7" ht="30">
      <c r="A62" s="20">
        <v>2008</v>
      </c>
      <c r="B62" s="22" t="s">
        <v>182</v>
      </c>
      <c r="C62" s="20" t="str">
        <f t="shared" si="0"/>
        <v>2008_Equatorial Guinea</v>
      </c>
      <c r="D62" s="20" t="s">
        <v>81</v>
      </c>
      <c r="E62" s="162"/>
      <c r="F62" s="22" t="s">
        <v>50</v>
      </c>
      <c r="G62" s="23">
        <v>9119117112.0564747</v>
      </c>
    </row>
    <row r="63" spans="1:7">
      <c r="A63" s="20">
        <v>2004</v>
      </c>
      <c r="B63" s="22" t="s">
        <v>185</v>
      </c>
      <c r="C63" s="20" t="str">
        <f t="shared" si="0"/>
        <v>2004_Gabon</v>
      </c>
      <c r="D63" s="20" t="s">
        <v>81</v>
      </c>
      <c r="E63" s="22"/>
      <c r="F63" s="22" t="s">
        <v>98</v>
      </c>
      <c r="G63" s="23">
        <v>775990000</v>
      </c>
    </row>
    <row r="64" spans="1:7" ht="30">
      <c r="A64" s="20">
        <v>2005</v>
      </c>
      <c r="B64" s="22" t="s">
        <v>185</v>
      </c>
      <c r="C64" s="20" t="str">
        <f t="shared" si="0"/>
        <v>2005_Gabon</v>
      </c>
      <c r="D64" s="20" t="s">
        <v>81</v>
      </c>
      <c r="E64" s="22"/>
      <c r="F64" s="22" t="s">
        <v>36</v>
      </c>
      <c r="G64" s="23">
        <v>1716414357.4144487</v>
      </c>
    </row>
    <row r="65" spans="1:7" ht="30">
      <c r="A65" s="20">
        <v>2006</v>
      </c>
      <c r="B65" s="22" t="s">
        <v>185</v>
      </c>
      <c r="C65" s="20" t="str">
        <f t="shared" si="0"/>
        <v>2006_Gabon</v>
      </c>
      <c r="D65" s="20" t="s">
        <v>81</v>
      </c>
      <c r="E65" s="22"/>
      <c r="F65" s="22" t="s">
        <v>36</v>
      </c>
      <c r="G65" s="23">
        <v>1944187567.1747403</v>
      </c>
    </row>
    <row r="66" spans="1:7">
      <c r="A66" s="20">
        <v>2004</v>
      </c>
      <c r="B66" s="19" t="s">
        <v>189</v>
      </c>
      <c r="C66" s="20" t="str">
        <f t="shared" si="0"/>
        <v>2004_Ghana</v>
      </c>
      <c r="D66" s="19" t="s">
        <v>81</v>
      </c>
      <c r="E66" s="21" t="s">
        <v>190</v>
      </c>
      <c r="F66" s="19" t="s">
        <v>19</v>
      </c>
      <c r="G66" s="23">
        <v>27021531.670000002</v>
      </c>
    </row>
    <row r="67" spans="1:7">
      <c r="A67" s="20">
        <v>2005</v>
      </c>
      <c r="B67" s="19" t="s">
        <v>189</v>
      </c>
      <c r="C67" s="20" t="str">
        <f t="shared" ref="C67:C130" si="1">$A67&amp;"_"&amp;$B67</f>
        <v>2005_Ghana</v>
      </c>
      <c r="D67" s="19" t="s">
        <v>81</v>
      </c>
      <c r="E67" s="21" t="s">
        <v>193</v>
      </c>
      <c r="F67" s="19" t="s">
        <v>19</v>
      </c>
      <c r="G67" s="23">
        <v>44654643</v>
      </c>
    </row>
    <row r="68" spans="1:7">
      <c r="A68" s="20">
        <v>2006</v>
      </c>
      <c r="B68" s="19" t="s">
        <v>189</v>
      </c>
      <c r="C68" s="20" t="str">
        <f t="shared" si="1"/>
        <v>2006_Ghana</v>
      </c>
      <c r="D68" s="19" t="s">
        <v>81</v>
      </c>
      <c r="E68" s="21" t="s">
        <v>196</v>
      </c>
      <c r="F68" s="19" t="s">
        <v>19</v>
      </c>
      <c r="G68" s="23">
        <v>66220560</v>
      </c>
    </row>
    <row r="69" spans="1:7">
      <c r="A69" s="20">
        <v>2007</v>
      </c>
      <c r="B69" s="19" t="s">
        <v>189</v>
      </c>
      <c r="C69" s="20" t="str">
        <f t="shared" si="1"/>
        <v>2007_Ghana</v>
      </c>
      <c r="D69" s="19" t="s">
        <v>81</v>
      </c>
      <c r="E69" s="21" t="s">
        <v>196</v>
      </c>
      <c r="F69" s="19" t="s">
        <v>19</v>
      </c>
      <c r="G69" s="23">
        <v>61767543</v>
      </c>
    </row>
    <row r="70" spans="1:7">
      <c r="A70" s="20">
        <v>2008</v>
      </c>
      <c r="B70" s="19" t="s">
        <v>189</v>
      </c>
      <c r="C70" s="20" t="str">
        <f t="shared" si="1"/>
        <v>2008_Ghana</v>
      </c>
      <c r="D70" s="19" t="s">
        <v>81</v>
      </c>
      <c r="E70" s="21" t="s">
        <v>196</v>
      </c>
      <c r="F70" s="19" t="s">
        <v>19</v>
      </c>
      <c r="G70" s="23">
        <v>91193482</v>
      </c>
    </row>
    <row r="71" spans="1:7">
      <c r="A71" s="20">
        <v>2009</v>
      </c>
      <c r="B71" s="19" t="s">
        <v>189</v>
      </c>
      <c r="C71" s="20" t="str">
        <f t="shared" si="1"/>
        <v>2009_Ghana</v>
      </c>
      <c r="D71" s="19" t="s">
        <v>81</v>
      </c>
      <c r="E71" s="21" t="s">
        <v>203</v>
      </c>
      <c r="F71" s="19" t="s">
        <v>19</v>
      </c>
      <c r="G71" s="23">
        <v>111972313.33333333</v>
      </c>
    </row>
    <row r="72" spans="1:7" ht="30">
      <c r="A72" s="20">
        <v>2010</v>
      </c>
      <c r="B72" s="19" t="s">
        <v>189</v>
      </c>
      <c r="C72" s="20" t="str">
        <f t="shared" si="1"/>
        <v>2010_Ghana</v>
      </c>
      <c r="D72" s="19" t="s">
        <v>81</v>
      </c>
      <c r="E72" s="21" t="s">
        <v>206</v>
      </c>
      <c r="F72" s="22" t="s">
        <v>30</v>
      </c>
      <c r="G72" s="23">
        <v>212460480</v>
      </c>
    </row>
    <row r="73" spans="1:7" ht="30">
      <c r="A73" s="20">
        <v>2011</v>
      </c>
      <c r="B73" s="19" t="s">
        <v>189</v>
      </c>
      <c r="C73" s="20" t="str">
        <f t="shared" si="1"/>
        <v>2011_Ghana</v>
      </c>
      <c r="D73" s="19" t="s">
        <v>81</v>
      </c>
      <c r="E73" s="21" t="s">
        <v>206</v>
      </c>
      <c r="F73" s="22" t="s">
        <v>30</v>
      </c>
      <c r="G73" s="23">
        <v>942698326.41000009</v>
      </c>
    </row>
    <row r="74" spans="1:7" ht="30">
      <c r="A74" s="163">
        <v>2012</v>
      </c>
      <c r="B74" s="163" t="s">
        <v>189</v>
      </c>
      <c r="C74" s="20" t="str">
        <f t="shared" si="1"/>
        <v>2012_Ghana</v>
      </c>
      <c r="D74" s="163" t="s">
        <v>81</v>
      </c>
      <c r="E74" s="162" t="s">
        <v>45</v>
      </c>
      <c r="F74" s="163" t="s">
        <v>36</v>
      </c>
      <c r="G74" s="164">
        <v>1112429755.6600001</v>
      </c>
    </row>
    <row r="75" spans="1:7" ht="30">
      <c r="A75" s="165">
        <v>2013</v>
      </c>
      <c r="B75" s="163" t="s">
        <v>189</v>
      </c>
      <c r="C75" s="20" t="str">
        <f t="shared" si="1"/>
        <v>2013_Ghana</v>
      </c>
      <c r="D75" s="166" t="s">
        <v>81</v>
      </c>
      <c r="E75" s="162" t="s">
        <v>45</v>
      </c>
      <c r="F75" s="169" t="s">
        <v>36</v>
      </c>
      <c r="G75" s="164">
        <v>1269116732.9300001</v>
      </c>
    </row>
    <row r="76" spans="1:7" ht="30">
      <c r="A76" s="20">
        <v>2010</v>
      </c>
      <c r="B76" s="20" t="s">
        <v>213</v>
      </c>
      <c r="C76" s="20" t="str">
        <f t="shared" si="1"/>
        <v>2010_Guatemala</v>
      </c>
      <c r="D76" s="19" t="s">
        <v>214</v>
      </c>
      <c r="E76" s="22" t="s">
        <v>112</v>
      </c>
      <c r="F76" s="22" t="s">
        <v>30</v>
      </c>
      <c r="G76" s="23">
        <v>155800631</v>
      </c>
    </row>
    <row r="77" spans="1:7" ht="30">
      <c r="A77" s="20">
        <v>2011</v>
      </c>
      <c r="B77" s="20" t="s">
        <v>213</v>
      </c>
      <c r="C77" s="20" t="str">
        <f t="shared" si="1"/>
        <v>2011_Guatemala</v>
      </c>
      <c r="D77" s="19" t="s">
        <v>214</v>
      </c>
      <c r="E77" s="22" t="s">
        <v>140</v>
      </c>
      <c r="F77" s="22" t="s">
        <v>30</v>
      </c>
      <c r="G77" s="23">
        <v>224641623</v>
      </c>
    </row>
    <row r="78" spans="1:7">
      <c r="A78" s="20">
        <v>2005</v>
      </c>
      <c r="B78" s="20" t="s">
        <v>2843</v>
      </c>
      <c r="C78" s="20" t="str">
        <f t="shared" si="1"/>
        <v>2005_Guinea</v>
      </c>
      <c r="D78" s="19" t="s">
        <v>81</v>
      </c>
      <c r="E78" s="21" t="s">
        <v>59</v>
      </c>
      <c r="F78" s="20" t="s">
        <v>19</v>
      </c>
      <c r="G78" s="23">
        <v>138153403</v>
      </c>
    </row>
    <row r="79" spans="1:7" ht="30">
      <c r="A79" s="20">
        <v>2006</v>
      </c>
      <c r="B79" s="20" t="s">
        <v>2843</v>
      </c>
      <c r="C79" s="20" t="str">
        <f t="shared" si="1"/>
        <v>2006_Guinea</v>
      </c>
      <c r="D79" s="19" t="s">
        <v>81</v>
      </c>
      <c r="E79" s="22" t="s">
        <v>222</v>
      </c>
      <c r="F79" s="20" t="s">
        <v>19</v>
      </c>
      <c r="G79" s="23">
        <v>129435000</v>
      </c>
    </row>
    <row r="80" spans="1:7" ht="30">
      <c r="A80" s="20">
        <v>2007</v>
      </c>
      <c r="B80" s="20" t="s">
        <v>2843</v>
      </c>
      <c r="C80" s="20" t="str">
        <f t="shared" si="1"/>
        <v>2007_Guinea</v>
      </c>
      <c r="D80" s="19" t="s">
        <v>81</v>
      </c>
      <c r="E80" s="22" t="s">
        <v>18</v>
      </c>
      <c r="F80" s="20" t="s">
        <v>19</v>
      </c>
      <c r="G80" s="17">
        <v>171775146.47727105</v>
      </c>
    </row>
    <row r="81" spans="1:7" ht="30">
      <c r="A81" s="20">
        <v>2008</v>
      </c>
      <c r="B81" s="20" t="s">
        <v>2843</v>
      </c>
      <c r="C81" s="20" t="str">
        <f t="shared" si="1"/>
        <v>2008_Guinea</v>
      </c>
      <c r="D81" s="19" t="s">
        <v>81</v>
      </c>
      <c r="E81" s="22" t="s">
        <v>18</v>
      </c>
      <c r="F81" s="20" t="s">
        <v>19</v>
      </c>
      <c r="G81" s="17">
        <v>211216758.63145587</v>
      </c>
    </row>
    <row r="82" spans="1:7" ht="30">
      <c r="A82" s="20">
        <v>2009</v>
      </c>
      <c r="B82" s="20" t="s">
        <v>2843</v>
      </c>
      <c r="C82" s="20" t="str">
        <f t="shared" si="1"/>
        <v>2009_Guinea</v>
      </c>
      <c r="D82" s="19" t="s">
        <v>81</v>
      </c>
      <c r="E82" s="22" t="s">
        <v>18</v>
      </c>
      <c r="F82" s="20" t="s">
        <v>19</v>
      </c>
      <c r="G82" s="23">
        <v>204355820.14115614</v>
      </c>
    </row>
    <row r="83" spans="1:7" ht="30">
      <c r="A83" s="20">
        <v>2010</v>
      </c>
      <c r="B83" s="20" t="s">
        <v>2843</v>
      </c>
      <c r="C83" s="20" t="str">
        <f t="shared" si="1"/>
        <v>2010_Guinea</v>
      </c>
      <c r="D83" s="19" t="s">
        <v>81</v>
      </c>
      <c r="E83" s="22" t="s">
        <v>18</v>
      </c>
      <c r="F83" s="20" t="s">
        <v>19</v>
      </c>
      <c r="G83" s="23">
        <v>218560221.14787036</v>
      </c>
    </row>
    <row r="84" spans="1:7" ht="30">
      <c r="A84" s="20">
        <v>2011</v>
      </c>
      <c r="B84" s="20" t="s">
        <v>2843</v>
      </c>
      <c r="C84" s="20" t="str">
        <f t="shared" si="1"/>
        <v>2011_Guinea</v>
      </c>
      <c r="D84" s="19" t="s">
        <v>81</v>
      </c>
      <c r="E84" s="22" t="s">
        <v>90</v>
      </c>
      <c r="F84" s="20" t="s">
        <v>19</v>
      </c>
      <c r="G84" s="17">
        <v>975948622.49588823</v>
      </c>
    </row>
    <row r="85" spans="1:7" ht="30">
      <c r="A85" s="20">
        <v>2012</v>
      </c>
      <c r="B85" s="20" t="s">
        <v>2843</v>
      </c>
      <c r="C85" s="20" t="str">
        <f t="shared" si="1"/>
        <v>2012_Guinea</v>
      </c>
      <c r="D85" s="19" t="s">
        <v>81</v>
      </c>
      <c r="E85" s="22" t="s">
        <v>90</v>
      </c>
      <c r="F85" s="20" t="s">
        <v>19</v>
      </c>
      <c r="G85" s="167">
        <v>371466405.82975137</v>
      </c>
    </row>
    <row r="86" spans="1:7" ht="30">
      <c r="A86" s="20">
        <v>2009</v>
      </c>
      <c r="B86" s="20" t="s">
        <v>237</v>
      </c>
      <c r="C86" s="20" t="str">
        <f t="shared" si="1"/>
        <v>2009_Indonesia</v>
      </c>
      <c r="D86" s="19" t="s">
        <v>238</v>
      </c>
      <c r="E86" s="21" t="s">
        <v>140</v>
      </c>
      <c r="F86" s="22" t="s">
        <v>30</v>
      </c>
      <c r="G86" s="23">
        <v>24925055610</v>
      </c>
    </row>
    <row r="87" spans="1:7" ht="30">
      <c r="A87" s="20">
        <v>2010</v>
      </c>
      <c r="B87" s="20" t="s">
        <v>237</v>
      </c>
      <c r="C87" s="20" t="str">
        <f t="shared" si="1"/>
        <v>2010_Indonesia</v>
      </c>
      <c r="D87" s="19" t="s">
        <v>238</v>
      </c>
      <c r="E87" s="21" t="s">
        <v>241</v>
      </c>
      <c r="F87" s="22" t="s">
        <v>30</v>
      </c>
      <c r="G87" s="23">
        <v>32949795856</v>
      </c>
    </row>
    <row r="88" spans="1:7" ht="30">
      <c r="A88" s="20">
        <v>2011</v>
      </c>
      <c r="B88" s="20" t="s">
        <v>237</v>
      </c>
      <c r="C88" s="20" t="str">
        <f t="shared" si="1"/>
        <v>2011_Indonesia</v>
      </c>
      <c r="D88" s="19" t="s">
        <v>238</v>
      </c>
      <c r="E88" s="21" t="s">
        <v>241</v>
      </c>
      <c r="F88" s="22" t="s">
        <v>30</v>
      </c>
      <c r="G88" s="23">
        <v>44779611925</v>
      </c>
    </row>
    <row r="89" spans="1:7">
      <c r="A89" s="20">
        <v>2009</v>
      </c>
      <c r="B89" s="20" t="s">
        <v>245</v>
      </c>
      <c r="C89" s="20" t="str">
        <f t="shared" si="1"/>
        <v>2009_Iraq</v>
      </c>
      <c r="D89" s="19" t="s">
        <v>246</v>
      </c>
      <c r="E89" s="21" t="s">
        <v>247</v>
      </c>
      <c r="F89" s="20" t="s">
        <v>98</v>
      </c>
      <c r="G89" s="23">
        <v>41249682456.5</v>
      </c>
    </row>
    <row r="90" spans="1:7">
      <c r="A90" s="20">
        <v>2010</v>
      </c>
      <c r="B90" s="20" t="s">
        <v>245</v>
      </c>
      <c r="C90" s="20" t="str">
        <f t="shared" si="1"/>
        <v>2010_Iraq</v>
      </c>
      <c r="D90" s="19" t="s">
        <v>246</v>
      </c>
      <c r="E90" s="21" t="s">
        <v>39</v>
      </c>
      <c r="F90" s="20" t="s">
        <v>98</v>
      </c>
      <c r="G90" s="23">
        <v>53852645106.349998</v>
      </c>
    </row>
    <row r="91" spans="1:7">
      <c r="A91" s="20">
        <v>2011</v>
      </c>
      <c r="B91" s="20" t="s">
        <v>245</v>
      </c>
      <c r="C91" s="20" t="str">
        <f t="shared" si="1"/>
        <v>2011_Iraq</v>
      </c>
      <c r="D91" s="19" t="s">
        <v>246</v>
      </c>
      <c r="E91" s="21" t="s">
        <v>90</v>
      </c>
      <c r="F91" s="20" t="s">
        <v>98</v>
      </c>
      <c r="G91" s="23">
        <v>82986002828</v>
      </c>
    </row>
    <row r="92" spans="1:7" ht="30">
      <c r="A92" s="165">
        <v>2012</v>
      </c>
      <c r="B92" s="166" t="s">
        <v>245</v>
      </c>
      <c r="C92" s="20" t="str">
        <f t="shared" si="1"/>
        <v>2012_Iraq</v>
      </c>
      <c r="D92" s="166" t="s">
        <v>246</v>
      </c>
      <c r="E92" s="162" t="s">
        <v>45</v>
      </c>
      <c r="F92" s="166" t="s">
        <v>98</v>
      </c>
      <c r="G92" s="17">
        <v>94032633453</v>
      </c>
    </row>
    <row r="93" spans="1:7">
      <c r="A93" s="20">
        <v>2005</v>
      </c>
      <c r="B93" s="20" t="s">
        <v>273</v>
      </c>
      <c r="C93" s="20" t="str">
        <f t="shared" si="1"/>
        <v>2005_Kazakhstan</v>
      </c>
      <c r="D93" s="19" t="s">
        <v>34</v>
      </c>
      <c r="E93" s="21" t="s">
        <v>256</v>
      </c>
      <c r="F93" s="20" t="s">
        <v>98</v>
      </c>
      <c r="G93" s="23">
        <v>2622996991</v>
      </c>
    </row>
    <row r="94" spans="1:7">
      <c r="A94" s="20">
        <v>2006</v>
      </c>
      <c r="B94" s="20" t="s">
        <v>273</v>
      </c>
      <c r="C94" s="20" t="str">
        <f t="shared" si="1"/>
        <v>2006_Kazakhstan</v>
      </c>
      <c r="D94" s="19" t="s">
        <v>34</v>
      </c>
      <c r="E94" s="21" t="s">
        <v>260</v>
      </c>
      <c r="F94" s="20" t="s">
        <v>50</v>
      </c>
      <c r="G94" s="23">
        <v>10237431640</v>
      </c>
    </row>
    <row r="95" spans="1:7">
      <c r="A95" s="20">
        <v>2007</v>
      </c>
      <c r="B95" s="20" t="s">
        <v>273</v>
      </c>
      <c r="C95" s="20" t="str">
        <f t="shared" si="1"/>
        <v>2007_Kazakhstan</v>
      </c>
      <c r="D95" s="19" t="s">
        <v>34</v>
      </c>
      <c r="E95" s="21" t="s">
        <v>68</v>
      </c>
      <c r="F95" s="20" t="s">
        <v>50</v>
      </c>
      <c r="G95" s="23">
        <v>12635329400</v>
      </c>
    </row>
    <row r="96" spans="1:7">
      <c r="A96" s="20">
        <v>2008</v>
      </c>
      <c r="B96" s="20" t="s">
        <v>273</v>
      </c>
      <c r="C96" s="20" t="str">
        <f t="shared" si="1"/>
        <v>2008_Kazakhstan</v>
      </c>
      <c r="D96" s="19" t="s">
        <v>34</v>
      </c>
      <c r="E96" s="21" t="s">
        <v>68</v>
      </c>
      <c r="F96" s="20" t="s">
        <v>50</v>
      </c>
      <c r="G96" s="23">
        <v>21000131830</v>
      </c>
    </row>
    <row r="97" spans="1:7">
      <c r="A97" s="20">
        <v>2009</v>
      </c>
      <c r="B97" s="20" t="s">
        <v>273</v>
      </c>
      <c r="C97" s="20" t="str">
        <f t="shared" si="1"/>
        <v>2009_Kazakhstan</v>
      </c>
      <c r="D97" s="19" t="s">
        <v>34</v>
      </c>
      <c r="E97" s="21" t="s">
        <v>71</v>
      </c>
      <c r="F97" s="20" t="s">
        <v>30</v>
      </c>
      <c r="G97" s="23">
        <v>12722411270</v>
      </c>
    </row>
    <row r="98" spans="1:7">
      <c r="A98" s="20">
        <v>2010</v>
      </c>
      <c r="B98" s="20" t="s">
        <v>273</v>
      </c>
      <c r="C98" s="20" t="str">
        <f t="shared" si="1"/>
        <v>2010_Kazakhstan</v>
      </c>
      <c r="D98" s="19" t="s">
        <v>34</v>
      </c>
      <c r="E98" s="21" t="s">
        <v>39</v>
      </c>
      <c r="F98" s="20" t="s">
        <v>30</v>
      </c>
      <c r="G98" s="23">
        <v>20754211560</v>
      </c>
    </row>
    <row r="99" spans="1:7">
      <c r="A99" s="20">
        <v>2011</v>
      </c>
      <c r="B99" s="20" t="s">
        <v>273</v>
      </c>
      <c r="C99" s="20" t="str">
        <f t="shared" si="1"/>
        <v>2011_Kazakhstan</v>
      </c>
      <c r="D99" s="19" t="s">
        <v>34</v>
      </c>
      <c r="E99" s="21" t="s">
        <v>39</v>
      </c>
      <c r="F99" s="20" t="s">
        <v>30</v>
      </c>
      <c r="G99" s="23">
        <v>28779202170</v>
      </c>
    </row>
    <row r="100" spans="1:7" ht="60">
      <c r="A100" s="163">
        <v>2012</v>
      </c>
      <c r="B100" s="20" t="s">
        <v>273</v>
      </c>
      <c r="C100" s="20" t="str">
        <f t="shared" si="1"/>
        <v>2012_Kazakhstan</v>
      </c>
      <c r="D100" s="163" t="s">
        <v>34</v>
      </c>
      <c r="E100" s="162" t="s">
        <v>45</v>
      </c>
      <c r="F100" s="163" t="s">
        <v>30</v>
      </c>
      <c r="G100" s="17">
        <v>30672394366</v>
      </c>
    </row>
    <row r="101" spans="1:7" ht="60">
      <c r="A101" s="163">
        <v>2013</v>
      </c>
      <c r="B101" s="20" t="s">
        <v>273</v>
      </c>
      <c r="C101" s="20" t="str">
        <f t="shared" si="1"/>
        <v>2013_Kazakhstan</v>
      </c>
      <c r="D101" s="163" t="s">
        <v>34</v>
      </c>
      <c r="E101" s="162" t="s">
        <v>45</v>
      </c>
      <c r="F101" s="163" t="s">
        <v>30</v>
      </c>
      <c r="G101" s="17">
        <v>30773721236</v>
      </c>
    </row>
    <row r="102" spans="1:7">
      <c r="A102" s="20">
        <v>2004</v>
      </c>
      <c r="B102" s="20" t="s">
        <v>278</v>
      </c>
      <c r="C102" s="20" t="str">
        <f t="shared" si="1"/>
        <v>2004_Kyrgyz Republic</v>
      </c>
      <c r="D102" s="19" t="s">
        <v>34</v>
      </c>
      <c r="E102" s="21" t="s">
        <v>166</v>
      </c>
      <c r="F102" s="20" t="s">
        <v>19</v>
      </c>
      <c r="G102" s="23">
        <v>30473246</v>
      </c>
    </row>
    <row r="103" spans="1:7">
      <c r="A103" s="20">
        <v>2005</v>
      </c>
      <c r="B103" s="20" t="s">
        <v>278</v>
      </c>
      <c r="C103" s="20" t="str">
        <f t="shared" si="1"/>
        <v>2005_Kyrgyz Republic</v>
      </c>
      <c r="D103" s="19" t="s">
        <v>34</v>
      </c>
      <c r="E103" s="21" t="s">
        <v>166</v>
      </c>
      <c r="F103" s="20" t="s">
        <v>19</v>
      </c>
      <c r="G103" s="23">
        <v>29106335</v>
      </c>
    </row>
    <row r="104" spans="1:7">
      <c r="A104" s="20">
        <v>2006</v>
      </c>
      <c r="B104" s="20" t="s">
        <v>278</v>
      </c>
      <c r="C104" s="20" t="str">
        <f t="shared" si="1"/>
        <v>2006_Kyrgyz Republic</v>
      </c>
      <c r="D104" s="19" t="s">
        <v>34</v>
      </c>
      <c r="E104" s="21" t="s">
        <v>166</v>
      </c>
      <c r="F104" s="20" t="s">
        <v>19</v>
      </c>
      <c r="G104" s="23">
        <v>26120301</v>
      </c>
    </row>
    <row r="105" spans="1:7">
      <c r="A105" s="20">
        <v>2007</v>
      </c>
      <c r="B105" s="20" t="s">
        <v>278</v>
      </c>
      <c r="C105" s="20" t="str">
        <f t="shared" si="1"/>
        <v>2007_Kyrgyz Republic</v>
      </c>
      <c r="D105" s="19" t="s">
        <v>34</v>
      </c>
      <c r="E105" s="21" t="s">
        <v>166</v>
      </c>
      <c r="F105" s="20" t="s">
        <v>19</v>
      </c>
      <c r="G105" s="23">
        <v>28210188</v>
      </c>
    </row>
    <row r="106" spans="1:7">
      <c r="A106" s="20">
        <v>2008</v>
      </c>
      <c r="B106" s="20" t="s">
        <v>278</v>
      </c>
      <c r="C106" s="20" t="str">
        <f t="shared" si="1"/>
        <v>2008_Kyrgyz Republic</v>
      </c>
      <c r="D106" s="19" t="s">
        <v>34</v>
      </c>
      <c r="E106" s="21" t="s">
        <v>166</v>
      </c>
      <c r="F106" s="20" t="s">
        <v>30</v>
      </c>
      <c r="G106" s="23">
        <v>72855334</v>
      </c>
    </row>
    <row r="107" spans="1:7">
      <c r="A107" s="20">
        <v>2009</v>
      </c>
      <c r="B107" s="20" t="s">
        <v>278</v>
      </c>
      <c r="C107" s="20" t="str">
        <f t="shared" si="1"/>
        <v>2009_Kyrgyz Republic</v>
      </c>
      <c r="D107" s="19" t="s">
        <v>34</v>
      </c>
      <c r="E107" s="21" t="s">
        <v>285</v>
      </c>
      <c r="F107" s="20" t="s">
        <v>30</v>
      </c>
      <c r="G107" s="23">
        <v>96148291</v>
      </c>
    </row>
    <row r="108" spans="1:7">
      <c r="A108" s="20">
        <v>2010</v>
      </c>
      <c r="B108" s="20" t="s">
        <v>278</v>
      </c>
      <c r="C108" s="20" t="str">
        <f t="shared" si="1"/>
        <v>2010_Kyrgyz Republic</v>
      </c>
      <c r="D108" s="19" t="s">
        <v>34</v>
      </c>
      <c r="E108" s="21" t="s">
        <v>39</v>
      </c>
      <c r="F108" s="20" t="s">
        <v>30</v>
      </c>
      <c r="G108" s="23">
        <v>143976791</v>
      </c>
    </row>
    <row r="109" spans="1:7">
      <c r="A109" s="20">
        <v>2011</v>
      </c>
      <c r="B109" s="20" t="s">
        <v>278</v>
      </c>
      <c r="C109" s="20" t="str">
        <f t="shared" si="1"/>
        <v>2011_Kyrgyz Republic</v>
      </c>
      <c r="D109" s="19" t="s">
        <v>34</v>
      </c>
      <c r="E109" s="21" t="s">
        <v>39</v>
      </c>
      <c r="F109" s="20" t="s">
        <v>30</v>
      </c>
      <c r="G109" s="23">
        <v>246173059</v>
      </c>
    </row>
    <row r="110" spans="1:7">
      <c r="A110" s="20">
        <v>2012</v>
      </c>
      <c r="B110" s="20" t="s">
        <v>278</v>
      </c>
      <c r="C110" s="20" t="str">
        <f t="shared" si="1"/>
        <v>2012_Kyrgyz Republic</v>
      </c>
      <c r="D110" s="19" t="s">
        <v>34</v>
      </c>
      <c r="E110" s="21" t="s">
        <v>291</v>
      </c>
      <c r="F110" s="20" t="s">
        <v>30</v>
      </c>
      <c r="G110" s="23">
        <v>217306922</v>
      </c>
    </row>
    <row r="111" spans="1:7">
      <c r="A111" s="20">
        <v>2008</v>
      </c>
      <c r="B111" s="20" t="s">
        <v>294</v>
      </c>
      <c r="C111" s="20" t="str">
        <f t="shared" si="1"/>
        <v>2008_Liberia</v>
      </c>
      <c r="D111" s="19" t="s">
        <v>81</v>
      </c>
      <c r="E111" s="21" t="s">
        <v>295</v>
      </c>
      <c r="F111" s="20" t="s">
        <v>296</v>
      </c>
      <c r="G111" s="23">
        <v>29450878.977873351</v>
      </c>
    </row>
    <row r="112" spans="1:7">
      <c r="A112" s="20">
        <v>2009</v>
      </c>
      <c r="B112" s="20" t="s">
        <v>294</v>
      </c>
      <c r="C112" s="20" t="str">
        <f t="shared" si="1"/>
        <v>2009_Liberia</v>
      </c>
      <c r="D112" s="19" t="s">
        <v>81</v>
      </c>
      <c r="E112" s="21" t="s">
        <v>149</v>
      </c>
      <c r="F112" s="20" t="s">
        <v>299</v>
      </c>
      <c r="G112" s="23">
        <v>35425230</v>
      </c>
    </row>
    <row r="113" spans="1:7">
      <c r="A113" s="20">
        <v>2010</v>
      </c>
      <c r="B113" s="20" t="s">
        <v>294</v>
      </c>
      <c r="C113" s="20" t="str">
        <f t="shared" si="1"/>
        <v>2010_Liberia</v>
      </c>
      <c r="D113" s="19" t="s">
        <v>81</v>
      </c>
      <c r="E113" s="21" t="s">
        <v>302</v>
      </c>
      <c r="F113" s="20" t="s">
        <v>299</v>
      </c>
      <c r="G113" s="23">
        <v>71896113</v>
      </c>
    </row>
    <row r="114" spans="1:7">
      <c r="A114" s="20">
        <v>2011</v>
      </c>
      <c r="B114" s="20" t="s">
        <v>294</v>
      </c>
      <c r="C114" s="20" t="str">
        <f t="shared" si="1"/>
        <v>2011_Liberia</v>
      </c>
      <c r="D114" s="19" t="s">
        <v>81</v>
      </c>
      <c r="E114" s="21" t="s">
        <v>140</v>
      </c>
      <c r="F114" s="20" t="s">
        <v>299</v>
      </c>
      <c r="G114" s="23">
        <v>102802566.91</v>
      </c>
    </row>
    <row r="115" spans="1:7">
      <c r="A115" s="20">
        <v>2012</v>
      </c>
      <c r="B115" s="20" t="s">
        <v>294</v>
      </c>
      <c r="C115" s="20" t="str">
        <f t="shared" si="1"/>
        <v>2012_Liberia</v>
      </c>
      <c r="D115" s="19" t="s">
        <v>81</v>
      </c>
      <c r="E115" s="21" t="s">
        <v>42</v>
      </c>
      <c r="F115" s="20" t="s">
        <v>299</v>
      </c>
      <c r="G115" s="23">
        <v>110146657</v>
      </c>
    </row>
    <row r="116" spans="1:7" ht="30">
      <c r="A116" s="20">
        <v>2007</v>
      </c>
      <c r="B116" s="20" t="s">
        <v>309</v>
      </c>
      <c r="C116" s="20" t="str">
        <f t="shared" si="1"/>
        <v>2007_Madagascar</v>
      </c>
      <c r="D116" s="19" t="s">
        <v>81</v>
      </c>
      <c r="E116" s="22" t="s">
        <v>71</v>
      </c>
      <c r="F116" s="20" t="s">
        <v>19</v>
      </c>
      <c r="G116" s="23">
        <v>48300000</v>
      </c>
    </row>
    <row r="117" spans="1:7" ht="30">
      <c r="A117" s="20">
        <v>2008</v>
      </c>
      <c r="B117" s="20" t="s">
        <v>309</v>
      </c>
      <c r="C117" s="20" t="str">
        <f t="shared" si="1"/>
        <v>2008_Madagascar</v>
      </c>
      <c r="D117" s="19" t="s">
        <v>81</v>
      </c>
      <c r="E117" s="22" t="s">
        <v>71</v>
      </c>
      <c r="F117" s="20" t="s">
        <v>19</v>
      </c>
      <c r="G117" s="23">
        <v>55300000</v>
      </c>
    </row>
    <row r="118" spans="1:7" ht="30">
      <c r="A118" s="20">
        <v>2009</v>
      </c>
      <c r="B118" s="20" t="s">
        <v>309</v>
      </c>
      <c r="C118" s="20" t="str">
        <f t="shared" si="1"/>
        <v>2009_Madagascar</v>
      </c>
      <c r="D118" s="19" t="s">
        <v>81</v>
      </c>
      <c r="E118" s="22" t="s">
        <v>71</v>
      </c>
      <c r="F118" s="20" t="s">
        <v>19</v>
      </c>
      <c r="G118" s="23">
        <v>20900000</v>
      </c>
    </row>
    <row r="119" spans="1:7" ht="30">
      <c r="A119" s="20">
        <v>2010</v>
      </c>
      <c r="B119" s="20" t="s">
        <v>309</v>
      </c>
      <c r="C119" s="20" t="str">
        <f t="shared" si="1"/>
        <v>2010_Madagascar</v>
      </c>
      <c r="D119" s="19" t="s">
        <v>81</v>
      </c>
      <c r="E119" s="22" t="s">
        <v>316</v>
      </c>
      <c r="F119" s="20" t="s">
        <v>30</v>
      </c>
      <c r="G119" s="23">
        <v>160705175.41774061</v>
      </c>
    </row>
    <row r="120" spans="1:7" ht="30">
      <c r="A120" s="20">
        <v>2011</v>
      </c>
      <c r="B120" s="20" t="s">
        <v>309</v>
      </c>
      <c r="C120" s="20" t="str">
        <f t="shared" si="1"/>
        <v>2011_Madagascar</v>
      </c>
      <c r="D120" s="19" t="s">
        <v>81</v>
      </c>
      <c r="E120" s="22" t="s">
        <v>319</v>
      </c>
      <c r="F120" s="20" t="s">
        <v>30</v>
      </c>
      <c r="G120" s="23">
        <v>87349503.051701158</v>
      </c>
    </row>
    <row r="121" spans="1:7" ht="30">
      <c r="A121" s="20">
        <v>2006</v>
      </c>
      <c r="B121" s="20" t="s">
        <v>322</v>
      </c>
      <c r="C121" s="20" t="str">
        <f t="shared" si="1"/>
        <v>2006_Mali</v>
      </c>
      <c r="D121" s="19" t="s">
        <v>81</v>
      </c>
      <c r="E121" s="22" t="s">
        <v>166</v>
      </c>
      <c r="F121" s="22" t="s">
        <v>19</v>
      </c>
      <c r="G121" s="23">
        <v>221333358.83264166</v>
      </c>
    </row>
    <row r="122" spans="1:7" ht="30">
      <c r="A122" s="20">
        <v>2007</v>
      </c>
      <c r="B122" s="20" t="s">
        <v>322</v>
      </c>
      <c r="C122" s="20" t="str">
        <f t="shared" si="1"/>
        <v>2007_Mali</v>
      </c>
      <c r="D122" s="19" t="s">
        <v>81</v>
      </c>
      <c r="E122" s="22" t="s">
        <v>71</v>
      </c>
      <c r="F122" s="22" t="s">
        <v>19</v>
      </c>
      <c r="G122" s="23">
        <v>283774774.17844975</v>
      </c>
    </row>
    <row r="123" spans="1:7" ht="30">
      <c r="A123" s="20">
        <v>2008</v>
      </c>
      <c r="B123" s="20" t="s">
        <v>322</v>
      </c>
      <c r="C123" s="20" t="str">
        <f t="shared" si="1"/>
        <v>2008_Mali</v>
      </c>
      <c r="D123" s="19" t="s">
        <v>81</v>
      </c>
      <c r="E123" s="22" t="s">
        <v>71</v>
      </c>
      <c r="F123" s="22" t="s">
        <v>19</v>
      </c>
      <c r="G123" s="23">
        <v>281237313.39930284</v>
      </c>
    </row>
    <row r="124" spans="1:7" ht="30">
      <c r="A124" s="20">
        <v>2009</v>
      </c>
      <c r="B124" s="20" t="s">
        <v>322</v>
      </c>
      <c r="C124" s="20" t="str">
        <f t="shared" si="1"/>
        <v>2009_Mali</v>
      </c>
      <c r="D124" s="19" t="s">
        <v>81</v>
      </c>
      <c r="E124" s="22" t="s">
        <v>247</v>
      </c>
      <c r="F124" s="22" t="s">
        <v>329</v>
      </c>
      <c r="G124" s="23">
        <v>380403587.30837423</v>
      </c>
    </row>
    <row r="125" spans="1:7" ht="30">
      <c r="A125" s="20">
        <v>2010</v>
      </c>
      <c r="B125" s="20" t="s">
        <v>322</v>
      </c>
      <c r="C125" s="20" t="str">
        <f t="shared" si="1"/>
        <v>2010_Mali</v>
      </c>
      <c r="D125" s="19" t="s">
        <v>81</v>
      </c>
      <c r="E125" s="22" t="s">
        <v>39</v>
      </c>
      <c r="F125" s="22" t="s">
        <v>19</v>
      </c>
      <c r="G125" s="23">
        <v>346547621.39714646</v>
      </c>
    </row>
    <row r="126" spans="1:7" ht="30">
      <c r="A126" s="20">
        <v>2011</v>
      </c>
      <c r="B126" s="20" t="s">
        <v>322</v>
      </c>
      <c r="C126" s="20" t="str">
        <f t="shared" si="1"/>
        <v>2011_Mali</v>
      </c>
      <c r="D126" s="19" t="s">
        <v>81</v>
      </c>
      <c r="E126" s="22" t="s">
        <v>90</v>
      </c>
      <c r="F126" s="22" t="s">
        <v>19</v>
      </c>
      <c r="G126" s="23">
        <v>425193486.59834021</v>
      </c>
    </row>
    <row r="127" spans="1:7" ht="30">
      <c r="A127" s="163">
        <v>2012</v>
      </c>
      <c r="B127" s="163" t="s">
        <v>322</v>
      </c>
      <c r="C127" s="20" t="str">
        <f t="shared" si="1"/>
        <v>2012_Mali</v>
      </c>
      <c r="D127" s="163" t="s">
        <v>81</v>
      </c>
      <c r="E127" s="162" t="s">
        <v>45</v>
      </c>
      <c r="F127" s="163" t="s">
        <v>19</v>
      </c>
      <c r="G127" s="17">
        <v>481528351</v>
      </c>
    </row>
    <row r="128" spans="1:7" ht="30">
      <c r="A128" s="20">
        <v>2005</v>
      </c>
      <c r="B128" s="20" t="s">
        <v>338</v>
      </c>
      <c r="C128" s="20" t="str">
        <f t="shared" si="1"/>
        <v>2005_Mauritania</v>
      </c>
      <c r="D128" s="19" t="s">
        <v>81</v>
      </c>
      <c r="E128" s="22" t="s">
        <v>104</v>
      </c>
      <c r="F128" s="22" t="s">
        <v>30</v>
      </c>
      <c r="G128" s="23">
        <v>29636377.094866872</v>
      </c>
    </row>
    <row r="129" spans="1:7" ht="30">
      <c r="A129" s="20">
        <v>2006</v>
      </c>
      <c r="B129" s="20" t="s">
        <v>338</v>
      </c>
      <c r="C129" s="20" t="str">
        <f t="shared" si="1"/>
        <v>2006_Mauritania</v>
      </c>
      <c r="D129" s="19" t="s">
        <v>81</v>
      </c>
      <c r="E129" s="22" t="s">
        <v>341</v>
      </c>
      <c r="F129" s="22" t="s">
        <v>30</v>
      </c>
      <c r="G129" s="23">
        <v>280165029.78406549</v>
      </c>
    </row>
    <row r="130" spans="1:7" ht="30">
      <c r="A130" s="20">
        <v>2007</v>
      </c>
      <c r="B130" s="20" t="s">
        <v>338</v>
      </c>
      <c r="C130" s="20" t="str">
        <f t="shared" si="1"/>
        <v>2007_Mauritania</v>
      </c>
      <c r="D130" s="19" t="s">
        <v>81</v>
      </c>
      <c r="E130" s="22" t="s">
        <v>344</v>
      </c>
      <c r="F130" s="22" t="s">
        <v>36</v>
      </c>
      <c r="G130" s="23">
        <v>175753291.2240898</v>
      </c>
    </row>
    <row r="131" spans="1:7" ht="30">
      <c r="A131" s="20">
        <v>2008</v>
      </c>
      <c r="B131" s="20" t="s">
        <v>338</v>
      </c>
      <c r="C131" s="20" t="str">
        <f t="shared" ref="C131:C194" si="2">$A131&amp;"_"&amp;$B131</f>
        <v>2008_Mauritania</v>
      </c>
      <c r="D131" s="19" t="s">
        <v>81</v>
      </c>
      <c r="E131" s="22" t="s">
        <v>344</v>
      </c>
      <c r="F131" s="22" t="s">
        <v>36</v>
      </c>
      <c r="G131" s="23">
        <v>231365651.58618</v>
      </c>
    </row>
    <row r="132" spans="1:7" ht="30">
      <c r="A132" s="20">
        <v>2009</v>
      </c>
      <c r="B132" s="20" t="s">
        <v>338</v>
      </c>
      <c r="C132" s="20" t="str">
        <f t="shared" si="2"/>
        <v>2009_Mauritania</v>
      </c>
      <c r="D132" s="19" t="s">
        <v>81</v>
      </c>
      <c r="E132" s="22" t="s">
        <v>348</v>
      </c>
      <c r="F132" s="22" t="s">
        <v>36</v>
      </c>
      <c r="G132" s="23">
        <v>191165715.06295663</v>
      </c>
    </row>
    <row r="133" spans="1:7" ht="30">
      <c r="A133" s="20">
        <v>2010</v>
      </c>
      <c r="B133" s="20" t="s">
        <v>338</v>
      </c>
      <c r="C133" s="20" t="str">
        <f t="shared" si="2"/>
        <v>2010_Mauritania</v>
      </c>
      <c r="D133" s="19" t="s">
        <v>81</v>
      </c>
      <c r="E133" s="22" t="s">
        <v>77</v>
      </c>
      <c r="F133" s="22" t="s">
        <v>30</v>
      </c>
      <c r="G133" s="23">
        <v>270018612.99116182</v>
      </c>
    </row>
    <row r="134" spans="1:7" ht="30">
      <c r="A134" s="20">
        <v>2011</v>
      </c>
      <c r="B134" s="20" t="s">
        <v>338</v>
      </c>
      <c r="C134" s="20" t="str">
        <f t="shared" si="2"/>
        <v>2011_Mauritania</v>
      </c>
      <c r="D134" s="19" t="s">
        <v>81</v>
      </c>
      <c r="E134" s="22" t="s">
        <v>77</v>
      </c>
      <c r="F134" s="22" t="s">
        <v>30</v>
      </c>
      <c r="G134" s="23">
        <v>448018316.76552463</v>
      </c>
    </row>
    <row r="135" spans="1:7" ht="30">
      <c r="A135" s="163">
        <v>2012</v>
      </c>
      <c r="B135" s="163" t="s">
        <v>338</v>
      </c>
      <c r="C135" s="20" t="str">
        <f t="shared" si="2"/>
        <v>2012_Mauritania</v>
      </c>
      <c r="D135" s="163" t="s">
        <v>81</v>
      </c>
      <c r="E135" s="162" t="s">
        <v>45</v>
      </c>
      <c r="F135" s="163" t="s">
        <v>36</v>
      </c>
      <c r="G135" s="17">
        <v>472169395.82999998</v>
      </c>
    </row>
    <row r="136" spans="1:7" ht="30">
      <c r="A136" s="20">
        <v>2006</v>
      </c>
      <c r="B136" s="20" t="s">
        <v>357</v>
      </c>
      <c r="C136" s="20" t="str">
        <f t="shared" si="2"/>
        <v>2006_Mongolia</v>
      </c>
      <c r="D136" s="19" t="s">
        <v>238</v>
      </c>
      <c r="E136" s="21" t="s">
        <v>358</v>
      </c>
      <c r="F136" s="22" t="s">
        <v>36</v>
      </c>
      <c r="G136" s="17">
        <v>411987301.60000002</v>
      </c>
    </row>
    <row r="137" spans="1:7" ht="30">
      <c r="A137" s="20">
        <v>2007</v>
      </c>
      <c r="B137" s="20" t="s">
        <v>357</v>
      </c>
      <c r="C137" s="20" t="str">
        <f t="shared" si="2"/>
        <v>2007_Mongolia</v>
      </c>
      <c r="D137" s="19" t="s">
        <v>238</v>
      </c>
      <c r="E137" s="21" t="s">
        <v>361</v>
      </c>
      <c r="F137" s="22" t="s">
        <v>36</v>
      </c>
      <c r="G137" s="17">
        <v>640532901</v>
      </c>
    </row>
    <row r="138" spans="1:7" ht="30">
      <c r="A138" s="20">
        <v>2008</v>
      </c>
      <c r="B138" s="20" t="s">
        <v>357</v>
      </c>
      <c r="C138" s="20" t="str">
        <f t="shared" si="2"/>
        <v>2008_Mongolia</v>
      </c>
      <c r="D138" s="19" t="s">
        <v>238</v>
      </c>
      <c r="E138" s="21" t="s">
        <v>364</v>
      </c>
      <c r="F138" s="22" t="s">
        <v>36</v>
      </c>
      <c r="G138" s="17">
        <v>587942636</v>
      </c>
    </row>
    <row r="139" spans="1:7" ht="30">
      <c r="A139" s="20">
        <v>2009</v>
      </c>
      <c r="B139" s="20" t="s">
        <v>357</v>
      </c>
      <c r="C139" s="20" t="str">
        <f t="shared" si="2"/>
        <v>2009_Mongolia</v>
      </c>
      <c r="D139" s="19" t="s">
        <v>238</v>
      </c>
      <c r="E139" s="21" t="s">
        <v>71</v>
      </c>
      <c r="F139" s="22" t="s">
        <v>36</v>
      </c>
      <c r="G139" s="17">
        <v>512525992.42710215</v>
      </c>
    </row>
    <row r="140" spans="1:7" ht="30">
      <c r="A140" s="20">
        <v>2010</v>
      </c>
      <c r="B140" s="20" t="s">
        <v>357</v>
      </c>
      <c r="C140" s="20" t="str">
        <f t="shared" si="2"/>
        <v>2010_Mongolia</v>
      </c>
      <c r="D140" s="19" t="s">
        <v>238</v>
      </c>
      <c r="E140" s="21" t="s">
        <v>154</v>
      </c>
      <c r="F140" s="22" t="s">
        <v>36</v>
      </c>
      <c r="G140" s="17">
        <v>943183886</v>
      </c>
    </row>
    <row r="141" spans="1:7" ht="30">
      <c r="A141" s="20">
        <v>2011</v>
      </c>
      <c r="B141" s="20" t="s">
        <v>357</v>
      </c>
      <c r="C141" s="20" t="str">
        <f t="shared" si="2"/>
        <v>2011_Mongolia</v>
      </c>
      <c r="D141" s="19" t="s">
        <v>238</v>
      </c>
      <c r="E141" s="21" t="s">
        <v>371</v>
      </c>
      <c r="F141" s="22" t="s">
        <v>36</v>
      </c>
      <c r="G141" s="17">
        <v>1716796513</v>
      </c>
    </row>
    <row r="142" spans="1:7" ht="30">
      <c r="A142" s="20">
        <v>2012</v>
      </c>
      <c r="B142" s="20" t="s">
        <v>357</v>
      </c>
      <c r="C142" s="20" t="str">
        <f t="shared" si="2"/>
        <v>2012_Mongolia</v>
      </c>
      <c r="D142" s="19" t="s">
        <v>238</v>
      </c>
      <c r="E142" s="21" t="s">
        <v>174</v>
      </c>
      <c r="F142" s="22" t="s">
        <v>36</v>
      </c>
      <c r="G142" s="17">
        <v>1180619495</v>
      </c>
    </row>
    <row r="143" spans="1:7" ht="30">
      <c r="A143" s="165">
        <v>2013</v>
      </c>
      <c r="B143" s="166" t="s">
        <v>357</v>
      </c>
      <c r="C143" s="20" t="str">
        <f t="shared" si="2"/>
        <v>2013_Mongolia</v>
      </c>
      <c r="D143" s="166" t="s">
        <v>238</v>
      </c>
      <c r="E143" s="162" t="s">
        <v>45</v>
      </c>
      <c r="F143" s="166" t="s">
        <v>36</v>
      </c>
      <c r="G143" s="17">
        <v>1054895582.33</v>
      </c>
    </row>
    <row r="144" spans="1:7" ht="30">
      <c r="A144" s="20">
        <v>2008</v>
      </c>
      <c r="B144" s="20" t="s">
        <v>378</v>
      </c>
      <c r="C144" s="20" t="str">
        <f t="shared" si="2"/>
        <v>2008_Mozambique</v>
      </c>
      <c r="D144" s="19" t="s">
        <v>81</v>
      </c>
      <c r="E144" s="21" t="s">
        <v>302</v>
      </c>
      <c r="F144" s="22" t="s">
        <v>379</v>
      </c>
      <c r="G144" s="17">
        <v>25571802.530971412</v>
      </c>
    </row>
    <row r="145" spans="1:7" ht="30">
      <c r="A145" s="20">
        <v>2009</v>
      </c>
      <c r="B145" s="20" t="s">
        <v>378</v>
      </c>
      <c r="C145" s="20" t="str">
        <f t="shared" si="2"/>
        <v>2009_Mozambique</v>
      </c>
      <c r="D145" s="19" t="s">
        <v>81</v>
      </c>
      <c r="E145" s="21" t="s">
        <v>222</v>
      </c>
      <c r="F145" s="22" t="s">
        <v>30</v>
      </c>
      <c r="G145" s="17">
        <v>51049678.183363676</v>
      </c>
    </row>
    <row r="146" spans="1:7" ht="30">
      <c r="A146" s="20">
        <v>2011</v>
      </c>
      <c r="B146" s="20" t="s">
        <v>378</v>
      </c>
      <c r="C146" s="20" t="str">
        <f t="shared" si="2"/>
        <v>2011_Mozambique</v>
      </c>
      <c r="D146" s="19" t="s">
        <v>81</v>
      </c>
      <c r="E146" s="21" t="s">
        <v>145</v>
      </c>
      <c r="F146" s="22" t="s">
        <v>30</v>
      </c>
      <c r="G146" s="17">
        <v>115116240.28</v>
      </c>
    </row>
    <row r="147" spans="1:7" ht="30">
      <c r="A147" s="20">
        <v>2010</v>
      </c>
      <c r="B147" s="20" t="s">
        <v>378</v>
      </c>
      <c r="C147" s="20" t="str">
        <f t="shared" si="2"/>
        <v>2010_Mozambique</v>
      </c>
      <c r="D147" s="19" t="s">
        <v>81</v>
      </c>
      <c r="E147" s="21" t="s">
        <v>39</v>
      </c>
      <c r="F147" s="22" t="s">
        <v>30</v>
      </c>
      <c r="G147" s="17">
        <v>71555872.336879551</v>
      </c>
    </row>
    <row r="148" spans="1:7" ht="30">
      <c r="A148" s="20">
        <v>2005</v>
      </c>
      <c r="B148" s="20" t="s">
        <v>387</v>
      </c>
      <c r="C148" s="20" t="str">
        <f t="shared" si="2"/>
        <v>2005_Niger</v>
      </c>
      <c r="D148" s="19" t="s">
        <v>81</v>
      </c>
      <c r="E148" s="22" t="s">
        <v>388</v>
      </c>
      <c r="F148" s="22" t="s">
        <v>36</v>
      </c>
      <c r="G148" s="17">
        <v>14928853.70728069</v>
      </c>
    </row>
    <row r="149" spans="1:7" ht="30">
      <c r="A149" s="20">
        <v>2006</v>
      </c>
      <c r="B149" s="20" t="s">
        <v>387</v>
      </c>
      <c r="C149" s="20" t="str">
        <f t="shared" si="2"/>
        <v>2006_Niger</v>
      </c>
      <c r="D149" s="19" t="s">
        <v>81</v>
      </c>
      <c r="E149" s="22" t="s">
        <v>388</v>
      </c>
      <c r="F149" s="22" t="s">
        <v>36</v>
      </c>
      <c r="G149" s="17">
        <v>25063833.699167486</v>
      </c>
    </row>
    <row r="150" spans="1:7" ht="30">
      <c r="A150" s="20">
        <v>2007</v>
      </c>
      <c r="B150" s="20" t="s">
        <v>387</v>
      </c>
      <c r="C150" s="20" t="str">
        <f t="shared" si="2"/>
        <v>2007_Niger</v>
      </c>
      <c r="D150" s="19" t="s">
        <v>81</v>
      </c>
      <c r="E150" s="22" t="s">
        <v>393</v>
      </c>
      <c r="F150" s="22" t="s">
        <v>30</v>
      </c>
      <c r="G150" s="17">
        <v>147175593.54643524</v>
      </c>
    </row>
    <row r="151" spans="1:7" ht="30">
      <c r="A151" s="20">
        <v>2008</v>
      </c>
      <c r="B151" s="20" t="s">
        <v>387</v>
      </c>
      <c r="C151" s="20" t="str">
        <f t="shared" si="2"/>
        <v>2008_Niger</v>
      </c>
      <c r="D151" s="19" t="s">
        <v>81</v>
      </c>
      <c r="E151" s="22" t="s">
        <v>393</v>
      </c>
      <c r="F151" s="22" t="s">
        <v>30</v>
      </c>
      <c r="G151" s="17">
        <v>418740295.82386595</v>
      </c>
    </row>
    <row r="152" spans="1:7" ht="30">
      <c r="A152" s="20">
        <v>2009</v>
      </c>
      <c r="B152" s="20" t="s">
        <v>387</v>
      </c>
      <c r="C152" s="20" t="str">
        <f t="shared" si="2"/>
        <v>2009_Niger</v>
      </c>
      <c r="D152" s="19" t="s">
        <v>81</v>
      </c>
      <c r="E152" s="22" t="s">
        <v>393</v>
      </c>
      <c r="F152" s="22" t="s">
        <v>30</v>
      </c>
      <c r="G152" s="17">
        <v>143129702.9482843</v>
      </c>
    </row>
    <row r="153" spans="1:7" ht="30">
      <c r="A153" s="20">
        <v>2010</v>
      </c>
      <c r="B153" s="20" t="s">
        <v>387</v>
      </c>
      <c r="C153" s="20" t="str">
        <f t="shared" si="2"/>
        <v>2010_Niger</v>
      </c>
      <c r="D153" s="19" t="s">
        <v>81</v>
      </c>
      <c r="E153" s="22" t="s">
        <v>74</v>
      </c>
      <c r="F153" s="22" t="s">
        <v>30</v>
      </c>
      <c r="G153" s="17">
        <v>109503726.04387245</v>
      </c>
    </row>
    <row r="154" spans="1:7" ht="30">
      <c r="A154" s="20">
        <v>2011</v>
      </c>
      <c r="B154" s="20" t="s">
        <v>387</v>
      </c>
      <c r="C154" s="20" t="str">
        <f t="shared" si="2"/>
        <v>2011_Niger</v>
      </c>
      <c r="D154" s="19" t="s">
        <v>81</v>
      </c>
      <c r="E154" s="22" t="s">
        <v>90</v>
      </c>
      <c r="F154" s="22" t="s">
        <v>30</v>
      </c>
      <c r="G154" s="17">
        <v>119279040.34148772</v>
      </c>
    </row>
    <row r="155" spans="1:7" ht="30">
      <c r="A155" s="163">
        <v>2012</v>
      </c>
      <c r="B155" s="163" t="s">
        <v>387</v>
      </c>
      <c r="C155" s="20" t="str">
        <f t="shared" si="2"/>
        <v>2012_Niger</v>
      </c>
      <c r="D155" s="163" t="s">
        <v>81</v>
      </c>
      <c r="E155" s="162" t="s">
        <v>45</v>
      </c>
      <c r="F155" s="163" t="s">
        <v>36</v>
      </c>
      <c r="G155" s="17">
        <v>344759167</v>
      </c>
    </row>
    <row r="156" spans="1:7">
      <c r="A156" s="20">
        <v>1999</v>
      </c>
      <c r="B156" s="20" t="s">
        <v>406</v>
      </c>
      <c r="C156" s="20" t="str">
        <f t="shared" si="2"/>
        <v>1999_Nigeria</v>
      </c>
      <c r="D156" s="19" t="s">
        <v>81</v>
      </c>
      <c r="E156" s="21" t="s">
        <v>97</v>
      </c>
      <c r="F156" s="22" t="s">
        <v>50</v>
      </c>
      <c r="G156" s="17">
        <v>8073000000</v>
      </c>
    </row>
    <row r="157" spans="1:7">
      <c r="A157" s="20">
        <v>2000</v>
      </c>
      <c r="B157" s="20" t="s">
        <v>406</v>
      </c>
      <c r="C157" s="20" t="str">
        <f t="shared" si="2"/>
        <v>2000_Nigeria</v>
      </c>
      <c r="D157" s="19" t="s">
        <v>81</v>
      </c>
      <c r="E157" s="21" t="s">
        <v>97</v>
      </c>
      <c r="F157" s="22" t="s">
        <v>50</v>
      </c>
      <c r="G157" s="17">
        <v>15807000000</v>
      </c>
    </row>
    <row r="158" spans="1:7">
      <c r="A158" s="20">
        <v>2001</v>
      </c>
      <c r="B158" s="20" t="s">
        <v>406</v>
      </c>
      <c r="C158" s="20" t="str">
        <f t="shared" si="2"/>
        <v>2001_Nigeria</v>
      </c>
      <c r="D158" s="19" t="s">
        <v>81</v>
      </c>
      <c r="E158" s="21" t="s">
        <v>97</v>
      </c>
      <c r="F158" s="22" t="s">
        <v>50</v>
      </c>
      <c r="G158" s="17">
        <v>15909000000</v>
      </c>
    </row>
    <row r="159" spans="1:7">
      <c r="A159" s="20">
        <v>2002</v>
      </c>
      <c r="B159" s="20" t="s">
        <v>406</v>
      </c>
      <c r="C159" s="20" t="str">
        <f t="shared" si="2"/>
        <v>2002_Nigeria</v>
      </c>
      <c r="D159" s="19" t="s">
        <v>81</v>
      </c>
      <c r="E159" s="21" t="s">
        <v>97</v>
      </c>
      <c r="F159" s="22" t="s">
        <v>50</v>
      </c>
      <c r="G159" s="17">
        <v>11875000000</v>
      </c>
    </row>
    <row r="160" spans="1:7">
      <c r="A160" s="20">
        <v>2003</v>
      </c>
      <c r="B160" s="20" t="s">
        <v>406</v>
      </c>
      <c r="C160" s="20" t="str">
        <f t="shared" si="2"/>
        <v>2003_Nigeria</v>
      </c>
      <c r="D160" s="19" t="s">
        <v>81</v>
      </c>
      <c r="E160" s="21" t="s">
        <v>97</v>
      </c>
      <c r="F160" s="22" t="s">
        <v>50</v>
      </c>
      <c r="G160" s="17">
        <v>17091000000</v>
      </c>
    </row>
    <row r="161" spans="1:7">
      <c r="A161" s="20">
        <v>2004</v>
      </c>
      <c r="B161" s="20" t="s">
        <v>406</v>
      </c>
      <c r="C161" s="20" t="str">
        <f t="shared" si="2"/>
        <v>2004_Nigeria</v>
      </c>
      <c r="D161" s="19" t="s">
        <v>81</v>
      </c>
      <c r="E161" s="21" t="s">
        <v>97</v>
      </c>
      <c r="F161" s="22" t="s">
        <v>50</v>
      </c>
      <c r="G161" s="17">
        <v>26596000000</v>
      </c>
    </row>
    <row r="162" spans="1:7">
      <c r="A162" s="20">
        <v>2005</v>
      </c>
      <c r="B162" s="20" t="s">
        <v>406</v>
      </c>
      <c r="C162" s="20" t="str">
        <f t="shared" si="2"/>
        <v>2005_Nigeria</v>
      </c>
      <c r="D162" s="19" t="s">
        <v>81</v>
      </c>
      <c r="E162" s="21" t="s">
        <v>414</v>
      </c>
      <c r="F162" s="22" t="s">
        <v>50</v>
      </c>
      <c r="G162" s="17">
        <v>37761759990.706177</v>
      </c>
    </row>
    <row r="163" spans="1:7">
      <c r="A163" s="20">
        <v>2006</v>
      </c>
      <c r="B163" s="20" t="s">
        <v>406</v>
      </c>
      <c r="C163" s="20" t="str">
        <f t="shared" si="2"/>
        <v>2006_Nigeria</v>
      </c>
      <c r="D163" s="19" t="s">
        <v>81</v>
      </c>
      <c r="E163" s="21" t="s">
        <v>302</v>
      </c>
      <c r="F163" s="22" t="s">
        <v>50</v>
      </c>
      <c r="G163" s="17">
        <v>45464400000</v>
      </c>
    </row>
    <row r="164" spans="1:7">
      <c r="A164" s="20">
        <v>2007</v>
      </c>
      <c r="B164" s="20" t="s">
        <v>406</v>
      </c>
      <c r="C164" s="20" t="str">
        <f t="shared" si="2"/>
        <v>2007_Nigeria</v>
      </c>
      <c r="D164" s="19" t="s">
        <v>81</v>
      </c>
      <c r="E164" s="21" t="s">
        <v>302</v>
      </c>
      <c r="F164" s="22" t="s">
        <v>50</v>
      </c>
      <c r="G164" s="17">
        <v>43678500000</v>
      </c>
    </row>
    <row r="165" spans="1:7">
      <c r="A165" s="20">
        <v>2008</v>
      </c>
      <c r="B165" s="20" t="s">
        <v>406</v>
      </c>
      <c r="C165" s="20" t="str">
        <f t="shared" si="2"/>
        <v>2008_Nigeria</v>
      </c>
      <c r="D165" s="19" t="s">
        <v>81</v>
      </c>
      <c r="E165" s="21" t="s">
        <v>302</v>
      </c>
      <c r="F165" s="22" t="s">
        <v>50</v>
      </c>
      <c r="G165" s="17">
        <v>59398200000</v>
      </c>
    </row>
    <row r="166" spans="1:7">
      <c r="A166" s="20">
        <v>2009</v>
      </c>
      <c r="B166" s="20" t="s">
        <v>406</v>
      </c>
      <c r="C166" s="20" t="str">
        <f t="shared" si="2"/>
        <v>2009_Nigeria</v>
      </c>
      <c r="D166" s="19" t="s">
        <v>81</v>
      </c>
      <c r="E166" s="21" t="s">
        <v>174</v>
      </c>
      <c r="F166" s="22" t="s">
        <v>50</v>
      </c>
      <c r="G166" s="17">
        <v>30129486000</v>
      </c>
    </row>
    <row r="167" spans="1:7">
      <c r="A167" s="20">
        <v>2010</v>
      </c>
      <c r="B167" s="20" t="s">
        <v>406</v>
      </c>
      <c r="C167" s="20" t="str">
        <f t="shared" si="2"/>
        <v>2010_Nigeria</v>
      </c>
      <c r="D167" s="19" t="s">
        <v>81</v>
      </c>
      <c r="E167" s="21" t="s">
        <v>174</v>
      </c>
      <c r="F167" s="22" t="s">
        <v>50</v>
      </c>
      <c r="G167" s="17">
        <v>44944995000</v>
      </c>
    </row>
    <row r="168" spans="1:7" ht="30">
      <c r="A168" s="20">
        <v>2011</v>
      </c>
      <c r="B168" s="20" t="s">
        <v>406</v>
      </c>
      <c r="C168" s="20" t="str">
        <f t="shared" si="2"/>
        <v>2011_Nigeria</v>
      </c>
      <c r="D168" s="19" t="s">
        <v>81</v>
      </c>
      <c r="E168" s="21" t="s">
        <v>424</v>
      </c>
      <c r="F168" s="22" t="s">
        <v>30</v>
      </c>
      <c r="G168" s="17">
        <v>68613385930</v>
      </c>
    </row>
    <row r="169" spans="1:7" ht="30">
      <c r="A169" s="163">
        <v>2012</v>
      </c>
      <c r="B169" s="163" t="s">
        <v>406</v>
      </c>
      <c r="C169" s="20" t="str">
        <f t="shared" si="2"/>
        <v>2012_Nigeria</v>
      </c>
      <c r="D169" s="163" t="s">
        <v>81</v>
      </c>
      <c r="E169" s="162" t="s">
        <v>45</v>
      </c>
      <c r="F169" s="163" t="s">
        <v>19</v>
      </c>
      <c r="G169" s="17">
        <v>177501338.81</v>
      </c>
    </row>
    <row r="170" spans="1:7" ht="30">
      <c r="A170" s="20">
        <v>2008</v>
      </c>
      <c r="B170" s="20" t="s">
        <v>429</v>
      </c>
      <c r="C170" s="20" t="str">
        <f t="shared" si="2"/>
        <v>2008_Norway</v>
      </c>
      <c r="D170" s="19" t="s">
        <v>34</v>
      </c>
      <c r="E170" s="22" t="s">
        <v>166</v>
      </c>
      <c r="F170" s="20" t="s">
        <v>50</v>
      </c>
      <c r="G170" s="17">
        <v>71008812.234042555</v>
      </c>
    </row>
    <row r="171" spans="1:7">
      <c r="A171" s="20">
        <v>2009</v>
      </c>
      <c r="B171" s="20" t="s">
        <v>429</v>
      </c>
      <c r="C171" s="20" t="str">
        <f t="shared" si="2"/>
        <v>2009_Norway</v>
      </c>
      <c r="D171" s="19" t="s">
        <v>34</v>
      </c>
      <c r="E171" s="21" t="s">
        <v>432</v>
      </c>
      <c r="F171" s="20" t="s">
        <v>50</v>
      </c>
      <c r="G171" s="17">
        <v>42349871974.522293</v>
      </c>
    </row>
    <row r="172" spans="1:7" ht="30">
      <c r="A172" s="20">
        <v>2010</v>
      </c>
      <c r="B172" s="20" t="s">
        <v>429</v>
      </c>
      <c r="C172" s="20" t="str">
        <f t="shared" si="2"/>
        <v>2010_Norway</v>
      </c>
      <c r="D172" s="19" t="s">
        <v>34</v>
      </c>
      <c r="E172" s="22" t="s">
        <v>435</v>
      </c>
      <c r="F172" s="22" t="s">
        <v>50</v>
      </c>
      <c r="G172" s="17">
        <v>44013892000</v>
      </c>
    </row>
    <row r="173" spans="1:7">
      <c r="A173" s="20">
        <v>2011</v>
      </c>
      <c r="B173" s="20" t="s">
        <v>429</v>
      </c>
      <c r="C173" s="20" t="str">
        <f t="shared" si="2"/>
        <v>2011_Norway</v>
      </c>
      <c r="D173" s="19" t="s">
        <v>34</v>
      </c>
      <c r="E173" s="21" t="s">
        <v>432</v>
      </c>
      <c r="F173" s="20" t="s">
        <v>50</v>
      </c>
      <c r="G173" s="17">
        <v>60421715740</v>
      </c>
    </row>
    <row r="174" spans="1:7">
      <c r="A174" s="20">
        <v>2012</v>
      </c>
      <c r="B174" s="20" t="s">
        <v>429</v>
      </c>
      <c r="C174" s="20" t="str">
        <f t="shared" si="2"/>
        <v>2012_Norway</v>
      </c>
      <c r="D174" s="19" t="s">
        <v>34</v>
      </c>
      <c r="E174" s="21" t="s">
        <v>432</v>
      </c>
      <c r="F174" s="20" t="s">
        <v>50</v>
      </c>
      <c r="G174" s="17">
        <v>65229640210</v>
      </c>
    </row>
    <row r="175" spans="1:7" ht="30">
      <c r="A175" s="20">
        <v>2004</v>
      </c>
      <c r="B175" s="20" t="s">
        <v>442</v>
      </c>
      <c r="C175" s="20" t="str">
        <f t="shared" si="2"/>
        <v>2004_Peru</v>
      </c>
      <c r="D175" s="19" t="s">
        <v>214</v>
      </c>
      <c r="E175" s="21" t="s">
        <v>361</v>
      </c>
      <c r="F175" s="22" t="s">
        <v>30</v>
      </c>
      <c r="G175" s="17">
        <v>884263514.49853373</v>
      </c>
    </row>
    <row r="176" spans="1:7" ht="30">
      <c r="A176" s="20">
        <v>2005</v>
      </c>
      <c r="B176" s="20" t="s">
        <v>442</v>
      </c>
      <c r="C176" s="20" t="str">
        <f t="shared" si="2"/>
        <v>2005_Peru</v>
      </c>
      <c r="D176" s="19" t="s">
        <v>214</v>
      </c>
      <c r="E176" s="21" t="s">
        <v>361</v>
      </c>
      <c r="F176" s="22" t="s">
        <v>30</v>
      </c>
      <c r="G176" s="17">
        <v>1756747244.267477</v>
      </c>
    </row>
    <row r="177" spans="1:7" ht="30">
      <c r="A177" s="20">
        <v>2006</v>
      </c>
      <c r="B177" s="20" t="s">
        <v>442</v>
      </c>
      <c r="C177" s="20" t="str">
        <f t="shared" si="2"/>
        <v>2006_Peru</v>
      </c>
      <c r="D177" s="19" t="s">
        <v>214</v>
      </c>
      <c r="E177" s="21" t="s">
        <v>361</v>
      </c>
      <c r="F177" s="22" t="s">
        <v>30</v>
      </c>
      <c r="G177" s="23">
        <v>2926435259.9327216</v>
      </c>
    </row>
    <row r="178" spans="1:7" ht="30">
      <c r="A178" s="20">
        <v>2007</v>
      </c>
      <c r="B178" s="20" t="s">
        <v>442</v>
      </c>
      <c r="C178" s="20" t="str">
        <f t="shared" si="2"/>
        <v>2007_Peru</v>
      </c>
      <c r="D178" s="19" t="s">
        <v>214</v>
      </c>
      <c r="E178" s="21" t="s">
        <v>361</v>
      </c>
      <c r="F178" s="22" t="s">
        <v>30</v>
      </c>
      <c r="G178" s="17">
        <v>3125388072.7948718</v>
      </c>
    </row>
    <row r="179" spans="1:7" ht="30">
      <c r="A179" s="20">
        <v>2008</v>
      </c>
      <c r="B179" s="20" t="s">
        <v>442</v>
      </c>
      <c r="C179" s="20" t="str">
        <f t="shared" si="2"/>
        <v>2008_Peru</v>
      </c>
      <c r="D179" s="19" t="s">
        <v>214</v>
      </c>
      <c r="E179" s="21" t="s">
        <v>448</v>
      </c>
      <c r="F179" s="22" t="s">
        <v>30</v>
      </c>
      <c r="G179" s="17">
        <v>3573697357.7190704</v>
      </c>
    </row>
    <row r="180" spans="1:7" ht="30">
      <c r="A180" s="20">
        <v>2009</v>
      </c>
      <c r="B180" s="20" t="s">
        <v>442</v>
      </c>
      <c r="C180" s="20" t="str">
        <f t="shared" si="2"/>
        <v>2009_Peru</v>
      </c>
      <c r="D180" s="19" t="s">
        <v>214</v>
      </c>
      <c r="E180" s="21" t="s">
        <v>39</v>
      </c>
      <c r="F180" s="22" t="s">
        <v>30</v>
      </c>
      <c r="G180" s="17">
        <v>2965369766.4701195</v>
      </c>
    </row>
    <row r="181" spans="1:7" ht="30">
      <c r="A181" s="20">
        <v>2010</v>
      </c>
      <c r="B181" s="20" t="s">
        <v>442</v>
      </c>
      <c r="C181" s="20" t="str">
        <f t="shared" si="2"/>
        <v>2010_Peru</v>
      </c>
      <c r="D181" s="19" t="s">
        <v>214</v>
      </c>
      <c r="E181" s="21" t="s">
        <v>90</v>
      </c>
      <c r="F181" s="22" t="s">
        <v>30</v>
      </c>
      <c r="G181" s="17">
        <v>4358147652.2724705</v>
      </c>
    </row>
    <row r="182" spans="1:7" ht="30">
      <c r="A182" s="20">
        <v>2011</v>
      </c>
      <c r="B182" s="20" t="s">
        <v>442</v>
      </c>
      <c r="C182" s="20" t="str">
        <f t="shared" si="2"/>
        <v>2011_Peru</v>
      </c>
      <c r="D182" s="19" t="s">
        <v>214</v>
      </c>
      <c r="E182" s="22" t="s">
        <v>453</v>
      </c>
      <c r="F182" s="22" t="s">
        <v>30</v>
      </c>
      <c r="G182" s="23">
        <v>5884323617</v>
      </c>
    </row>
    <row r="183" spans="1:7" ht="30">
      <c r="A183" s="20">
        <v>2012</v>
      </c>
      <c r="B183" s="20" t="s">
        <v>442</v>
      </c>
      <c r="C183" s="20" t="str">
        <f t="shared" si="2"/>
        <v>2012_Peru</v>
      </c>
      <c r="D183" s="19" t="s">
        <v>214</v>
      </c>
      <c r="E183" s="22" t="s">
        <v>453</v>
      </c>
      <c r="F183" s="22" t="s">
        <v>30</v>
      </c>
      <c r="G183" s="23">
        <v>5480907241</v>
      </c>
    </row>
    <row r="184" spans="1:7" ht="30">
      <c r="A184" s="20">
        <v>2004</v>
      </c>
      <c r="B184" s="20" t="s">
        <v>458</v>
      </c>
      <c r="C184" s="20" t="str">
        <f t="shared" si="2"/>
        <v>2004_Republic of the Congo</v>
      </c>
      <c r="D184" s="19" t="s">
        <v>81</v>
      </c>
      <c r="E184" s="22" t="s">
        <v>459</v>
      </c>
      <c r="F184" s="22" t="s">
        <v>50</v>
      </c>
      <c r="G184" s="17">
        <v>802597372.72742176</v>
      </c>
    </row>
    <row r="185" spans="1:7" ht="30">
      <c r="A185" s="20">
        <v>2005</v>
      </c>
      <c r="B185" s="20" t="s">
        <v>458</v>
      </c>
      <c r="C185" s="20" t="str">
        <f t="shared" si="2"/>
        <v>2005_Republic of the Congo</v>
      </c>
      <c r="D185" s="19" t="s">
        <v>81</v>
      </c>
      <c r="E185" s="22" t="s">
        <v>462</v>
      </c>
      <c r="F185" s="22" t="s">
        <v>50</v>
      </c>
      <c r="G185" s="17">
        <v>1738493617.9513669</v>
      </c>
    </row>
    <row r="186" spans="1:7" ht="30">
      <c r="A186" s="20">
        <v>2006</v>
      </c>
      <c r="B186" s="20" t="s">
        <v>458</v>
      </c>
      <c r="C186" s="20" t="str">
        <f t="shared" si="2"/>
        <v>2006_Republic of the Congo</v>
      </c>
      <c r="D186" s="19" t="s">
        <v>81</v>
      </c>
      <c r="E186" s="22" t="s">
        <v>462</v>
      </c>
      <c r="F186" s="22" t="s">
        <v>50</v>
      </c>
      <c r="G186" s="17">
        <v>2581804427.3293929</v>
      </c>
    </row>
    <row r="187" spans="1:7" ht="30">
      <c r="A187" s="20">
        <v>2007</v>
      </c>
      <c r="B187" s="20" t="s">
        <v>458</v>
      </c>
      <c r="C187" s="20" t="str">
        <f t="shared" si="2"/>
        <v>2007_Republic of the Congo</v>
      </c>
      <c r="D187" s="19" t="s">
        <v>81</v>
      </c>
      <c r="E187" s="22" t="s">
        <v>432</v>
      </c>
      <c r="F187" s="22" t="s">
        <v>50</v>
      </c>
      <c r="G187" s="23">
        <v>2553350325.8307009</v>
      </c>
    </row>
    <row r="188" spans="1:7" ht="30">
      <c r="A188" s="20">
        <v>2008</v>
      </c>
      <c r="B188" s="20" t="s">
        <v>458</v>
      </c>
      <c r="C188" s="20" t="str">
        <f t="shared" si="2"/>
        <v>2008_Republic of the Congo</v>
      </c>
      <c r="D188" s="19" t="s">
        <v>81</v>
      </c>
      <c r="E188" s="22" t="s">
        <v>432</v>
      </c>
      <c r="F188" s="22" t="s">
        <v>50</v>
      </c>
      <c r="G188" s="23">
        <v>4645910135.5534267</v>
      </c>
    </row>
    <row r="189" spans="1:7" ht="30">
      <c r="A189" s="20">
        <v>2009</v>
      </c>
      <c r="B189" s="20" t="s">
        <v>458</v>
      </c>
      <c r="C189" s="20" t="str">
        <f t="shared" si="2"/>
        <v>2009_Republic of the Congo</v>
      </c>
      <c r="D189" s="19" t="s">
        <v>81</v>
      </c>
      <c r="E189" s="22" t="s">
        <v>432</v>
      </c>
      <c r="F189" s="22" t="s">
        <v>50</v>
      </c>
      <c r="G189" s="23">
        <v>2343960552.7359438</v>
      </c>
    </row>
    <row r="190" spans="1:7" ht="30">
      <c r="A190" s="20">
        <v>2010</v>
      </c>
      <c r="B190" s="20" t="s">
        <v>458</v>
      </c>
      <c r="C190" s="20" t="str">
        <f t="shared" si="2"/>
        <v>2010_Republic of the Congo</v>
      </c>
      <c r="D190" s="19" t="s">
        <v>81</v>
      </c>
      <c r="E190" s="22" t="s">
        <v>448</v>
      </c>
      <c r="F190" s="22" t="s">
        <v>50</v>
      </c>
      <c r="G190" s="17">
        <v>3195780380.0319676</v>
      </c>
    </row>
    <row r="191" spans="1:7" ht="30">
      <c r="A191" s="20">
        <v>2011</v>
      </c>
      <c r="B191" s="20" t="s">
        <v>458</v>
      </c>
      <c r="C191" s="20" t="str">
        <f t="shared" si="2"/>
        <v>2011_Republic of the Congo</v>
      </c>
      <c r="D191" s="19" t="s">
        <v>81</v>
      </c>
      <c r="E191" s="22" t="s">
        <v>316</v>
      </c>
      <c r="F191" s="22" t="s">
        <v>50</v>
      </c>
      <c r="G191" s="76">
        <v>5529544307</v>
      </c>
    </row>
    <row r="192" spans="1:7" ht="30">
      <c r="A192" s="20">
        <v>2012</v>
      </c>
      <c r="B192" s="20" t="s">
        <v>458</v>
      </c>
      <c r="C192" s="20" t="str">
        <f t="shared" si="2"/>
        <v>2012_Republic of the Congo</v>
      </c>
      <c r="D192" s="19" t="s">
        <v>81</v>
      </c>
      <c r="E192" s="22" t="s">
        <v>90</v>
      </c>
      <c r="F192" s="22" t="s">
        <v>30</v>
      </c>
      <c r="G192" s="17">
        <v>3185676000</v>
      </c>
    </row>
    <row r="193" spans="1:7" ht="30">
      <c r="A193" s="163">
        <v>2013</v>
      </c>
      <c r="B193" s="163" t="s">
        <v>458</v>
      </c>
      <c r="C193" s="20" t="str">
        <f t="shared" si="2"/>
        <v>2013_Republic of the Congo</v>
      </c>
      <c r="D193" s="163" t="s">
        <v>81</v>
      </c>
      <c r="E193" s="162" t="s">
        <v>45</v>
      </c>
      <c r="F193" s="163" t="s">
        <v>50</v>
      </c>
      <c r="G193" s="17">
        <v>3041615000</v>
      </c>
    </row>
    <row r="194" spans="1:7">
      <c r="A194" s="20">
        <v>2006</v>
      </c>
      <c r="B194" s="20" t="s">
        <v>481</v>
      </c>
      <c r="C194" s="20" t="str">
        <f t="shared" si="2"/>
        <v>2006_Sierra Leone</v>
      </c>
      <c r="D194" s="19" t="s">
        <v>81</v>
      </c>
      <c r="E194" s="21" t="s">
        <v>482</v>
      </c>
      <c r="F194" s="20" t="s">
        <v>19</v>
      </c>
      <c r="G194" s="23">
        <v>7255694.5761567</v>
      </c>
    </row>
    <row r="195" spans="1:7">
      <c r="A195" s="20">
        <v>2007</v>
      </c>
      <c r="B195" s="20" t="s">
        <v>481</v>
      </c>
      <c r="C195" s="20" t="str">
        <f t="shared" ref="C195:C224" si="3">$A195&amp;"_"&amp;$B195</f>
        <v>2007_Sierra Leone</v>
      </c>
      <c r="D195" s="19" t="s">
        <v>81</v>
      </c>
      <c r="E195" s="21" t="s">
        <v>482</v>
      </c>
      <c r="F195" s="20" t="s">
        <v>19</v>
      </c>
      <c r="G195" s="23">
        <v>10201528.665884711</v>
      </c>
    </row>
    <row r="196" spans="1:7" ht="30">
      <c r="A196" s="20">
        <v>2008</v>
      </c>
      <c r="B196" s="20" t="s">
        <v>481</v>
      </c>
      <c r="C196" s="20" t="str">
        <f t="shared" si="3"/>
        <v>2008_Sierra Leone</v>
      </c>
      <c r="D196" s="19" t="s">
        <v>81</v>
      </c>
      <c r="E196" s="21" t="s">
        <v>316</v>
      </c>
      <c r="F196" s="22" t="s">
        <v>30</v>
      </c>
      <c r="G196" s="23">
        <v>4427564.2110363245</v>
      </c>
    </row>
    <row r="197" spans="1:7" ht="30">
      <c r="A197" s="20">
        <v>2009</v>
      </c>
      <c r="B197" s="20" t="s">
        <v>481</v>
      </c>
      <c r="C197" s="20" t="str">
        <f t="shared" si="3"/>
        <v>2009_Sierra Leone</v>
      </c>
      <c r="D197" s="19" t="s">
        <v>81</v>
      </c>
      <c r="E197" s="21" t="s">
        <v>316</v>
      </c>
      <c r="F197" s="22" t="s">
        <v>30</v>
      </c>
      <c r="G197" s="23">
        <v>5875777.9977596682</v>
      </c>
    </row>
    <row r="198" spans="1:7" ht="30">
      <c r="A198" s="20">
        <v>2010</v>
      </c>
      <c r="B198" s="20" t="s">
        <v>481</v>
      </c>
      <c r="C198" s="20" t="str">
        <f t="shared" si="3"/>
        <v>2010_Sierra Leone</v>
      </c>
      <c r="D198" s="19" t="s">
        <v>81</v>
      </c>
      <c r="E198" s="21" t="s">
        <v>316</v>
      </c>
      <c r="F198" s="22" t="s">
        <v>30</v>
      </c>
      <c r="G198" s="23">
        <v>7586792.5651504043</v>
      </c>
    </row>
    <row r="199" spans="1:7" ht="30">
      <c r="A199" s="20">
        <v>2011</v>
      </c>
      <c r="B199" s="20" t="s">
        <v>481</v>
      </c>
      <c r="C199" s="20" t="str">
        <f t="shared" si="3"/>
        <v>2011_Sierra Leone</v>
      </c>
      <c r="D199" s="19" t="s">
        <v>81</v>
      </c>
      <c r="E199" s="21" t="s">
        <v>90</v>
      </c>
      <c r="F199" s="22" t="s">
        <v>30</v>
      </c>
      <c r="G199" s="23">
        <v>27621406</v>
      </c>
    </row>
    <row r="200" spans="1:7" ht="30">
      <c r="A200" s="20">
        <v>2009</v>
      </c>
      <c r="B200" s="20" t="s">
        <v>492</v>
      </c>
      <c r="C200" s="20" t="str">
        <f t="shared" si="3"/>
        <v>2009_Tanzania</v>
      </c>
      <c r="D200" s="19" t="s">
        <v>81</v>
      </c>
      <c r="E200" s="21" t="s">
        <v>302</v>
      </c>
      <c r="F200" s="22" t="s">
        <v>379</v>
      </c>
      <c r="G200" s="23">
        <v>102252340</v>
      </c>
    </row>
    <row r="201" spans="1:7" ht="30">
      <c r="A201" s="20">
        <v>2010</v>
      </c>
      <c r="B201" s="20" t="s">
        <v>492</v>
      </c>
      <c r="C201" s="20" t="str">
        <f t="shared" si="3"/>
        <v>2010_Tanzania</v>
      </c>
      <c r="D201" s="19" t="s">
        <v>81</v>
      </c>
      <c r="E201" s="21" t="s">
        <v>154</v>
      </c>
      <c r="F201" s="22" t="s">
        <v>379</v>
      </c>
      <c r="G201" s="23">
        <v>305762430.10000002</v>
      </c>
    </row>
    <row r="202" spans="1:7" ht="30">
      <c r="A202" s="20">
        <v>2011</v>
      </c>
      <c r="B202" s="20" t="s">
        <v>492</v>
      </c>
      <c r="C202" s="20" t="str">
        <f t="shared" si="3"/>
        <v>2011_Tanzania</v>
      </c>
      <c r="D202" s="19" t="s">
        <v>81</v>
      </c>
      <c r="E202" s="21" t="s">
        <v>77</v>
      </c>
      <c r="F202" s="22" t="s">
        <v>379</v>
      </c>
      <c r="G202" s="23">
        <v>329804745</v>
      </c>
    </row>
    <row r="203" spans="1:7" ht="30">
      <c r="A203" s="20">
        <v>2012</v>
      </c>
      <c r="B203" s="20" t="s">
        <v>492</v>
      </c>
      <c r="C203" s="20" t="str">
        <f t="shared" si="3"/>
        <v>2012_Tanzania</v>
      </c>
      <c r="D203" s="19" t="s">
        <v>81</v>
      </c>
      <c r="E203" s="21" t="s">
        <v>42</v>
      </c>
      <c r="F203" s="22" t="s">
        <v>30</v>
      </c>
      <c r="G203" s="23">
        <v>468277747.69958961</v>
      </c>
    </row>
    <row r="204" spans="1:7">
      <c r="A204" s="20">
        <v>2008</v>
      </c>
      <c r="B204" s="20" t="s">
        <v>2844</v>
      </c>
      <c r="C204" s="20" t="str">
        <f t="shared" si="3"/>
        <v>2008_Timor-Leste</v>
      </c>
      <c r="D204" s="19" t="s">
        <v>238</v>
      </c>
      <c r="E204" s="21" t="s">
        <v>361</v>
      </c>
      <c r="F204" s="22" t="s">
        <v>50</v>
      </c>
      <c r="G204" s="23">
        <v>2509572538</v>
      </c>
    </row>
    <row r="205" spans="1:7">
      <c r="A205" s="20">
        <v>2009</v>
      </c>
      <c r="B205" s="20" t="s">
        <v>2844</v>
      </c>
      <c r="C205" s="20" t="str">
        <f t="shared" si="3"/>
        <v>2009_Timor-Leste</v>
      </c>
      <c r="D205" s="19" t="s">
        <v>238</v>
      </c>
      <c r="E205" s="21" t="s">
        <v>504</v>
      </c>
      <c r="F205" s="22" t="s">
        <v>50</v>
      </c>
      <c r="G205" s="23">
        <v>1763889996</v>
      </c>
    </row>
    <row r="206" spans="1:7">
      <c r="A206" s="20">
        <v>2010</v>
      </c>
      <c r="B206" s="20" t="s">
        <v>2844</v>
      </c>
      <c r="C206" s="20" t="str">
        <f t="shared" si="3"/>
        <v>2010_Timor-Leste</v>
      </c>
      <c r="D206" s="19" t="s">
        <v>238</v>
      </c>
      <c r="E206" s="21" t="s">
        <v>371</v>
      </c>
      <c r="F206" s="22" t="s">
        <v>50</v>
      </c>
      <c r="G206" s="23">
        <v>2149721568</v>
      </c>
    </row>
    <row r="207" spans="1:7">
      <c r="A207" s="20">
        <v>2011</v>
      </c>
      <c r="B207" s="20" t="s">
        <v>2844</v>
      </c>
      <c r="C207" s="20" t="str">
        <f t="shared" si="3"/>
        <v>2011_Timor-Leste</v>
      </c>
      <c r="D207" s="19" t="s">
        <v>238</v>
      </c>
      <c r="E207" s="21" t="s">
        <v>39</v>
      </c>
      <c r="F207" s="22" t="s">
        <v>50</v>
      </c>
      <c r="G207" s="23">
        <v>3453285817</v>
      </c>
    </row>
    <row r="208" spans="1:7" ht="45">
      <c r="A208" s="20">
        <v>2010</v>
      </c>
      <c r="B208" s="20" t="s">
        <v>510</v>
      </c>
      <c r="C208" s="20" t="str">
        <f t="shared" si="3"/>
        <v>2010_Togo</v>
      </c>
      <c r="D208" s="19" t="s">
        <v>81</v>
      </c>
      <c r="E208" s="22" t="s">
        <v>511</v>
      </c>
      <c r="F208" s="22" t="s">
        <v>512</v>
      </c>
      <c r="G208" s="23">
        <v>60128720.446464643</v>
      </c>
    </row>
    <row r="209" spans="1:7" ht="45">
      <c r="A209" s="20">
        <v>2011</v>
      </c>
      <c r="B209" s="20" t="s">
        <v>510</v>
      </c>
      <c r="C209" s="20" t="str">
        <f t="shared" si="3"/>
        <v>2011_Togo</v>
      </c>
      <c r="D209" s="19" t="s">
        <v>81</v>
      </c>
      <c r="E209" s="22" t="s">
        <v>206</v>
      </c>
      <c r="F209" s="22" t="s">
        <v>512</v>
      </c>
      <c r="G209" s="23">
        <v>31315792.572000001</v>
      </c>
    </row>
    <row r="210" spans="1:7" ht="30">
      <c r="A210" s="163">
        <v>2012</v>
      </c>
      <c r="B210" s="163" t="s">
        <v>510</v>
      </c>
      <c r="C210" s="20" t="str">
        <f t="shared" si="3"/>
        <v>2012_Togo</v>
      </c>
      <c r="D210" s="163" t="s">
        <v>81</v>
      </c>
      <c r="E210" s="162" t="s">
        <v>45</v>
      </c>
      <c r="F210" s="163" t="s">
        <v>19</v>
      </c>
      <c r="G210" s="17">
        <v>31681601.940000001</v>
      </c>
    </row>
    <row r="211" spans="1:7">
      <c r="A211" s="20">
        <v>2011</v>
      </c>
      <c r="B211" s="20" t="s">
        <v>2845</v>
      </c>
      <c r="C211" s="20" t="str">
        <f t="shared" si="3"/>
        <v>2011_Trinidad and Tobago</v>
      </c>
      <c r="D211" s="19" t="s">
        <v>214</v>
      </c>
      <c r="E211" s="21" t="s">
        <v>319</v>
      </c>
      <c r="F211" s="22" t="s">
        <v>50</v>
      </c>
      <c r="G211" s="23">
        <v>3593984496</v>
      </c>
    </row>
    <row r="212" spans="1:7">
      <c r="A212" s="20">
        <v>2005</v>
      </c>
      <c r="B212" s="20" t="s">
        <v>522</v>
      </c>
      <c r="C212" s="20" t="str">
        <f t="shared" si="3"/>
        <v>2005_Yemen</v>
      </c>
      <c r="D212" s="19" t="s">
        <v>246</v>
      </c>
      <c r="E212" s="21" t="s">
        <v>523</v>
      </c>
      <c r="F212" s="22" t="s">
        <v>50</v>
      </c>
      <c r="G212" s="23">
        <v>4668154975</v>
      </c>
    </row>
    <row r="213" spans="1:7">
      <c r="A213" s="20">
        <v>2006</v>
      </c>
      <c r="B213" s="20" t="s">
        <v>522</v>
      </c>
      <c r="C213" s="20" t="str">
        <f t="shared" si="3"/>
        <v>2006_Yemen</v>
      </c>
      <c r="D213" s="19" t="s">
        <v>246</v>
      </c>
      <c r="E213" s="21" t="s">
        <v>523</v>
      </c>
      <c r="F213" s="22" t="s">
        <v>50</v>
      </c>
      <c r="G213" s="23">
        <v>5122351269</v>
      </c>
    </row>
    <row r="214" spans="1:7">
      <c r="A214" s="20">
        <v>2007</v>
      </c>
      <c r="B214" s="20" t="s">
        <v>522</v>
      </c>
      <c r="C214" s="20" t="str">
        <f t="shared" si="3"/>
        <v>2007_Yemen</v>
      </c>
      <c r="D214" s="19" t="s">
        <v>246</v>
      </c>
      <c r="E214" s="21" t="s">
        <v>523</v>
      </c>
      <c r="F214" s="22" t="s">
        <v>50</v>
      </c>
      <c r="G214" s="23">
        <v>5331162225</v>
      </c>
    </row>
    <row r="215" spans="1:7">
      <c r="A215" s="20">
        <v>2008</v>
      </c>
      <c r="B215" s="20" t="s">
        <v>522</v>
      </c>
      <c r="C215" s="20" t="str">
        <f t="shared" si="3"/>
        <v>2008_Yemen</v>
      </c>
      <c r="D215" s="19" t="s">
        <v>246</v>
      </c>
      <c r="E215" s="21" t="s">
        <v>77</v>
      </c>
      <c r="F215" s="22" t="s">
        <v>50</v>
      </c>
      <c r="G215" s="23">
        <v>7591231594</v>
      </c>
    </row>
    <row r="216" spans="1:7">
      <c r="A216" s="20">
        <v>2009</v>
      </c>
      <c r="B216" s="20" t="s">
        <v>522</v>
      </c>
      <c r="C216" s="20" t="str">
        <f t="shared" si="3"/>
        <v>2009_Yemen</v>
      </c>
      <c r="D216" s="19" t="s">
        <v>246</v>
      </c>
      <c r="E216" s="21" t="s">
        <v>77</v>
      </c>
      <c r="F216" s="22" t="s">
        <v>50</v>
      </c>
      <c r="G216" s="23">
        <v>3625997931</v>
      </c>
    </row>
    <row r="217" spans="1:7">
      <c r="A217" s="20">
        <v>2010</v>
      </c>
      <c r="B217" s="20" t="s">
        <v>522</v>
      </c>
      <c r="C217" s="20" t="str">
        <f t="shared" si="3"/>
        <v>2010_Yemen</v>
      </c>
      <c r="D217" s="19" t="s">
        <v>246</v>
      </c>
      <c r="E217" s="21" t="s">
        <v>77</v>
      </c>
      <c r="F217" s="22" t="s">
        <v>50</v>
      </c>
      <c r="G217" s="23">
        <v>5081696110</v>
      </c>
    </row>
    <row r="218" spans="1:7">
      <c r="A218" s="20">
        <v>2011</v>
      </c>
      <c r="B218" s="20" t="s">
        <v>522</v>
      </c>
      <c r="C218" s="20" t="str">
        <f t="shared" si="3"/>
        <v>2011_Yemen</v>
      </c>
      <c r="D218" s="19" t="s">
        <v>246</v>
      </c>
      <c r="E218" s="21" t="s">
        <v>291</v>
      </c>
      <c r="F218" s="22" t="s">
        <v>50</v>
      </c>
      <c r="G218" s="23">
        <v>5539756725</v>
      </c>
    </row>
    <row r="219" spans="1:7">
      <c r="A219" s="20">
        <v>2008</v>
      </c>
      <c r="B219" s="20" t="s">
        <v>534</v>
      </c>
      <c r="C219" s="20" t="str">
        <f t="shared" si="3"/>
        <v>2008_Zambia</v>
      </c>
      <c r="D219" s="19" t="s">
        <v>81</v>
      </c>
      <c r="E219" s="21" t="s">
        <v>302</v>
      </c>
      <c r="F219" s="22" t="s">
        <v>19</v>
      </c>
      <c r="G219" s="23">
        <v>470370875</v>
      </c>
    </row>
    <row r="220" spans="1:7">
      <c r="A220" s="20">
        <v>2009</v>
      </c>
      <c r="B220" s="20" t="s">
        <v>534</v>
      </c>
      <c r="C220" s="20" t="str">
        <f t="shared" si="3"/>
        <v>2009_Zambia</v>
      </c>
      <c r="D220" s="19" t="s">
        <v>81</v>
      </c>
      <c r="E220" s="21" t="s">
        <v>511</v>
      </c>
      <c r="F220" s="22" t="s">
        <v>19</v>
      </c>
      <c r="G220" s="23">
        <v>533783358</v>
      </c>
    </row>
    <row r="221" spans="1:7">
      <c r="A221" s="20">
        <v>2010</v>
      </c>
      <c r="B221" s="20" t="s">
        <v>534</v>
      </c>
      <c r="C221" s="20" t="str">
        <f t="shared" si="3"/>
        <v>2010_Zambia</v>
      </c>
      <c r="D221" s="19" t="s">
        <v>81</v>
      </c>
      <c r="E221" s="21" t="s">
        <v>206</v>
      </c>
      <c r="F221" s="22" t="s">
        <v>19</v>
      </c>
      <c r="G221" s="23">
        <v>757063737</v>
      </c>
    </row>
    <row r="222" spans="1:7">
      <c r="A222" s="20">
        <v>2011</v>
      </c>
      <c r="B222" s="20" t="s">
        <v>534</v>
      </c>
      <c r="C222" s="20" t="str">
        <f t="shared" si="3"/>
        <v>2011_Zambia</v>
      </c>
      <c r="D222" s="19" t="s">
        <v>81</v>
      </c>
      <c r="E222" s="21" t="s">
        <v>453</v>
      </c>
      <c r="F222" s="22" t="s">
        <v>19</v>
      </c>
      <c r="G222" s="23">
        <v>1588841770</v>
      </c>
    </row>
    <row r="223" spans="1:7" ht="30">
      <c r="A223" s="163">
        <v>2012</v>
      </c>
      <c r="B223" s="163" t="s">
        <v>534</v>
      </c>
      <c r="C223" s="20" t="str">
        <f t="shared" si="3"/>
        <v>2012_Zambia</v>
      </c>
      <c r="D223" s="163" t="s">
        <v>81</v>
      </c>
      <c r="E223" s="162" t="s">
        <v>543</v>
      </c>
      <c r="F223" s="163" t="s">
        <v>36</v>
      </c>
      <c r="G223" s="164">
        <v>1537626771.04</v>
      </c>
    </row>
    <row r="224" spans="1:7" ht="30">
      <c r="A224" s="163">
        <v>2013</v>
      </c>
      <c r="B224" s="163" t="s">
        <v>534</v>
      </c>
      <c r="C224" s="20" t="str">
        <f t="shared" si="3"/>
        <v>2013_Zambia</v>
      </c>
      <c r="D224" s="163" t="s">
        <v>81</v>
      </c>
      <c r="E224" s="162" t="s">
        <v>45</v>
      </c>
      <c r="F224" s="163" t="s">
        <v>36</v>
      </c>
      <c r="G224" s="170">
        <v>1498550077.77</v>
      </c>
    </row>
  </sheetData>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3"/>
  <sheetViews>
    <sheetView workbookViewId="0">
      <selection activeCell="D358" sqref="D358"/>
    </sheetView>
  </sheetViews>
  <sheetFormatPr defaultColWidth="8.85546875" defaultRowHeight="15"/>
  <cols>
    <col min="1" max="1" width="11.28515625" style="148" customWidth="1"/>
    <col min="2" max="2" width="22.7109375" style="148" bestFit="1" customWidth="1"/>
    <col min="3" max="3" width="27.85546875" style="148" bestFit="1" customWidth="1"/>
    <col min="4" max="4" width="34.7109375" style="148" bestFit="1" customWidth="1"/>
    <col min="5" max="5" width="29.7109375" style="148" bestFit="1" customWidth="1"/>
    <col min="6" max="6" width="33.7109375" style="148" customWidth="1"/>
    <col min="7" max="7" width="17.140625" style="148" customWidth="1"/>
    <col min="8" max="8" width="14.42578125" style="148" customWidth="1"/>
    <col min="9" max="9" width="27.42578125" style="148" customWidth="1"/>
    <col min="10" max="10" width="17.85546875" style="148" customWidth="1"/>
    <col min="11" max="11" width="17.42578125" style="148" customWidth="1"/>
    <col min="12" max="12" width="21.140625" style="148" customWidth="1"/>
    <col min="13" max="13" width="13.140625" style="148" customWidth="1"/>
    <col min="14" max="16384" width="8.85546875" style="148"/>
  </cols>
  <sheetData>
    <row r="1" spans="1:13">
      <c r="D1" s="148">
        <v>2</v>
      </c>
      <c r="E1" s="148">
        <v>3</v>
      </c>
      <c r="F1" s="148">
        <v>4</v>
      </c>
      <c r="G1" s="148">
        <v>5</v>
      </c>
      <c r="H1" s="148">
        <v>6</v>
      </c>
      <c r="I1" s="148">
        <v>7</v>
      </c>
      <c r="J1" s="148">
        <v>8</v>
      </c>
      <c r="K1" s="148">
        <v>9</v>
      </c>
      <c r="L1" s="148">
        <v>10</v>
      </c>
      <c r="M1" s="148">
        <v>11</v>
      </c>
    </row>
    <row r="2" spans="1:13">
      <c r="A2" s="148" t="s">
        <v>2849</v>
      </c>
      <c r="B2" s="148" t="s">
        <v>551</v>
      </c>
      <c r="C2" s="148" t="s">
        <v>2850</v>
      </c>
      <c r="D2" s="148" t="s">
        <v>2851</v>
      </c>
      <c r="E2" s="148" t="s">
        <v>2852</v>
      </c>
      <c r="F2" s="148" t="s">
        <v>2853</v>
      </c>
      <c r="G2" s="148" t="s">
        <v>2854</v>
      </c>
      <c r="H2" s="148" t="s">
        <v>2855</v>
      </c>
      <c r="I2" s="148" t="s">
        <v>2856</v>
      </c>
      <c r="J2" s="148" t="s">
        <v>2857</v>
      </c>
      <c r="K2" s="148" t="s">
        <v>2858</v>
      </c>
      <c r="L2" s="148" t="s">
        <v>2859</v>
      </c>
      <c r="M2" s="148" t="s">
        <v>2860</v>
      </c>
    </row>
    <row r="3" spans="1:13">
      <c r="A3" s="148">
        <v>1999</v>
      </c>
      <c r="B3" s="148" t="s">
        <v>16</v>
      </c>
      <c r="C3" s="148" t="str">
        <f>$A3&amp;"_"&amp;$B3</f>
        <v>1999_Afghanistan</v>
      </c>
      <c r="D3" s="148" t="s">
        <v>2842</v>
      </c>
      <c r="E3" s="148">
        <v>19987071</v>
      </c>
      <c r="F3" s="148" t="s">
        <v>2842</v>
      </c>
      <c r="G3" s="148">
        <v>142860000</v>
      </c>
      <c r="H3" s="148">
        <v>142860000</v>
      </c>
      <c r="I3" s="148" t="s">
        <v>2842</v>
      </c>
      <c r="J3" s="148" t="s">
        <v>2842</v>
      </c>
      <c r="K3" s="148" t="s">
        <v>2842</v>
      </c>
      <c r="L3" s="148">
        <v>54.432878048780495</v>
      </c>
      <c r="M3" s="148">
        <v>96.2</v>
      </c>
    </row>
    <row r="4" spans="1:13">
      <c r="A4" s="148">
        <v>1999</v>
      </c>
      <c r="B4" s="148" t="s">
        <v>33</v>
      </c>
      <c r="C4" s="148" t="str">
        <f t="shared" ref="C4:C67" si="0">$A4&amp;"_"&amp;$B4</f>
        <v>1999_Albania</v>
      </c>
      <c r="D4" s="148">
        <v>3434402453.294714</v>
      </c>
      <c r="E4" s="148">
        <v>3108778</v>
      </c>
      <c r="F4" s="148" t="s">
        <v>2842</v>
      </c>
      <c r="G4" s="148">
        <v>488150000</v>
      </c>
      <c r="H4" s="148">
        <v>488150000</v>
      </c>
      <c r="I4" s="148">
        <v>3.3603800000000001</v>
      </c>
      <c r="J4" s="148">
        <v>2.5246123830076899</v>
      </c>
      <c r="K4" s="148" t="s">
        <v>2842</v>
      </c>
      <c r="L4" s="148">
        <v>73.793390243902451</v>
      </c>
      <c r="M4" s="148">
        <v>24.3</v>
      </c>
    </row>
    <row r="5" spans="1:13">
      <c r="A5" s="148">
        <v>1999</v>
      </c>
      <c r="B5" s="148" t="s">
        <v>48</v>
      </c>
      <c r="C5" s="148" t="str">
        <f t="shared" si="0"/>
        <v>1999_Azerbaijan</v>
      </c>
      <c r="D5" s="148">
        <v>4581222442.4578314</v>
      </c>
      <c r="E5" s="148">
        <v>7982750</v>
      </c>
      <c r="F5" s="148">
        <v>17.572989181686218</v>
      </c>
      <c r="G5" s="148">
        <v>169420000</v>
      </c>
      <c r="H5" s="148">
        <v>169420000</v>
      </c>
      <c r="I5" s="148">
        <v>4.2121700000000004</v>
      </c>
      <c r="J5" s="148">
        <v>0.98543046357615904</v>
      </c>
      <c r="K5" s="148" t="s">
        <v>2842</v>
      </c>
      <c r="L5" s="148">
        <v>66.355487804878052</v>
      </c>
      <c r="M5" s="148">
        <v>64.5</v>
      </c>
    </row>
    <row r="6" spans="1:13">
      <c r="A6" s="148">
        <v>1999</v>
      </c>
      <c r="B6" s="148" t="s">
        <v>93</v>
      </c>
      <c r="C6" s="148" t="str">
        <f t="shared" si="0"/>
        <v>1999_Burkina Faso</v>
      </c>
      <c r="D6" s="148">
        <v>3014665572.208353</v>
      </c>
      <c r="E6" s="148">
        <v>11281942</v>
      </c>
      <c r="F6" s="148" t="s">
        <v>2842</v>
      </c>
      <c r="G6" s="148">
        <v>398600000</v>
      </c>
      <c r="H6" s="148">
        <v>398600000</v>
      </c>
      <c r="I6" s="148" t="s">
        <v>2842</v>
      </c>
      <c r="J6" s="148">
        <v>2.1681725781364198</v>
      </c>
      <c r="K6" s="148" t="s">
        <v>2842</v>
      </c>
      <c r="L6" s="148">
        <v>50.154560975609762</v>
      </c>
      <c r="M6" s="148">
        <v>97.3</v>
      </c>
    </row>
    <row r="7" spans="1:13">
      <c r="A7" s="148">
        <v>1999</v>
      </c>
      <c r="B7" s="148" t="s">
        <v>96</v>
      </c>
      <c r="C7" s="148" t="str">
        <f t="shared" si="0"/>
        <v>1999_Cameroon</v>
      </c>
      <c r="D7" s="148">
        <v>10486451906.6665</v>
      </c>
      <c r="E7" s="148">
        <v>15513653</v>
      </c>
      <c r="F7" s="148">
        <v>14.05793522299861</v>
      </c>
      <c r="G7" s="148">
        <v>434290000</v>
      </c>
      <c r="H7" s="148">
        <v>434290000</v>
      </c>
      <c r="I7" s="148" t="s">
        <v>2842</v>
      </c>
      <c r="J7" s="148">
        <v>0.83373448173324904</v>
      </c>
      <c r="K7" s="148" t="s">
        <v>2842</v>
      </c>
      <c r="L7" s="148">
        <v>52.173853658536594</v>
      </c>
      <c r="M7" s="148">
        <v>94.2</v>
      </c>
    </row>
    <row r="8" spans="1:13">
      <c r="A8" s="148">
        <v>1999</v>
      </c>
      <c r="B8" s="148" t="s">
        <v>133</v>
      </c>
      <c r="C8" s="148" t="str">
        <f t="shared" si="0"/>
        <v>1999_Chad</v>
      </c>
      <c r="D8" s="148">
        <v>1534673503.5517304</v>
      </c>
      <c r="E8" s="148">
        <v>8002899</v>
      </c>
      <c r="F8" s="148" t="s">
        <v>2842</v>
      </c>
      <c r="G8" s="148">
        <v>187850000</v>
      </c>
      <c r="H8" s="148">
        <v>187850000</v>
      </c>
      <c r="I8" s="148">
        <v>3.2278600000000002</v>
      </c>
      <c r="J8" s="148">
        <v>1.9898355381521899</v>
      </c>
      <c r="K8" s="148" t="s">
        <v>2842</v>
      </c>
      <c r="L8" s="148">
        <v>46.617731707317077</v>
      </c>
      <c r="M8" s="148">
        <v>107</v>
      </c>
    </row>
    <row r="9" spans="1:13">
      <c r="A9" s="148">
        <v>1999</v>
      </c>
      <c r="B9" s="148" t="s">
        <v>122</v>
      </c>
      <c r="C9" s="148" t="str">
        <f t="shared" si="0"/>
        <v>1999_Central African Republic</v>
      </c>
      <c r="D9" s="148">
        <v>999477458.73047352</v>
      </c>
      <c r="E9" s="148">
        <v>3569523</v>
      </c>
      <c r="F9" s="148" t="s">
        <v>2842</v>
      </c>
      <c r="G9" s="148">
        <v>118090000</v>
      </c>
      <c r="H9" s="148">
        <v>118090000</v>
      </c>
      <c r="I9" s="148">
        <v>1.6900200000000001</v>
      </c>
      <c r="J9" s="148">
        <v>1.8277220492770001</v>
      </c>
      <c r="K9" s="148" t="s">
        <v>2842</v>
      </c>
      <c r="L9" s="148">
        <v>43.670878048780502</v>
      </c>
      <c r="M9" s="148">
        <v>113.6</v>
      </c>
    </row>
    <row r="10" spans="1:13">
      <c r="A10" s="148">
        <v>1999</v>
      </c>
      <c r="B10" s="148" t="s">
        <v>165</v>
      </c>
      <c r="C10" s="148" t="str">
        <f t="shared" si="0"/>
        <v>1999_Democratic Republic of Congo</v>
      </c>
      <c r="D10" s="148">
        <v>4711259427.272727</v>
      </c>
      <c r="E10" s="148">
        <v>45889100</v>
      </c>
      <c r="F10" s="148">
        <v>5.0092762592064819</v>
      </c>
      <c r="G10" s="148">
        <v>133970000</v>
      </c>
      <c r="H10" s="148">
        <v>133970000</v>
      </c>
      <c r="I10" s="148" t="s">
        <v>2842</v>
      </c>
      <c r="J10" s="148">
        <v>0.247696718321195</v>
      </c>
      <c r="K10" s="148" t="s">
        <v>2842</v>
      </c>
      <c r="L10" s="148">
        <v>46.113243902439031</v>
      </c>
      <c r="M10" s="148">
        <v>114.7</v>
      </c>
    </row>
    <row r="11" spans="1:13">
      <c r="A11" s="148">
        <v>1999</v>
      </c>
      <c r="B11" s="148" t="s">
        <v>458</v>
      </c>
      <c r="C11" s="148" t="str">
        <f t="shared" si="0"/>
        <v>1999_Republic of the Congo</v>
      </c>
      <c r="D11" s="148">
        <v>2353909441.7005911</v>
      </c>
      <c r="E11" s="148">
        <v>3044444</v>
      </c>
      <c r="F11" s="148" t="s">
        <v>2842</v>
      </c>
      <c r="G11" s="148">
        <v>140350000</v>
      </c>
      <c r="H11" s="148">
        <v>140350000</v>
      </c>
      <c r="I11" s="148" t="s">
        <v>2842</v>
      </c>
      <c r="J11" s="148">
        <v>1.7527648845711701</v>
      </c>
      <c r="K11" s="148" t="s">
        <v>2842</v>
      </c>
      <c r="L11" s="148">
        <v>52.271219512195131</v>
      </c>
      <c r="M11" s="148">
        <v>76.3</v>
      </c>
    </row>
    <row r="12" spans="1:13">
      <c r="A12" s="148">
        <v>1999</v>
      </c>
      <c r="B12" s="33" t="s">
        <v>3542</v>
      </c>
      <c r="C12" s="148" t="str">
        <f t="shared" si="0"/>
        <v>1999_Côte d'Ivoire</v>
      </c>
      <c r="D12" s="148">
        <v>12556457526.935257</v>
      </c>
      <c r="E12" s="148">
        <v>15802248</v>
      </c>
      <c r="F12" s="148" t="s">
        <v>2842</v>
      </c>
      <c r="G12" s="148">
        <v>447360000</v>
      </c>
      <c r="H12" s="148">
        <v>447360000</v>
      </c>
      <c r="I12" s="148">
        <v>4.0357000000000003</v>
      </c>
      <c r="J12" s="148">
        <v>1.77389475446152</v>
      </c>
      <c r="K12" s="148" t="s">
        <v>2842</v>
      </c>
      <c r="L12" s="148">
        <v>46.835560975609759</v>
      </c>
      <c r="M12" s="148">
        <v>101</v>
      </c>
    </row>
    <row r="13" spans="1:13">
      <c r="A13" s="148">
        <v>1999</v>
      </c>
      <c r="B13" s="148" t="s">
        <v>182</v>
      </c>
      <c r="C13" s="148" t="str">
        <f t="shared" si="0"/>
        <v>1999_Equatorial Guinea</v>
      </c>
      <c r="D13" s="148">
        <v>621117853.41329598</v>
      </c>
      <c r="E13" s="148">
        <v>502169</v>
      </c>
      <c r="F13" s="148" t="s">
        <v>2842</v>
      </c>
      <c r="G13" s="148">
        <v>20140000</v>
      </c>
      <c r="H13" s="148">
        <v>20140000</v>
      </c>
      <c r="I13" s="148" t="s">
        <v>2842</v>
      </c>
      <c r="J13" s="148">
        <v>1.36917989250512</v>
      </c>
      <c r="K13" s="148" t="s">
        <v>2842</v>
      </c>
      <c r="L13" s="148">
        <v>47.737536585365859</v>
      </c>
      <c r="M13" s="148">
        <v>101.3</v>
      </c>
    </row>
    <row r="14" spans="1:13">
      <c r="A14" s="148">
        <v>1999</v>
      </c>
      <c r="B14" s="148" t="s">
        <v>185</v>
      </c>
      <c r="C14" s="148" t="str">
        <f t="shared" si="0"/>
        <v>1999_Gabon</v>
      </c>
      <c r="D14" s="148">
        <v>4662991794.0539551</v>
      </c>
      <c r="E14" s="148">
        <v>1195919</v>
      </c>
      <c r="F14" s="148" t="s">
        <v>2842</v>
      </c>
      <c r="G14" s="148">
        <v>47610000</v>
      </c>
      <c r="H14" s="148">
        <v>47610000</v>
      </c>
      <c r="I14" s="148">
        <v>3.0812300000000001</v>
      </c>
      <c r="J14" s="148">
        <v>1.2091887596736299</v>
      </c>
      <c r="K14" s="148" t="s">
        <v>2842</v>
      </c>
      <c r="L14" s="148">
        <v>59.968121951219523</v>
      </c>
      <c r="M14" s="148">
        <v>56</v>
      </c>
    </row>
    <row r="15" spans="1:13">
      <c r="A15" s="148">
        <v>1999</v>
      </c>
      <c r="B15" s="148" t="s">
        <v>189</v>
      </c>
      <c r="C15" s="148" t="str">
        <f t="shared" si="0"/>
        <v>1999_Ghana</v>
      </c>
      <c r="D15" s="148">
        <v>7718110780.9481468</v>
      </c>
      <c r="E15" s="148">
        <v>18384302</v>
      </c>
      <c r="F15" s="148" t="s">
        <v>2842</v>
      </c>
      <c r="G15" s="148">
        <v>607780000</v>
      </c>
      <c r="H15" s="148">
        <v>607780000</v>
      </c>
      <c r="I15" s="148">
        <v>4.1103699999999996</v>
      </c>
      <c r="J15" s="148">
        <v>2.5912119335464898</v>
      </c>
      <c r="K15" s="148" t="s">
        <v>2842</v>
      </c>
      <c r="L15" s="148">
        <v>56.953707317073174</v>
      </c>
      <c r="M15" s="148">
        <v>67</v>
      </c>
    </row>
    <row r="16" spans="1:13">
      <c r="A16" s="148">
        <v>1999</v>
      </c>
      <c r="B16" s="148" t="s">
        <v>2843</v>
      </c>
      <c r="C16" s="148" t="str">
        <f t="shared" si="0"/>
        <v>1999_Guinea</v>
      </c>
      <c r="D16" s="148">
        <v>3461282189.6964331</v>
      </c>
      <c r="E16" s="148">
        <v>8600911</v>
      </c>
      <c r="F16" s="148">
        <v>11.971626516321862</v>
      </c>
      <c r="G16" s="148">
        <v>237640000</v>
      </c>
      <c r="H16" s="148">
        <v>237640000</v>
      </c>
      <c r="I16" s="148">
        <v>2.3614199999999999</v>
      </c>
      <c r="J16" s="148">
        <v>1.0340789951800899</v>
      </c>
      <c r="K16" s="148" t="s">
        <v>2842</v>
      </c>
      <c r="L16" s="148">
        <v>51.335634146341476</v>
      </c>
      <c r="M16" s="148">
        <v>106.9</v>
      </c>
    </row>
    <row r="17" spans="1:13">
      <c r="A17" s="148">
        <v>1999</v>
      </c>
      <c r="B17" s="148" t="s">
        <v>213</v>
      </c>
      <c r="C17" s="148" t="str">
        <f t="shared" si="0"/>
        <v>1999_Guatemala</v>
      </c>
      <c r="D17" s="148">
        <v>18317089473.090385</v>
      </c>
      <c r="E17" s="148">
        <v>10941913</v>
      </c>
      <c r="F17" s="148">
        <v>10.323847152464129</v>
      </c>
      <c r="G17" s="148">
        <v>293140000</v>
      </c>
      <c r="H17" s="148">
        <v>293140000</v>
      </c>
      <c r="I17" s="148" t="s">
        <v>2842</v>
      </c>
      <c r="J17" s="148">
        <v>2.4579602898933999</v>
      </c>
      <c r="K17" s="148" t="s">
        <v>2842</v>
      </c>
      <c r="L17" s="148">
        <v>67.21519512195124</v>
      </c>
      <c r="M17" s="148">
        <v>41.5</v>
      </c>
    </row>
    <row r="18" spans="1:13">
      <c r="A18" s="148">
        <v>1999</v>
      </c>
      <c r="B18" s="148" t="s">
        <v>237</v>
      </c>
      <c r="C18" s="148" t="str">
        <f t="shared" si="0"/>
        <v>1999_Indonesia</v>
      </c>
      <c r="D18" s="148">
        <v>140001352527.22189</v>
      </c>
      <c r="E18" s="148">
        <v>205946831</v>
      </c>
      <c r="F18" s="148">
        <v>16.709986166020951</v>
      </c>
      <c r="G18" s="148">
        <v>2122659999.9999998</v>
      </c>
      <c r="H18" s="148">
        <v>2122659999.9999998</v>
      </c>
      <c r="I18" s="148" t="s">
        <v>2842</v>
      </c>
      <c r="J18" s="148">
        <v>0.78934694634796998</v>
      </c>
      <c r="K18" s="148">
        <v>23.4</v>
      </c>
      <c r="L18" s="148">
        <v>66.910243902439035</v>
      </c>
      <c r="M18" s="148">
        <v>42.8</v>
      </c>
    </row>
    <row r="19" spans="1:13">
      <c r="A19" s="148">
        <v>1999</v>
      </c>
      <c r="B19" s="148" t="s">
        <v>245</v>
      </c>
      <c r="C19" s="148" t="str">
        <f t="shared" si="0"/>
        <v>1999_Iraq</v>
      </c>
      <c r="D19" s="148" t="s">
        <v>2842</v>
      </c>
      <c r="E19" s="148">
        <v>23091408</v>
      </c>
      <c r="F19" s="148" t="s">
        <v>2842</v>
      </c>
      <c r="G19" s="148">
        <v>76790000</v>
      </c>
      <c r="H19" s="148">
        <v>76790000</v>
      </c>
      <c r="I19" s="148" t="s">
        <v>2842</v>
      </c>
      <c r="J19" s="148">
        <v>6.6088466549712302E-2</v>
      </c>
      <c r="K19" s="148" t="s">
        <v>2842</v>
      </c>
      <c r="L19" s="148">
        <v>70.93470731707319</v>
      </c>
      <c r="M19" s="148">
        <v>36.299999999999997</v>
      </c>
    </row>
    <row r="20" spans="1:13">
      <c r="A20" s="148">
        <v>1999</v>
      </c>
      <c r="B20" s="148" t="s">
        <v>273</v>
      </c>
      <c r="C20" s="148" t="str">
        <f t="shared" si="0"/>
        <v>1999_Kazakhstan</v>
      </c>
      <c r="D20" s="148">
        <v>16870817134.77667</v>
      </c>
      <c r="E20" s="148">
        <v>14928426</v>
      </c>
      <c r="F20" s="148">
        <v>8.5652240517188485</v>
      </c>
      <c r="G20" s="148">
        <v>174980000</v>
      </c>
      <c r="H20" s="148">
        <v>174980000</v>
      </c>
      <c r="I20" s="148">
        <v>3.8925700000000001</v>
      </c>
      <c r="J20" s="148">
        <v>2.2961076264495701</v>
      </c>
      <c r="K20" s="148" t="s">
        <v>2842</v>
      </c>
      <c r="L20" s="148">
        <v>65.519512195121962</v>
      </c>
      <c r="M20" s="148">
        <v>39.4</v>
      </c>
    </row>
    <row r="21" spans="1:13">
      <c r="A21" s="148">
        <v>1999</v>
      </c>
      <c r="B21" s="148" t="s">
        <v>278</v>
      </c>
      <c r="C21" s="148" t="str">
        <f t="shared" si="0"/>
        <v>1999_Kyrgyz Republic</v>
      </c>
      <c r="D21" s="148">
        <v>1249062025.1380541</v>
      </c>
      <c r="E21" s="148">
        <v>4840400</v>
      </c>
      <c r="F21" s="148">
        <v>15.848548891770747</v>
      </c>
      <c r="G21" s="148">
        <v>283130000</v>
      </c>
      <c r="H21" s="148">
        <v>283130000</v>
      </c>
      <c r="I21" s="148">
        <v>4.0852199999999996</v>
      </c>
      <c r="J21" s="148">
        <v>2.2515479269243399</v>
      </c>
      <c r="K21" s="148" t="s">
        <v>2842</v>
      </c>
      <c r="L21" s="148">
        <v>67.002439024390256</v>
      </c>
      <c r="M21" s="148">
        <v>43.8</v>
      </c>
    </row>
    <row r="22" spans="1:13">
      <c r="A22" s="148">
        <v>1999</v>
      </c>
      <c r="B22" s="148" t="s">
        <v>294</v>
      </c>
      <c r="C22" s="148" t="str">
        <f t="shared" si="0"/>
        <v>1999_Liberia</v>
      </c>
      <c r="D22" s="148">
        <v>441800019.37831867</v>
      </c>
      <c r="E22" s="148">
        <v>2741755</v>
      </c>
      <c r="F22" s="148" t="s">
        <v>2842</v>
      </c>
      <c r="G22" s="148">
        <v>93950000</v>
      </c>
      <c r="H22" s="148">
        <v>93950000</v>
      </c>
      <c r="I22" s="148" t="s">
        <v>2842</v>
      </c>
      <c r="J22" s="148">
        <v>1.5730205061825799</v>
      </c>
      <c r="K22" s="148" t="s">
        <v>2842</v>
      </c>
      <c r="L22" s="148">
        <v>52.301170731707323</v>
      </c>
      <c r="M22" s="148">
        <v>126.4</v>
      </c>
    </row>
    <row r="23" spans="1:13">
      <c r="A23" s="148">
        <v>1999</v>
      </c>
      <c r="B23" s="148" t="s">
        <v>309</v>
      </c>
      <c r="C23" s="148" t="str">
        <f t="shared" si="0"/>
        <v>1999_Madagascar</v>
      </c>
      <c r="D23" s="148">
        <v>3717515282.5331903</v>
      </c>
      <c r="E23" s="148">
        <v>15262817</v>
      </c>
      <c r="F23" s="148" t="s">
        <v>2842</v>
      </c>
      <c r="G23" s="148">
        <v>358100000</v>
      </c>
      <c r="H23" s="148">
        <v>358100000</v>
      </c>
      <c r="I23" s="148">
        <v>2.76755</v>
      </c>
      <c r="J23" s="148">
        <v>1.95464923238496</v>
      </c>
      <c r="K23" s="148" t="s">
        <v>2842</v>
      </c>
      <c r="L23" s="148">
        <v>57.77173170731708</v>
      </c>
      <c r="M23" s="148">
        <v>74</v>
      </c>
    </row>
    <row r="24" spans="1:13">
      <c r="A24" s="148">
        <v>1999</v>
      </c>
      <c r="B24" s="148" t="s">
        <v>322</v>
      </c>
      <c r="C24" s="148" t="str">
        <f t="shared" si="0"/>
        <v>1999_Mali</v>
      </c>
      <c r="D24" s="148">
        <v>2570429654.9005041</v>
      </c>
      <c r="E24" s="148">
        <v>9977308</v>
      </c>
      <c r="F24" s="148" t="s">
        <v>2842</v>
      </c>
      <c r="G24" s="148">
        <v>354270000</v>
      </c>
      <c r="H24" s="148">
        <v>354270000</v>
      </c>
      <c r="I24" s="148">
        <v>2.9863900000000001</v>
      </c>
      <c r="J24" s="148">
        <v>1.8194883120847301</v>
      </c>
      <c r="K24" s="148" t="s">
        <v>2842</v>
      </c>
      <c r="L24" s="148">
        <v>48.645048780487812</v>
      </c>
      <c r="M24" s="148">
        <v>119</v>
      </c>
    </row>
    <row r="25" spans="1:13">
      <c r="A25" s="148">
        <v>1999</v>
      </c>
      <c r="B25" s="148" t="s">
        <v>338</v>
      </c>
      <c r="C25" s="148" t="str">
        <f t="shared" si="0"/>
        <v>1999_Mauritania</v>
      </c>
      <c r="D25" s="148">
        <v>1194629230.9821777</v>
      </c>
      <c r="E25" s="148">
        <v>2627739</v>
      </c>
      <c r="F25" s="148" t="s">
        <v>2842</v>
      </c>
      <c r="G25" s="148">
        <v>222450000</v>
      </c>
      <c r="H25" s="148">
        <v>222450000</v>
      </c>
      <c r="I25" s="148">
        <v>2.43289</v>
      </c>
      <c r="J25" s="148">
        <v>4.0314972990843101</v>
      </c>
      <c r="K25" s="148" t="s">
        <v>2842</v>
      </c>
      <c r="L25" s="148">
        <v>59.58085365853659</v>
      </c>
      <c r="M25" s="148">
        <v>76.099999999999994</v>
      </c>
    </row>
    <row r="26" spans="1:13">
      <c r="A26" s="148">
        <v>1999</v>
      </c>
      <c r="B26" s="148" t="s">
        <v>357</v>
      </c>
      <c r="C26" s="148" t="str">
        <f t="shared" si="0"/>
        <v>1999_Mongolia</v>
      </c>
      <c r="D26" s="148">
        <v>1057408608.4357866</v>
      </c>
      <c r="E26" s="148">
        <v>2376197</v>
      </c>
      <c r="F26" s="148">
        <v>18.191131780056974</v>
      </c>
      <c r="G26" s="148">
        <v>222260000</v>
      </c>
      <c r="H26" s="148">
        <v>222260000</v>
      </c>
      <c r="I26" s="148">
        <v>5.1456600000000003</v>
      </c>
      <c r="J26" s="148">
        <v>3.4173999483821098</v>
      </c>
      <c r="K26" s="148" t="s">
        <v>2842</v>
      </c>
      <c r="L26" s="148">
        <v>62.480121951219516</v>
      </c>
      <c r="M26" s="148">
        <v>52</v>
      </c>
    </row>
    <row r="27" spans="1:13">
      <c r="A27" s="148">
        <v>1999</v>
      </c>
      <c r="B27" s="148" t="s">
        <v>378</v>
      </c>
      <c r="C27" s="148" t="str">
        <f t="shared" si="0"/>
        <v>1999_Mozambique</v>
      </c>
      <c r="D27" s="148">
        <v>4536278939.2447462</v>
      </c>
      <c r="E27" s="148">
        <v>17798102</v>
      </c>
      <c r="F27" s="148" t="s">
        <v>2842</v>
      </c>
      <c r="G27" s="148">
        <v>818520000</v>
      </c>
      <c r="H27" s="148">
        <v>818520000</v>
      </c>
      <c r="I27" s="148">
        <v>3.6599599999999999</v>
      </c>
      <c r="J27" s="148">
        <v>3.56609747018631</v>
      </c>
      <c r="K27" s="148" t="s">
        <v>2842</v>
      </c>
      <c r="L27" s="148">
        <v>47.258292682926836</v>
      </c>
      <c r="M27" s="148">
        <v>119.4</v>
      </c>
    </row>
    <row r="28" spans="1:13">
      <c r="A28" s="148">
        <v>1999</v>
      </c>
      <c r="B28" s="148" t="s">
        <v>387</v>
      </c>
      <c r="C28" s="148" t="str">
        <f t="shared" si="0"/>
        <v>1999_Niger</v>
      </c>
      <c r="D28" s="148">
        <v>2018193598.2538702</v>
      </c>
      <c r="E28" s="148">
        <v>10596258</v>
      </c>
      <c r="F28" s="148" t="s">
        <v>2842</v>
      </c>
      <c r="G28" s="148">
        <v>187070000</v>
      </c>
      <c r="H28" s="148">
        <v>187070000</v>
      </c>
      <c r="I28" s="148">
        <v>3.2286299999999999</v>
      </c>
      <c r="J28" s="148">
        <v>1.6102766748277799</v>
      </c>
      <c r="K28" s="148" t="s">
        <v>2842</v>
      </c>
      <c r="L28" s="148">
        <v>49.99721951219513</v>
      </c>
      <c r="M28" s="148">
        <v>104.2</v>
      </c>
    </row>
    <row r="29" spans="1:13">
      <c r="A29" s="148">
        <v>1999</v>
      </c>
      <c r="B29" s="148" t="s">
        <v>406</v>
      </c>
      <c r="C29" s="148" t="str">
        <f t="shared" si="0"/>
        <v>1999_Nigeria</v>
      </c>
      <c r="D29" s="148">
        <v>35870792987.943222</v>
      </c>
      <c r="E29" s="148">
        <v>119831888</v>
      </c>
      <c r="F29" s="148" t="s">
        <v>2842</v>
      </c>
      <c r="G29" s="148">
        <v>151800000</v>
      </c>
      <c r="H29" s="148">
        <v>151800000</v>
      </c>
      <c r="I29" s="148" t="s">
        <v>2842</v>
      </c>
      <c r="J29" s="148">
        <v>1.6315964685548801</v>
      </c>
      <c r="K29" s="148" t="s">
        <v>2842</v>
      </c>
      <c r="L29" s="148">
        <v>46.442682926829278</v>
      </c>
      <c r="M29" s="148">
        <v>115.3</v>
      </c>
    </row>
    <row r="30" spans="1:13">
      <c r="A30" s="148">
        <v>1999</v>
      </c>
      <c r="B30" s="148" t="s">
        <v>429</v>
      </c>
      <c r="C30" s="148" t="str">
        <f t="shared" si="0"/>
        <v>1999_Norway</v>
      </c>
      <c r="D30" s="148">
        <v>159045286696.07138</v>
      </c>
      <c r="E30" s="148">
        <v>4461913</v>
      </c>
      <c r="F30" s="148" t="s">
        <v>2842</v>
      </c>
      <c r="G30" s="148" t="s">
        <v>2842</v>
      </c>
      <c r="H30" s="148" t="s">
        <v>2842</v>
      </c>
      <c r="I30" s="148">
        <v>7.1083600000000002</v>
      </c>
      <c r="J30" s="148">
        <v>8.2951784306359304</v>
      </c>
      <c r="K30" s="148" t="s">
        <v>2842</v>
      </c>
      <c r="L30" s="148">
        <v>78.282926829268291</v>
      </c>
      <c r="M30" s="148">
        <v>4</v>
      </c>
    </row>
    <row r="31" spans="1:13">
      <c r="A31" s="148">
        <v>1999</v>
      </c>
      <c r="B31" s="148" t="s">
        <v>442</v>
      </c>
      <c r="C31" s="148" t="str">
        <f t="shared" si="0"/>
        <v>1999_Peru</v>
      </c>
      <c r="D31" s="148">
        <v>49308109291.756302</v>
      </c>
      <c r="E31" s="148">
        <v>25611482</v>
      </c>
      <c r="F31" s="148">
        <v>18.005396525740718</v>
      </c>
      <c r="G31" s="148">
        <v>444710000</v>
      </c>
      <c r="H31" s="148">
        <v>444710000</v>
      </c>
      <c r="I31" s="148">
        <v>3.3513199999999999</v>
      </c>
      <c r="J31" s="148">
        <v>2.7506867886354902</v>
      </c>
      <c r="K31" s="148" t="s">
        <v>2842</v>
      </c>
      <c r="L31" s="148">
        <v>70.030097560975619</v>
      </c>
      <c r="M31" s="148">
        <v>32.700000000000003</v>
      </c>
    </row>
    <row r="32" spans="1:13">
      <c r="A32" s="148">
        <v>1999</v>
      </c>
      <c r="B32" s="148" t="s">
        <v>481</v>
      </c>
      <c r="C32" s="148" t="str">
        <f t="shared" si="0"/>
        <v>1999_Sierra Leone</v>
      </c>
      <c r="D32" s="148">
        <v>669384768.87263048</v>
      </c>
      <c r="E32" s="148">
        <v>4030443</v>
      </c>
      <c r="F32" s="148">
        <v>7.1058979846054999</v>
      </c>
      <c r="G32" s="148">
        <v>73630000</v>
      </c>
      <c r="H32" s="148">
        <v>73630000</v>
      </c>
      <c r="I32" s="148" t="s">
        <v>2842</v>
      </c>
      <c r="J32" s="148">
        <v>2.9731327782188299</v>
      </c>
      <c r="K32" s="148" t="s">
        <v>2842</v>
      </c>
      <c r="L32" s="148">
        <v>37.453073170731706</v>
      </c>
      <c r="M32" s="148">
        <v>143.9</v>
      </c>
    </row>
    <row r="33" spans="1:13">
      <c r="A33" s="148">
        <v>1999</v>
      </c>
      <c r="B33" s="148" t="s">
        <v>492</v>
      </c>
      <c r="C33" s="148" t="str">
        <f t="shared" si="0"/>
        <v>1999_Tanzania</v>
      </c>
      <c r="D33" s="148">
        <v>9697847589.1683483</v>
      </c>
      <c r="E33" s="148">
        <v>33183093</v>
      </c>
      <c r="F33" s="148" t="s">
        <v>2842</v>
      </c>
      <c r="G33" s="148">
        <v>991860000</v>
      </c>
      <c r="H33" s="148">
        <v>991860000</v>
      </c>
      <c r="I33" s="148" t="s">
        <v>2842</v>
      </c>
      <c r="J33" s="148">
        <v>1.5162418121808601</v>
      </c>
      <c r="K33" s="148" t="s">
        <v>2842</v>
      </c>
      <c r="L33" s="148">
        <v>49.589195121951228</v>
      </c>
      <c r="M33" s="148">
        <v>85</v>
      </c>
    </row>
    <row r="34" spans="1:13">
      <c r="A34" s="148">
        <v>1999</v>
      </c>
      <c r="B34" s="148" t="s">
        <v>2844</v>
      </c>
      <c r="C34" s="148" t="str">
        <f t="shared" si="0"/>
        <v>1999_Timor-Leste</v>
      </c>
      <c r="D34" s="148" t="s">
        <v>2842</v>
      </c>
      <c r="E34" s="148">
        <v>848230</v>
      </c>
      <c r="F34" s="148" t="s">
        <v>2842</v>
      </c>
      <c r="G34" s="148">
        <v>152820000</v>
      </c>
      <c r="H34" s="148">
        <v>152820000</v>
      </c>
      <c r="I34" s="148" t="s">
        <v>2842</v>
      </c>
      <c r="J34" s="148" t="s">
        <v>2842</v>
      </c>
      <c r="K34" s="148" t="s">
        <v>2842</v>
      </c>
      <c r="L34" s="148">
        <v>58.50321951219513</v>
      </c>
      <c r="M34" s="148">
        <v>87.8</v>
      </c>
    </row>
    <row r="35" spans="1:13">
      <c r="A35" s="148">
        <v>1999</v>
      </c>
      <c r="B35" s="148" t="s">
        <v>510</v>
      </c>
      <c r="C35" s="148" t="str">
        <f t="shared" si="0"/>
        <v>1999_Togo</v>
      </c>
      <c r="D35" s="148">
        <v>1576094484.7089443</v>
      </c>
      <c r="E35" s="148">
        <v>4740974</v>
      </c>
      <c r="F35" s="148" t="s">
        <v>2842</v>
      </c>
      <c r="G35" s="148">
        <v>71420000</v>
      </c>
      <c r="H35" s="148">
        <v>71420000</v>
      </c>
      <c r="I35" s="148">
        <v>4.1857199999999999</v>
      </c>
      <c r="J35" s="148">
        <v>1.47739469079048</v>
      </c>
      <c r="K35" s="148" t="s">
        <v>2842</v>
      </c>
      <c r="L35" s="148">
        <v>53.594170731707322</v>
      </c>
      <c r="M35" s="148">
        <v>78.5</v>
      </c>
    </row>
    <row r="36" spans="1:13">
      <c r="A36" s="148">
        <v>1999</v>
      </c>
      <c r="B36" s="148" t="s">
        <v>2845</v>
      </c>
      <c r="C36" s="148" t="str">
        <f t="shared" si="0"/>
        <v>1999_Trinidad and Tobago</v>
      </c>
      <c r="D36" s="148">
        <v>6808976096.217165</v>
      </c>
      <c r="E36" s="148">
        <v>1264781</v>
      </c>
      <c r="F36" s="148" t="s">
        <v>2842</v>
      </c>
      <c r="G36" s="148">
        <v>26200000</v>
      </c>
      <c r="H36" s="148">
        <v>26200000</v>
      </c>
      <c r="I36" s="148">
        <v>2.7561200000000001</v>
      </c>
      <c r="J36" s="148">
        <v>1.89019991192741</v>
      </c>
      <c r="K36" s="148" t="s">
        <v>2842</v>
      </c>
      <c r="L36" s="148">
        <v>68.551560975609775</v>
      </c>
      <c r="M36" s="148">
        <v>25.4</v>
      </c>
    </row>
    <row r="37" spans="1:13">
      <c r="A37" s="148">
        <v>1999</v>
      </c>
      <c r="B37" s="148" t="s">
        <v>522</v>
      </c>
      <c r="C37" s="148" t="str">
        <f t="shared" si="0"/>
        <v>1999_Yemen</v>
      </c>
      <c r="D37" s="148">
        <v>7641101221.438755</v>
      </c>
      <c r="E37" s="148">
        <v>17035531</v>
      </c>
      <c r="F37" s="148">
        <v>23.368270304750908</v>
      </c>
      <c r="G37" s="148">
        <v>459140000</v>
      </c>
      <c r="H37" s="148">
        <v>459140000</v>
      </c>
      <c r="I37" s="148" t="s">
        <v>2842</v>
      </c>
      <c r="J37" s="148">
        <v>2.1273911552588598</v>
      </c>
      <c r="K37" s="148" t="s">
        <v>2842</v>
      </c>
      <c r="L37" s="148">
        <v>60.227560975609762</v>
      </c>
      <c r="M37" s="148">
        <v>71.8</v>
      </c>
    </row>
    <row r="38" spans="1:13">
      <c r="A38" s="148">
        <v>1999</v>
      </c>
      <c r="B38" s="148" t="s">
        <v>534</v>
      </c>
      <c r="C38" s="148" t="str">
        <f t="shared" si="0"/>
        <v>1999_Zambia</v>
      </c>
      <c r="D38" s="148">
        <v>3404284652.9358487</v>
      </c>
      <c r="E38" s="148">
        <v>9839179</v>
      </c>
      <c r="F38" s="148">
        <v>17.592724371507856</v>
      </c>
      <c r="G38" s="148">
        <v>623030000</v>
      </c>
      <c r="H38" s="148">
        <v>623030000</v>
      </c>
      <c r="I38" s="148">
        <v>1.9296599999999999</v>
      </c>
      <c r="J38" s="148">
        <v>2.8643665919143801</v>
      </c>
      <c r="K38" s="148" t="s">
        <v>2842</v>
      </c>
      <c r="L38" s="148">
        <v>41.264536585365853</v>
      </c>
      <c r="M38" s="148">
        <v>102.7</v>
      </c>
    </row>
    <row r="39" spans="1:13">
      <c r="A39" s="148">
        <v>2000</v>
      </c>
      <c r="B39" s="148" t="s">
        <v>16</v>
      </c>
      <c r="C39" s="148" t="str">
        <f t="shared" si="0"/>
        <v>2000_Afghanistan</v>
      </c>
      <c r="D39" s="148" t="s">
        <v>2842</v>
      </c>
      <c r="E39" s="148">
        <v>20595360</v>
      </c>
      <c r="F39" s="148" t="s">
        <v>2842</v>
      </c>
      <c r="G39" s="148">
        <v>136010000</v>
      </c>
      <c r="H39" s="148">
        <v>136010000</v>
      </c>
      <c r="I39" s="148" t="s">
        <v>2842</v>
      </c>
      <c r="J39" s="148" t="s">
        <v>2842</v>
      </c>
      <c r="K39" s="148" t="s">
        <v>2842</v>
      </c>
      <c r="L39" s="148">
        <v>54.848560975609757</v>
      </c>
      <c r="M39" s="148">
        <v>94.5</v>
      </c>
    </row>
    <row r="40" spans="1:13">
      <c r="A40" s="148">
        <v>2000</v>
      </c>
      <c r="B40" s="148" t="s">
        <v>33</v>
      </c>
      <c r="C40" s="148" t="str">
        <f t="shared" si="0"/>
        <v>2000_Albania</v>
      </c>
      <c r="D40" s="148">
        <v>3686649386.8396196</v>
      </c>
      <c r="E40" s="148">
        <v>3089027</v>
      </c>
      <c r="F40" s="148" t="s">
        <v>2842</v>
      </c>
      <c r="G40" s="148">
        <v>317850000</v>
      </c>
      <c r="H40" s="148">
        <v>317850000</v>
      </c>
      <c r="I40" s="148">
        <v>3.2382300000000002</v>
      </c>
      <c r="J40" s="148">
        <v>2.2923735010524902</v>
      </c>
      <c r="K40" s="148" t="s">
        <v>2842</v>
      </c>
      <c r="L40" s="148">
        <v>74.272073170731701</v>
      </c>
      <c r="M40" s="148">
        <v>23.2</v>
      </c>
    </row>
    <row r="41" spans="1:13">
      <c r="A41" s="148">
        <v>2000</v>
      </c>
      <c r="B41" s="148" t="s">
        <v>48</v>
      </c>
      <c r="C41" s="148" t="str">
        <f t="shared" si="0"/>
        <v>2000_Azerbaijan</v>
      </c>
      <c r="D41" s="148">
        <v>5272617196.0451736</v>
      </c>
      <c r="E41" s="148">
        <v>8048600</v>
      </c>
      <c r="F41" s="148" t="s">
        <v>2842</v>
      </c>
      <c r="G41" s="148">
        <v>139120000</v>
      </c>
      <c r="H41" s="148">
        <v>139120000</v>
      </c>
      <c r="I41" s="148">
        <v>3.85399</v>
      </c>
      <c r="J41" s="148">
        <v>0.86689275116574804</v>
      </c>
      <c r="K41" s="148" t="s">
        <v>2842</v>
      </c>
      <c r="L41" s="148">
        <v>66.758243902439034</v>
      </c>
      <c r="M41" s="148">
        <v>60.7</v>
      </c>
    </row>
    <row r="42" spans="1:13">
      <c r="A42" s="148">
        <v>2000</v>
      </c>
      <c r="B42" s="148" t="s">
        <v>93</v>
      </c>
      <c r="C42" s="148" t="str">
        <f t="shared" si="0"/>
        <v>2000_Burkina Faso</v>
      </c>
      <c r="D42" s="148">
        <v>2610959139.409627</v>
      </c>
      <c r="E42" s="148">
        <v>11607944</v>
      </c>
      <c r="F42" s="148" t="s">
        <v>2842</v>
      </c>
      <c r="G42" s="148">
        <v>179780000</v>
      </c>
      <c r="H42" s="148">
        <v>179780000</v>
      </c>
      <c r="I42" s="148" t="s">
        <v>2842</v>
      </c>
      <c r="J42" s="148">
        <v>2.0341025453672499</v>
      </c>
      <c r="K42" s="148" t="s">
        <v>2842</v>
      </c>
      <c r="L42" s="148">
        <v>50.482756097560987</v>
      </c>
      <c r="M42" s="148">
        <v>96.2</v>
      </c>
    </row>
    <row r="43" spans="1:13">
      <c r="A43" s="148">
        <v>2000</v>
      </c>
      <c r="B43" s="148" t="s">
        <v>96</v>
      </c>
      <c r="C43" s="148" t="str">
        <f t="shared" si="0"/>
        <v>2000_Cameroon</v>
      </c>
      <c r="D43" s="148">
        <v>9287367568.7944279</v>
      </c>
      <c r="E43" s="148">
        <v>15927713</v>
      </c>
      <c r="F43" s="148" t="s">
        <v>2842</v>
      </c>
      <c r="G43" s="148">
        <v>376730000</v>
      </c>
      <c r="H43" s="148">
        <v>376730000</v>
      </c>
      <c r="I43" s="148">
        <v>1.93258</v>
      </c>
      <c r="J43" s="148">
        <v>0.93262853246375399</v>
      </c>
      <c r="K43" s="148" t="s">
        <v>2842</v>
      </c>
      <c r="L43" s="148">
        <v>51.935878048780488</v>
      </c>
      <c r="M43" s="148">
        <v>92.5</v>
      </c>
    </row>
    <row r="44" spans="1:13">
      <c r="A44" s="148">
        <v>2000</v>
      </c>
      <c r="B44" s="148" t="s">
        <v>133</v>
      </c>
      <c r="C44" s="148" t="str">
        <f t="shared" si="0"/>
        <v>2000_Chad</v>
      </c>
      <c r="D44" s="148">
        <v>1385058211.5089853</v>
      </c>
      <c r="E44" s="148">
        <v>8301151</v>
      </c>
      <c r="F44" s="148" t="s">
        <v>2842</v>
      </c>
      <c r="G44" s="148">
        <v>131289999.99999999</v>
      </c>
      <c r="H44" s="148">
        <v>131289999.99999999</v>
      </c>
      <c r="I44" s="148">
        <v>2.6467100000000001</v>
      </c>
      <c r="J44" s="148">
        <v>2.66748035248902</v>
      </c>
      <c r="K44" s="148" t="s">
        <v>2842</v>
      </c>
      <c r="L44" s="148">
        <v>46.687170731707319</v>
      </c>
      <c r="M44" s="148">
        <v>105.9</v>
      </c>
    </row>
    <row r="45" spans="1:13">
      <c r="A45" s="148">
        <v>2000</v>
      </c>
      <c r="B45" s="148" t="s">
        <v>122</v>
      </c>
      <c r="C45" s="148" t="str">
        <f t="shared" si="0"/>
        <v>2000_Central African Republic</v>
      </c>
      <c r="D45" s="148">
        <v>914500331.98372293</v>
      </c>
      <c r="E45" s="148">
        <v>3638316</v>
      </c>
      <c r="F45" s="148" t="s">
        <v>2842</v>
      </c>
      <c r="G45" s="148">
        <v>75280000</v>
      </c>
      <c r="H45" s="148">
        <v>75280000</v>
      </c>
      <c r="I45" s="148">
        <v>1.6126499999999999</v>
      </c>
      <c r="J45" s="148">
        <v>2.1504080943747801</v>
      </c>
      <c r="K45" s="148" t="s">
        <v>2842</v>
      </c>
      <c r="L45" s="148">
        <v>43.692317073170742</v>
      </c>
      <c r="M45" s="148">
        <v>113.3</v>
      </c>
    </row>
    <row r="46" spans="1:13">
      <c r="A46" s="148">
        <v>2000</v>
      </c>
      <c r="B46" s="148" t="s">
        <v>165</v>
      </c>
      <c r="C46" s="148" t="str">
        <f t="shared" si="0"/>
        <v>2000_Democratic Republic of Congo</v>
      </c>
      <c r="D46" s="148">
        <v>19088046305.7971</v>
      </c>
      <c r="E46" s="148">
        <v>46949244</v>
      </c>
      <c r="F46" s="148">
        <v>0.84222397029941609</v>
      </c>
      <c r="G46" s="148">
        <v>177120000</v>
      </c>
      <c r="H46" s="148">
        <v>177120000</v>
      </c>
      <c r="I46" s="148" t="s">
        <v>2842</v>
      </c>
      <c r="J46" s="148">
        <v>0.19819880932825501</v>
      </c>
      <c r="K46" s="148" t="s">
        <v>2842</v>
      </c>
      <c r="L46" s="148">
        <v>46.355731707317076</v>
      </c>
      <c r="M46" s="148">
        <v>114.6</v>
      </c>
    </row>
    <row r="47" spans="1:13">
      <c r="A47" s="148">
        <v>2000</v>
      </c>
      <c r="B47" s="148" t="s">
        <v>458</v>
      </c>
      <c r="C47" s="148" t="str">
        <f t="shared" si="0"/>
        <v>2000_Republic of the Congo</v>
      </c>
      <c r="D47" s="148">
        <v>3219910666.0298014</v>
      </c>
      <c r="E47" s="148">
        <v>3126204</v>
      </c>
      <c r="F47" s="148" t="s">
        <v>2842</v>
      </c>
      <c r="G47" s="148">
        <v>32040000</v>
      </c>
      <c r="H47" s="148">
        <v>32040000</v>
      </c>
      <c r="I47" s="148" t="s">
        <v>2842</v>
      </c>
      <c r="J47" s="148">
        <v>1.22259206442399</v>
      </c>
      <c r="K47" s="148" t="s">
        <v>2842</v>
      </c>
      <c r="L47" s="148">
        <v>52.301926829268304</v>
      </c>
      <c r="M47" s="148">
        <v>76.5</v>
      </c>
    </row>
    <row r="48" spans="1:13">
      <c r="A48" s="148">
        <v>2000</v>
      </c>
      <c r="B48" s="33" t="s">
        <v>3542</v>
      </c>
      <c r="C48" s="148" t="str">
        <f t="shared" si="0"/>
        <v>2000_Côte d'Ivoire</v>
      </c>
      <c r="D48" s="148">
        <v>10417060604.904352</v>
      </c>
      <c r="E48" s="148">
        <v>16131332</v>
      </c>
      <c r="F48" s="148" t="s">
        <v>2842</v>
      </c>
      <c r="G48" s="148">
        <v>350570000</v>
      </c>
      <c r="H48" s="148">
        <v>350570000</v>
      </c>
      <c r="I48" s="148">
        <v>3.8103199999999999</v>
      </c>
      <c r="J48" s="148">
        <v>1.83952270412407</v>
      </c>
      <c r="K48" s="148" t="s">
        <v>2842</v>
      </c>
      <c r="L48" s="148">
        <v>46.453902439024397</v>
      </c>
      <c r="M48" s="148">
        <v>99.6</v>
      </c>
    </row>
    <row r="49" spans="1:13">
      <c r="A49" s="148">
        <v>2000</v>
      </c>
      <c r="B49" s="148" t="s">
        <v>182</v>
      </c>
      <c r="C49" s="148" t="str">
        <f t="shared" si="0"/>
        <v>2000_Equatorial Guinea</v>
      </c>
      <c r="D49" s="148">
        <v>1045998534.0036055</v>
      </c>
      <c r="E49" s="148">
        <v>518179</v>
      </c>
      <c r="F49" s="148" t="s">
        <v>2842</v>
      </c>
      <c r="G49" s="148">
        <v>21270000</v>
      </c>
      <c r="H49" s="148">
        <v>21270000</v>
      </c>
      <c r="I49" s="148">
        <v>0.67737999999999998</v>
      </c>
      <c r="J49" s="148">
        <v>1.8231637631306601</v>
      </c>
      <c r="K49" s="148" t="s">
        <v>2842</v>
      </c>
      <c r="L49" s="148">
        <v>47.763707317073177</v>
      </c>
      <c r="M49" s="148">
        <v>98.8</v>
      </c>
    </row>
    <row r="50" spans="1:13">
      <c r="A50" s="148">
        <v>2000</v>
      </c>
      <c r="B50" s="148" t="s">
        <v>185</v>
      </c>
      <c r="C50" s="148" t="str">
        <f t="shared" si="0"/>
        <v>2000_Gabon</v>
      </c>
      <c r="D50" s="148">
        <v>5067865502.7998819</v>
      </c>
      <c r="E50" s="148">
        <v>1225527</v>
      </c>
      <c r="F50" s="148" t="s">
        <v>2842</v>
      </c>
      <c r="G50" s="148">
        <v>11660000</v>
      </c>
      <c r="H50" s="148">
        <v>11660000</v>
      </c>
      <c r="I50" s="148">
        <v>3.8270900000000001</v>
      </c>
      <c r="J50" s="148">
        <v>1.15100537081287</v>
      </c>
      <c r="K50" s="148" t="s">
        <v>2842</v>
      </c>
      <c r="L50" s="148">
        <v>59.688024390243918</v>
      </c>
      <c r="M50" s="148">
        <v>55.5</v>
      </c>
    </row>
    <row r="51" spans="1:13">
      <c r="A51" s="148">
        <v>2000</v>
      </c>
      <c r="B51" s="148" t="s">
        <v>189</v>
      </c>
      <c r="C51" s="148" t="str">
        <f t="shared" si="0"/>
        <v>2000_Ghana</v>
      </c>
      <c r="D51" s="148">
        <v>4982849054.0291042</v>
      </c>
      <c r="E51" s="148">
        <v>18825034</v>
      </c>
      <c r="F51" s="148" t="s">
        <v>2842</v>
      </c>
      <c r="G51" s="148">
        <v>598170000</v>
      </c>
      <c r="H51" s="148">
        <v>598170000</v>
      </c>
      <c r="I51" s="148" t="s">
        <v>2842</v>
      </c>
      <c r="J51" s="148">
        <v>2.3750494698462399</v>
      </c>
      <c r="K51" s="148" t="s">
        <v>2842</v>
      </c>
      <c r="L51" s="148">
        <v>56.987585365853661</v>
      </c>
      <c r="M51" s="148">
        <v>65.2</v>
      </c>
    </row>
    <row r="52" spans="1:13">
      <c r="A52" s="148">
        <v>2000</v>
      </c>
      <c r="B52" s="148" t="s">
        <v>2843</v>
      </c>
      <c r="C52" s="148" t="str">
        <f t="shared" si="0"/>
        <v>2000_Guinea</v>
      </c>
      <c r="D52" s="148">
        <v>2995360969.1742721</v>
      </c>
      <c r="E52" s="148">
        <v>8746128</v>
      </c>
      <c r="F52" s="148" t="s">
        <v>2842</v>
      </c>
      <c r="G52" s="148">
        <v>152930000</v>
      </c>
      <c r="H52" s="148">
        <v>152930000</v>
      </c>
      <c r="I52" s="148">
        <v>2.5933999999999999</v>
      </c>
      <c r="J52" s="148">
        <v>1.0959394529233</v>
      </c>
      <c r="K52" s="148" t="s">
        <v>2842</v>
      </c>
      <c r="L52" s="148">
        <v>51.249926829268304</v>
      </c>
      <c r="M52" s="148">
        <v>103.1</v>
      </c>
    </row>
    <row r="53" spans="1:13">
      <c r="A53" s="148">
        <v>2000</v>
      </c>
      <c r="B53" s="148" t="s">
        <v>213</v>
      </c>
      <c r="C53" s="148" t="str">
        <f t="shared" si="0"/>
        <v>2000_Guatemala</v>
      </c>
      <c r="D53" s="148">
        <v>19290566570.048309</v>
      </c>
      <c r="E53" s="148">
        <v>11204183</v>
      </c>
      <c r="F53" s="148">
        <v>10.154456411635286</v>
      </c>
      <c r="G53" s="148">
        <v>263130000</v>
      </c>
      <c r="H53" s="148">
        <v>263130000</v>
      </c>
      <c r="I53" s="148" t="s">
        <v>2842</v>
      </c>
      <c r="J53" s="148">
        <v>2.2487859083758499</v>
      </c>
      <c r="K53" s="148">
        <v>56</v>
      </c>
      <c r="L53" s="148">
        <v>67.741219512195116</v>
      </c>
      <c r="M53" s="148">
        <v>40</v>
      </c>
    </row>
    <row r="54" spans="1:13">
      <c r="A54" s="148">
        <v>2000</v>
      </c>
      <c r="B54" s="148" t="s">
        <v>237</v>
      </c>
      <c r="C54" s="148" t="str">
        <f t="shared" si="0"/>
        <v>2000_Indonesia</v>
      </c>
      <c r="D54" s="148">
        <v>165021012261.50867</v>
      </c>
      <c r="E54" s="148">
        <v>208938698</v>
      </c>
      <c r="F54" s="148" t="s">
        <v>2842</v>
      </c>
      <c r="G54" s="148">
        <v>1653000000</v>
      </c>
      <c r="H54" s="148">
        <v>1653000000</v>
      </c>
      <c r="I54" s="148" t="s">
        <v>2842</v>
      </c>
      <c r="J54" s="148">
        <v>0.70736781254753001</v>
      </c>
      <c r="K54" s="148" t="s">
        <v>2842</v>
      </c>
      <c r="L54" s="148">
        <v>67.251219512195135</v>
      </c>
      <c r="M54" s="148">
        <v>41</v>
      </c>
    </row>
    <row r="55" spans="1:13">
      <c r="A55" s="148">
        <v>2000</v>
      </c>
      <c r="B55" s="148" t="s">
        <v>245</v>
      </c>
      <c r="C55" s="148" t="str">
        <f t="shared" si="0"/>
        <v>2000_Iraq</v>
      </c>
      <c r="D55" s="148" t="s">
        <v>2842</v>
      </c>
      <c r="E55" s="148">
        <v>23801156</v>
      </c>
      <c r="F55" s="148" t="s">
        <v>2842</v>
      </c>
      <c r="G55" s="148">
        <v>101830000</v>
      </c>
      <c r="H55" s="148">
        <v>101830000</v>
      </c>
      <c r="I55" s="148" t="s">
        <v>2842</v>
      </c>
      <c r="J55" s="148">
        <v>3.85702379232713E-2</v>
      </c>
      <c r="K55" s="148" t="s">
        <v>2842</v>
      </c>
      <c r="L55" s="148">
        <v>70.829926829268288</v>
      </c>
      <c r="M55" s="148">
        <v>35.700000000000003</v>
      </c>
    </row>
    <row r="56" spans="1:13">
      <c r="A56" s="148">
        <v>2000</v>
      </c>
      <c r="B56" s="148" t="s">
        <v>273</v>
      </c>
      <c r="C56" s="148" t="str">
        <f t="shared" si="0"/>
        <v>2000_Kazakhstan</v>
      </c>
      <c r="D56" s="148">
        <v>18291990619.137001</v>
      </c>
      <c r="E56" s="148">
        <v>14883626</v>
      </c>
      <c r="F56" s="148">
        <v>11.325659401878902</v>
      </c>
      <c r="G56" s="148">
        <v>189190000</v>
      </c>
      <c r="H56" s="148">
        <v>189190000</v>
      </c>
      <c r="I56" s="148">
        <v>3.2566199999999998</v>
      </c>
      <c r="J56" s="148">
        <v>2.1193106509399202</v>
      </c>
      <c r="K56" s="148" t="s">
        <v>2842</v>
      </c>
      <c r="L56" s="148">
        <v>65.51707317073172</v>
      </c>
      <c r="M56" s="148">
        <v>37.5</v>
      </c>
    </row>
    <row r="57" spans="1:13">
      <c r="A57" s="148">
        <v>2000</v>
      </c>
      <c r="B57" s="148" t="s">
        <v>278</v>
      </c>
      <c r="C57" s="148" t="str">
        <f t="shared" si="0"/>
        <v>2000_Kyrgyz Republic</v>
      </c>
      <c r="D57" s="148">
        <v>1369691955.022125</v>
      </c>
      <c r="E57" s="148">
        <v>4898400</v>
      </c>
      <c r="F57" s="148">
        <v>14.162781764041062</v>
      </c>
      <c r="G57" s="148">
        <v>214710000</v>
      </c>
      <c r="H57" s="148">
        <v>214710000</v>
      </c>
      <c r="I57" s="148">
        <v>3.5083700000000002</v>
      </c>
      <c r="J57" s="148">
        <v>2.07090180238073</v>
      </c>
      <c r="K57" s="148" t="s">
        <v>2842</v>
      </c>
      <c r="L57" s="148">
        <v>68.558536585365871</v>
      </c>
      <c r="M57" s="148">
        <v>42</v>
      </c>
    </row>
    <row r="58" spans="1:13">
      <c r="A58" s="148">
        <v>2000</v>
      </c>
      <c r="B58" s="148" t="s">
        <v>294</v>
      </c>
      <c r="C58" s="148" t="str">
        <f t="shared" si="0"/>
        <v>2000_Liberia</v>
      </c>
      <c r="D58" s="148">
        <v>529064646.66383004</v>
      </c>
      <c r="E58" s="148">
        <v>2891968</v>
      </c>
      <c r="F58" s="148" t="s">
        <v>2842</v>
      </c>
      <c r="G58" s="148">
        <v>67420000</v>
      </c>
      <c r="H58" s="148">
        <v>67420000</v>
      </c>
      <c r="I58" s="148" t="s">
        <v>2842</v>
      </c>
      <c r="J58" s="148">
        <v>1.44875622525348</v>
      </c>
      <c r="K58" s="148" t="s">
        <v>2842</v>
      </c>
      <c r="L58" s="148">
        <v>52.409121951219525</v>
      </c>
      <c r="M58" s="148">
        <v>118.9</v>
      </c>
    </row>
    <row r="59" spans="1:13">
      <c r="A59" s="148">
        <v>2000</v>
      </c>
      <c r="B59" s="148" t="s">
        <v>309</v>
      </c>
      <c r="C59" s="148" t="str">
        <f t="shared" si="0"/>
        <v>2000_Madagascar</v>
      </c>
      <c r="D59" s="148">
        <v>3877673634.5885382</v>
      </c>
      <c r="E59" s="148">
        <v>15744811</v>
      </c>
      <c r="F59" s="148">
        <v>11.690383407840887</v>
      </c>
      <c r="G59" s="148">
        <v>320200000</v>
      </c>
      <c r="H59" s="148">
        <v>320200000</v>
      </c>
      <c r="I59" s="148">
        <v>2.9113500000000001</v>
      </c>
      <c r="J59" s="148">
        <v>2.4697357527796999</v>
      </c>
      <c r="K59" s="148" t="s">
        <v>2842</v>
      </c>
      <c r="L59" s="148">
        <v>58.472804878048784</v>
      </c>
      <c r="M59" s="148">
        <v>70.5</v>
      </c>
    </row>
    <row r="60" spans="1:13">
      <c r="A60" s="148">
        <v>2000</v>
      </c>
      <c r="B60" s="148" t="s">
        <v>322</v>
      </c>
      <c r="C60" s="148" t="str">
        <f t="shared" si="0"/>
        <v>2000_Mali</v>
      </c>
      <c r="D60" s="148">
        <v>2422482317.567193</v>
      </c>
      <c r="E60" s="148">
        <v>10260577</v>
      </c>
      <c r="F60" s="148">
        <v>13.44357808628191</v>
      </c>
      <c r="G60" s="148">
        <v>288000000</v>
      </c>
      <c r="H60" s="148">
        <v>288000000</v>
      </c>
      <c r="I60" s="148">
        <v>3.62371</v>
      </c>
      <c r="J60" s="148">
        <v>2.0699103725335899</v>
      </c>
      <c r="K60" s="148" t="s">
        <v>2842</v>
      </c>
      <c r="L60" s="148">
        <v>49.055487804878055</v>
      </c>
      <c r="M60" s="148">
        <v>116.2</v>
      </c>
    </row>
    <row r="61" spans="1:13">
      <c r="A61" s="148">
        <v>2000</v>
      </c>
      <c r="B61" s="148" t="s">
        <v>338</v>
      </c>
      <c r="C61" s="148" t="str">
        <f t="shared" si="0"/>
        <v>2000_Mauritania</v>
      </c>
      <c r="D61" s="148">
        <v>1081207677.5266371</v>
      </c>
      <c r="E61" s="148">
        <v>2708095</v>
      </c>
      <c r="F61" s="148" t="s">
        <v>2842</v>
      </c>
      <c r="G61" s="148">
        <v>223460000</v>
      </c>
      <c r="H61" s="148">
        <v>223460000</v>
      </c>
      <c r="I61" s="148" t="s">
        <v>2842</v>
      </c>
      <c r="J61" s="148">
        <v>3.9706814249232001</v>
      </c>
      <c r="K61" s="148">
        <v>51</v>
      </c>
      <c r="L61" s="148">
        <v>59.672926829268306</v>
      </c>
      <c r="M61" s="148">
        <v>76</v>
      </c>
    </row>
    <row r="62" spans="1:13">
      <c r="A62" s="148">
        <v>2000</v>
      </c>
      <c r="B62" s="148" t="s">
        <v>357</v>
      </c>
      <c r="C62" s="148" t="str">
        <f t="shared" si="0"/>
        <v>2000_Mongolia</v>
      </c>
      <c r="D62" s="148">
        <v>1136896162.1421814</v>
      </c>
      <c r="E62" s="148">
        <v>2397473</v>
      </c>
      <c r="F62" s="148">
        <v>24.356934913472202</v>
      </c>
      <c r="G62" s="148">
        <v>216960000</v>
      </c>
      <c r="H62" s="148">
        <v>216960000</v>
      </c>
      <c r="I62" s="148">
        <v>5.55037</v>
      </c>
      <c r="J62" s="148">
        <v>3.8282862783381399</v>
      </c>
      <c r="K62" s="148" t="s">
        <v>2842</v>
      </c>
      <c r="L62" s="148">
        <v>62.92370731707318</v>
      </c>
      <c r="M62" s="148">
        <v>49.4</v>
      </c>
    </row>
    <row r="63" spans="1:13">
      <c r="A63" s="148">
        <v>2000</v>
      </c>
      <c r="B63" s="148" t="s">
        <v>378</v>
      </c>
      <c r="C63" s="148" t="str">
        <f t="shared" si="0"/>
        <v>2000_Mozambique</v>
      </c>
      <c r="D63" s="148">
        <v>4310090791.1802855</v>
      </c>
      <c r="E63" s="148">
        <v>18275618</v>
      </c>
      <c r="F63" s="148" t="s">
        <v>2842</v>
      </c>
      <c r="G63" s="148">
        <v>906220000</v>
      </c>
      <c r="H63" s="148">
        <v>906220000</v>
      </c>
      <c r="I63" s="148" t="s">
        <v>2842</v>
      </c>
      <c r="J63" s="148">
        <v>4.31188307459895</v>
      </c>
      <c r="K63" s="148" t="s">
        <v>2842</v>
      </c>
      <c r="L63" s="148">
        <v>47.42541463414635</v>
      </c>
      <c r="M63" s="148">
        <v>113.8</v>
      </c>
    </row>
    <row r="64" spans="1:13">
      <c r="A64" s="148">
        <v>2000</v>
      </c>
      <c r="B64" s="148" t="s">
        <v>387</v>
      </c>
      <c r="C64" s="148" t="str">
        <f t="shared" si="0"/>
        <v>2000_Niger</v>
      </c>
      <c r="D64" s="148">
        <v>1798374532.9485528</v>
      </c>
      <c r="E64" s="148">
        <v>10989815</v>
      </c>
      <c r="F64" s="148" t="s">
        <v>2842</v>
      </c>
      <c r="G64" s="148">
        <v>209090000</v>
      </c>
      <c r="H64" s="148">
        <v>209090000</v>
      </c>
      <c r="I64" s="148">
        <v>3.18947</v>
      </c>
      <c r="J64" s="148">
        <v>1.5200923351417801</v>
      </c>
      <c r="K64" s="148" t="s">
        <v>2842</v>
      </c>
      <c r="L64" s="148">
        <v>50.705902439024399</v>
      </c>
      <c r="M64" s="148">
        <v>101</v>
      </c>
    </row>
    <row r="65" spans="1:13">
      <c r="A65" s="148">
        <v>2000</v>
      </c>
      <c r="B65" s="148" t="s">
        <v>406</v>
      </c>
      <c r="C65" s="148" t="str">
        <f t="shared" si="0"/>
        <v>2000_Nigeria</v>
      </c>
      <c r="D65" s="148">
        <v>46385996027.42794</v>
      </c>
      <c r="E65" s="148">
        <v>122876727</v>
      </c>
      <c r="F65" s="148" t="s">
        <v>2842</v>
      </c>
      <c r="G65" s="148">
        <v>173700000</v>
      </c>
      <c r="H65" s="148">
        <v>173700000</v>
      </c>
      <c r="I65" s="148" t="s">
        <v>2842</v>
      </c>
      <c r="J65" s="148">
        <v>1.5398614167954801</v>
      </c>
      <c r="K65" s="148" t="s">
        <v>2842</v>
      </c>
      <c r="L65" s="148">
        <v>46.624000000000009</v>
      </c>
      <c r="M65" s="148">
        <v>112.5</v>
      </c>
    </row>
    <row r="66" spans="1:13">
      <c r="A66" s="148">
        <v>2000</v>
      </c>
      <c r="B66" s="148" t="s">
        <v>429</v>
      </c>
      <c r="C66" s="148" t="str">
        <f t="shared" si="0"/>
        <v>2000_Norway</v>
      </c>
      <c r="D66" s="148">
        <v>168288531891.20407</v>
      </c>
      <c r="E66" s="148">
        <v>4490967</v>
      </c>
      <c r="F66" s="148">
        <v>48.396143236554188</v>
      </c>
      <c r="G66" s="148" t="s">
        <v>2842</v>
      </c>
      <c r="H66" s="148" t="s">
        <v>2842</v>
      </c>
      <c r="I66" s="148">
        <v>6.5809600000000001</v>
      </c>
      <c r="J66" s="148">
        <v>7.6304209575477904</v>
      </c>
      <c r="K66" s="148" t="s">
        <v>2842</v>
      </c>
      <c r="L66" s="148">
        <v>78.634146341463421</v>
      </c>
      <c r="M66" s="148">
        <v>3.9</v>
      </c>
    </row>
    <row r="67" spans="1:13">
      <c r="A67" s="148">
        <v>2000</v>
      </c>
      <c r="B67" s="148" t="s">
        <v>442</v>
      </c>
      <c r="C67" s="148" t="str">
        <f t="shared" si="0"/>
        <v>2000_Peru</v>
      </c>
      <c r="D67" s="148">
        <v>50936239280.857689</v>
      </c>
      <c r="E67" s="148">
        <v>26000080</v>
      </c>
      <c r="F67" s="148">
        <v>18.215908441369969</v>
      </c>
      <c r="G67" s="148">
        <v>396840000</v>
      </c>
      <c r="H67" s="148">
        <v>396840000</v>
      </c>
      <c r="I67" s="148" t="s">
        <v>2842</v>
      </c>
      <c r="J67" s="148">
        <v>2.75534910328409</v>
      </c>
      <c r="K67" s="148" t="s">
        <v>2842</v>
      </c>
      <c r="L67" s="148">
        <v>70.505439024390242</v>
      </c>
      <c r="M67" s="148">
        <v>30.4</v>
      </c>
    </row>
    <row r="68" spans="1:13">
      <c r="A68" s="148">
        <v>2000</v>
      </c>
      <c r="B68" s="148" t="s">
        <v>481</v>
      </c>
      <c r="C68" s="148" t="str">
        <f t="shared" ref="C68:C131" si="1">$A68&amp;"_"&amp;$B68</f>
        <v>2000_Sierra Leone</v>
      </c>
      <c r="D68" s="148">
        <v>635874002.19874775</v>
      </c>
      <c r="E68" s="148">
        <v>4139757</v>
      </c>
      <c r="F68" s="148">
        <v>11.439005868481228</v>
      </c>
      <c r="G68" s="148">
        <v>180640000</v>
      </c>
      <c r="H68" s="148">
        <v>180640000</v>
      </c>
      <c r="I68" s="148">
        <v>4.94937</v>
      </c>
      <c r="J68" s="148">
        <v>3.9565715154166798</v>
      </c>
      <c r="K68" s="148" t="s">
        <v>2842</v>
      </c>
      <c r="L68" s="148">
        <v>38.111609756097565</v>
      </c>
      <c r="M68" s="148">
        <v>141.30000000000001</v>
      </c>
    </row>
    <row r="69" spans="1:13">
      <c r="A69" s="148">
        <v>2000</v>
      </c>
      <c r="B69" s="148" t="s">
        <v>492</v>
      </c>
      <c r="C69" s="148" t="str">
        <f t="shared" si="1"/>
        <v>2000_Tanzania</v>
      </c>
      <c r="D69" s="148">
        <v>10185786170.732687</v>
      </c>
      <c r="E69" s="148">
        <v>34020512</v>
      </c>
      <c r="F69" s="148" t="s">
        <v>2842</v>
      </c>
      <c r="G69" s="148">
        <v>1063920000.0000001</v>
      </c>
      <c r="H69" s="148">
        <v>1063920000.0000001</v>
      </c>
      <c r="I69" s="148" t="s">
        <v>2842</v>
      </c>
      <c r="J69" s="148">
        <v>1.46439812791695</v>
      </c>
      <c r="K69" s="148" t="s">
        <v>2842</v>
      </c>
      <c r="L69" s="148">
        <v>49.971512195121953</v>
      </c>
      <c r="M69" s="148">
        <v>80.400000000000006</v>
      </c>
    </row>
    <row r="70" spans="1:13">
      <c r="A70" s="148">
        <v>2000</v>
      </c>
      <c r="B70" s="148" t="s">
        <v>2844</v>
      </c>
      <c r="C70" s="148" t="str">
        <f t="shared" si="1"/>
        <v>2000_Timor-Leste</v>
      </c>
      <c r="D70" s="148">
        <v>368000000</v>
      </c>
      <c r="E70" s="148">
        <v>853585</v>
      </c>
      <c r="F70" s="148" t="s">
        <v>2842</v>
      </c>
      <c r="G70" s="148">
        <v>231270000</v>
      </c>
      <c r="H70" s="148">
        <v>231270000</v>
      </c>
      <c r="I70" s="148" t="s">
        <v>2842</v>
      </c>
      <c r="J70" s="148">
        <v>3.490075028463</v>
      </c>
      <c r="K70" s="148" t="s">
        <v>2842</v>
      </c>
      <c r="L70" s="148">
        <v>59.481414634146354</v>
      </c>
      <c r="M70" s="148">
        <v>83.8</v>
      </c>
    </row>
    <row r="71" spans="1:13">
      <c r="A71" s="148">
        <v>2000</v>
      </c>
      <c r="B71" s="148" t="s">
        <v>510</v>
      </c>
      <c r="C71" s="148" t="str">
        <f t="shared" si="1"/>
        <v>2000_Togo</v>
      </c>
      <c r="D71" s="148">
        <v>1294250279.6812894</v>
      </c>
      <c r="E71" s="148">
        <v>4864753</v>
      </c>
      <c r="F71" s="148" t="s">
        <v>2842</v>
      </c>
      <c r="G71" s="148">
        <v>69550000</v>
      </c>
      <c r="H71" s="148">
        <v>69550000</v>
      </c>
      <c r="I71" s="148">
        <v>4.5084200000000001</v>
      </c>
      <c r="J71" s="148">
        <v>1.5097724663251599</v>
      </c>
      <c r="K71" s="148" t="s">
        <v>2842</v>
      </c>
      <c r="L71" s="148">
        <v>53.545341463414644</v>
      </c>
      <c r="M71" s="148">
        <v>76.7</v>
      </c>
    </row>
    <row r="72" spans="1:13">
      <c r="A72" s="148">
        <v>2000</v>
      </c>
      <c r="B72" s="148" t="s">
        <v>2845</v>
      </c>
      <c r="C72" s="148" t="str">
        <f t="shared" si="1"/>
        <v>2000_Trinidad and Tobago</v>
      </c>
      <c r="D72" s="148">
        <v>8154315701.9988565</v>
      </c>
      <c r="E72" s="148">
        <v>1267980</v>
      </c>
      <c r="F72" s="148" t="s">
        <v>2842</v>
      </c>
      <c r="G72" s="148">
        <v>-1530000</v>
      </c>
      <c r="H72" s="148">
        <v>-1530000</v>
      </c>
      <c r="I72" s="148">
        <v>2.7556500000000002</v>
      </c>
      <c r="J72" s="148">
        <v>1.8356818516158999</v>
      </c>
      <c r="K72" s="148" t="s">
        <v>2842</v>
      </c>
      <c r="L72" s="148">
        <v>68.597951219512197</v>
      </c>
      <c r="M72" s="148">
        <v>25.3</v>
      </c>
    </row>
    <row r="73" spans="1:13">
      <c r="A73" s="148">
        <v>2000</v>
      </c>
      <c r="B73" s="148" t="s">
        <v>522</v>
      </c>
      <c r="C73" s="148" t="str">
        <f t="shared" si="1"/>
        <v>2000_Yemen</v>
      </c>
      <c r="D73" s="148">
        <v>9636342274.8240776</v>
      </c>
      <c r="E73" s="148">
        <v>17522537</v>
      </c>
      <c r="F73" s="148" t="s">
        <v>2842</v>
      </c>
      <c r="G73" s="148">
        <v>311280000</v>
      </c>
      <c r="H73" s="148">
        <v>311280000</v>
      </c>
      <c r="I73" s="148">
        <v>9.6616300000000006</v>
      </c>
      <c r="J73" s="148">
        <v>2.2352856280505198</v>
      </c>
      <c r="K73" s="148" t="s">
        <v>2842</v>
      </c>
      <c r="L73" s="148">
        <v>60.457853658536592</v>
      </c>
      <c r="M73" s="148">
        <v>69.2</v>
      </c>
    </row>
    <row r="74" spans="1:13">
      <c r="A74" s="148">
        <v>2000</v>
      </c>
      <c r="B74" s="148" t="s">
        <v>534</v>
      </c>
      <c r="C74" s="148" t="str">
        <f t="shared" si="1"/>
        <v>2000_Zambia</v>
      </c>
      <c r="D74" s="148">
        <v>3600631918.5065751</v>
      </c>
      <c r="E74" s="148">
        <v>10100981</v>
      </c>
      <c r="F74" s="148" t="s">
        <v>2842</v>
      </c>
      <c r="G74" s="148">
        <v>794650000</v>
      </c>
      <c r="H74" s="148">
        <v>794650000</v>
      </c>
      <c r="I74" s="148">
        <v>1.97895</v>
      </c>
      <c r="J74" s="148">
        <v>2.8933260600244401</v>
      </c>
      <c r="K74" s="148" t="s">
        <v>2842</v>
      </c>
      <c r="L74" s="148">
        <v>41.78312195121952</v>
      </c>
      <c r="M74" s="148">
        <v>99.5</v>
      </c>
    </row>
    <row r="75" spans="1:13">
      <c r="A75" s="148">
        <v>2001</v>
      </c>
      <c r="B75" s="148" t="s">
        <v>16</v>
      </c>
      <c r="C75" s="148" t="str">
        <f t="shared" si="1"/>
        <v>2001_Afghanistan</v>
      </c>
      <c r="D75" s="148">
        <v>2461666314.7836623</v>
      </c>
      <c r="E75" s="148">
        <v>21347782</v>
      </c>
      <c r="F75" s="148" t="s">
        <v>2842</v>
      </c>
      <c r="G75" s="148">
        <v>410360000</v>
      </c>
      <c r="H75" s="148">
        <v>410360000</v>
      </c>
      <c r="I75" s="148" t="s">
        <v>2842</v>
      </c>
      <c r="J75" s="148" t="s">
        <v>2842</v>
      </c>
      <c r="K75" s="148" t="s">
        <v>2842</v>
      </c>
      <c r="L75" s="148">
        <v>55.256219512195123</v>
      </c>
      <c r="M75" s="148">
        <v>92.7</v>
      </c>
    </row>
    <row r="76" spans="1:13">
      <c r="A76" s="148">
        <v>2001</v>
      </c>
      <c r="B76" s="148" t="s">
        <v>33</v>
      </c>
      <c r="C76" s="148" t="str">
        <f t="shared" si="1"/>
        <v>2001_Albania</v>
      </c>
      <c r="D76" s="148">
        <v>4091020249.1994991</v>
      </c>
      <c r="E76" s="148">
        <v>3064111</v>
      </c>
      <c r="F76" s="148" t="s">
        <v>2842</v>
      </c>
      <c r="G76" s="148">
        <v>268530000</v>
      </c>
      <c r="H76" s="148">
        <v>268530000</v>
      </c>
      <c r="I76" s="148">
        <v>3.31589</v>
      </c>
      <c r="J76" s="148">
        <v>2.30930450785866</v>
      </c>
      <c r="K76" s="148" t="s">
        <v>2842</v>
      </c>
      <c r="L76" s="148">
        <v>74.734219512195125</v>
      </c>
      <c r="M76" s="148">
        <v>22.1</v>
      </c>
    </row>
    <row r="77" spans="1:13">
      <c r="A77" s="148">
        <v>2001</v>
      </c>
      <c r="B77" s="148" t="s">
        <v>48</v>
      </c>
      <c r="C77" s="148" t="str">
        <f t="shared" si="1"/>
        <v>2001_Azerbaijan</v>
      </c>
      <c r="D77" s="148">
        <v>5707618246.5684757</v>
      </c>
      <c r="E77" s="148">
        <v>8111200</v>
      </c>
      <c r="F77" s="148" t="s">
        <v>2842</v>
      </c>
      <c r="G77" s="148">
        <v>229760000</v>
      </c>
      <c r="H77" s="148">
        <v>229760000</v>
      </c>
      <c r="I77" s="148">
        <v>3.5034200000000002</v>
      </c>
      <c r="J77" s="148">
        <v>0.84650112866817195</v>
      </c>
      <c r="K77" s="148">
        <v>49.6</v>
      </c>
      <c r="L77" s="148">
        <v>67.150292682926832</v>
      </c>
      <c r="M77" s="148">
        <v>56.9</v>
      </c>
    </row>
    <row r="78" spans="1:13">
      <c r="A78" s="148">
        <v>2001</v>
      </c>
      <c r="B78" s="148" t="s">
        <v>93</v>
      </c>
      <c r="C78" s="148" t="str">
        <f t="shared" si="1"/>
        <v>2001_Burkina Faso</v>
      </c>
      <c r="D78" s="148">
        <v>2812845486.4419565</v>
      </c>
      <c r="E78" s="148">
        <v>11946080</v>
      </c>
      <c r="F78" s="148" t="s">
        <v>2842</v>
      </c>
      <c r="G78" s="148">
        <v>405940000</v>
      </c>
      <c r="H78" s="148">
        <v>405940000</v>
      </c>
      <c r="I78" s="148" t="s">
        <v>2842</v>
      </c>
      <c r="J78" s="148">
        <v>1.84608079934964</v>
      </c>
      <c r="K78" s="148" t="s">
        <v>2842</v>
      </c>
      <c r="L78" s="148">
        <v>50.858073170731714</v>
      </c>
      <c r="M78" s="148">
        <v>95</v>
      </c>
    </row>
    <row r="79" spans="1:13">
      <c r="A79" s="148">
        <v>2001</v>
      </c>
      <c r="B79" s="148" t="s">
        <v>96</v>
      </c>
      <c r="C79" s="148" t="str">
        <f t="shared" si="1"/>
        <v>2001_Cameroon</v>
      </c>
      <c r="D79" s="148">
        <v>9633109256.7360611</v>
      </c>
      <c r="E79" s="148">
        <v>16350440</v>
      </c>
      <c r="F79" s="148" t="s">
        <v>2842</v>
      </c>
      <c r="G79" s="148">
        <v>457760000</v>
      </c>
      <c r="H79" s="148">
        <v>457760000</v>
      </c>
      <c r="I79" s="148">
        <v>2.60995</v>
      </c>
      <c r="J79" s="148">
        <v>1.1291992821427399</v>
      </c>
      <c r="K79" s="148">
        <v>40.200000000000003</v>
      </c>
      <c r="L79" s="148">
        <v>51.75719512195122</v>
      </c>
      <c r="M79" s="148">
        <v>89.8</v>
      </c>
    </row>
    <row r="80" spans="1:13">
      <c r="A80" s="148">
        <v>2001</v>
      </c>
      <c r="B80" s="148" t="s">
        <v>133</v>
      </c>
      <c r="C80" s="148" t="str">
        <f t="shared" si="1"/>
        <v>2001_Chad</v>
      </c>
      <c r="D80" s="148">
        <v>1709347776.842432</v>
      </c>
      <c r="E80" s="148">
        <v>8620917</v>
      </c>
      <c r="F80" s="148" t="s">
        <v>2842</v>
      </c>
      <c r="G80" s="148">
        <v>188560000</v>
      </c>
      <c r="H80" s="148">
        <v>188560000</v>
      </c>
      <c r="I80" s="148">
        <v>2.4261400000000002</v>
      </c>
      <c r="J80" s="148">
        <v>2.3964781088889202</v>
      </c>
      <c r="K80" s="148" t="s">
        <v>2842</v>
      </c>
      <c r="L80" s="148">
        <v>46.787024390243907</v>
      </c>
      <c r="M80" s="148">
        <v>104.8</v>
      </c>
    </row>
    <row r="81" spans="1:13">
      <c r="A81" s="148">
        <v>2001</v>
      </c>
      <c r="B81" s="148" t="s">
        <v>122</v>
      </c>
      <c r="C81" s="148" t="str">
        <f t="shared" si="1"/>
        <v>2001_Central African Republic</v>
      </c>
      <c r="D81" s="148">
        <v>931833293.75345039</v>
      </c>
      <c r="E81" s="148">
        <v>3704045</v>
      </c>
      <c r="F81" s="148" t="s">
        <v>2842</v>
      </c>
      <c r="G81" s="148">
        <v>76390000</v>
      </c>
      <c r="H81" s="148">
        <v>76390000</v>
      </c>
      <c r="I81" s="148" t="s">
        <v>2842</v>
      </c>
      <c r="J81" s="148">
        <v>1.89963543359373</v>
      </c>
      <c r="K81" s="148" t="s">
        <v>2842</v>
      </c>
      <c r="L81" s="148">
        <v>43.787390243902443</v>
      </c>
      <c r="M81" s="148">
        <v>113</v>
      </c>
    </row>
    <row r="82" spans="1:13">
      <c r="A82" s="148">
        <v>2001</v>
      </c>
      <c r="B82" s="148" t="s">
        <v>165</v>
      </c>
      <c r="C82" s="148" t="str">
        <f t="shared" si="1"/>
        <v>2001_Democratic Republic of Congo</v>
      </c>
      <c r="D82" s="148">
        <v>7438044091.333333</v>
      </c>
      <c r="E82" s="148">
        <v>48167045</v>
      </c>
      <c r="F82" s="148">
        <v>2.9866323808455881</v>
      </c>
      <c r="G82" s="148">
        <v>245370000</v>
      </c>
      <c r="H82" s="148">
        <v>245370000</v>
      </c>
      <c r="I82" s="148" t="s">
        <v>2842</v>
      </c>
      <c r="J82" s="148">
        <v>0.22857590961354701</v>
      </c>
      <c r="K82" s="148" t="s">
        <v>2842</v>
      </c>
      <c r="L82" s="148">
        <v>46.678048780487806</v>
      </c>
      <c r="M82" s="148">
        <v>114.2</v>
      </c>
    </row>
    <row r="83" spans="1:13">
      <c r="A83" s="148">
        <v>2001</v>
      </c>
      <c r="B83" s="148" t="s">
        <v>458</v>
      </c>
      <c r="C83" s="148" t="str">
        <f t="shared" si="1"/>
        <v>2001_Republic of the Congo</v>
      </c>
      <c r="D83" s="148">
        <v>2794259756.1309309</v>
      </c>
      <c r="E83" s="148">
        <v>3205636</v>
      </c>
      <c r="F83" s="148">
        <v>32.269353155006591</v>
      </c>
      <c r="G83" s="148">
        <v>73780000</v>
      </c>
      <c r="H83" s="148">
        <v>73780000</v>
      </c>
      <c r="I83" s="148" t="s">
        <v>2842</v>
      </c>
      <c r="J83" s="148">
        <v>1.33453248939706</v>
      </c>
      <c r="K83" s="148" t="s">
        <v>2842</v>
      </c>
      <c r="L83" s="148">
        <v>52.441243902439034</v>
      </c>
      <c r="M83" s="148">
        <v>75.400000000000006</v>
      </c>
    </row>
    <row r="84" spans="1:13">
      <c r="A84" s="148">
        <v>2001</v>
      </c>
      <c r="B84" s="33" t="s">
        <v>3542</v>
      </c>
      <c r="C84" s="148" t="str">
        <f t="shared" si="1"/>
        <v>2001_Côte d'Ivoire</v>
      </c>
      <c r="D84" s="148">
        <v>10545285036.79525</v>
      </c>
      <c r="E84" s="148">
        <v>16420173</v>
      </c>
      <c r="F84" s="148" t="s">
        <v>2842</v>
      </c>
      <c r="G84" s="148">
        <v>185910000</v>
      </c>
      <c r="H84" s="148">
        <v>185910000</v>
      </c>
      <c r="I84" s="148">
        <v>3.8938700000000002</v>
      </c>
      <c r="J84" s="148">
        <v>1.36945463702889</v>
      </c>
      <c r="K84" s="148" t="s">
        <v>2842</v>
      </c>
      <c r="L84" s="148">
        <v>46.273121951219515</v>
      </c>
      <c r="M84" s="148">
        <v>97.7</v>
      </c>
    </row>
    <row r="85" spans="1:13">
      <c r="A85" s="148">
        <v>2001</v>
      </c>
      <c r="B85" s="148" t="s">
        <v>182</v>
      </c>
      <c r="C85" s="148" t="str">
        <f t="shared" si="1"/>
        <v>2001_Equatorial Guinea</v>
      </c>
      <c r="D85" s="148">
        <v>1461139007.9371645</v>
      </c>
      <c r="E85" s="148">
        <v>534592</v>
      </c>
      <c r="F85" s="148" t="s">
        <v>2842</v>
      </c>
      <c r="G85" s="148">
        <v>13240000</v>
      </c>
      <c r="H85" s="148">
        <v>13240000</v>
      </c>
      <c r="I85" s="148">
        <v>0.58021999999999996</v>
      </c>
      <c r="J85" s="148">
        <v>1.1239962015388201</v>
      </c>
      <c r="K85" s="148" t="s">
        <v>2842</v>
      </c>
      <c r="L85" s="148">
        <v>47.837731707317083</v>
      </c>
      <c r="M85" s="148">
        <v>96.4</v>
      </c>
    </row>
    <row r="86" spans="1:13">
      <c r="A86" s="148">
        <v>2001</v>
      </c>
      <c r="B86" s="148" t="s">
        <v>185</v>
      </c>
      <c r="C86" s="148" t="str">
        <f t="shared" si="1"/>
        <v>2001_Gabon</v>
      </c>
      <c r="D86" s="148">
        <v>4712849279.6492348</v>
      </c>
      <c r="E86" s="148">
        <v>1255299</v>
      </c>
      <c r="F86" s="148" t="s">
        <v>2842</v>
      </c>
      <c r="G86" s="148">
        <v>8530000</v>
      </c>
      <c r="H86" s="148">
        <v>8530000</v>
      </c>
      <c r="I86" s="148" t="s">
        <v>2842</v>
      </c>
      <c r="J86" s="148">
        <v>1.3640931214006999</v>
      </c>
      <c r="K86" s="148" t="s">
        <v>2842</v>
      </c>
      <c r="L86" s="148">
        <v>59.496317073170736</v>
      </c>
      <c r="M86" s="148">
        <v>54.7</v>
      </c>
    </row>
    <row r="87" spans="1:13">
      <c r="A87" s="148">
        <v>2001</v>
      </c>
      <c r="B87" s="148" t="s">
        <v>189</v>
      </c>
      <c r="C87" s="148" t="str">
        <f t="shared" si="1"/>
        <v>2001_Ghana</v>
      </c>
      <c r="D87" s="148">
        <v>5314871683.5223007</v>
      </c>
      <c r="E87" s="148">
        <v>19293392</v>
      </c>
      <c r="F87" s="148">
        <v>18.1061131001006</v>
      </c>
      <c r="G87" s="148">
        <v>640620000</v>
      </c>
      <c r="H87" s="148">
        <v>640620000</v>
      </c>
      <c r="I87" s="148">
        <v>5.3544400000000003</v>
      </c>
      <c r="J87" s="148">
        <v>3.16648490124952</v>
      </c>
      <c r="K87" s="148" t="s">
        <v>2842</v>
      </c>
      <c r="L87" s="148">
        <v>57.147609756097566</v>
      </c>
      <c r="M87" s="148">
        <v>63.4</v>
      </c>
    </row>
    <row r="88" spans="1:13">
      <c r="A88" s="148">
        <v>2001</v>
      </c>
      <c r="B88" s="148" t="s">
        <v>2843</v>
      </c>
      <c r="C88" s="148" t="str">
        <f t="shared" si="1"/>
        <v>2001_Guinea</v>
      </c>
      <c r="D88" s="148">
        <v>2833442750.4189086</v>
      </c>
      <c r="E88" s="148">
        <v>8895353</v>
      </c>
      <c r="F88" s="148" t="s">
        <v>2842</v>
      </c>
      <c r="G88" s="148">
        <v>288850000</v>
      </c>
      <c r="H88" s="148">
        <v>288850000</v>
      </c>
      <c r="I88" s="148">
        <v>2.0819100000000001</v>
      </c>
      <c r="J88" s="148">
        <v>1.28971746367109</v>
      </c>
      <c r="K88" s="148" t="s">
        <v>2842</v>
      </c>
      <c r="L88" s="148">
        <v>51.276292682926837</v>
      </c>
      <c r="M88" s="148">
        <v>99.2</v>
      </c>
    </row>
    <row r="89" spans="1:13">
      <c r="A89" s="148">
        <v>2001</v>
      </c>
      <c r="B89" s="148" t="s">
        <v>213</v>
      </c>
      <c r="C89" s="148" t="str">
        <f t="shared" si="1"/>
        <v>2001_Guatemala</v>
      </c>
      <c r="D89" s="148">
        <v>18702820735.017349</v>
      </c>
      <c r="E89" s="148">
        <v>11478984</v>
      </c>
      <c r="F89" s="148">
        <v>11.991987905656501</v>
      </c>
      <c r="G89" s="148">
        <v>234300000</v>
      </c>
      <c r="H89" s="148">
        <v>234300000</v>
      </c>
      <c r="I89" s="148" t="s">
        <v>2842</v>
      </c>
      <c r="J89" s="148">
        <v>2.4086630770089101</v>
      </c>
      <c r="K89" s="148" t="s">
        <v>2842</v>
      </c>
      <c r="L89" s="148">
        <v>68.220487804878061</v>
      </c>
      <c r="M89" s="148">
        <v>38.6</v>
      </c>
    </row>
    <row r="90" spans="1:13">
      <c r="A90" s="148">
        <v>2001</v>
      </c>
      <c r="B90" s="148" t="s">
        <v>237</v>
      </c>
      <c r="C90" s="148" t="str">
        <f t="shared" si="1"/>
        <v>2001_Indonesia</v>
      </c>
      <c r="D90" s="148">
        <v>160446947638.31348</v>
      </c>
      <c r="E90" s="148">
        <v>211970371</v>
      </c>
      <c r="F90" s="148">
        <v>18.25672377578627</v>
      </c>
      <c r="G90" s="148">
        <v>1464810000</v>
      </c>
      <c r="H90" s="148">
        <v>1464810000</v>
      </c>
      <c r="I90" s="148">
        <v>2.4600300000000002</v>
      </c>
      <c r="J90" s="148">
        <v>0.96397556236415505</v>
      </c>
      <c r="K90" s="148" t="s">
        <v>2842</v>
      </c>
      <c r="L90" s="148">
        <v>67.58573170731708</v>
      </c>
      <c r="M90" s="148">
        <v>39.4</v>
      </c>
    </row>
    <row r="91" spans="1:13">
      <c r="A91" s="148">
        <v>2001</v>
      </c>
      <c r="B91" s="148" t="s">
        <v>245</v>
      </c>
      <c r="C91" s="148" t="str">
        <f t="shared" si="1"/>
        <v>2001_Iraq</v>
      </c>
      <c r="D91" s="148" t="s">
        <v>2842</v>
      </c>
      <c r="E91" s="148">
        <v>24516842</v>
      </c>
      <c r="F91" s="148" t="s">
        <v>2842</v>
      </c>
      <c r="G91" s="148">
        <v>122700000</v>
      </c>
      <c r="H91" s="148">
        <v>122700000</v>
      </c>
      <c r="I91" s="148" t="s">
        <v>2842</v>
      </c>
      <c r="J91" s="148">
        <v>5.19842600468697E-2</v>
      </c>
      <c r="K91" s="148" t="s">
        <v>2842</v>
      </c>
      <c r="L91" s="148">
        <v>70.667414634146354</v>
      </c>
      <c r="M91" s="148">
        <v>35.200000000000003</v>
      </c>
    </row>
    <row r="92" spans="1:13">
      <c r="A92" s="148">
        <v>2001</v>
      </c>
      <c r="B92" s="148" t="s">
        <v>273</v>
      </c>
      <c r="C92" s="148" t="str">
        <f t="shared" si="1"/>
        <v>2001_Kazakhstan</v>
      </c>
      <c r="D92" s="148">
        <v>22152689129.55827</v>
      </c>
      <c r="E92" s="148">
        <v>14858335</v>
      </c>
      <c r="F92" s="148">
        <v>11.443403331939434</v>
      </c>
      <c r="G92" s="148">
        <v>157000000</v>
      </c>
      <c r="H92" s="148">
        <v>157000000</v>
      </c>
      <c r="I92" s="148" t="s">
        <v>2842</v>
      </c>
      <c r="J92" s="148">
        <v>1.9657951641439</v>
      </c>
      <c r="K92" s="148">
        <v>46.7</v>
      </c>
      <c r="L92" s="148">
        <v>65.768292682926827</v>
      </c>
      <c r="M92" s="148">
        <v>35.700000000000003</v>
      </c>
    </row>
    <row r="93" spans="1:13">
      <c r="A93" s="148">
        <v>2001</v>
      </c>
      <c r="B93" s="148" t="s">
        <v>278</v>
      </c>
      <c r="C93" s="148" t="str">
        <f t="shared" si="1"/>
        <v>2001_Kyrgyz Republic</v>
      </c>
      <c r="D93" s="148">
        <v>1525113501.1103437</v>
      </c>
      <c r="E93" s="148">
        <v>4945100</v>
      </c>
      <c r="F93" s="148">
        <v>16.052477352798263</v>
      </c>
      <c r="G93" s="148">
        <v>187940000</v>
      </c>
      <c r="H93" s="148">
        <v>187940000</v>
      </c>
      <c r="I93" s="148">
        <v>3.85419</v>
      </c>
      <c r="J93" s="148">
        <v>1.9689238390428101</v>
      </c>
      <c r="K93" s="148" t="s">
        <v>2842</v>
      </c>
      <c r="L93" s="148">
        <v>68.707317073170728</v>
      </c>
      <c r="M93" s="148">
        <v>40.299999999999997</v>
      </c>
    </row>
    <row r="94" spans="1:13">
      <c r="A94" s="148">
        <v>2001</v>
      </c>
      <c r="B94" s="148" t="s">
        <v>294</v>
      </c>
      <c r="C94" s="148" t="str">
        <f t="shared" si="1"/>
        <v>2001_Liberia</v>
      </c>
      <c r="D94" s="148">
        <v>514999999.99999899</v>
      </c>
      <c r="E94" s="148">
        <v>2998770</v>
      </c>
      <c r="F94" s="148" t="s">
        <v>2842</v>
      </c>
      <c r="G94" s="148">
        <v>38480000</v>
      </c>
      <c r="H94" s="148">
        <v>38480000</v>
      </c>
      <c r="I94" s="148" t="s">
        <v>2842</v>
      </c>
      <c r="J94" s="148">
        <v>1.64715131328552</v>
      </c>
      <c r="K94" s="148" t="s">
        <v>2842</v>
      </c>
      <c r="L94" s="148">
        <v>52.533463414634156</v>
      </c>
      <c r="M94" s="148">
        <v>111.5</v>
      </c>
    </row>
    <row r="95" spans="1:13">
      <c r="A95" s="148">
        <v>2001</v>
      </c>
      <c r="B95" s="148" t="s">
        <v>309</v>
      </c>
      <c r="C95" s="148" t="str">
        <f t="shared" si="1"/>
        <v>2001_Madagascar</v>
      </c>
      <c r="D95" s="148">
        <v>4529575232.9850903</v>
      </c>
      <c r="E95" s="148">
        <v>16235767</v>
      </c>
      <c r="F95" s="148">
        <v>10.149756660505552</v>
      </c>
      <c r="G95" s="148">
        <v>370250000</v>
      </c>
      <c r="H95" s="148">
        <v>370250000</v>
      </c>
      <c r="I95" s="148">
        <v>3.2503299999999999</v>
      </c>
      <c r="J95" s="148">
        <v>2.65303718079885</v>
      </c>
      <c r="K95" s="148">
        <v>70.8</v>
      </c>
      <c r="L95" s="148">
        <v>59.113609756097567</v>
      </c>
      <c r="M95" s="148">
        <v>67</v>
      </c>
    </row>
    <row r="96" spans="1:13">
      <c r="A96" s="148">
        <v>2001</v>
      </c>
      <c r="B96" s="148" t="s">
        <v>322</v>
      </c>
      <c r="C96" s="148" t="str">
        <f t="shared" si="1"/>
        <v>2001_Mali</v>
      </c>
      <c r="D96" s="148">
        <v>2629739067.4674587</v>
      </c>
      <c r="E96" s="148">
        <v>10562768</v>
      </c>
      <c r="F96" s="148">
        <v>14.556005031903304</v>
      </c>
      <c r="G96" s="148">
        <v>351810000</v>
      </c>
      <c r="H96" s="148">
        <v>351810000</v>
      </c>
      <c r="I96" s="148">
        <v>3.5031400000000001</v>
      </c>
      <c r="J96" s="148">
        <v>2.87238370778898</v>
      </c>
      <c r="K96" s="148">
        <v>55.6</v>
      </c>
      <c r="L96" s="148">
        <v>49.524292682926834</v>
      </c>
      <c r="M96" s="148">
        <v>112.8</v>
      </c>
    </row>
    <row r="97" spans="1:13">
      <c r="A97" s="148">
        <v>2001</v>
      </c>
      <c r="B97" s="148" t="s">
        <v>338</v>
      </c>
      <c r="C97" s="148" t="str">
        <f t="shared" si="1"/>
        <v>2001_Mauritania</v>
      </c>
      <c r="D97" s="148">
        <v>1121564037.897094</v>
      </c>
      <c r="E97" s="148">
        <v>2791403</v>
      </c>
      <c r="F97" s="148" t="s">
        <v>2842</v>
      </c>
      <c r="G97" s="148">
        <v>282840000</v>
      </c>
      <c r="H97" s="148">
        <v>282840000</v>
      </c>
      <c r="I97" s="148">
        <v>2.8395000000000001</v>
      </c>
      <c r="J97" s="148">
        <v>2.8648614610865799</v>
      </c>
      <c r="K97" s="148" t="s">
        <v>2842</v>
      </c>
      <c r="L97" s="148">
        <v>59.770097560975614</v>
      </c>
      <c r="M97" s="148">
        <v>75.900000000000006</v>
      </c>
    </row>
    <row r="98" spans="1:13">
      <c r="A98" s="148">
        <v>2001</v>
      </c>
      <c r="B98" s="148" t="s">
        <v>357</v>
      </c>
      <c r="C98" s="148" t="str">
        <f t="shared" si="1"/>
        <v>2001_Mongolia</v>
      </c>
      <c r="D98" s="148">
        <v>1267997923.0326948</v>
      </c>
      <c r="E98" s="148">
        <v>2419669</v>
      </c>
      <c r="F98" s="148">
        <v>25.421837164555043</v>
      </c>
      <c r="G98" s="148">
        <v>213610000</v>
      </c>
      <c r="H98" s="148">
        <v>213610000</v>
      </c>
      <c r="I98" s="148" t="s">
        <v>2842</v>
      </c>
      <c r="J98" s="148">
        <v>3.8998528364367502</v>
      </c>
      <c r="K98" s="148" t="s">
        <v>2842</v>
      </c>
      <c r="L98" s="148">
        <v>63.402609756097561</v>
      </c>
      <c r="M98" s="148">
        <v>46.7</v>
      </c>
    </row>
    <row r="99" spans="1:13">
      <c r="A99" s="148">
        <v>2001</v>
      </c>
      <c r="B99" s="148" t="s">
        <v>378</v>
      </c>
      <c r="C99" s="148" t="str">
        <f t="shared" si="1"/>
        <v>2001_Mozambique</v>
      </c>
      <c r="D99" s="148">
        <v>4075049537.3820992</v>
      </c>
      <c r="E99" s="148">
        <v>18785719</v>
      </c>
      <c r="F99" s="148" t="s">
        <v>2842</v>
      </c>
      <c r="G99" s="148">
        <v>960720000</v>
      </c>
      <c r="H99" s="148">
        <v>960720000</v>
      </c>
      <c r="I99" s="148" t="s">
        <v>2842</v>
      </c>
      <c r="J99" s="148">
        <v>3.9675960900919902</v>
      </c>
      <c r="K99" s="148" t="s">
        <v>2842</v>
      </c>
      <c r="L99" s="148">
        <v>47.52629268292683</v>
      </c>
      <c r="M99" s="148">
        <v>108.5</v>
      </c>
    </row>
    <row r="100" spans="1:13">
      <c r="A100" s="148">
        <v>2001</v>
      </c>
      <c r="B100" s="148" t="s">
        <v>387</v>
      </c>
      <c r="C100" s="148" t="str">
        <f t="shared" si="1"/>
        <v>2001_Niger</v>
      </c>
      <c r="D100" s="148">
        <v>1945327545.8881547</v>
      </c>
      <c r="E100" s="148">
        <v>11396434</v>
      </c>
      <c r="F100" s="148" t="s">
        <v>2842</v>
      </c>
      <c r="G100" s="148">
        <v>259050000</v>
      </c>
      <c r="H100" s="148">
        <v>259050000</v>
      </c>
      <c r="I100" s="148">
        <v>2.8672499999999999</v>
      </c>
      <c r="J100" s="148">
        <v>1.83510420164233</v>
      </c>
      <c r="K100" s="148" t="s">
        <v>2842</v>
      </c>
      <c r="L100" s="148">
        <v>51.407292682926837</v>
      </c>
      <c r="M100" s="148">
        <v>97.7</v>
      </c>
    </row>
    <row r="101" spans="1:13">
      <c r="A101" s="148">
        <v>2001</v>
      </c>
      <c r="B101" s="148" t="s">
        <v>406</v>
      </c>
      <c r="C101" s="148" t="str">
        <f t="shared" si="1"/>
        <v>2001_Nigeria</v>
      </c>
      <c r="D101" s="148">
        <v>44138014092.262741</v>
      </c>
      <c r="E101" s="148">
        <v>126004992</v>
      </c>
      <c r="F101" s="148" t="s">
        <v>2842</v>
      </c>
      <c r="G101" s="148">
        <v>176170000</v>
      </c>
      <c r="H101" s="148">
        <v>176170000</v>
      </c>
      <c r="I101" s="148" t="s">
        <v>2842</v>
      </c>
      <c r="J101" s="148">
        <v>1.5048700492951701</v>
      </c>
      <c r="K101" s="148" t="s">
        <v>2842</v>
      </c>
      <c r="L101" s="148">
        <v>46.881170731707321</v>
      </c>
      <c r="M101" s="148">
        <v>109.5</v>
      </c>
    </row>
    <row r="102" spans="1:13">
      <c r="A102" s="148">
        <v>2001</v>
      </c>
      <c r="B102" s="148" t="s">
        <v>429</v>
      </c>
      <c r="C102" s="148" t="str">
        <f t="shared" si="1"/>
        <v>2001_Norway</v>
      </c>
      <c r="D102" s="148">
        <v>170922851073.76804</v>
      </c>
      <c r="E102" s="148">
        <v>4513751</v>
      </c>
      <c r="F102" s="148">
        <v>47.378629658524019</v>
      </c>
      <c r="G102" s="148" t="s">
        <v>2842</v>
      </c>
      <c r="H102" s="148" t="s">
        <v>2842</v>
      </c>
      <c r="I102" s="148">
        <v>6.9524999999999997</v>
      </c>
      <c r="J102" s="148">
        <v>8.1488749660840405</v>
      </c>
      <c r="K102" s="148" t="s">
        <v>2842</v>
      </c>
      <c r="L102" s="148">
        <v>78.785365853658533</v>
      </c>
      <c r="M102" s="148">
        <v>3.8</v>
      </c>
    </row>
    <row r="103" spans="1:13">
      <c r="A103" s="148">
        <v>2001</v>
      </c>
      <c r="B103" s="148" t="s">
        <v>442</v>
      </c>
      <c r="C103" s="148" t="str">
        <f t="shared" si="1"/>
        <v>2001_Peru</v>
      </c>
      <c r="D103" s="148">
        <v>51592179795.660049</v>
      </c>
      <c r="E103" s="148">
        <v>26372358</v>
      </c>
      <c r="F103" s="148">
        <v>17.377090039850351</v>
      </c>
      <c r="G103" s="148">
        <v>450640000</v>
      </c>
      <c r="H103" s="148">
        <v>450640000</v>
      </c>
      <c r="I103" s="148">
        <v>2.9298000000000002</v>
      </c>
      <c r="J103" s="148">
        <v>2.7106189607490698</v>
      </c>
      <c r="K103" s="148">
        <v>54.8</v>
      </c>
      <c r="L103" s="148">
        <v>70.952390243902457</v>
      </c>
      <c r="M103" s="148">
        <v>28.4</v>
      </c>
    </row>
    <row r="104" spans="1:13">
      <c r="A104" s="148">
        <v>2001</v>
      </c>
      <c r="B104" s="148" t="s">
        <v>481</v>
      </c>
      <c r="C104" s="148" t="str">
        <f t="shared" si="1"/>
        <v>2001_Sierra Leone</v>
      </c>
      <c r="D104" s="148">
        <v>1079478387.8357625</v>
      </c>
      <c r="E104" s="148">
        <v>4295667</v>
      </c>
      <c r="F104" s="148">
        <v>9.6860530241053677</v>
      </c>
      <c r="G104" s="148">
        <v>334820000</v>
      </c>
      <c r="H104" s="148">
        <v>334820000</v>
      </c>
      <c r="I104" s="148">
        <v>3.46767</v>
      </c>
      <c r="J104" s="148">
        <v>3.1276012823327002</v>
      </c>
      <c r="K104" s="148" t="s">
        <v>2842</v>
      </c>
      <c r="L104" s="148">
        <v>38.846463414634158</v>
      </c>
      <c r="M104" s="148">
        <v>138.5</v>
      </c>
    </row>
    <row r="105" spans="1:13">
      <c r="A105" s="148">
        <v>2001</v>
      </c>
      <c r="B105" s="148" t="s">
        <v>492</v>
      </c>
      <c r="C105" s="148" t="str">
        <f t="shared" si="1"/>
        <v>2001_Tanzania</v>
      </c>
      <c r="D105" s="148">
        <v>10383560997.78072</v>
      </c>
      <c r="E105" s="148">
        <v>34895398</v>
      </c>
      <c r="F105" s="148" t="s">
        <v>2842</v>
      </c>
      <c r="G105" s="148">
        <v>1274230000</v>
      </c>
      <c r="H105" s="148">
        <v>1274230000</v>
      </c>
      <c r="I105" s="148" t="s">
        <v>2842</v>
      </c>
      <c r="J105" s="148">
        <v>1.60492861757294</v>
      </c>
      <c r="K105" s="148" t="s">
        <v>2842</v>
      </c>
      <c r="L105" s="148">
        <v>50.496780487804891</v>
      </c>
      <c r="M105" s="148">
        <v>75.5</v>
      </c>
    </row>
    <row r="106" spans="1:13">
      <c r="A106" s="148">
        <v>2001</v>
      </c>
      <c r="B106" s="148" t="s">
        <v>2844</v>
      </c>
      <c r="C106" s="148" t="str">
        <f t="shared" si="1"/>
        <v>2001_Timor-Leste</v>
      </c>
      <c r="D106" s="148">
        <v>452000000</v>
      </c>
      <c r="E106" s="148">
        <v>871353</v>
      </c>
      <c r="F106" s="148" t="s">
        <v>2842</v>
      </c>
      <c r="G106" s="148">
        <v>194170000</v>
      </c>
      <c r="H106" s="148">
        <v>194170000</v>
      </c>
      <c r="I106" s="148" t="s">
        <v>2842</v>
      </c>
      <c r="J106" s="148">
        <v>3.6901920771727399</v>
      </c>
      <c r="K106" s="148">
        <v>36.299999999999997</v>
      </c>
      <c r="L106" s="148">
        <v>60.346195121951226</v>
      </c>
      <c r="M106" s="148">
        <v>79.900000000000006</v>
      </c>
    </row>
    <row r="107" spans="1:13">
      <c r="A107" s="148">
        <v>2001</v>
      </c>
      <c r="B107" s="148" t="s">
        <v>510</v>
      </c>
      <c r="C107" s="148" t="str">
        <f t="shared" si="1"/>
        <v>2001_Togo</v>
      </c>
      <c r="D107" s="148">
        <v>1332328986.2827737</v>
      </c>
      <c r="E107" s="148">
        <v>4992225</v>
      </c>
      <c r="F107" s="148" t="s">
        <v>2842</v>
      </c>
      <c r="G107" s="148">
        <v>46080000</v>
      </c>
      <c r="H107" s="148">
        <v>46080000</v>
      </c>
      <c r="I107" s="148">
        <v>4.1877899999999997</v>
      </c>
      <c r="J107" s="148">
        <v>1.23213727540242</v>
      </c>
      <c r="K107" s="148" t="s">
        <v>2842</v>
      </c>
      <c r="L107" s="148">
        <v>53.588195121951223</v>
      </c>
      <c r="M107" s="148">
        <v>75</v>
      </c>
    </row>
    <row r="108" spans="1:13">
      <c r="A108" s="148">
        <v>2001</v>
      </c>
      <c r="B108" s="148" t="s">
        <v>2845</v>
      </c>
      <c r="C108" s="148" t="str">
        <f t="shared" si="1"/>
        <v>2001_Trinidad and Tobago</v>
      </c>
      <c r="D108" s="148">
        <v>8824873155.6258354</v>
      </c>
      <c r="E108" s="148">
        <v>1272347</v>
      </c>
      <c r="F108" s="148">
        <v>27.138265536147994</v>
      </c>
      <c r="G108" s="148">
        <v>-1730000</v>
      </c>
      <c r="H108" s="148">
        <v>-1730000</v>
      </c>
      <c r="I108" s="148">
        <v>3.0652900000000001</v>
      </c>
      <c r="J108" s="148">
        <v>2.2269811951889902</v>
      </c>
      <c r="K108" s="148" t="s">
        <v>2842</v>
      </c>
      <c r="L108" s="148">
        <v>68.654000000000011</v>
      </c>
      <c r="M108" s="148">
        <v>25.2</v>
      </c>
    </row>
    <row r="109" spans="1:13">
      <c r="A109" s="148">
        <v>2001</v>
      </c>
      <c r="B109" s="148" t="s">
        <v>522</v>
      </c>
      <c r="C109" s="148" t="str">
        <f t="shared" si="1"/>
        <v>2001_Yemen</v>
      </c>
      <c r="D109" s="148">
        <v>9854042164.6746349</v>
      </c>
      <c r="E109" s="148">
        <v>18029989</v>
      </c>
      <c r="F109" s="148" t="s">
        <v>2842</v>
      </c>
      <c r="G109" s="148">
        <v>370390000</v>
      </c>
      <c r="H109" s="148">
        <v>370390000</v>
      </c>
      <c r="I109" s="148">
        <v>9.2447099999999995</v>
      </c>
      <c r="J109" s="148">
        <v>2.2941806533203701</v>
      </c>
      <c r="K109" s="148" t="s">
        <v>2842</v>
      </c>
      <c r="L109" s="148">
        <v>60.683682926829277</v>
      </c>
      <c r="M109" s="148">
        <v>66.5</v>
      </c>
    </row>
    <row r="110" spans="1:13">
      <c r="A110" s="148">
        <v>2001</v>
      </c>
      <c r="B110" s="148" t="s">
        <v>534</v>
      </c>
      <c r="C110" s="148" t="str">
        <f t="shared" si="1"/>
        <v>2001_Zambia</v>
      </c>
      <c r="D110" s="148">
        <v>4094441301.2142286</v>
      </c>
      <c r="E110" s="148">
        <v>10362137</v>
      </c>
      <c r="F110" s="148">
        <v>17.455856592240981</v>
      </c>
      <c r="G110" s="148">
        <v>570840000</v>
      </c>
      <c r="H110" s="148">
        <v>570840000</v>
      </c>
      <c r="I110" s="148" t="s">
        <v>2842</v>
      </c>
      <c r="J110" s="148">
        <v>3.4455875594745602</v>
      </c>
      <c r="K110" s="148" t="s">
        <v>2842</v>
      </c>
      <c r="L110" s="148">
        <v>42.506560975609766</v>
      </c>
      <c r="M110" s="148">
        <v>95.4</v>
      </c>
    </row>
    <row r="111" spans="1:13">
      <c r="A111" s="148">
        <v>2002</v>
      </c>
      <c r="B111" s="148" t="s">
        <v>16</v>
      </c>
      <c r="C111" s="148" t="str">
        <f t="shared" si="1"/>
        <v>2002_Afghanistan</v>
      </c>
      <c r="D111" s="148">
        <v>4128818042.2550769</v>
      </c>
      <c r="E111" s="148">
        <v>22202806</v>
      </c>
      <c r="F111" s="148" t="s">
        <v>2842</v>
      </c>
      <c r="G111" s="148">
        <v>1309770000</v>
      </c>
      <c r="H111" s="148">
        <v>1309770000</v>
      </c>
      <c r="I111" s="148" t="s">
        <v>2842</v>
      </c>
      <c r="J111" s="148">
        <v>0.60137520061357297</v>
      </c>
      <c r="K111" s="148" t="s">
        <v>2842</v>
      </c>
      <c r="L111" s="148">
        <v>55.671878048780499</v>
      </c>
      <c r="M111" s="148">
        <v>90.6</v>
      </c>
    </row>
    <row r="112" spans="1:13">
      <c r="A112" s="148">
        <v>2002</v>
      </c>
      <c r="B112" s="148" t="s">
        <v>33</v>
      </c>
      <c r="C112" s="148" t="str">
        <f t="shared" si="1"/>
        <v>2002_Albania</v>
      </c>
      <c r="D112" s="148">
        <v>4449373455.2814274</v>
      </c>
      <c r="E112" s="148">
        <v>3051427</v>
      </c>
      <c r="F112" s="148">
        <v>19.331293857135197</v>
      </c>
      <c r="G112" s="148">
        <v>307420000</v>
      </c>
      <c r="H112" s="148">
        <v>307420000</v>
      </c>
      <c r="I112" s="148">
        <v>3.0468099999999998</v>
      </c>
      <c r="J112" s="148">
        <v>2.26359799713993</v>
      </c>
      <c r="K112" s="148">
        <v>25.4</v>
      </c>
      <c r="L112" s="148">
        <v>75.157951219512199</v>
      </c>
      <c r="M112" s="148">
        <v>21</v>
      </c>
    </row>
    <row r="113" spans="1:13">
      <c r="A113" s="148">
        <v>2002</v>
      </c>
      <c r="B113" s="148" t="s">
        <v>48</v>
      </c>
      <c r="C113" s="148" t="str">
        <f t="shared" si="1"/>
        <v>2002_Azerbaijan</v>
      </c>
      <c r="D113" s="148">
        <v>6236024951.2042265</v>
      </c>
      <c r="E113" s="148">
        <v>8171950</v>
      </c>
      <c r="F113" s="148" t="s">
        <v>2842</v>
      </c>
      <c r="G113" s="148">
        <v>349310000</v>
      </c>
      <c r="H113" s="148">
        <v>349310000</v>
      </c>
      <c r="I113" s="148">
        <v>3.15449</v>
      </c>
      <c r="J113" s="148">
        <v>0.79181788188716595</v>
      </c>
      <c r="K113" s="148" t="s">
        <v>2842</v>
      </c>
      <c r="L113" s="148">
        <v>67.561073170731717</v>
      </c>
      <c r="M113" s="148">
        <v>53.2</v>
      </c>
    </row>
    <row r="114" spans="1:13">
      <c r="A114" s="148">
        <v>2002</v>
      </c>
      <c r="B114" s="148" t="s">
        <v>93</v>
      </c>
      <c r="C114" s="148" t="str">
        <f t="shared" si="1"/>
        <v>2002_Burkina Faso</v>
      </c>
      <c r="D114" s="148">
        <v>3205592273.1869321</v>
      </c>
      <c r="E114" s="148">
        <v>12296399</v>
      </c>
      <c r="F114" s="148">
        <v>11.69537470554009</v>
      </c>
      <c r="G114" s="148">
        <v>439760000</v>
      </c>
      <c r="H114" s="148">
        <v>439760000</v>
      </c>
      <c r="I114" s="148" t="s">
        <v>2842</v>
      </c>
      <c r="J114" s="148">
        <v>2.1997076231576398</v>
      </c>
      <c r="K114" s="148" t="s">
        <v>2842</v>
      </c>
      <c r="L114" s="148">
        <v>51.272756097560979</v>
      </c>
      <c r="M114" s="148">
        <v>93.5</v>
      </c>
    </row>
    <row r="115" spans="1:13">
      <c r="A115" s="148">
        <v>2002</v>
      </c>
      <c r="B115" s="148" t="s">
        <v>96</v>
      </c>
      <c r="C115" s="148" t="str">
        <f t="shared" si="1"/>
        <v>2002_Cameroon</v>
      </c>
      <c r="D115" s="148">
        <v>10879778327.819414</v>
      </c>
      <c r="E115" s="148">
        <v>16782044</v>
      </c>
      <c r="F115" s="148" t="s">
        <v>2842</v>
      </c>
      <c r="G115" s="148">
        <v>605850000</v>
      </c>
      <c r="H115" s="148">
        <v>605850000</v>
      </c>
      <c r="I115" s="148" t="s">
        <v>2842</v>
      </c>
      <c r="J115" s="148">
        <v>1.2903827201819</v>
      </c>
      <c r="K115" s="148" t="s">
        <v>2842</v>
      </c>
      <c r="L115" s="148">
        <v>51.655268292682933</v>
      </c>
      <c r="M115" s="148">
        <v>86.7</v>
      </c>
    </row>
    <row r="116" spans="1:13">
      <c r="A116" s="148">
        <v>2002</v>
      </c>
      <c r="B116" s="148" t="s">
        <v>133</v>
      </c>
      <c r="C116" s="148" t="str">
        <f t="shared" si="1"/>
        <v>2002_Chad</v>
      </c>
      <c r="D116" s="148">
        <v>1987622268.8151252</v>
      </c>
      <c r="E116" s="148">
        <v>8959964</v>
      </c>
      <c r="F116" s="148" t="s">
        <v>2842</v>
      </c>
      <c r="G116" s="148">
        <v>229540000</v>
      </c>
      <c r="H116" s="148">
        <v>229540000</v>
      </c>
      <c r="I116" s="148" t="s">
        <v>2842</v>
      </c>
      <c r="J116" s="148">
        <v>2.4819551976345302</v>
      </c>
      <c r="K116" s="148" t="s">
        <v>2842</v>
      </c>
      <c r="L116" s="148">
        <v>46.929707317073181</v>
      </c>
      <c r="M116" s="148">
        <v>103.7</v>
      </c>
    </row>
    <row r="117" spans="1:13">
      <c r="A117" s="148">
        <v>2002</v>
      </c>
      <c r="B117" s="148" t="s">
        <v>122</v>
      </c>
      <c r="C117" s="148" t="str">
        <f t="shared" si="1"/>
        <v>2002_Central African Republic</v>
      </c>
      <c r="D117" s="148">
        <v>991387865.04493213</v>
      </c>
      <c r="E117" s="148">
        <v>3767248</v>
      </c>
      <c r="F117" s="148" t="s">
        <v>2842</v>
      </c>
      <c r="G117" s="148">
        <v>60240000</v>
      </c>
      <c r="H117" s="148">
        <v>60240000</v>
      </c>
      <c r="I117" s="148">
        <v>1.5195700000000001</v>
      </c>
      <c r="J117" s="148">
        <v>2.1029690479398999</v>
      </c>
      <c r="K117" s="148" t="s">
        <v>2842</v>
      </c>
      <c r="L117" s="148">
        <v>43.96358536585366</v>
      </c>
      <c r="M117" s="148">
        <v>112.7</v>
      </c>
    </row>
    <row r="118" spans="1:13">
      <c r="A118" s="148">
        <v>2002</v>
      </c>
      <c r="B118" s="148" t="s">
        <v>165</v>
      </c>
      <c r="C118" s="148" t="str">
        <f t="shared" si="1"/>
        <v>2002_Democratic Republic of Congo</v>
      </c>
      <c r="D118" s="148">
        <v>8728038480.2851639</v>
      </c>
      <c r="E118" s="148">
        <v>49516960</v>
      </c>
      <c r="F118" s="148">
        <v>4.8855935443450775</v>
      </c>
      <c r="G118" s="148">
        <v>1174980000</v>
      </c>
      <c r="H118" s="148">
        <v>1174980000</v>
      </c>
      <c r="I118" s="148" t="s">
        <v>2842</v>
      </c>
      <c r="J118" s="148">
        <v>0.25199675687025302</v>
      </c>
      <c r="K118" s="148" t="s">
        <v>2842</v>
      </c>
      <c r="L118" s="148">
        <v>47.019146341463419</v>
      </c>
      <c r="M118" s="148">
        <v>112.9</v>
      </c>
    </row>
    <row r="119" spans="1:13">
      <c r="A119" s="148">
        <v>2002</v>
      </c>
      <c r="B119" s="148" t="s">
        <v>458</v>
      </c>
      <c r="C119" s="148" t="str">
        <f t="shared" si="1"/>
        <v>2002_Republic of the Congo</v>
      </c>
      <c r="D119" s="148">
        <v>3019993723.1258554</v>
      </c>
      <c r="E119" s="148">
        <v>3283719</v>
      </c>
      <c r="F119" s="148">
        <v>31.910795856525247</v>
      </c>
      <c r="G119" s="148">
        <v>57660000</v>
      </c>
      <c r="H119" s="148">
        <v>57660000</v>
      </c>
      <c r="I119" s="148">
        <v>3.2083200000000001</v>
      </c>
      <c r="J119" s="148">
        <v>1.28795915417074</v>
      </c>
      <c r="K119" s="148" t="s">
        <v>2842</v>
      </c>
      <c r="L119" s="148">
        <v>52.692170731707321</v>
      </c>
      <c r="M119" s="148">
        <v>73.2</v>
      </c>
    </row>
    <row r="120" spans="1:13">
      <c r="A120" s="148">
        <v>2002</v>
      </c>
      <c r="B120" s="33" t="s">
        <v>3542</v>
      </c>
      <c r="C120" s="148" t="str">
        <f t="shared" si="1"/>
        <v>2002_Côte d'Ivoire</v>
      </c>
      <c r="D120" s="148">
        <v>11486664265.354841</v>
      </c>
      <c r="E120" s="148">
        <v>16674987</v>
      </c>
      <c r="F120" s="148" t="s">
        <v>2842</v>
      </c>
      <c r="G120" s="148">
        <v>1067720000</v>
      </c>
      <c r="H120" s="148">
        <v>1067720000</v>
      </c>
      <c r="I120" s="148">
        <v>4.3966599999999998</v>
      </c>
      <c r="J120" s="148">
        <v>1.5140932924674699</v>
      </c>
      <c r="K120" s="148">
        <v>40.200000000000003</v>
      </c>
      <c r="L120" s="148">
        <v>46.283585365853661</v>
      </c>
      <c r="M120" s="148">
        <v>95.7</v>
      </c>
    </row>
    <row r="121" spans="1:13">
      <c r="A121" s="148">
        <v>2002</v>
      </c>
      <c r="B121" s="148" t="s">
        <v>182</v>
      </c>
      <c r="C121" s="148" t="str">
        <f t="shared" si="1"/>
        <v>2002_Equatorial Guinea</v>
      </c>
      <c r="D121" s="148">
        <v>1806742732.910897</v>
      </c>
      <c r="E121" s="148">
        <v>551399</v>
      </c>
      <c r="F121" s="148" t="s">
        <v>2842</v>
      </c>
      <c r="G121" s="148">
        <v>20150000</v>
      </c>
      <c r="H121" s="148">
        <v>20150000</v>
      </c>
      <c r="I121" s="148">
        <v>0.60299999999999998</v>
      </c>
      <c r="J121" s="148">
        <v>0.93563997435920099</v>
      </c>
      <c r="K121" s="148" t="s">
        <v>2842</v>
      </c>
      <c r="L121" s="148">
        <v>47.976512195121963</v>
      </c>
      <c r="M121" s="148">
        <v>94.1</v>
      </c>
    </row>
    <row r="122" spans="1:13">
      <c r="A122" s="148">
        <v>2002</v>
      </c>
      <c r="B122" s="148" t="s">
        <v>185</v>
      </c>
      <c r="C122" s="148" t="str">
        <f t="shared" si="1"/>
        <v>2002_Gabon</v>
      </c>
      <c r="D122" s="148">
        <v>4931503836.3476601</v>
      </c>
      <c r="E122" s="148">
        <v>1285318</v>
      </c>
      <c r="F122" s="148" t="s">
        <v>2842</v>
      </c>
      <c r="G122" s="148">
        <v>71660000</v>
      </c>
      <c r="H122" s="148">
        <v>71660000</v>
      </c>
      <c r="I122" s="148" t="s">
        <v>2842</v>
      </c>
      <c r="J122" s="148">
        <v>1.2954952487620699</v>
      </c>
      <c r="K122" s="148" t="s">
        <v>2842</v>
      </c>
      <c r="L122" s="148">
        <v>59.422926829268299</v>
      </c>
      <c r="M122" s="148">
        <v>53.7</v>
      </c>
    </row>
    <row r="123" spans="1:13">
      <c r="A123" s="148">
        <v>2002</v>
      </c>
      <c r="B123" s="148" t="s">
        <v>189</v>
      </c>
      <c r="C123" s="148" t="str">
        <f t="shared" si="1"/>
        <v>2002_Ghana</v>
      </c>
      <c r="D123" s="148">
        <v>6166197191.7669439</v>
      </c>
      <c r="E123" s="148">
        <v>19786307</v>
      </c>
      <c r="F123" s="148">
        <v>18.009606647292376</v>
      </c>
      <c r="G123" s="148">
        <v>686200000</v>
      </c>
      <c r="H123" s="148">
        <v>686200000</v>
      </c>
      <c r="I123" s="148" t="s">
        <v>2842</v>
      </c>
      <c r="J123" s="148">
        <v>2.3607629650853399</v>
      </c>
      <c r="K123" s="148" t="s">
        <v>2842</v>
      </c>
      <c r="L123" s="148">
        <v>57.421926829268301</v>
      </c>
      <c r="M123" s="148">
        <v>61.6</v>
      </c>
    </row>
    <row r="124" spans="1:13">
      <c r="A124" s="148">
        <v>2002</v>
      </c>
      <c r="B124" s="148" t="s">
        <v>2843</v>
      </c>
      <c r="C124" s="148" t="str">
        <f t="shared" si="1"/>
        <v>2002_Guinea</v>
      </c>
      <c r="D124" s="148">
        <v>2949637039.0635552</v>
      </c>
      <c r="E124" s="148">
        <v>9045748</v>
      </c>
      <c r="F124" s="148" t="s">
        <v>2842</v>
      </c>
      <c r="G124" s="148">
        <v>253860000</v>
      </c>
      <c r="H124" s="148">
        <v>253860000</v>
      </c>
      <c r="I124" s="148">
        <v>2.5938699999999999</v>
      </c>
      <c r="J124" s="148">
        <v>1.3310503763538599</v>
      </c>
      <c r="K124" s="148">
        <v>49.1</v>
      </c>
      <c r="L124" s="148">
        <v>51.440634146341466</v>
      </c>
      <c r="M124" s="148">
        <v>95.4</v>
      </c>
    </row>
    <row r="125" spans="1:13">
      <c r="A125" s="148">
        <v>2002</v>
      </c>
      <c r="B125" s="148" t="s">
        <v>213</v>
      </c>
      <c r="C125" s="148" t="str">
        <f t="shared" si="1"/>
        <v>2002_Guatemala</v>
      </c>
      <c r="D125" s="148">
        <v>20776536919.959343</v>
      </c>
      <c r="E125" s="148">
        <v>11765738</v>
      </c>
      <c r="F125" s="148">
        <v>12.492228017535266</v>
      </c>
      <c r="G125" s="148">
        <v>249550000</v>
      </c>
      <c r="H125" s="148">
        <v>249550000</v>
      </c>
      <c r="I125" s="148" t="s">
        <v>2842</v>
      </c>
      <c r="J125" s="148">
        <v>2.2119689760674599</v>
      </c>
      <c r="K125" s="148" t="s">
        <v>2842</v>
      </c>
      <c r="L125" s="148">
        <v>68.645853658536581</v>
      </c>
      <c r="M125" s="148">
        <v>37.200000000000003</v>
      </c>
    </row>
    <row r="126" spans="1:13">
      <c r="A126" s="148">
        <v>2002</v>
      </c>
      <c r="B126" s="148" t="s">
        <v>237</v>
      </c>
      <c r="C126" s="148" t="str">
        <f t="shared" si="1"/>
        <v>2002_Indonesia</v>
      </c>
      <c r="D126" s="148">
        <v>195660611033.84912</v>
      </c>
      <c r="E126" s="148">
        <v>215038285</v>
      </c>
      <c r="F126" s="148">
        <v>16.385582183310504</v>
      </c>
      <c r="G126" s="148">
        <v>1304650000</v>
      </c>
      <c r="H126" s="148">
        <v>1304650000</v>
      </c>
      <c r="I126" s="148">
        <v>2.6456900000000001</v>
      </c>
      <c r="J126" s="148">
        <v>0.85194404164508097</v>
      </c>
      <c r="K126" s="148">
        <v>18.2</v>
      </c>
      <c r="L126" s="148">
        <v>67.914268292682934</v>
      </c>
      <c r="M126" s="148">
        <v>37.799999999999997</v>
      </c>
    </row>
    <row r="127" spans="1:13">
      <c r="A127" s="148">
        <v>2002</v>
      </c>
      <c r="B127" s="148" t="s">
        <v>245</v>
      </c>
      <c r="C127" s="148" t="str">
        <f t="shared" si="1"/>
        <v>2002_Iraq</v>
      </c>
      <c r="D127" s="148" t="s">
        <v>2842</v>
      </c>
      <c r="E127" s="148">
        <v>25238267</v>
      </c>
      <c r="F127" s="148" t="s">
        <v>2842</v>
      </c>
      <c r="G127" s="148">
        <v>113380000</v>
      </c>
      <c r="H127" s="148">
        <v>113380000</v>
      </c>
      <c r="I127" s="148" t="s">
        <v>2842</v>
      </c>
      <c r="J127" s="148">
        <v>3.4455054433522897E-2</v>
      </c>
      <c r="K127" s="148" t="s">
        <v>2842</v>
      </c>
      <c r="L127" s="148">
        <v>70.431048780487799</v>
      </c>
      <c r="M127" s="148">
        <v>34.6</v>
      </c>
    </row>
    <row r="128" spans="1:13">
      <c r="A128" s="148">
        <v>2002</v>
      </c>
      <c r="B128" s="148" t="s">
        <v>273</v>
      </c>
      <c r="C128" s="148" t="str">
        <f t="shared" si="1"/>
        <v>2002_Kazakhstan</v>
      </c>
      <c r="D128" s="148">
        <v>24636598581.020412</v>
      </c>
      <c r="E128" s="148">
        <v>14858948</v>
      </c>
      <c r="F128" s="148">
        <v>13.234335757069534</v>
      </c>
      <c r="G128" s="148">
        <v>187420000</v>
      </c>
      <c r="H128" s="148">
        <v>187420000</v>
      </c>
      <c r="I128" s="148">
        <v>3.0297000000000001</v>
      </c>
      <c r="J128" s="148">
        <v>1.93312090188299</v>
      </c>
      <c r="K128" s="148">
        <v>44.5</v>
      </c>
      <c r="L128" s="148">
        <v>65.968292682926844</v>
      </c>
      <c r="M128" s="148">
        <v>33.9</v>
      </c>
    </row>
    <row r="129" spans="1:13">
      <c r="A129" s="148">
        <v>2002</v>
      </c>
      <c r="B129" s="148" t="s">
        <v>278</v>
      </c>
      <c r="C129" s="148" t="str">
        <f t="shared" si="1"/>
        <v>2002_Kyrgyz Republic</v>
      </c>
      <c r="D129" s="148">
        <v>1605640633.4218886</v>
      </c>
      <c r="E129" s="148">
        <v>4990700</v>
      </c>
      <c r="F129" s="148" t="s">
        <v>2842</v>
      </c>
      <c r="G129" s="148">
        <v>185610000</v>
      </c>
      <c r="H129" s="148">
        <v>185610000</v>
      </c>
      <c r="I129" s="148">
        <v>4.4454700000000003</v>
      </c>
      <c r="J129" s="148">
        <v>2.1492165005904398</v>
      </c>
      <c r="K129" s="148" t="s">
        <v>2842</v>
      </c>
      <c r="L129" s="148">
        <v>68.107317073170734</v>
      </c>
      <c r="M129" s="148">
        <v>38.6</v>
      </c>
    </row>
    <row r="130" spans="1:13">
      <c r="A130" s="148">
        <v>2002</v>
      </c>
      <c r="B130" s="148" t="s">
        <v>294</v>
      </c>
      <c r="C130" s="148" t="str">
        <f t="shared" si="1"/>
        <v>2002_Liberia</v>
      </c>
      <c r="D130" s="148">
        <v>536000000.00000083</v>
      </c>
      <c r="E130" s="148">
        <v>3070673</v>
      </c>
      <c r="F130" s="148" t="s">
        <v>2842</v>
      </c>
      <c r="G130" s="148">
        <v>55160000</v>
      </c>
      <c r="H130" s="148">
        <v>55160000</v>
      </c>
      <c r="I130" s="148" t="s">
        <v>2842</v>
      </c>
      <c r="J130" s="148">
        <v>1.0908137814546199</v>
      </c>
      <c r="K130" s="148" t="s">
        <v>2842</v>
      </c>
      <c r="L130" s="148">
        <v>52.810804878048785</v>
      </c>
      <c r="M130" s="148">
        <v>104.1</v>
      </c>
    </row>
    <row r="131" spans="1:13">
      <c r="A131" s="148">
        <v>2002</v>
      </c>
      <c r="B131" s="148" t="s">
        <v>309</v>
      </c>
      <c r="C131" s="148" t="str">
        <f t="shared" si="1"/>
        <v>2002_Madagascar</v>
      </c>
      <c r="D131" s="148">
        <v>4397254714.8833675</v>
      </c>
      <c r="E131" s="148">
        <v>16736029</v>
      </c>
      <c r="F131" s="148">
        <v>7.9988416159457554</v>
      </c>
      <c r="G131" s="148">
        <v>373960000</v>
      </c>
      <c r="H131" s="148">
        <v>373960000</v>
      </c>
      <c r="I131" s="148">
        <v>2.7162099999999998</v>
      </c>
      <c r="J131" s="148">
        <v>2.5837884609937798</v>
      </c>
      <c r="K131" s="148" t="s">
        <v>2842</v>
      </c>
      <c r="L131" s="148">
        <v>59.699170731707319</v>
      </c>
      <c r="M131" s="148">
        <v>63.7</v>
      </c>
    </row>
    <row r="132" spans="1:13">
      <c r="A132" s="148">
        <v>2002</v>
      </c>
      <c r="B132" s="148" t="s">
        <v>322</v>
      </c>
      <c r="C132" s="148" t="str">
        <f t="shared" ref="C132:C195" si="2">$A132&amp;"_"&amp;$B132</f>
        <v>2002_Mali</v>
      </c>
      <c r="D132" s="148">
        <v>3342824259.8249321</v>
      </c>
      <c r="E132" s="148">
        <v>10882662</v>
      </c>
      <c r="F132" s="148">
        <v>14.225242429760215</v>
      </c>
      <c r="G132" s="148">
        <v>424970000</v>
      </c>
      <c r="H132" s="148">
        <v>424970000</v>
      </c>
      <c r="I132" s="148">
        <v>3.3700999999999999</v>
      </c>
      <c r="J132" s="148">
        <v>2.5254184194039202</v>
      </c>
      <c r="K132" s="148" t="s">
        <v>2842</v>
      </c>
      <c r="L132" s="148">
        <v>50.023902439024397</v>
      </c>
      <c r="M132" s="148">
        <v>109</v>
      </c>
    </row>
    <row r="133" spans="1:13">
      <c r="A133" s="148">
        <v>2002</v>
      </c>
      <c r="B133" s="148" t="s">
        <v>338</v>
      </c>
      <c r="C133" s="148" t="str">
        <f t="shared" si="2"/>
        <v>2002_Mauritania</v>
      </c>
      <c r="D133" s="148">
        <v>1149655880.9534585</v>
      </c>
      <c r="E133" s="148">
        <v>2877431</v>
      </c>
      <c r="F133" s="148" t="s">
        <v>2842</v>
      </c>
      <c r="G133" s="148">
        <v>363690000</v>
      </c>
      <c r="H133" s="148">
        <v>363690000</v>
      </c>
      <c r="I133" s="148">
        <v>3.05538</v>
      </c>
      <c r="J133" s="148">
        <v>3.9748831052117199</v>
      </c>
      <c r="K133" s="148" t="s">
        <v>2842</v>
      </c>
      <c r="L133" s="148">
        <v>59.874390243902447</v>
      </c>
      <c r="M133" s="148">
        <v>75.8</v>
      </c>
    </row>
    <row r="134" spans="1:13">
      <c r="A134" s="148">
        <v>2002</v>
      </c>
      <c r="B134" s="148" t="s">
        <v>357</v>
      </c>
      <c r="C134" s="148" t="str">
        <f t="shared" si="2"/>
        <v>2002_Mongolia</v>
      </c>
      <c r="D134" s="148">
        <v>1396555772.0379355</v>
      </c>
      <c r="E134" s="148">
        <v>2443231</v>
      </c>
      <c r="F134" s="148">
        <v>24.759042151198575</v>
      </c>
      <c r="G134" s="148">
        <v>207800000</v>
      </c>
      <c r="H134" s="148">
        <v>207800000</v>
      </c>
      <c r="I134" s="148">
        <v>7.2107799999999997</v>
      </c>
      <c r="J134" s="148">
        <v>3.7843818230165698</v>
      </c>
      <c r="K134" s="148" t="s">
        <v>2842</v>
      </c>
      <c r="L134" s="148">
        <v>63.895951219512206</v>
      </c>
      <c r="M134" s="148">
        <v>44.1</v>
      </c>
    </row>
    <row r="135" spans="1:13">
      <c r="A135" s="148">
        <v>2002</v>
      </c>
      <c r="B135" s="148" t="s">
        <v>378</v>
      </c>
      <c r="C135" s="148" t="str">
        <f t="shared" si="2"/>
        <v>2002_Mozambique</v>
      </c>
      <c r="D135" s="148">
        <v>4201332885.2841554</v>
      </c>
      <c r="E135" s="148">
        <v>19319894</v>
      </c>
      <c r="F135" s="148" t="s">
        <v>2842</v>
      </c>
      <c r="G135" s="148">
        <v>2219270000</v>
      </c>
      <c r="H135" s="148">
        <v>2219270000</v>
      </c>
      <c r="I135" s="148" t="s">
        <v>2842</v>
      </c>
      <c r="J135" s="148">
        <v>4.4888620302974998</v>
      </c>
      <c r="K135" s="148" t="s">
        <v>2842</v>
      </c>
      <c r="L135" s="148">
        <v>47.59285365853659</v>
      </c>
      <c r="M135" s="148">
        <v>103.6</v>
      </c>
    </row>
    <row r="136" spans="1:13">
      <c r="A136" s="148">
        <v>2002</v>
      </c>
      <c r="B136" s="148" t="s">
        <v>387</v>
      </c>
      <c r="C136" s="148" t="str">
        <f t="shared" si="2"/>
        <v>2002_Niger</v>
      </c>
      <c r="D136" s="148">
        <v>2170481497.622117</v>
      </c>
      <c r="E136" s="148">
        <v>11817297</v>
      </c>
      <c r="F136" s="148" t="s">
        <v>2842</v>
      </c>
      <c r="G136" s="148">
        <v>300450000</v>
      </c>
      <c r="H136" s="148">
        <v>300450000</v>
      </c>
      <c r="I136" s="148">
        <v>3.06366</v>
      </c>
      <c r="J136" s="148">
        <v>1.9092583637659499</v>
      </c>
      <c r="K136" s="148" t="s">
        <v>2842</v>
      </c>
      <c r="L136" s="148">
        <v>52.101878048780492</v>
      </c>
      <c r="M136" s="148">
        <v>94.1</v>
      </c>
    </row>
    <row r="137" spans="1:13">
      <c r="A137" s="148">
        <v>2002</v>
      </c>
      <c r="B137" s="148" t="s">
        <v>406</v>
      </c>
      <c r="C137" s="148" t="str">
        <f t="shared" si="2"/>
        <v>2002_Nigeria</v>
      </c>
      <c r="D137" s="148">
        <v>59116868249.84005</v>
      </c>
      <c r="E137" s="148">
        <v>129224641</v>
      </c>
      <c r="F137" s="148" t="s">
        <v>2842</v>
      </c>
      <c r="G137" s="148">
        <v>297930000</v>
      </c>
      <c r="H137" s="148">
        <v>297930000</v>
      </c>
      <c r="I137" s="148" t="s">
        <v>2842</v>
      </c>
      <c r="J137" s="148">
        <v>1.00022220187582</v>
      </c>
      <c r="K137" s="148" t="s">
        <v>2842</v>
      </c>
      <c r="L137" s="148">
        <v>47.219731707317074</v>
      </c>
      <c r="M137" s="148">
        <v>106.4</v>
      </c>
    </row>
    <row r="138" spans="1:13">
      <c r="A138" s="148">
        <v>2002</v>
      </c>
      <c r="B138" s="148" t="s">
        <v>429</v>
      </c>
      <c r="C138" s="148" t="str">
        <f t="shared" si="2"/>
        <v>2002_Norway</v>
      </c>
      <c r="D138" s="148">
        <v>191927027230.14105</v>
      </c>
      <c r="E138" s="148">
        <v>4538159</v>
      </c>
      <c r="F138" s="148">
        <v>47.490548565006883</v>
      </c>
      <c r="G138" s="148" t="s">
        <v>2842</v>
      </c>
      <c r="H138" s="148" t="s">
        <v>2842</v>
      </c>
      <c r="I138" s="148">
        <v>7.5766799999999996</v>
      </c>
      <c r="J138" s="148">
        <v>8.7173784365665608</v>
      </c>
      <c r="K138" s="148" t="s">
        <v>2842</v>
      </c>
      <c r="L138" s="148">
        <v>78.987804878048792</v>
      </c>
      <c r="M138" s="148">
        <v>3.6</v>
      </c>
    </row>
    <row r="139" spans="1:13">
      <c r="A139" s="148">
        <v>2002</v>
      </c>
      <c r="B139" s="148" t="s">
        <v>442</v>
      </c>
      <c r="C139" s="148" t="str">
        <f t="shared" si="2"/>
        <v>2002_Peru</v>
      </c>
      <c r="D139" s="148">
        <v>54452491886.512932</v>
      </c>
      <c r="E139" s="148">
        <v>26729909</v>
      </c>
      <c r="F139" s="148">
        <v>16.865896743034067</v>
      </c>
      <c r="G139" s="148">
        <v>488480000</v>
      </c>
      <c r="H139" s="148">
        <v>488480000</v>
      </c>
      <c r="I139" s="148">
        <v>2.9748999999999999</v>
      </c>
      <c r="J139" s="148">
        <v>2.77376806420944</v>
      </c>
      <c r="K139" s="148">
        <v>54.3</v>
      </c>
      <c r="L139" s="148">
        <v>71.366926829268294</v>
      </c>
      <c r="M139" s="148">
        <v>26.4</v>
      </c>
    </row>
    <row r="140" spans="1:13">
      <c r="A140" s="148">
        <v>2002</v>
      </c>
      <c r="B140" s="148" t="s">
        <v>481</v>
      </c>
      <c r="C140" s="148" t="str">
        <f t="shared" si="2"/>
        <v>2002_Sierra Leone</v>
      </c>
      <c r="D140" s="148">
        <v>1239004287.7560744</v>
      </c>
      <c r="E140" s="148">
        <v>4493047</v>
      </c>
      <c r="F140" s="148">
        <v>9.1779674853018633</v>
      </c>
      <c r="G140" s="148">
        <v>383120000</v>
      </c>
      <c r="H140" s="148">
        <v>383120000</v>
      </c>
      <c r="I140" s="148">
        <v>3.5863100000000001</v>
      </c>
      <c r="J140" s="148">
        <v>3.0697232133657901</v>
      </c>
      <c r="K140" s="148" t="s">
        <v>2842</v>
      </c>
      <c r="L140" s="148">
        <v>39.646634146341462</v>
      </c>
      <c r="M140" s="148">
        <v>135.6</v>
      </c>
    </row>
    <row r="141" spans="1:13">
      <c r="A141" s="148">
        <v>2002</v>
      </c>
      <c r="B141" s="148" t="s">
        <v>492</v>
      </c>
      <c r="C141" s="148" t="str">
        <f t="shared" si="2"/>
        <v>2002_Tanzania</v>
      </c>
      <c r="D141" s="148">
        <v>10805600068.704048</v>
      </c>
      <c r="E141" s="148">
        <v>35806497</v>
      </c>
      <c r="F141" s="148" t="s">
        <v>2842</v>
      </c>
      <c r="G141" s="148">
        <v>1269840000</v>
      </c>
      <c r="H141" s="148">
        <v>1269840000</v>
      </c>
      <c r="I141" s="148" t="s">
        <v>2842</v>
      </c>
      <c r="J141" s="148">
        <v>1.5281216623648199</v>
      </c>
      <c r="K141" s="148" t="s">
        <v>2842</v>
      </c>
      <c r="L141" s="148">
        <v>51.159487804878047</v>
      </c>
      <c r="M141" s="148">
        <v>70.5</v>
      </c>
    </row>
    <row r="142" spans="1:13">
      <c r="A142" s="148">
        <v>2002</v>
      </c>
      <c r="B142" s="148" t="s">
        <v>2844</v>
      </c>
      <c r="C142" s="148" t="str">
        <f t="shared" si="2"/>
        <v>2002_Timor-Leste</v>
      </c>
      <c r="D142" s="148">
        <v>444000000</v>
      </c>
      <c r="E142" s="148">
        <v>899367</v>
      </c>
      <c r="F142" s="148" t="s">
        <v>2842</v>
      </c>
      <c r="G142" s="148">
        <v>219050000</v>
      </c>
      <c r="H142" s="148">
        <v>219050000</v>
      </c>
      <c r="I142" s="148" t="s">
        <v>2842</v>
      </c>
      <c r="J142" s="148">
        <v>3.6529071136923599</v>
      </c>
      <c r="K142" s="148" t="s">
        <v>2842</v>
      </c>
      <c r="L142" s="148">
        <v>61.120536585365862</v>
      </c>
      <c r="M142" s="148">
        <v>76</v>
      </c>
    </row>
    <row r="143" spans="1:13">
      <c r="A143" s="148">
        <v>2002</v>
      </c>
      <c r="B143" s="148" t="s">
        <v>510</v>
      </c>
      <c r="C143" s="148" t="str">
        <f t="shared" si="2"/>
        <v>2002_Togo</v>
      </c>
      <c r="D143" s="148">
        <v>1474630199.4187372</v>
      </c>
      <c r="E143" s="148">
        <v>5123674</v>
      </c>
      <c r="F143" s="148" t="s">
        <v>2842</v>
      </c>
      <c r="G143" s="148">
        <v>51350000</v>
      </c>
      <c r="H143" s="148">
        <v>51350000</v>
      </c>
      <c r="I143" s="148">
        <v>4.0173199999999998</v>
      </c>
      <c r="J143" s="148">
        <v>0.90636266198967197</v>
      </c>
      <c r="K143" s="148" t="s">
        <v>2842</v>
      </c>
      <c r="L143" s="148">
        <v>53.688731707317082</v>
      </c>
      <c r="M143" s="148">
        <v>73.3</v>
      </c>
    </row>
    <row r="144" spans="1:13">
      <c r="A144" s="148">
        <v>2002</v>
      </c>
      <c r="B144" s="148" t="s">
        <v>2845</v>
      </c>
      <c r="C144" s="148" t="str">
        <f t="shared" si="2"/>
        <v>2002_Trinidad and Tobago</v>
      </c>
      <c r="D144" s="148">
        <v>9008273516.3578606</v>
      </c>
      <c r="E144" s="148">
        <v>1277723</v>
      </c>
      <c r="F144" s="148">
        <v>26.020607567951682</v>
      </c>
      <c r="G144" s="148">
        <v>-8580000</v>
      </c>
      <c r="H144" s="148">
        <v>-8580000</v>
      </c>
      <c r="I144" s="148">
        <v>3.5430100000000002</v>
      </c>
      <c r="J144" s="148">
        <v>2.6470065731035701</v>
      </c>
      <c r="K144" s="148" t="s">
        <v>2842</v>
      </c>
      <c r="L144" s="148">
        <v>68.723048780487815</v>
      </c>
      <c r="M144" s="148">
        <v>25</v>
      </c>
    </row>
    <row r="145" spans="1:13">
      <c r="A145" s="148">
        <v>2002</v>
      </c>
      <c r="B145" s="148" t="s">
        <v>522</v>
      </c>
      <c r="C145" s="148" t="str">
        <f t="shared" si="2"/>
        <v>2002_Yemen</v>
      </c>
      <c r="D145" s="148">
        <v>10693278291.814947</v>
      </c>
      <c r="E145" s="148">
        <v>18551068</v>
      </c>
      <c r="F145" s="148" t="s">
        <v>2842</v>
      </c>
      <c r="G145" s="148">
        <v>216750000</v>
      </c>
      <c r="H145" s="148">
        <v>216750000</v>
      </c>
      <c r="I145" s="148" t="s">
        <v>2842</v>
      </c>
      <c r="J145" s="148">
        <v>2.1426485025253799</v>
      </c>
      <c r="K145" s="148" t="s">
        <v>2842</v>
      </c>
      <c r="L145" s="148">
        <v>60.904000000000003</v>
      </c>
      <c r="M145" s="148">
        <v>63.8</v>
      </c>
    </row>
    <row r="146" spans="1:13">
      <c r="A146" s="148">
        <v>2002</v>
      </c>
      <c r="B146" s="148" t="s">
        <v>534</v>
      </c>
      <c r="C146" s="148" t="str">
        <f t="shared" si="2"/>
        <v>2002_Zambia</v>
      </c>
      <c r="D146" s="148">
        <v>4193850445.4263234</v>
      </c>
      <c r="E146" s="148">
        <v>10625423</v>
      </c>
      <c r="F146" s="148">
        <v>15.73520420844968</v>
      </c>
      <c r="G146" s="148">
        <v>811330000</v>
      </c>
      <c r="H146" s="148">
        <v>811330000</v>
      </c>
      <c r="I146" s="148" t="s">
        <v>2842</v>
      </c>
      <c r="J146" s="148">
        <v>4.3350003572710998</v>
      </c>
      <c r="K146" s="148" t="s">
        <v>2842</v>
      </c>
      <c r="L146" s="148">
        <v>43.426926829268297</v>
      </c>
      <c r="M146" s="148">
        <v>90.6</v>
      </c>
    </row>
    <row r="147" spans="1:13">
      <c r="A147" s="148">
        <v>2003</v>
      </c>
      <c r="B147" s="148" t="s">
        <v>16</v>
      </c>
      <c r="C147" s="148" t="str">
        <f t="shared" si="2"/>
        <v>2003_Afghanistan</v>
      </c>
      <c r="D147" s="148">
        <v>4583648921.6411247</v>
      </c>
      <c r="E147" s="148">
        <v>23116142</v>
      </c>
      <c r="F147" s="148" t="s">
        <v>2842</v>
      </c>
      <c r="G147" s="148">
        <v>1593670000</v>
      </c>
      <c r="H147" s="148">
        <v>1593670000</v>
      </c>
      <c r="I147" s="148" t="s">
        <v>2842</v>
      </c>
      <c r="J147" s="148">
        <v>0.65112056163883603</v>
      </c>
      <c r="K147" s="148" t="s">
        <v>2842</v>
      </c>
      <c r="L147" s="148">
        <v>56.107560975609758</v>
      </c>
      <c r="M147" s="148">
        <v>88.4</v>
      </c>
    </row>
    <row r="148" spans="1:13">
      <c r="A148" s="148">
        <v>2003</v>
      </c>
      <c r="B148" s="148" t="s">
        <v>33</v>
      </c>
      <c r="C148" s="148" t="str">
        <f t="shared" si="2"/>
        <v>2003_Albania</v>
      </c>
      <c r="D148" s="148">
        <v>5652325081.8314638</v>
      </c>
      <c r="E148" s="148">
        <v>3033659</v>
      </c>
      <c r="F148" s="148">
        <v>19.868466785033249</v>
      </c>
      <c r="G148" s="148">
        <v>354500000</v>
      </c>
      <c r="H148" s="148">
        <v>354500000</v>
      </c>
      <c r="I148" s="148">
        <v>3.11557</v>
      </c>
      <c r="J148" s="148">
        <v>2.21502100567931</v>
      </c>
      <c r="K148" s="148" t="s">
        <v>2842</v>
      </c>
      <c r="L148" s="148">
        <v>75.529365853658547</v>
      </c>
      <c r="M148" s="148">
        <v>20</v>
      </c>
    </row>
    <row r="149" spans="1:13">
      <c r="A149" s="148">
        <v>2003</v>
      </c>
      <c r="B149" s="148" t="s">
        <v>48</v>
      </c>
      <c r="C149" s="148" t="str">
        <f t="shared" si="2"/>
        <v>2003_Azerbaijan</v>
      </c>
      <c r="D149" s="148">
        <v>7275766111.2430887</v>
      </c>
      <c r="E149" s="148">
        <v>8234100</v>
      </c>
      <c r="F149" s="148" t="s">
        <v>2842</v>
      </c>
      <c r="G149" s="148">
        <v>300700000</v>
      </c>
      <c r="H149" s="148">
        <v>300700000</v>
      </c>
      <c r="I149" s="148">
        <v>3.2861500000000001</v>
      </c>
      <c r="J149" s="148">
        <v>0.82967797019311496</v>
      </c>
      <c r="K149" s="148" t="s">
        <v>2842</v>
      </c>
      <c r="L149" s="148">
        <v>68.003682926829285</v>
      </c>
      <c r="M149" s="148">
        <v>49.8</v>
      </c>
    </row>
    <row r="150" spans="1:13">
      <c r="A150" s="148">
        <v>2003</v>
      </c>
      <c r="B150" s="148" t="s">
        <v>93</v>
      </c>
      <c r="C150" s="148" t="str">
        <f t="shared" si="2"/>
        <v>2003_Burkina Faso</v>
      </c>
      <c r="D150" s="148">
        <v>4205691121.7898474</v>
      </c>
      <c r="E150" s="148">
        <v>12659086</v>
      </c>
      <c r="F150" s="148">
        <v>12.351834924795927</v>
      </c>
      <c r="G150" s="148">
        <v>540950000</v>
      </c>
      <c r="H150" s="148">
        <v>540950000</v>
      </c>
      <c r="I150" s="148" t="s">
        <v>2842</v>
      </c>
      <c r="J150" s="148">
        <v>2.5639114406011401</v>
      </c>
      <c r="K150" s="148">
        <v>51.1</v>
      </c>
      <c r="L150" s="148">
        <v>51.717560975609764</v>
      </c>
      <c r="M150" s="148">
        <v>91.4</v>
      </c>
    </row>
    <row r="151" spans="1:13">
      <c r="A151" s="148">
        <v>2003</v>
      </c>
      <c r="B151" s="148" t="s">
        <v>96</v>
      </c>
      <c r="C151" s="148" t="str">
        <f t="shared" si="2"/>
        <v>2003_Cameroon</v>
      </c>
      <c r="D151" s="148">
        <v>13621738512.258066</v>
      </c>
      <c r="E151" s="148">
        <v>17223277</v>
      </c>
      <c r="F151" s="148" t="s">
        <v>2842</v>
      </c>
      <c r="G151" s="148">
        <v>885980000</v>
      </c>
      <c r="H151" s="148">
        <v>885980000</v>
      </c>
      <c r="I151" s="148">
        <v>3.3018000000000001</v>
      </c>
      <c r="J151" s="148">
        <v>1.3317210643302999</v>
      </c>
      <c r="K151" s="148" t="s">
        <v>2842</v>
      </c>
      <c r="L151" s="148">
        <v>51.639048780487812</v>
      </c>
      <c r="M151" s="148">
        <v>83.6</v>
      </c>
    </row>
    <row r="152" spans="1:13">
      <c r="A152" s="148">
        <v>2003</v>
      </c>
      <c r="B152" s="148" t="s">
        <v>133</v>
      </c>
      <c r="C152" s="148" t="str">
        <f t="shared" si="2"/>
        <v>2003_Chad</v>
      </c>
      <c r="D152" s="148">
        <v>2736666450.5479422</v>
      </c>
      <c r="E152" s="148">
        <v>9311234</v>
      </c>
      <c r="F152" s="148" t="s">
        <v>2842</v>
      </c>
      <c r="G152" s="148">
        <v>253550000</v>
      </c>
      <c r="H152" s="148">
        <v>253550000</v>
      </c>
      <c r="I152" s="148" t="s">
        <v>2842</v>
      </c>
      <c r="J152" s="148">
        <v>2.7074449128207201</v>
      </c>
      <c r="K152" s="148">
        <v>54.8</v>
      </c>
      <c r="L152" s="148">
        <v>47.123146341463418</v>
      </c>
      <c r="M152" s="148">
        <v>102.7</v>
      </c>
    </row>
    <row r="153" spans="1:13">
      <c r="A153" s="148">
        <v>2003</v>
      </c>
      <c r="B153" s="148" t="s">
        <v>122</v>
      </c>
      <c r="C153" s="148" t="str">
        <f t="shared" si="2"/>
        <v>2003_Central African Republic</v>
      </c>
      <c r="D153" s="148">
        <v>1139754771.9110219</v>
      </c>
      <c r="E153" s="148">
        <v>3829636</v>
      </c>
      <c r="F153" s="148" t="s">
        <v>2842</v>
      </c>
      <c r="G153" s="148">
        <v>51250000</v>
      </c>
      <c r="H153" s="148">
        <v>51250000</v>
      </c>
      <c r="I153" s="148">
        <v>1.5398000000000001</v>
      </c>
      <c r="J153" s="148">
        <v>2.1289472439583101</v>
      </c>
      <c r="K153" s="148" t="s">
        <v>2842</v>
      </c>
      <c r="L153" s="148">
        <v>44.223902439024393</v>
      </c>
      <c r="M153" s="148">
        <v>112</v>
      </c>
    </row>
    <row r="154" spans="1:13">
      <c r="A154" s="148">
        <v>2003</v>
      </c>
      <c r="B154" s="148" t="s">
        <v>165</v>
      </c>
      <c r="C154" s="148" t="str">
        <f t="shared" si="2"/>
        <v>2003_Democratic Republic of Congo</v>
      </c>
      <c r="D154" s="148">
        <v>8937556125.2167912</v>
      </c>
      <c r="E154" s="148">
        <v>50972323</v>
      </c>
      <c r="F154" s="148">
        <v>6.1077796969916349</v>
      </c>
      <c r="G154" s="148">
        <v>5416990000</v>
      </c>
      <c r="H154" s="148">
        <v>5416990000</v>
      </c>
      <c r="I154" s="148" t="s">
        <v>2842</v>
      </c>
      <c r="J154" s="148">
        <v>1.1034205838565201</v>
      </c>
      <c r="K154" s="148" t="s">
        <v>2842</v>
      </c>
      <c r="L154" s="148">
        <v>47.331487804878051</v>
      </c>
      <c r="M154" s="148">
        <v>110.6</v>
      </c>
    </row>
    <row r="155" spans="1:13">
      <c r="A155" s="148">
        <v>2003</v>
      </c>
      <c r="B155" s="148" t="s">
        <v>458</v>
      </c>
      <c r="C155" s="148" t="str">
        <f t="shared" si="2"/>
        <v>2003_Republic of the Congo</v>
      </c>
      <c r="D155" s="148">
        <v>3495868724.6594543</v>
      </c>
      <c r="E155" s="148">
        <v>3363418</v>
      </c>
      <c r="F155" s="148">
        <v>31.550513853676541</v>
      </c>
      <c r="G155" s="148">
        <v>69150000</v>
      </c>
      <c r="H155" s="148">
        <v>69150000</v>
      </c>
      <c r="I155" s="148">
        <v>2.83616</v>
      </c>
      <c r="J155" s="148">
        <v>1.3001791638178</v>
      </c>
      <c r="K155" s="148" t="s">
        <v>2842</v>
      </c>
      <c r="L155" s="148">
        <v>53.048804878048784</v>
      </c>
      <c r="M155" s="148">
        <v>69.900000000000006</v>
      </c>
    </row>
    <row r="156" spans="1:13">
      <c r="A156" s="148">
        <v>2003</v>
      </c>
      <c r="B156" s="33" t="s">
        <v>3542</v>
      </c>
      <c r="C156" s="148" t="str">
        <f t="shared" si="2"/>
        <v>2003_Côte d'Ivoire</v>
      </c>
      <c r="D156" s="148">
        <v>13737482343.421452</v>
      </c>
      <c r="E156" s="148">
        <v>16909801</v>
      </c>
      <c r="F156" s="148">
        <v>15.568190645115632</v>
      </c>
      <c r="G156" s="148">
        <v>253670000</v>
      </c>
      <c r="H156" s="148">
        <v>253670000</v>
      </c>
      <c r="I156" s="148">
        <v>4.4212199999999999</v>
      </c>
      <c r="J156" s="148">
        <v>1.49120029378437</v>
      </c>
      <c r="K156" s="148" t="s">
        <v>2842</v>
      </c>
      <c r="L156" s="148">
        <v>46.462951219512199</v>
      </c>
      <c r="M156" s="148">
        <v>93.5</v>
      </c>
    </row>
    <row r="157" spans="1:13">
      <c r="A157" s="148">
        <v>2003</v>
      </c>
      <c r="B157" s="148" t="s">
        <v>182</v>
      </c>
      <c r="C157" s="148" t="str">
        <f t="shared" si="2"/>
        <v>2003_Equatorial Guinea</v>
      </c>
      <c r="D157" s="148">
        <v>2484745875.8212414</v>
      </c>
      <c r="E157" s="148">
        <v>568552</v>
      </c>
      <c r="F157" s="148" t="s">
        <v>2842</v>
      </c>
      <c r="G157" s="148">
        <v>20930000</v>
      </c>
      <c r="H157" s="148">
        <v>20930000</v>
      </c>
      <c r="I157" s="148" t="s">
        <v>2842</v>
      </c>
      <c r="J157" s="148">
        <v>1.2856465877321199</v>
      </c>
      <c r="K157" s="148" t="s">
        <v>2842</v>
      </c>
      <c r="L157" s="148">
        <v>48.190975609756102</v>
      </c>
      <c r="M157" s="148">
        <v>91.6</v>
      </c>
    </row>
    <row r="158" spans="1:13">
      <c r="A158" s="148">
        <v>2003</v>
      </c>
      <c r="B158" s="148" t="s">
        <v>185</v>
      </c>
      <c r="C158" s="148" t="str">
        <f t="shared" si="2"/>
        <v>2003_Gabon</v>
      </c>
      <c r="D158" s="148">
        <v>6054883172.0391207</v>
      </c>
      <c r="E158" s="148">
        <v>1315820</v>
      </c>
      <c r="F158" s="148" t="s">
        <v>2842</v>
      </c>
      <c r="G158" s="148">
        <v>-10570000</v>
      </c>
      <c r="H158" s="148">
        <v>-10570000</v>
      </c>
      <c r="I158" s="148" t="s">
        <v>2842</v>
      </c>
      <c r="J158" s="148">
        <v>1.57078860172743</v>
      </c>
      <c r="K158" s="148" t="s">
        <v>2842</v>
      </c>
      <c r="L158" s="148">
        <v>59.484292682926835</v>
      </c>
      <c r="M158" s="148">
        <v>52.7</v>
      </c>
    </row>
    <row r="159" spans="1:13">
      <c r="A159" s="148">
        <v>2003</v>
      </c>
      <c r="B159" s="148" t="s">
        <v>189</v>
      </c>
      <c r="C159" s="148" t="str">
        <f t="shared" si="2"/>
        <v>2003_Ghana</v>
      </c>
      <c r="D159" s="148">
        <v>7632720680.2811918</v>
      </c>
      <c r="E159" s="148">
        <v>20301686</v>
      </c>
      <c r="F159" s="148">
        <v>19.766820007346084</v>
      </c>
      <c r="G159" s="148">
        <v>983450000</v>
      </c>
      <c r="H159" s="148">
        <v>983450000</v>
      </c>
      <c r="I159" s="148" t="s">
        <v>2842</v>
      </c>
      <c r="J159" s="148">
        <v>2.48742087950458</v>
      </c>
      <c r="K159" s="148" t="s">
        <v>2842</v>
      </c>
      <c r="L159" s="148">
        <v>57.786658536585371</v>
      </c>
      <c r="M159" s="148">
        <v>60.1</v>
      </c>
    </row>
    <row r="160" spans="1:13">
      <c r="A160" s="148">
        <v>2003</v>
      </c>
      <c r="B160" s="148" t="s">
        <v>2843</v>
      </c>
      <c r="C160" s="148" t="str">
        <f t="shared" si="2"/>
        <v>2003_Guinea</v>
      </c>
      <c r="D160" s="148">
        <v>3446442218.8982892</v>
      </c>
      <c r="E160" s="148">
        <v>9204581</v>
      </c>
      <c r="F160" s="148" t="s">
        <v>2842</v>
      </c>
      <c r="G160" s="148">
        <v>254330000</v>
      </c>
      <c r="H160" s="148">
        <v>254330000</v>
      </c>
      <c r="I160" s="148">
        <v>2.3710200000000001</v>
      </c>
      <c r="J160" s="148">
        <v>0.78020632652643296</v>
      </c>
      <c r="K160" s="148" t="s">
        <v>2842</v>
      </c>
      <c r="L160" s="148">
        <v>51.749024390243903</v>
      </c>
      <c r="M160" s="148">
        <v>91.7</v>
      </c>
    </row>
    <row r="161" spans="1:13">
      <c r="A161" s="148">
        <v>2003</v>
      </c>
      <c r="B161" s="148" t="s">
        <v>213</v>
      </c>
      <c r="C161" s="148" t="str">
        <f t="shared" si="2"/>
        <v>2003_Guatemala</v>
      </c>
      <c r="D161" s="148">
        <v>21917565499.914997</v>
      </c>
      <c r="E161" s="148">
        <v>12062835</v>
      </c>
      <c r="F161" s="148">
        <v>12.248183075438925</v>
      </c>
      <c r="G161" s="148">
        <v>246780000</v>
      </c>
      <c r="H161" s="148">
        <v>246780000</v>
      </c>
      <c r="I161" s="148" t="s">
        <v>2842</v>
      </c>
      <c r="J161" s="148">
        <v>2.3549778475685201</v>
      </c>
      <c r="K161" s="148" t="s">
        <v>2842</v>
      </c>
      <c r="L161" s="148">
        <v>69.015195121951237</v>
      </c>
      <c r="M161" s="148">
        <v>35.9</v>
      </c>
    </row>
    <row r="162" spans="1:13">
      <c r="A162" s="148">
        <v>2003</v>
      </c>
      <c r="B162" s="148" t="s">
        <v>237</v>
      </c>
      <c r="C162" s="148" t="str">
        <f t="shared" si="2"/>
        <v>2003_Indonesia</v>
      </c>
      <c r="D162" s="148">
        <v>234772458818.09644</v>
      </c>
      <c r="E162" s="148">
        <v>218145617</v>
      </c>
      <c r="F162" s="148">
        <v>16.929709175766266</v>
      </c>
      <c r="G162" s="148">
        <v>1771570000</v>
      </c>
      <c r="H162" s="148">
        <v>1771570000</v>
      </c>
      <c r="I162" s="148">
        <v>3.218</v>
      </c>
      <c r="J162" s="148">
        <v>1.0153011564033201</v>
      </c>
      <c r="K162" s="148">
        <v>17.399999999999999</v>
      </c>
      <c r="L162" s="148">
        <v>68.236317073170738</v>
      </c>
      <c r="M162" s="148">
        <v>36.299999999999997</v>
      </c>
    </row>
    <row r="163" spans="1:13">
      <c r="A163" s="148">
        <v>2003</v>
      </c>
      <c r="B163" s="148" t="s">
        <v>245</v>
      </c>
      <c r="C163" s="148" t="str">
        <f t="shared" si="2"/>
        <v>2003_Iraq</v>
      </c>
      <c r="D163" s="148" t="s">
        <v>2842</v>
      </c>
      <c r="E163" s="148">
        <v>25959531</v>
      </c>
      <c r="F163" s="148" t="s">
        <v>2842</v>
      </c>
      <c r="G163" s="148">
        <v>2287650000</v>
      </c>
      <c r="H163" s="148">
        <v>2287650000</v>
      </c>
      <c r="I163" s="148" t="s">
        <v>2842</v>
      </c>
      <c r="J163" s="148">
        <v>1.9793370932238701</v>
      </c>
      <c r="K163" s="148" t="s">
        <v>2842</v>
      </c>
      <c r="L163" s="148">
        <v>70.123560975609763</v>
      </c>
      <c r="M163" s="148">
        <v>34.1</v>
      </c>
    </row>
    <row r="164" spans="1:13">
      <c r="A164" s="148">
        <v>2003</v>
      </c>
      <c r="B164" s="148" t="s">
        <v>273</v>
      </c>
      <c r="C164" s="148" t="str">
        <f t="shared" si="2"/>
        <v>2003_Kazakhstan</v>
      </c>
      <c r="D164" s="148">
        <v>30833692831.395512</v>
      </c>
      <c r="E164" s="148">
        <v>14909018</v>
      </c>
      <c r="F164" s="148">
        <v>13.936406511110327</v>
      </c>
      <c r="G164" s="148">
        <v>293860000</v>
      </c>
      <c r="H164" s="148">
        <v>293860000</v>
      </c>
      <c r="I164" s="148" t="s">
        <v>2842</v>
      </c>
      <c r="J164" s="148">
        <v>2.0143214132773899</v>
      </c>
      <c r="K164" s="148">
        <v>37.5</v>
      </c>
      <c r="L164" s="148">
        <v>65.865853658536594</v>
      </c>
      <c r="M164" s="148">
        <v>32</v>
      </c>
    </row>
    <row r="165" spans="1:13">
      <c r="A165" s="148">
        <v>2003</v>
      </c>
      <c r="B165" s="148" t="s">
        <v>278</v>
      </c>
      <c r="C165" s="148" t="str">
        <f t="shared" si="2"/>
        <v>2003_Kyrgyz Republic</v>
      </c>
      <c r="D165" s="148">
        <v>1919012780.9708598</v>
      </c>
      <c r="E165" s="148">
        <v>5043300</v>
      </c>
      <c r="F165" s="148" t="s">
        <v>2842</v>
      </c>
      <c r="G165" s="148">
        <v>200100000</v>
      </c>
      <c r="H165" s="148">
        <v>200100000</v>
      </c>
      <c r="I165" s="148">
        <v>4.4754100000000001</v>
      </c>
      <c r="J165" s="148">
        <v>2.0568440003815298</v>
      </c>
      <c r="K165" s="148" t="s">
        <v>2842</v>
      </c>
      <c r="L165" s="148">
        <v>68.256097560975618</v>
      </c>
      <c r="M165" s="148">
        <v>37.1</v>
      </c>
    </row>
    <row r="166" spans="1:13">
      <c r="A166" s="148">
        <v>2003</v>
      </c>
      <c r="B166" s="148" t="s">
        <v>294</v>
      </c>
      <c r="C166" s="148" t="str">
        <f t="shared" si="2"/>
        <v>2003_Liberia</v>
      </c>
      <c r="D166" s="148">
        <v>408999999.9999997</v>
      </c>
      <c r="E166" s="148">
        <v>3124222</v>
      </c>
      <c r="F166" s="148" t="s">
        <v>2842</v>
      </c>
      <c r="G166" s="148">
        <v>106940000</v>
      </c>
      <c r="H166" s="148">
        <v>106940000</v>
      </c>
      <c r="I166" s="148" t="s">
        <v>2842</v>
      </c>
      <c r="J166" s="148">
        <v>1.1896087634177801</v>
      </c>
      <c r="K166" s="148" t="s">
        <v>2842</v>
      </c>
      <c r="L166" s="148">
        <v>53.328658536585365</v>
      </c>
      <c r="M166" s="148">
        <v>96.8</v>
      </c>
    </row>
    <row r="167" spans="1:13">
      <c r="A167" s="148">
        <v>2003</v>
      </c>
      <c r="B167" s="148" t="s">
        <v>309</v>
      </c>
      <c r="C167" s="148" t="str">
        <f t="shared" si="2"/>
        <v>2003_Madagascar</v>
      </c>
      <c r="D167" s="148">
        <v>5474030227.5945663</v>
      </c>
      <c r="E167" s="148">
        <v>17245275</v>
      </c>
      <c r="F167" s="148">
        <v>10.694007510820883</v>
      </c>
      <c r="G167" s="148">
        <v>546330000</v>
      </c>
      <c r="H167" s="148">
        <v>546330000</v>
      </c>
      <c r="I167" s="148">
        <v>3.0394899999999998</v>
      </c>
      <c r="J167" s="148">
        <v>2.25998878824536</v>
      </c>
      <c r="K167" s="148" t="s">
        <v>2842</v>
      </c>
      <c r="L167" s="148">
        <v>60.235512195121956</v>
      </c>
      <c r="M167" s="148">
        <v>60.5</v>
      </c>
    </row>
    <row r="168" spans="1:13">
      <c r="A168" s="148">
        <v>2003</v>
      </c>
      <c r="B168" s="148" t="s">
        <v>322</v>
      </c>
      <c r="C168" s="148" t="str">
        <f t="shared" si="2"/>
        <v>2003_Mali</v>
      </c>
      <c r="D168" s="148">
        <v>4362439886.7199049</v>
      </c>
      <c r="E168" s="148">
        <v>11219737</v>
      </c>
      <c r="F168" s="148">
        <v>16.420366552128829</v>
      </c>
      <c r="G168" s="148">
        <v>559190000</v>
      </c>
      <c r="H168" s="148">
        <v>559190000</v>
      </c>
      <c r="I168" s="148">
        <v>4.1031300000000002</v>
      </c>
      <c r="J168" s="148">
        <v>2.74318993941406</v>
      </c>
      <c r="K168" s="148" t="s">
        <v>2842</v>
      </c>
      <c r="L168" s="148">
        <v>50.530804878048791</v>
      </c>
      <c r="M168" s="148">
        <v>104.9</v>
      </c>
    </row>
    <row r="169" spans="1:13">
      <c r="A169" s="148">
        <v>2003</v>
      </c>
      <c r="B169" s="148" t="s">
        <v>338</v>
      </c>
      <c r="C169" s="148" t="str">
        <f t="shared" si="2"/>
        <v>2003_Mauritania</v>
      </c>
      <c r="D169" s="148">
        <v>1285178265.9772651</v>
      </c>
      <c r="E169" s="148">
        <v>2965667</v>
      </c>
      <c r="F169" s="148" t="s">
        <v>2842</v>
      </c>
      <c r="G169" s="148">
        <v>260660000.00000003</v>
      </c>
      <c r="H169" s="148">
        <v>260660000.00000003</v>
      </c>
      <c r="I169" s="148">
        <v>3.1034899999999999</v>
      </c>
      <c r="J169" s="148">
        <v>3.4286781136103199</v>
      </c>
      <c r="K169" s="148" t="s">
        <v>2842</v>
      </c>
      <c r="L169" s="148">
        <v>59.986853658536589</v>
      </c>
      <c r="M169" s="148">
        <v>75.599999999999994</v>
      </c>
    </row>
    <row r="170" spans="1:13">
      <c r="A170" s="148">
        <v>2003</v>
      </c>
      <c r="B170" s="148" t="s">
        <v>357</v>
      </c>
      <c r="C170" s="148" t="str">
        <f t="shared" si="2"/>
        <v>2003_Mongolia</v>
      </c>
      <c r="D170" s="148">
        <v>1595297301.456512</v>
      </c>
      <c r="E170" s="148">
        <v>2468595</v>
      </c>
      <c r="F170" s="148">
        <v>30.240045084208461</v>
      </c>
      <c r="G170" s="148">
        <v>252050000</v>
      </c>
      <c r="H170" s="148">
        <v>252050000</v>
      </c>
      <c r="I170" s="148" t="s">
        <v>2842</v>
      </c>
      <c r="J170" s="148">
        <v>4.05345938622881</v>
      </c>
      <c r="K170" s="148" t="s">
        <v>2842</v>
      </c>
      <c r="L170" s="148">
        <v>64.383268292682942</v>
      </c>
      <c r="M170" s="148">
        <v>41.6</v>
      </c>
    </row>
    <row r="171" spans="1:13">
      <c r="A171" s="148">
        <v>2003</v>
      </c>
      <c r="B171" s="148" t="s">
        <v>378</v>
      </c>
      <c r="C171" s="148" t="str">
        <f t="shared" si="2"/>
        <v>2003_Mozambique</v>
      </c>
      <c r="D171" s="148">
        <v>4666197195.031971</v>
      </c>
      <c r="E171" s="148">
        <v>19873460</v>
      </c>
      <c r="F171" s="148" t="s">
        <v>2842</v>
      </c>
      <c r="G171" s="148">
        <v>1047970000</v>
      </c>
      <c r="H171" s="148">
        <v>1047970000</v>
      </c>
      <c r="I171" s="148" t="s">
        <v>2842</v>
      </c>
      <c r="J171" s="148">
        <v>4.1082409789767498</v>
      </c>
      <c r="K171" s="148">
        <v>54.1</v>
      </c>
      <c r="L171" s="148">
        <v>47.657048780487813</v>
      </c>
      <c r="M171" s="148">
        <v>98.9</v>
      </c>
    </row>
    <row r="172" spans="1:13">
      <c r="A172" s="148">
        <v>2003</v>
      </c>
      <c r="B172" s="148" t="s">
        <v>387</v>
      </c>
      <c r="C172" s="148" t="str">
        <f t="shared" si="2"/>
        <v>2003_Niger</v>
      </c>
      <c r="D172" s="148">
        <v>2731416281.3253684</v>
      </c>
      <c r="E172" s="148">
        <v>12254040</v>
      </c>
      <c r="F172" s="148" t="s">
        <v>2842</v>
      </c>
      <c r="G172" s="148">
        <v>479820000</v>
      </c>
      <c r="H172" s="148">
        <v>479820000</v>
      </c>
      <c r="I172" s="148">
        <v>2.4016199999999999</v>
      </c>
      <c r="J172" s="148">
        <v>1.6804459333511499</v>
      </c>
      <c r="K172" s="148" t="s">
        <v>2842</v>
      </c>
      <c r="L172" s="148">
        <v>52.788707317073182</v>
      </c>
      <c r="M172" s="148">
        <v>90.2</v>
      </c>
    </row>
    <row r="173" spans="1:13">
      <c r="A173" s="148">
        <v>2003</v>
      </c>
      <c r="B173" s="148" t="s">
        <v>406</v>
      </c>
      <c r="C173" s="148" t="str">
        <f t="shared" si="2"/>
        <v>2003_Nigeria</v>
      </c>
      <c r="D173" s="148">
        <v>67655840108.154663</v>
      </c>
      <c r="E173" s="148">
        <v>132550146</v>
      </c>
      <c r="F173" s="148">
        <v>12.02381889699271</v>
      </c>
      <c r="G173" s="148">
        <v>308220000</v>
      </c>
      <c r="H173" s="148">
        <v>308220000</v>
      </c>
      <c r="I173" s="148" t="s">
        <v>2842</v>
      </c>
      <c r="J173" s="148">
        <v>1.6903915940524299</v>
      </c>
      <c r="K173" s="148" t="s">
        <v>2842</v>
      </c>
      <c r="L173" s="148">
        <v>47.63773170731708</v>
      </c>
      <c r="M173" s="148">
        <v>103.3</v>
      </c>
    </row>
    <row r="174" spans="1:13">
      <c r="A174" s="148">
        <v>2003</v>
      </c>
      <c r="B174" s="148" t="s">
        <v>429</v>
      </c>
      <c r="C174" s="148" t="str">
        <f t="shared" si="2"/>
        <v>2003_Norway</v>
      </c>
      <c r="D174" s="148">
        <v>224880794327.84387</v>
      </c>
      <c r="E174" s="148">
        <v>4564855</v>
      </c>
      <c r="F174" s="148">
        <v>46.127404768619037</v>
      </c>
      <c r="G174" s="148" t="s">
        <v>2842</v>
      </c>
      <c r="H174" s="148" t="s">
        <v>2842</v>
      </c>
      <c r="I174" s="148">
        <v>7.5475500000000002</v>
      </c>
      <c r="J174" s="148">
        <v>8.8291616447923396</v>
      </c>
      <c r="K174" s="148" t="s">
        <v>2842</v>
      </c>
      <c r="L174" s="148">
        <v>79.390243902439025</v>
      </c>
      <c r="M174" s="148">
        <v>3.5</v>
      </c>
    </row>
    <row r="175" spans="1:13">
      <c r="A175" s="148">
        <v>2003</v>
      </c>
      <c r="B175" s="148" t="s">
        <v>442</v>
      </c>
      <c r="C175" s="148" t="str">
        <f t="shared" si="2"/>
        <v>2003_Peru</v>
      </c>
      <c r="D175" s="148">
        <v>59034091562.20533</v>
      </c>
      <c r="E175" s="148">
        <v>27073334</v>
      </c>
      <c r="F175" s="148">
        <v>17.192585528973105</v>
      </c>
      <c r="G175" s="148">
        <v>516890000</v>
      </c>
      <c r="H175" s="148">
        <v>516890000</v>
      </c>
      <c r="I175" s="148">
        <v>2.81271</v>
      </c>
      <c r="J175" s="148">
        <v>2.6477256500038</v>
      </c>
      <c r="K175" s="148">
        <v>52.3</v>
      </c>
      <c r="L175" s="148">
        <v>71.747560975609773</v>
      </c>
      <c r="M175" s="148">
        <v>24.7</v>
      </c>
    </row>
    <row r="176" spans="1:13">
      <c r="A176" s="148">
        <v>2003</v>
      </c>
      <c r="B176" s="148" t="s">
        <v>481</v>
      </c>
      <c r="C176" s="148" t="str">
        <f t="shared" si="2"/>
        <v>2003_Sierra Leone</v>
      </c>
      <c r="D176" s="148">
        <v>1371442565.6970057</v>
      </c>
      <c r="E176" s="148">
        <v>4712763</v>
      </c>
      <c r="F176" s="148">
        <v>8.9334097409635369</v>
      </c>
      <c r="G176" s="148">
        <v>337080000</v>
      </c>
      <c r="H176" s="148">
        <v>337080000</v>
      </c>
      <c r="I176" s="148">
        <v>3.2947700000000002</v>
      </c>
      <c r="J176" s="148">
        <v>2.74448106398179</v>
      </c>
      <c r="K176" s="148">
        <v>66.400000000000006</v>
      </c>
      <c r="L176" s="148">
        <v>40.486073170731714</v>
      </c>
      <c r="M176" s="148">
        <v>132.9</v>
      </c>
    </row>
    <row r="177" spans="1:13">
      <c r="A177" s="148">
        <v>2003</v>
      </c>
      <c r="B177" s="148" t="s">
        <v>492</v>
      </c>
      <c r="C177" s="148" t="str">
        <f t="shared" si="2"/>
        <v>2003_Tanzania</v>
      </c>
      <c r="D177" s="148">
        <v>11659129814.743292</v>
      </c>
      <c r="E177" s="148">
        <v>36760831</v>
      </c>
      <c r="F177" s="148" t="s">
        <v>2842</v>
      </c>
      <c r="G177" s="148">
        <v>1725390000</v>
      </c>
      <c r="H177" s="148">
        <v>1725390000</v>
      </c>
      <c r="I177" s="148" t="s">
        <v>2842</v>
      </c>
      <c r="J177" s="148">
        <v>1.85501372282202</v>
      </c>
      <c r="K177" s="148" t="s">
        <v>2842</v>
      </c>
      <c r="L177" s="148">
        <v>51.946658536585375</v>
      </c>
      <c r="M177" s="148">
        <v>65.8</v>
      </c>
    </row>
    <row r="178" spans="1:13">
      <c r="A178" s="148">
        <v>2003</v>
      </c>
      <c r="B178" s="148" t="s">
        <v>2844</v>
      </c>
      <c r="C178" s="148" t="str">
        <f t="shared" si="2"/>
        <v>2003_Timor-Leste</v>
      </c>
      <c r="D178" s="148">
        <v>453000000</v>
      </c>
      <c r="E178" s="148">
        <v>933369</v>
      </c>
      <c r="F178" s="148" t="s">
        <v>2842</v>
      </c>
      <c r="G178" s="148">
        <v>175030000</v>
      </c>
      <c r="H178" s="148">
        <v>175030000</v>
      </c>
      <c r="I178" s="148" t="s">
        <v>2842</v>
      </c>
      <c r="J178" s="148">
        <v>5.2045122028206796</v>
      </c>
      <c r="K178" s="148" t="s">
        <v>2842</v>
      </c>
      <c r="L178" s="148">
        <v>61.829317073170742</v>
      </c>
      <c r="M178" s="148">
        <v>72.3</v>
      </c>
    </row>
    <row r="179" spans="1:13">
      <c r="A179" s="148">
        <v>2003</v>
      </c>
      <c r="B179" s="148" t="s">
        <v>510</v>
      </c>
      <c r="C179" s="148" t="str">
        <f t="shared" si="2"/>
        <v>2003_Togo</v>
      </c>
      <c r="D179" s="148">
        <v>1673690389.7013042</v>
      </c>
      <c r="E179" s="148">
        <v>5258956</v>
      </c>
      <c r="F179" s="148" t="s">
        <v>2842</v>
      </c>
      <c r="G179" s="148">
        <v>49890000</v>
      </c>
      <c r="H179" s="148">
        <v>49890000</v>
      </c>
      <c r="I179" s="148">
        <v>4.1953300000000002</v>
      </c>
      <c r="J179" s="148">
        <v>1.44009662637467</v>
      </c>
      <c r="K179" s="148" t="s">
        <v>2842</v>
      </c>
      <c r="L179" s="148">
        <v>53.819439024390242</v>
      </c>
      <c r="M179" s="148">
        <v>71.599999999999994</v>
      </c>
    </row>
    <row r="180" spans="1:13">
      <c r="A180" s="148">
        <v>2003</v>
      </c>
      <c r="B180" s="148" t="s">
        <v>2845</v>
      </c>
      <c r="C180" s="148" t="str">
        <f t="shared" si="2"/>
        <v>2003_Trinidad and Tobago</v>
      </c>
      <c r="D180" s="148">
        <v>11235960527.53484</v>
      </c>
      <c r="E180" s="148">
        <v>1283868</v>
      </c>
      <c r="F180" s="148">
        <v>25.777341982615315</v>
      </c>
      <c r="G180" s="148">
        <v>-2900000</v>
      </c>
      <c r="H180" s="148">
        <v>-2900000</v>
      </c>
      <c r="I180" s="148">
        <v>3.1560000000000001</v>
      </c>
      <c r="J180" s="148">
        <v>2.5999732307774099</v>
      </c>
      <c r="K180" s="148" t="s">
        <v>2842</v>
      </c>
      <c r="L180" s="148">
        <v>68.805439024390253</v>
      </c>
      <c r="M180" s="148">
        <v>24.6</v>
      </c>
    </row>
    <row r="181" spans="1:13">
      <c r="A181" s="148">
        <v>2003</v>
      </c>
      <c r="B181" s="148" t="s">
        <v>522</v>
      </c>
      <c r="C181" s="148" t="str">
        <f t="shared" si="2"/>
        <v>2003_Yemen</v>
      </c>
      <c r="D181" s="148">
        <v>11777768086.869303</v>
      </c>
      <c r="E181" s="148">
        <v>19081306</v>
      </c>
      <c r="F181" s="148" t="s">
        <v>2842</v>
      </c>
      <c r="G181" s="148">
        <v>243800000</v>
      </c>
      <c r="H181" s="148">
        <v>243800000</v>
      </c>
      <c r="I181" s="148" t="s">
        <v>2842</v>
      </c>
      <c r="J181" s="148">
        <v>2.1817307266944601</v>
      </c>
      <c r="K181" s="148" t="s">
        <v>2842</v>
      </c>
      <c r="L181" s="148">
        <v>61.118341463414644</v>
      </c>
      <c r="M181" s="148">
        <v>61.1</v>
      </c>
    </row>
    <row r="182" spans="1:13">
      <c r="A182" s="148">
        <v>2003</v>
      </c>
      <c r="B182" s="148" t="s">
        <v>534</v>
      </c>
      <c r="C182" s="148" t="str">
        <f t="shared" si="2"/>
        <v>2003_Zambia</v>
      </c>
      <c r="D182" s="148">
        <v>4901869715.9045687</v>
      </c>
      <c r="E182" s="148">
        <v>10894519</v>
      </c>
      <c r="F182" s="148">
        <v>15.33467688268596</v>
      </c>
      <c r="G182" s="148">
        <v>774540000</v>
      </c>
      <c r="H182" s="148">
        <v>774540000</v>
      </c>
      <c r="I182" s="148" t="s">
        <v>2842</v>
      </c>
      <c r="J182" s="148">
        <v>4.17948848237869</v>
      </c>
      <c r="K182" s="148" t="s">
        <v>2842</v>
      </c>
      <c r="L182" s="148">
        <v>44.522268292682931</v>
      </c>
      <c r="M182" s="148">
        <v>85.6</v>
      </c>
    </row>
    <row r="183" spans="1:13">
      <c r="A183" s="148">
        <v>2004</v>
      </c>
      <c r="B183" s="148" t="s">
        <v>16</v>
      </c>
      <c r="C183" s="148" t="str">
        <f t="shared" si="2"/>
        <v>2004_Afghanistan</v>
      </c>
      <c r="D183" s="148">
        <v>5285461999.3373938</v>
      </c>
      <c r="E183" s="148">
        <v>24018682</v>
      </c>
      <c r="F183" s="148" t="s">
        <v>2842</v>
      </c>
      <c r="G183" s="148">
        <v>2311490000</v>
      </c>
      <c r="H183" s="148">
        <v>2311490000</v>
      </c>
      <c r="I183" s="148" t="s">
        <v>2842</v>
      </c>
      <c r="J183" s="148">
        <v>1.0259309235066101</v>
      </c>
      <c r="K183" s="148" t="s">
        <v>2842</v>
      </c>
      <c r="L183" s="148">
        <v>56.569731707317082</v>
      </c>
      <c r="M183" s="148">
        <v>86.2</v>
      </c>
    </row>
    <row r="184" spans="1:13">
      <c r="A184" s="148">
        <v>2004</v>
      </c>
      <c r="B184" s="148" t="s">
        <v>33</v>
      </c>
      <c r="C184" s="148" t="str">
        <f t="shared" si="2"/>
        <v>2004_Albania</v>
      </c>
      <c r="D184" s="148">
        <v>7464446950.1814318</v>
      </c>
      <c r="E184" s="148">
        <v>3014579</v>
      </c>
      <c r="F184" s="148">
        <v>19.290618060503146</v>
      </c>
      <c r="G184" s="148">
        <v>299950000</v>
      </c>
      <c r="H184" s="148">
        <v>299950000</v>
      </c>
      <c r="I184" s="148">
        <v>3.10656</v>
      </c>
      <c r="J184" s="148">
        <v>2.7350576245649498</v>
      </c>
      <c r="K184" s="148" t="s">
        <v>2842</v>
      </c>
      <c r="L184" s="148">
        <v>75.838999999999999</v>
      </c>
      <c r="M184" s="148">
        <v>19.100000000000001</v>
      </c>
    </row>
    <row r="185" spans="1:13">
      <c r="A185" s="148">
        <v>2004</v>
      </c>
      <c r="B185" s="148" t="s">
        <v>48</v>
      </c>
      <c r="C185" s="148" t="str">
        <f t="shared" si="2"/>
        <v>2004_Azerbaijan</v>
      </c>
      <c r="D185" s="148">
        <v>8680511918.4935722</v>
      </c>
      <c r="E185" s="148">
        <v>8306500</v>
      </c>
      <c r="F185" s="148" t="s">
        <v>2842</v>
      </c>
      <c r="G185" s="148">
        <v>175760000</v>
      </c>
      <c r="H185" s="148">
        <v>175760000</v>
      </c>
      <c r="I185" s="148">
        <v>3.4476599999999999</v>
      </c>
      <c r="J185" s="148">
        <v>1.02867003505276</v>
      </c>
      <c r="K185" s="148" t="s">
        <v>2842</v>
      </c>
      <c r="L185" s="148">
        <v>68.470195121951221</v>
      </c>
      <c r="M185" s="148">
        <v>46.7</v>
      </c>
    </row>
    <row r="186" spans="1:13">
      <c r="A186" s="148">
        <v>2004</v>
      </c>
      <c r="B186" s="148" t="s">
        <v>93</v>
      </c>
      <c r="C186" s="148" t="str">
        <f t="shared" si="2"/>
        <v>2004_Burkina Faso</v>
      </c>
      <c r="D186" s="148">
        <v>4838551014.4855261</v>
      </c>
      <c r="E186" s="148">
        <v>13034258</v>
      </c>
      <c r="F186" s="148">
        <v>13.725244716166959</v>
      </c>
      <c r="G186" s="148">
        <v>642560000</v>
      </c>
      <c r="H186" s="148">
        <v>642560000</v>
      </c>
      <c r="I186" s="148" t="s">
        <v>2842</v>
      </c>
      <c r="J186" s="148">
        <v>3.2799306407211599</v>
      </c>
      <c r="K186" s="148" t="s">
        <v>2842</v>
      </c>
      <c r="L186" s="148">
        <v>52.182780487804891</v>
      </c>
      <c r="M186" s="148">
        <v>89</v>
      </c>
    </row>
    <row r="187" spans="1:13">
      <c r="A187" s="148">
        <v>2004</v>
      </c>
      <c r="B187" s="148" t="s">
        <v>96</v>
      </c>
      <c r="C187" s="148" t="str">
        <f t="shared" si="2"/>
        <v>2004_Cameroon</v>
      </c>
      <c r="D187" s="148">
        <v>15775356736.764538</v>
      </c>
      <c r="E187" s="148">
        <v>17674960</v>
      </c>
      <c r="F187" s="148" t="s">
        <v>2842</v>
      </c>
      <c r="G187" s="148">
        <v>790660000</v>
      </c>
      <c r="H187" s="148">
        <v>790660000</v>
      </c>
      <c r="I187" s="148">
        <v>3.3299099999999999</v>
      </c>
      <c r="J187" s="148">
        <v>1.1296383019318701</v>
      </c>
      <c r="K187" s="148" t="s">
        <v>2842</v>
      </c>
      <c r="L187" s="148">
        <v>51.716487804878049</v>
      </c>
      <c r="M187" s="148">
        <v>80.7</v>
      </c>
    </row>
    <row r="188" spans="1:13">
      <c r="A188" s="148">
        <v>2004</v>
      </c>
      <c r="B188" s="148" t="s">
        <v>133</v>
      </c>
      <c r="C188" s="148" t="str">
        <f t="shared" si="2"/>
        <v>2004_Chad</v>
      </c>
      <c r="D188" s="148">
        <v>4414929142.2336674</v>
      </c>
      <c r="E188" s="148">
        <v>9665024</v>
      </c>
      <c r="F188" s="148" t="s">
        <v>2842</v>
      </c>
      <c r="G188" s="148">
        <v>337660000</v>
      </c>
      <c r="H188" s="148">
        <v>337660000</v>
      </c>
      <c r="I188" s="148">
        <v>1.5929500000000001</v>
      </c>
      <c r="J188" s="148">
        <v>1.8136637920268901</v>
      </c>
      <c r="K188" s="148" t="s">
        <v>2842</v>
      </c>
      <c r="L188" s="148">
        <v>47.369780487804881</v>
      </c>
      <c r="M188" s="148">
        <v>101.7</v>
      </c>
    </row>
    <row r="189" spans="1:13">
      <c r="A189" s="148">
        <v>2004</v>
      </c>
      <c r="B189" s="148" t="s">
        <v>122</v>
      </c>
      <c r="C189" s="148" t="str">
        <f t="shared" si="2"/>
        <v>2004_Central African Republic</v>
      </c>
      <c r="D189" s="148">
        <v>1270080228.2324147</v>
      </c>
      <c r="E189" s="148">
        <v>3893595</v>
      </c>
      <c r="F189" s="148" t="s">
        <v>2842</v>
      </c>
      <c r="G189" s="148">
        <v>109830000</v>
      </c>
      <c r="H189" s="148">
        <v>109830000</v>
      </c>
      <c r="I189" s="148">
        <v>1.62453</v>
      </c>
      <c r="J189" s="148">
        <v>1.88026882951059</v>
      </c>
      <c r="K189" s="148" t="s">
        <v>2842</v>
      </c>
      <c r="L189" s="148">
        <v>44.567829268292684</v>
      </c>
      <c r="M189" s="148">
        <v>111.4</v>
      </c>
    </row>
    <row r="190" spans="1:13">
      <c r="A190" s="148">
        <v>2004</v>
      </c>
      <c r="B190" s="148" t="s">
        <v>165</v>
      </c>
      <c r="C190" s="148" t="str">
        <f t="shared" si="2"/>
        <v>2004_Democratic Republic of Congo</v>
      </c>
      <c r="D190" s="148">
        <v>10297481446.21612</v>
      </c>
      <c r="E190" s="148">
        <v>52487293</v>
      </c>
      <c r="F190" s="148">
        <v>7.439355849600167</v>
      </c>
      <c r="G190" s="148">
        <v>1919010000</v>
      </c>
      <c r="H190" s="148">
        <v>1919010000</v>
      </c>
      <c r="I190" s="148" t="s">
        <v>2842</v>
      </c>
      <c r="J190" s="148">
        <v>1.13610906458401</v>
      </c>
      <c r="K190" s="148" t="s">
        <v>2842</v>
      </c>
      <c r="L190" s="148">
        <v>47.599121951219523</v>
      </c>
      <c r="M190" s="148">
        <v>107.8</v>
      </c>
    </row>
    <row r="191" spans="1:13">
      <c r="A191" s="148">
        <v>2004</v>
      </c>
      <c r="B191" s="148" t="s">
        <v>458</v>
      </c>
      <c r="C191" s="148" t="str">
        <f t="shared" si="2"/>
        <v>2004_Republic of the Congo</v>
      </c>
      <c r="D191" s="148">
        <v>4648628839.490572</v>
      </c>
      <c r="E191" s="148">
        <v>3448868</v>
      </c>
      <c r="F191" s="148">
        <v>32.744376131443929</v>
      </c>
      <c r="G191" s="148">
        <v>115480000</v>
      </c>
      <c r="H191" s="148">
        <v>115480000</v>
      </c>
      <c r="I191" s="148">
        <v>2.2881300000000002</v>
      </c>
      <c r="J191" s="148">
        <v>1.3696751030340399</v>
      </c>
      <c r="K191" s="148" t="s">
        <v>2842</v>
      </c>
      <c r="L191" s="148">
        <v>53.499658536585379</v>
      </c>
      <c r="M191" s="148">
        <v>65.900000000000006</v>
      </c>
    </row>
    <row r="192" spans="1:13">
      <c r="A192" s="148">
        <v>2004</v>
      </c>
      <c r="B192" s="33" t="s">
        <v>3542</v>
      </c>
      <c r="C192" s="148" t="str">
        <f t="shared" si="2"/>
        <v>2004_Côte d'Ivoire</v>
      </c>
      <c r="D192" s="148">
        <v>15481092596.54723</v>
      </c>
      <c r="E192" s="148">
        <v>17144325</v>
      </c>
      <c r="F192" s="148">
        <v>16.198715888219134</v>
      </c>
      <c r="G192" s="148">
        <v>160520000</v>
      </c>
      <c r="H192" s="148">
        <v>160520000</v>
      </c>
      <c r="I192" s="148">
        <v>4.4140499999999996</v>
      </c>
      <c r="J192" s="148">
        <v>1.5737091119939901</v>
      </c>
      <c r="K192" s="148" t="s">
        <v>2842</v>
      </c>
      <c r="L192" s="148">
        <v>46.791000000000004</v>
      </c>
      <c r="M192" s="148">
        <v>91.3</v>
      </c>
    </row>
    <row r="193" spans="1:13">
      <c r="A193" s="148">
        <v>2004</v>
      </c>
      <c r="B193" s="148" t="s">
        <v>182</v>
      </c>
      <c r="C193" s="148" t="str">
        <f t="shared" si="2"/>
        <v>2004_Equatorial Guinea</v>
      </c>
      <c r="D193" s="148">
        <v>4410764260.9778643</v>
      </c>
      <c r="E193" s="148">
        <v>585983</v>
      </c>
      <c r="F193" s="148" t="s">
        <v>2842</v>
      </c>
      <c r="G193" s="148">
        <v>29150000</v>
      </c>
      <c r="H193" s="148">
        <v>29150000</v>
      </c>
      <c r="I193" s="148" t="s">
        <v>2842</v>
      </c>
      <c r="J193" s="148">
        <v>1.1382442427944</v>
      </c>
      <c r="K193" s="148" t="s">
        <v>2842</v>
      </c>
      <c r="L193" s="148">
        <v>48.487097560975613</v>
      </c>
      <c r="M193" s="148">
        <v>89.3</v>
      </c>
    </row>
    <row r="194" spans="1:13">
      <c r="A194" s="148">
        <v>2004</v>
      </c>
      <c r="B194" s="148" t="s">
        <v>185</v>
      </c>
      <c r="C194" s="148" t="str">
        <f t="shared" si="2"/>
        <v>2004_Gabon</v>
      </c>
      <c r="D194" s="148">
        <v>7178135606.4142838</v>
      </c>
      <c r="E194" s="148">
        <v>1347125</v>
      </c>
      <c r="F194" s="148" t="s">
        <v>2842</v>
      </c>
      <c r="G194" s="148">
        <v>39870000</v>
      </c>
      <c r="H194" s="148">
        <v>39870000</v>
      </c>
      <c r="I194" s="148" t="s">
        <v>2842</v>
      </c>
      <c r="J194" s="148">
        <v>1.46651474900715</v>
      </c>
      <c r="K194" s="148" t="s">
        <v>2842</v>
      </c>
      <c r="L194" s="148">
        <v>59.683853658536592</v>
      </c>
      <c r="M194" s="148">
        <v>51.5</v>
      </c>
    </row>
    <row r="195" spans="1:13">
      <c r="A195" s="148">
        <v>2004</v>
      </c>
      <c r="B195" s="148" t="s">
        <v>189</v>
      </c>
      <c r="C195" s="148" t="str">
        <f t="shared" si="2"/>
        <v>2004_Ghana</v>
      </c>
      <c r="D195" s="148">
        <v>8881419348.2170506</v>
      </c>
      <c r="E195" s="148">
        <v>20835514</v>
      </c>
      <c r="F195" s="148">
        <v>23.712146005572059</v>
      </c>
      <c r="G195" s="148">
        <v>1418690000</v>
      </c>
      <c r="H195" s="148">
        <v>1418690000</v>
      </c>
      <c r="I195" s="148">
        <v>7.5355800000000004</v>
      </c>
      <c r="J195" s="148">
        <v>3.7981429307638699</v>
      </c>
      <c r="K195" s="148" t="s">
        <v>2842</v>
      </c>
      <c r="L195" s="148">
        <v>58.224853658536588</v>
      </c>
      <c r="M195" s="148">
        <v>58.9</v>
      </c>
    </row>
    <row r="196" spans="1:13">
      <c r="A196" s="148">
        <v>2004</v>
      </c>
      <c r="B196" s="148" t="s">
        <v>2843</v>
      </c>
      <c r="C196" s="148" t="str">
        <f t="shared" ref="C196:C259" si="3">$A196&amp;"_"&amp;$B196</f>
        <v>2004_Guinea</v>
      </c>
      <c r="D196" s="148">
        <v>3666349049.4043527</v>
      </c>
      <c r="E196" s="148">
        <v>9379621</v>
      </c>
      <c r="F196" s="148" t="s">
        <v>2842</v>
      </c>
      <c r="G196" s="148">
        <v>278530000</v>
      </c>
      <c r="H196" s="148">
        <v>278530000</v>
      </c>
      <c r="I196" s="148">
        <v>2.21</v>
      </c>
      <c r="J196" s="148">
        <v>0.89999297481539098</v>
      </c>
      <c r="K196" s="148" t="s">
        <v>2842</v>
      </c>
      <c r="L196" s="148">
        <v>52.194585365853669</v>
      </c>
      <c r="M196" s="148">
        <v>88.3</v>
      </c>
    </row>
    <row r="197" spans="1:13">
      <c r="A197" s="148">
        <v>2004</v>
      </c>
      <c r="B197" s="148" t="s">
        <v>213</v>
      </c>
      <c r="C197" s="148" t="str">
        <f t="shared" si="3"/>
        <v>2004_Guatemala</v>
      </c>
      <c r="D197" s="148">
        <v>23965280312.087082</v>
      </c>
      <c r="E197" s="148">
        <v>12367800</v>
      </c>
      <c r="F197" s="148">
        <v>12.117757762151985</v>
      </c>
      <c r="G197" s="148">
        <v>217120000</v>
      </c>
      <c r="H197" s="148">
        <v>217120000</v>
      </c>
      <c r="I197" s="148" t="s">
        <v>2842</v>
      </c>
      <c r="J197" s="148">
        <v>2.2253716522938198</v>
      </c>
      <c r="K197" s="148" t="s">
        <v>2842</v>
      </c>
      <c r="L197" s="148">
        <v>69.331902439024404</v>
      </c>
      <c r="M197" s="148">
        <v>34.6</v>
      </c>
    </row>
    <row r="198" spans="1:13">
      <c r="A198" s="148">
        <v>2004</v>
      </c>
      <c r="B198" s="148" t="s">
        <v>237</v>
      </c>
      <c r="C198" s="148" t="str">
        <f t="shared" si="3"/>
        <v>2004_Indonesia</v>
      </c>
      <c r="D198" s="148">
        <v>256836883304.55344</v>
      </c>
      <c r="E198" s="148">
        <v>221293797</v>
      </c>
      <c r="F198" s="148">
        <v>17.436493541932521</v>
      </c>
      <c r="G198" s="148">
        <v>131870000</v>
      </c>
      <c r="H198" s="148">
        <v>131870000</v>
      </c>
      <c r="I198" s="148">
        <v>2.7484700000000002</v>
      </c>
      <c r="J198" s="148">
        <v>0.93487116751259303</v>
      </c>
      <c r="K198" s="148">
        <v>16.7</v>
      </c>
      <c r="L198" s="148">
        <v>68.550390243902442</v>
      </c>
      <c r="M198" s="148">
        <v>34.799999999999997</v>
      </c>
    </row>
    <row r="199" spans="1:13">
      <c r="A199" s="148">
        <v>2004</v>
      </c>
      <c r="B199" s="148" t="s">
        <v>245</v>
      </c>
      <c r="C199" s="148" t="str">
        <f t="shared" si="3"/>
        <v>2004_Iraq</v>
      </c>
      <c r="D199" s="148">
        <v>36627901762.063011</v>
      </c>
      <c r="E199" s="148">
        <v>26673536</v>
      </c>
      <c r="F199" s="148" t="s">
        <v>2842</v>
      </c>
      <c r="G199" s="148">
        <v>4650650000</v>
      </c>
      <c r="H199" s="148">
        <v>4650650000</v>
      </c>
      <c r="I199" s="148" t="s">
        <v>2842</v>
      </c>
      <c r="J199" s="148">
        <v>4.0504092192987002</v>
      </c>
      <c r="K199" s="148" t="s">
        <v>2842</v>
      </c>
      <c r="L199" s="148">
        <v>69.768658536585377</v>
      </c>
      <c r="M199" s="148">
        <v>33.6</v>
      </c>
    </row>
    <row r="200" spans="1:13">
      <c r="A200" s="148">
        <v>2004</v>
      </c>
      <c r="B200" s="148" t="s">
        <v>273</v>
      </c>
      <c r="C200" s="148" t="str">
        <f t="shared" si="3"/>
        <v>2004_Kazakhstan</v>
      </c>
      <c r="D200" s="148">
        <v>43151647002.609627</v>
      </c>
      <c r="E200" s="148">
        <v>15012985</v>
      </c>
      <c r="F200" s="148">
        <v>15.144587237126755</v>
      </c>
      <c r="G200" s="148">
        <v>267760000</v>
      </c>
      <c r="H200" s="148">
        <v>267760000</v>
      </c>
      <c r="I200" s="148">
        <v>2.2559100000000001</v>
      </c>
      <c r="J200" s="148">
        <v>2.2946661362984</v>
      </c>
      <c r="K200" s="148">
        <v>33.9</v>
      </c>
      <c r="L200" s="148">
        <v>65.887804878048783</v>
      </c>
      <c r="M200" s="148">
        <v>30.3</v>
      </c>
    </row>
    <row r="201" spans="1:13">
      <c r="A201" s="148">
        <v>2004</v>
      </c>
      <c r="B201" s="148" t="s">
        <v>278</v>
      </c>
      <c r="C201" s="148" t="str">
        <f t="shared" si="3"/>
        <v>2004_Kyrgyz Republic</v>
      </c>
      <c r="D201" s="148">
        <v>2211535311.6283431</v>
      </c>
      <c r="E201" s="148">
        <v>5104700</v>
      </c>
      <c r="F201" s="148" t="s">
        <v>2842</v>
      </c>
      <c r="G201" s="148">
        <v>261370000</v>
      </c>
      <c r="H201" s="148">
        <v>261370000</v>
      </c>
      <c r="I201" s="148">
        <v>4.6224299999999996</v>
      </c>
      <c r="J201" s="148">
        <v>2.27517825990186</v>
      </c>
      <c r="K201" s="148" t="s">
        <v>2842</v>
      </c>
      <c r="L201" s="148">
        <v>68.153658536585368</v>
      </c>
      <c r="M201" s="148">
        <v>35.700000000000003</v>
      </c>
    </row>
    <row r="202" spans="1:13">
      <c r="A202" s="148">
        <v>2004</v>
      </c>
      <c r="B202" s="148" t="s">
        <v>294</v>
      </c>
      <c r="C202" s="148" t="str">
        <f t="shared" si="3"/>
        <v>2004_Liberia</v>
      </c>
      <c r="D202" s="148">
        <v>466999999.99999905</v>
      </c>
      <c r="E202" s="148">
        <v>3184643</v>
      </c>
      <c r="F202" s="148" t="s">
        <v>2842</v>
      </c>
      <c r="G202" s="148">
        <v>213250000</v>
      </c>
      <c r="H202" s="148">
        <v>213250000</v>
      </c>
      <c r="I202" s="148" t="s">
        <v>2842</v>
      </c>
      <c r="J202" s="148">
        <v>2.4143401276721699</v>
      </c>
      <c r="K202" s="148" t="s">
        <v>2842</v>
      </c>
      <c r="L202" s="148">
        <v>54.096243902439028</v>
      </c>
      <c r="M202" s="148">
        <v>89.8</v>
      </c>
    </row>
    <row r="203" spans="1:13">
      <c r="A203" s="148">
        <v>2004</v>
      </c>
      <c r="B203" s="148" t="s">
        <v>309</v>
      </c>
      <c r="C203" s="148" t="str">
        <f t="shared" si="3"/>
        <v>2004_Madagascar</v>
      </c>
      <c r="D203" s="148">
        <v>4363934416.538023</v>
      </c>
      <c r="E203" s="148">
        <v>17763367</v>
      </c>
      <c r="F203" s="148">
        <v>12.085855865236161</v>
      </c>
      <c r="G203" s="148">
        <v>1262750000</v>
      </c>
      <c r="H203" s="148">
        <v>1262750000</v>
      </c>
      <c r="I203" s="148">
        <v>3.2643</v>
      </c>
      <c r="J203" s="148">
        <v>2.3835404883890399</v>
      </c>
      <c r="K203" s="148" t="s">
        <v>2842</v>
      </c>
      <c r="L203" s="148">
        <v>60.72870731707318</v>
      </c>
      <c r="M203" s="148">
        <v>57.5</v>
      </c>
    </row>
    <row r="204" spans="1:13">
      <c r="A204" s="148">
        <v>2004</v>
      </c>
      <c r="B204" s="148" t="s">
        <v>322</v>
      </c>
      <c r="C204" s="148" t="str">
        <f t="shared" si="3"/>
        <v>2004_Mali</v>
      </c>
      <c r="D204" s="148">
        <v>4874178417.1916361</v>
      </c>
      <c r="E204" s="148">
        <v>11572936</v>
      </c>
      <c r="F204" s="148">
        <v>17.604201076449659</v>
      </c>
      <c r="G204" s="148">
        <v>587840000</v>
      </c>
      <c r="H204" s="148">
        <v>587840000</v>
      </c>
      <c r="I204" s="148">
        <v>4.3107699999999998</v>
      </c>
      <c r="J204" s="148">
        <v>3.0917103563558999</v>
      </c>
      <c r="K204" s="148" t="s">
        <v>2842</v>
      </c>
      <c r="L204" s="148">
        <v>51.033000000000001</v>
      </c>
      <c r="M204" s="148">
        <v>100.8</v>
      </c>
    </row>
    <row r="205" spans="1:13">
      <c r="A205" s="148">
        <v>2004</v>
      </c>
      <c r="B205" s="148" t="s">
        <v>338</v>
      </c>
      <c r="C205" s="148" t="str">
        <f t="shared" si="3"/>
        <v>2004_Mauritania</v>
      </c>
      <c r="D205" s="148">
        <v>1496460378.8679245</v>
      </c>
      <c r="E205" s="148">
        <v>3055425</v>
      </c>
      <c r="F205" s="148" t="s">
        <v>2842</v>
      </c>
      <c r="G205" s="148">
        <v>194530000</v>
      </c>
      <c r="H205" s="148">
        <v>194530000</v>
      </c>
      <c r="I205" s="148">
        <v>2.5168699999999999</v>
      </c>
      <c r="J205" s="148">
        <v>3.83935796887401</v>
      </c>
      <c r="K205" s="148">
        <v>46.7</v>
      </c>
      <c r="L205" s="148">
        <v>60.109439024390248</v>
      </c>
      <c r="M205" s="148">
        <v>75.3</v>
      </c>
    </row>
    <row r="206" spans="1:13">
      <c r="A206" s="148">
        <v>2004</v>
      </c>
      <c r="B206" s="148" t="s">
        <v>357</v>
      </c>
      <c r="C206" s="148" t="str">
        <f t="shared" si="3"/>
        <v>2004_Mongolia</v>
      </c>
      <c r="D206" s="148">
        <v>1992066758.8442302</v>
      </c>
      <c r="E206" s="148">
        <v>2496248</v>
      </c>
      <c r="F206" s="148" t="s">
        <v>2842</v>
      </c>
      <c r="G206" s="148">
        <v>257959999.99999997</v>
      </c>
      <c r="H206" s="148">
        <v>257959999.99999997</v>
      </c>
      <c r="I206" s="148">
        <v>4.3257300000000001</v>
      </c>
      <c r="J206" s="148">
        <v>3.9235850096781002</v>
      </c>
      <c r="K206" s="148" t="s">
        <v>2842</v>
      </c>
      <c r="L206" s="148">
        <v>64.85182926829269</v>
      </c>
      <c r="M206" s="148">
        <v>39.200000000000003</v>
      </c>
    </row>
    <row r="207" spans="1:13">
      <c r="A207" s="148">
        <v>2004</v>
      </c>
      <c r="B207" s="148" t="s">
        <v>378</v>
      </c>
      <c r="C207" s="148" t="str">
        <f t="shared" si="3"/>
        <v>2004_Mozambique</v>
      </c>
      <c r="D207" s="148">
        <v>5697991242.1061764</v>
      </c>
      <c r="E207" s="148">
        <v>20438827</v>
      </c>
      <c r="F207" s="148" t="s">
        <v>2842</v>
      </c>
      <c r="G207" s="148">
        <v>1242860000</v>
      </c>
      <c r="H207" s="148">
        <v>1242860000</v>
      </c>
      <c r="I207" s="148">
        <v>4.4553200000000004</v>
      </c>
      <c r="J207" s="148">
        <v>3.52192794458331</v>
      </c>
      <c r="K207" s="148" t="s">
        <v>2842</v>
      </c>
      <c r="L207" s="148">
        <v>47.73582926829269</v>
      </c>
      <c r="M207" s="148">
        <v>94.6</v>
      </c>
    </row>
    <row r="208" spans="1:13">
      <c r="A208" s="148">
        <v>2004</v>
      </c>
      <c r="B208" s="148" t="s">
        <v>387</v>
      </c>
      <c r="C208" s="148" t="str">
        <f t="shared" si="3"/>
        <v>2004_Niger</v>
      </c>
      <c r="D208" s="148">
        <v>3052898685.6952496</v>
      </c>
      <c r="E208" s="148">
        <v>12708897</v>
      </c>
      <c r="F208" s="148" t="s">
        <v>2842</v>
      </c>
      <c r="G208" s="148">
        <v>547590000</v>
      </c>
      <c r="H208" s="148">
        <v>547590000</v>
      </c>
      <c r="I208" s="148" t="s">
        <v>2842</v>
      </c>
      <c r="J208" s="148">
        <v>1.84586757440801</v>
      </c>
      <c r="K208" s="148" t="s">
        <v>2842</v>
      </c>
      <c r="L208" s="148">
        <v>53.463780487804883</v>
      </c>
      <c r="M208" s="148">
        <v>86.3</v>
      </c>
    </row>
    <row r="209" spans="1:13">
      <c r="A209" s="148">
        <v>2004</v>
      </c>
      <c r="B209" s="148" t="s">
        <v>406</v>
      </c>
      <c r="C209" s="148" t="str">
        <f t="shared" si="3"/>
        <v>2004_Nigeria</v>
      </c>
      <c r="D209" s="148">
        <v>87845403978.274185</v>
      </c>
      <c r="E209" s="148">
        <v>135999250</v>
      </c>
      <c r="F209" s="148">
        <v>11.406933118187176</v>
      </c>
      <c r="G209" s="148">
        <v>576940000</v>
      </c>
      <c r="H209" s="148">
        <v>576940000</v>
      </c>
      <c r="I209" s="148" t="s">
        <v>2842</v>
      </c>
      <c r="J209" s="148">
        <v>2.27501326998701</v>
      </c>
      <c r="K209" s="148">
        <v>48.4</v>
      </c>
      <c r="L209" s="148">
        <v>48.12565853658537</v>
      </c>
      <c r="M209" s="148">
        <v>100.2</v>
      </c>
    </row>
    <row r="210" spans="1:13">
      <c r="A210" s="148">
        <v>2004</v>
      </c>
      <c r="B210" s="148" t="s">
        <v>429</v>
      </c>
      <c r="C210" s="148" t="str">
        <f t="shared" si="3"/>
        <v>2004_Norway</v>
      </c>
      <c r="D210" s="148">
        <v>260029106207.98923</v>
      </c>
      <c r="E210" s="148">
        <v>4591910</v>
      </c>
      <c r="F210" s="148">
        <v>47.404798689191999</v>
      </c>
      <c r="G210" s="148" t="s">
        <v>2842</v>
      </c>
      <c r="H210" s="148" t="s">
        <v>2842</v>
      </c>
      <c r="I210" s="148">
        <v>7.4240500000000003</v>
      </c>
      <c r="J210" s="148">
        <v>8.4312521822077908</v>
      </c>
      <c r="K210" s="148" t="s">
        <v>2842</v>
      </c>
      <c r="L210" s="148">
        <v>79.841463414634163</v>
      </c>
      <c r="M210" s="148">
        <v>3.4</v>
      </c>
    </row>
    <row r="211" spans="1:13">
      <c r="A211" s="148">
        <v>2004</v>
      </c>
      <c r="B211" s="148" t="s">
        <v>442</v>
      </c>
      <c r="C211" s="148" t="str">
        <f t="shared" si="3"/>
        <v>2004_Peru</v>
      </c>
      <c r="D211" s="148">
        <v>66730306799.531067</v>
      </c>
      <c r="E211" s="148">
        <v>27403845</v>
      </c>
      <c r="F211" s="148">
        <v>17.222963965305592</v>
      </c>
      <c r="G211" s="148">
        <v>463450000</v>
      </c>
      <c r="H211" s="148">
        <v>463450000</v>
      </c>
      <c r="I211" s="148">
        <v>2.8339599999999998</v>
      </c>
      <c r="J211" s="148">
        <v>2.56791486858183</v>
      </c>
      <c r="K211" s="148">
        <v>58.7</v>
      </c>
      <c r="L211" s="148">
        <v>72.096804878048786</v>
      </c>
      <c r="M211" s="148">
        <v>23</v>
      </c>
    </row>
    <row r="212" spans="1:13">
      <c r="A212" s="148">
        <v>2004</v>
      </c>
      <c r="B212" s="148" t="s">
        <v>481</v>
      </c>
      <c r="C212" s="148" t="str">
        <f t="shared" si="3"/>
        <v>2004_Sierra Leone</v>
      </c>
      <c r="D212" s="148">
        <v>1431208677.3035204</v>
      </c>
      <c r="E212" s="148">
        <v>4928175</v>
      </c>
      <c r="F212" s="148">
        <v>9.2331767786030685</v>
      </c>
      <c r="G212" s="148">
        <v>376290000</v>
      </c>
      <c r="H212" s="148">
        <v>376290000</v>
      </c>
      <c r="I212" s="148">
        <v>3.1447500000000002</v>
      </c>
      <c r="J212" s="148">
        <v>2.63531338483789</v>
      </c>
      <c r="K212" s="148" t="s">
        <v>2842</v>
      </c>
      <c r="L212" s="148">
        <v>41.33317073170732</v>
      </c>
      <c r="M212" s="148">
        <v>130.1</v>
      </c>
    </row>
    <row r="213" spans="1:13">
      <c r="A213" s="148">
        <v>2004</v>
      </c>
      <c r="B213" s="148" t="s">
        <v>492</v>
      </c>
      <c r="C213" s="148" t="str">
        <f t="shared" si="3"/>
        <v>2004_Tanzania</v>
      </c>
      <c r="D213" s="148">
        <v>12825801916.606281</v>
      </c>
      <c r="E213" s="148">
        <v>37765139</v>
      </c>
      <c r="F213" s="148" t="s">
        <v>2842</v>
      </c>
      <c r="G213" s="148">
        <v>1772410000</v>
      </c>
      <c r="H213" s="148">
        <v>1772410000</v>
      </c>
      <c r="I213" s="148">
        <v>4.6501799999999998</v>
      </c>
      <c r="J213" s="148">
        <v>1.5269955095883101</v>
      </c>
      <c r="K213" s="148" t="s">
        <v>2842</v>
      </c>
      <c r="L213" s="148">
        <v>52.840780487804885</v>
      </c>
      <c r="M213" s="148">
        <v>61.3</v>
      </c>
    </row>
    <row r="214" spans="1:13">
      <c r="A214" s="148">
        <v>2004</v>
      </c>
      <c r="B214" s="148" t="s">
        <v>2844</v>
      </c>
      <c r="C214" s="148" t="str">
        <f t="shared" si="3"/>
        <v>2004_Timor-Leste</v>
      </c>
      <c r="D214" s="148">
        <v>466000000</v>
      </c>
      <c r="E214" s="148">
        <v>966987</v>
      </c>
      <c r="F214" s="148" t="s">
        <v>2842</v>
      </c>
      <c r="G214" s="148">
        <v>161240000</v>
      </c>
      <c r="H214" s="148">
        <v>161240000</v>
      </c>
      <c r="I214" s="148" t="s">
        <v>2842</v>
      </c>
      <c r="J214" s="148">
        <v>6.18499961526026</v>
      </c>
      <c r="K214" s="148" t="s">
        <v>2842</v>
      </c>
      <c r="L214" s="148">
        <v>62.485170731707328</v>
      </c>
      <c r="M214" s="148">
        <v>68.599999999999994</v>
      </c>
    </row>
    <row r="215" spans="1:13">
      <c r="A215" s="148">
        <v>2004</v>
      </c>
      <c r="B215" s="148" t="s">
        <v>510</v>
      </c>
      <c r="C215" s="148" t="str">
        <f t="shared" si="3"/>
        <v>2004_Togo</v>
      </c>
      <c r="D215" s="148">
        <v>1937074537.9308879</v>
      </c>
      <c r="E215" s="148">
        <v>5397851</v>
      </c>
      <c r="F215" s="148">
        <v>15.859904992756018</v>
      </c>
      <c r="G215" s="148">
        <v>64900000.000000007</v>
      </c>
      <c r="H215" s="148">
        <v>64900000.000000007</v>
      </c>
      <c r="I215" s="148">
        <v>3.6215199999999999</v>
      </c>
      <c r="J215" s="148">
        <v>1.68209936863956</v>
      </c>
      <c r="K215" s="148" t="s">
        <v>2842</v>
      </c>
      <c r="L215" s="148">
        <v>53.971268292682929</v>
      </c>
      <c r="M215" s="148">
        <v>70</v>
      </c>
    </row>
    <row r="216" spans="1:13">
      <c r="A216" s="148">
        <v>2004</v>
      </c>
      <c r="B216" s="148" t="s">
        <v>2845</v>
      </c>
      <c r="C216" s="148" t="str">
        <f t="shared" si="3"/>
        <v>2004_Trinidad and Tobago</v>
      </c>
      <c r="D216" s="148">
        <v>12884712295.994848</v>
      </c>
      <c r="E216" s="148">
        <v>1290379</v>
      </c>
      <c r="F216" s="148">
        <v>26.954514987530924</v>
      </c>
      <c r="G216" s="148">
        <v>-1810000</v>
      </c>
      <c r="H216" s="148">
        <v>-1810000</v>
      </c>
      <c r="I216" s="148" t="s">
        <v>2842</v>
      </c>
      <c r="J216" s="148">
        <v>2.59977723235848</v>
      </c>
      <c r="K216" s="148" t="s">
        <v>2842</v>
      </c>
      <c r="L216" s="148">
        <v>68.900560975609764</v>
      </c>
      <c r="M216" s="148">
        <v>24.2</v>
      </c>
    </row>
    <row r="217" spans="1:13">
      <c r="A217" s="148">
        <v>2004</v>
      </c>
      <c r="B217" s="148" t="s">
        <v>522</v>
      </c>
      <c r="C217" s="148" t="str">
        <f t="shared" si="3"/>
        <v>2004_Yemen</v>
      </c>
      <c r="D217" s="148">
        <v>13873500887.561153</v>
      </c>
      <c r="E217" s="148">
        <v>19612696</v>
      </c>
      <c r="F217" s="148" t="s">
        <v>2842</v>
      </c>
      <c r="G217" s="148">
        <v>266430000</v>
      </c>
      <c r="H217" s="148">
        <v>266430000</v>
      </c>
      <c r="I217" s="148" t="s">
        <v>2842</v>
      </c>
      <c r="J217" s="148">
        <v>1.8543305383926001</v>
      </c>
      <c r="K217" s="148" t="s">
        <v>2842</v>
      </c>
      <c r="L217" s="148">
        <v>61.328658536585372</v>
      </c>
      <c r="M217" s="148">
        <v>58.5</v>
      </c>
    </row>
    <row r="218" spans="1:13">
      <c r="A218" s="148">
        <v>2004</v>
      </c>
      <c r="B218" s="148" t="s">
        <v>534</v>
      </c>
      <c r="C218" s="148" t="str">
        <f t="shared" si="3"/>
        <v>2004_Zambia</v>
      </c>
      <c r="D218" s="148">
        <v>6221109716.39571</v>
      </c>
      <c r="E218" s="148">
        <v>11174650</v>
      </c>
      <c r="F218" s="148">
        <v>15.71607471001567</v>
      </c>
      <c r="G218" s="148">
        <v>1130470000</v>
      </c>
      <c r="H218" s="148">
        <v>1130470000</v>
      </c>
      <c r="I218" s="148">
        <v>2.8175699999999999</v>
      </c>
      <c r="J218" s="148">
        <v>3.8699061993810102</v>
      </c>
      <c r="K218" s="148" t="s">
        <v>2842</v>
      </c>
      <c r="L218" s="148">
        <v>45.765000000000008</v>
      </c>
      <c r="M218" s="148">
        <v>80.8</v>
      </c>
    </row>
    <row r="219" spans="1:13">
      <c r="A219" s="148">
        <v>2005</v>
      </c>
      <c r="B219" s="148" t="s">
        <v>16</v>
      </c>
      <c r="C219" s="148" t="str">
        <f t="shared" si="3"/>
        <v>2005_Afghanistan</v>
      </c>
      <c r="D219" s="148">
        <v>6275076016.471736</v>
      </c>
      <c r="E219" s="148">
        <v>24860855</v>
      </c>
      <c r="F219" s="148" t="s">
        <v>2842</v>
      </c>
      <c r="G219" s="148">
        <v>2837620000</v>
      </c>
      <c r="H219" s="148">
        <v>2837620000</v>
      </c>
      <c r="I219" s="148" t="s">
        <v>2842</v>
      </c>
      <c r="J219" s="148">
        <v>0.84391477901719802</v>
      </c>
      <c r="K219" s="148" t="s">
        <v>2842</v>
      </c>
      <c r="L219" s="148">
        <v>57.058439024390253</v>
      </c>
      <c r="M219" s="148">
        <v>84</v>
      </c>
    </row>
    <row r="220" spans="1:13">
      <c r="A220" s="148">
        <v>2005</v>
      </c>
      <c r="B220" s="148" t="s">
        <v>33</v>
      </c>
      <c r="C220" s="148" t="str">
        <f t="shared" si="3"/>
        <v>2005_Albania</v>
      </c>
      <c r="D220" s="148">
        <v>8376483393.9415522</v>
      </c>
      <c r="E220" s="148">
        <v>2992724</v>
      </c>
      <c r="F220" s="148" t="s">
        <v>2842</v>
      </c>
      <c r="G220" s="148">
        <v>319140000</v>
      </c>
      <c r="H220" s="148">
        <v>319140000</v>
      </c>
      <c r="I220" s="148">
        <v>3.1543899999999998</v>
      </c>
      <c r="J220" s="148">
        <v>2.7788105456181098</v>
      </c>
      <c r="K220" s="148">
        <v>18.5</v>
      </c>
      <c r="L220" s="148">
        <v>76.089390243902443</v>
      </c>
      <c r="M220" s="148">
        <v>18.2</v>
      </c>
    </row>
    <row r="221" spans="1:13">
      <c r="A221" s="148">
        <v>2005</v>
      </c>
      <c r="B221" s="148" t="s">
        <v>48</v>
      </c>
      <c r="C221" s="148" t="str">
        <f t="shared" si="3"/>
        <v>2005_Azerbaijan</v>
      </c>
      <c r="D221" s="148">
        <v>13245421880.834042</v>
      </c>
      <c r="E221" s="148">
        <v>8391850</v>
      </c>
      <c r="F221" s="148" t="s">
        <v>2842</v>
      </c>
      <c r="G221" s="148">
        <v>216510000</v>
      </c>
      <c r="H221" s="148">
        <v>216510000</v>
      </c>
      <c r="I221" s="148">
        <v>2.9746199999999998</v>
      </c>
      <c r="J221" s="148">
        <v>0.88083503226064097</v>
      </c>
      <c r="K221" s="148" t="s">
        <v>2842</v>
      </c>
      <c r="L221" s="148">
        <v>68.93726829268293</v>
      </c>
      <c r="M221" s="148">
        <v>43.9</v>
      </c>
    </row>
    <row r="222" spans="1:13">
      <c r="A222" s="148">
        <v>2005</v>
      </c>
      <c r="B222" s="148" t="s">
        <v>93</v>
      </c>
      <c r="C222" s="148" t="str">
        <f t="shared" si="3"/>
        <v>2005_Burkina Faso</v>
      </c>
      <c r="D222" s="148">
        <v>5462709054.7798891</v>
      </c>
      <c r="E222" s="148">
        <v>13421929</v>
      </c>
      <c r="F222" s="148">
        <v>12.725415587256911</v>
      </c>
      <c r="G222" s="148">
        <v>693370000</v>
      </c>
      <c r="H222" s="148">
        <v>693370000</v>
      </c>
      <c r="I222" s="148">
        <v>4.4325999999999999</v>
      </c>
      <c r="J222" s="148">
        <v>4.0929091977288898</v>
      </c>
      <c r="K222" s="148" t="s">
        <v>2842</v>
      </c>
      <c r="L222" s="148">
        <v>52.658707317073173</v>
      </c>
      <c r="M222" s="148">
        <v>86</v>
      </c>
    </row>
    <row r="223" spans="1:13">
      <c r="A223" s="148">
        <v>2005</v>
      </c>
      <c r="B223" s="148" t="s">
        <v>96</v>
      </c>
      <c r="C223" s="148" t="str">
        <f t="shared" si="3"/>
        <v>2005_Cameroon</v>
      </c>
      <c r="D223" s="148">
        <v>16587857509.442152</v>
      </c>
      <c r="E223" s="148">
        <v>18137734</v>
      </c>
      <c r="F223" s="148" t="s">
        <v>2842</v>
      </c>
      <c r="G223" s="148">
        <v>413930000</v>
      </c>
      <c r="H223" s="148">
        <v>413930000</v>
      </c>
      <c r="I223" s="148">
        <v>3.1232199999999999</v>
      </c>
      <c r="J223" s="148">
        <v>1.1200748756818599</v>
      </c>
      <c r="K223" s="148" t="s">
        <v>2842</v>
      </c>
      <c r="L223" s="148">
        <v>51.889048780487805</v>
      </c>
      <c r="M223" s="148">
        <v>78</v>
      </c>
    </row>
    <row r="224" spans="1:13">
      <c r="A224" s="148">
        <v>2005</v>
      </c>
      <c r="B224" s="148" t="s">
        <v>133</v>
      </c>
      <c r="C224" s="148" t="str">
        <f t="shared" si="3"/>
        <v>2005_Chad</v>
      </c>
      <c r="D224" s="148">
        <v>6646663021.4357147</v>
      </c>
      <c r="E224" s="148">
        <v>10014413</v>
      </c>
      <c r="F224" s="148" t="s">
        <v>2842</v>
      </c>
      <c r="G224" s="148">
        <v>384540000</v>
      </c>
      <c r="H224" s="148">
        <v>384540000</v>
      </c>
      <c r="I224" s="148">
        <v>1.6947700000000001</v>
      </c>
      <c r="J224" s="148">
        <v>1.9439138318131599</v>
      </c>
      <c r="K224" s="148" t="s">
        <v>2842</v>
      </c>
      <c r="L224" s="148">
        <v>47.671560975609758</v>
      </c>
      <c r="M224" s="148">
        <v>100.7</v>
      </c>
    </row>
    <row r="225" spans="1:13">
      <c r="A225" s="148">
        <v>2005</v>
      </c>
      <c r="B225" s="148" t="s">
        <v>122</v>
      </c>
      <c r="C225" s="148" t="str">
        <f t="shared" si="3"/>
        <v>2005_Central African Republic</v>
      </c>
      <c r="D225" s="148">
        <v>1350300947.4675481</v>
      </c>
      <c r="E225" s="148">
        <v>3960897</v>
      </c>
      <c r="F225" s="148" t="s">
        <v>2842</v>
      </c>
      <c r="G225" s="148">
        <v>88900000</v>
      </c>
      <c r="H225" s="148">
        <v>88900000</v>
      </c>
      <c r="I225" s="148">
        <v>1.6363799999999999</v>
      </c>
      <c r="J225" s="148">
        <v>2.1784166104490001</v>
      </c>
      <c r="K225" s="148" t="s">
        <v>2842</v>
      </c>
      <c r="L225" s="148">
        <v>44.995926829268292</v>
      </c>
      <c r="M225" s="148">
        <v>110.5</v>
      </c>
    </row>
    <row r="226" spans="1:13">
      <c r="A226" s="148">
        <v>2005</v>
      </c>
      <c r="B226" s="148" t="s">
        <v>165</v>
      </c>
      <c r="C226" s="148" t="str">
        <f t="shared" si="3"/>
        <v>2005_Democratic Republic of Congo</v>
      </c>
      <c r="D226" s="148">
        <v>11964484457.523331</v>
      </c>
      <c r="E226" s="148">
        <v>54028003</v>
      </c>
      <c r="F226" s="148">
        <v>8.7347046991524788</v>
      </c>
      <c r="G226" s="148">
        <v>1881700000</v>
      </c>
      <c r="H226" s="148">
        <v>1881700000</v>
      </c>
      <c r="I226" s="148" t="s">
        <v>2842</v>
      </c>
      <c r="J226" s="148">
        <v>1.25193218774616</v>
      </c>
      <c r="K226" s="148">
        <v>71.3</v>
      </c>
      <c r="L226" s="148">
        <v>47.821609756097565</v>
      </c>
      <c r="M226" s="148">
        <v>104.9</v>
      </c>
    </row>
    <row r="227" spans="1:13">
      <c r="A227" s="148">
        <v>2005</v>
      </c>
      <c r="B227" s="148" t="s">
        <v>458</v>
      </c>
      <c r="C227" s="148" t="str">
        <f t="shared" si="3"/>
        <v>2005_Republic of the Congo</v>
      </c>
      <c r="D227" s="148">
        <v>6087002681.7409525</v>
      </c>
      <c r="E227" s="148">
        <v>3542867</v>
      </c>
      <c r="F227" s="148">
        <v>39.93708923608559</v>
      </c>
      <c r="G227" s="148">
        <v>1425480000</v>
      </c>
      <c r="H227" s="148">
        <v>1425480000</v>
      </c>
      <c r="I227" s="148">
        <v>1.8357699999999999</v>
      </c>
      <c r="J227" s="148">
        <v>1.4346085076531601</v>
      </c>
      <c r="K227" s="148">
        <v>50.7</v>
      </c>
      <c r="L227" s="148">
        <v>54.033292682926835</v>
      </c>
      <c r="M227" s="148">
        <v>61.6</v>
      </c>
    </row>
    <row r="228" spans="1:13">
      <c r="A228" s="148">
        <v>2005</v>
      </c>
      <c r="B228" s="33" t="s">
        <v>3542</v>
      </c>
      <c r="C228" s="148" t="str">
        <f t="shared" si="3"/>
        <v>2005_Côte d'Ivoire</v>
      </c>
      <c r="D228" s="148">
        <v>17084927539.848766</v>
      </c>
      <c r="E228" s="148">
        <v>17393994</v>
      </c>
      <c r="F228" s="148">
        <v>15.03147833024755</v>
      </c>
      <c r="G228" s="148">
        <v>91210000</v>
      </c>
      <c r="H228" s="148">
        <v>91210000</v>
      </c>
      <c r="I228" s="148">
        <v>4.2867800000000003</v>
      </c>
      <c r="J228" s="148">
        <v>1.32570375643011</v>
      </c>
      <c r="K228" s="148" t="s">
        <v>2842</v>
      </c>
      <c r="L228" s="148">
        <v>47.232292682926833</v>
      </c>
      <c r="M228" s="148">
        <v>88.8</v>
      </c>
    </row>
    <row r="229" spans="1:13">
      <c r="A229" s="148">
        <v>2005</v>
      </c>
      <c r="B229" s="148" t="s">
        <v>182</v>
      </c>
      <c r="C229" s="148" t="str">
        <f t="shared" si="3"/>
        <v>2005_Equatorial Guinea</v>
      </c>
      <c r="D229" s="148">
        <v>8217368425.2525158</v>
      </c>
      <c r="E229" s="148">
        <v>603648</v>
      </c>
      <c r="F229" s="148" t="s">
        <v>2842</v>
      </c>
      <c r="G229" s="148">
        <v>38130000</v>
      </c>
      <c r="H229" s="148">
        <v>38130000</v>
      </c>
      <c r="I229" s="148" t="s">
        <v>2842</v>
      </c>
      <c r="J229" s="148">
        <v>0.91398211526253104</v>
      </c>
      <c r="K229" s="148" t="s">
        <v>2842</v>
      </c>
      <c r="L229" s="148">
        <v>48.868365853658538</v>
      </c>
      <c r="M229" s="148">
        <v>86.8</v>
      </c>
    </row>
    <row r="230" spans="1:13">
      <c r="A230" s="148">
        <v>2005</v>
      </c>
      <c r="B230" s="148" t="s">
        <v>185</v>
      </c>
      <c r="C230" s="148" t="str">
        <f t="shared" si="3"/>
        <v>2005_Gabon</v>
      </c>
      <c r="D230" s="148">
        <v>8665736617.550602</v>
      </c>
      <c r="E230" s="148">
        <v>1379465</v>
      </c>
      <c r="F230" s="148" t="s">
        <v>2842</v>
      </c>
      <c r="G230" s="148">
        <v>60430000</v>
      </c>
      <c r="H230" s="148">
        <v>60430000</v>
      </c>
      <c r="I230" s="148" t="s">
        <v>2842</v>
      </c>
      <c r="J230" s="148">
        <v>1.2129281257137501</v>
      </c>
      <c r="K230" s="148">
        <v>32.700000000000003</v>
      </c>
      <c r="L230" s="148">
        <v>60.009146341463421</v>
      </c>
      <c r="M230" s="148">
        <v>50.3</v>
      </c>
    </row>
    <row r="231" spans="1:13">
      <c r="A231" s="148">
        <v>2005</v>
      </c>
      <c r="B231" s="148" t="s">
        <v>189</v>
      </c>
      <c r="C231" s="148" t="str">
        <f t="shared" si="3"/>
        <v>2005_Ghana</v>
      </c>
      <c r="D231" s="148">
        <v>10731883141.445677</v>
      </c>
      <c r="E231" s="148">
        <v>21384034</v>
      </c>
      <c r="F231" s="148">
        <v>23.6884692085609</v>
      </c>
      <c r="G231" s="148">
        <v>1150690000</v>
      </c>
      <c r="H231" s="148">
        <v>1150690000</v>
      </c>
      <c r="I231" s="148">
        <v>7.4220800000000002</v>
      </c>
      <c r="J231" s="148">
        <v>4.6569444137823304</v>
      </c>
      <c r="K231" s="148" t="s">
        <v>2842</v>
      </c>
      <c r="L231" s="148">
        <v>58.704536585365858</v>
      </c>
      <c r="M231" s="148">
        <v>57.9</v>
      </c>
    </row>
    <row r="232" spans="1:13">
      <c r="A232" s="148">
        <v>2005</v>
      </c>
      <c r="B232" s="148" t="s">
        <v>2843</v>
      </c>
      <c r="C232" s="148" t="str">
        <f t="shared" si="3"/>
        <v>2005_Guinea</v>
      </c>
      <c r="D232" s="148">
        <v>2937072009.0343008</v>
      </c>
      <c r="E232" s="148">
        <v>9576331</v>
      </c>
      <c r="F232" s="148" t="s">
        <v>2842</v>
      </c>
      <c r="G232" s="148">
        <v>198180000</v>
      </c>
      <c r="H232" s="148">
        <v>198180000</v>
      </c>
      <c r="I232" s="148">
        <v>1.8490599999999999</v>
      </c>
      <c r="J232" s="148">
        <v>0.94931488109333795</v>
      </c>
      <c r="K232" s="148" t="s">
        <v>2842</v>
      </c>
      <c r="L232" s="148">
        <v>52.745121951219517</v>
      </c>
      <c r="M232" s="148">
        <v>85.1</v>
      </c>
    </row>
    <row r="233" spans="1:13">
      <c r="A233" s="148">
        <v>2005</v>
      </c>
      <c r="B233" s="148" t="s">
        <v>213</v>
      </c>
      <c r="C233" s="148" t="str">
        <f t="shared" si="3"/>
        <v>2005_Guatemala</v>
      </c>
      <c r="D233" s="148">
        <v>27211243473.226147</v>
      </c>
      <c r="E233" s="148">
        <v>12678919</v>
      </c>
      <c r="F233" s="148">
        <v>11.748335571826756</v>
      </c>
      <c r="G233" s="148">
        <v>256589999.99999997</v>
      </c>
      <c r="H233" s="148">
        <v>256589999.99999997</v>
      </c>
      <c r="I233" s="148" t="s">
        <v>2842</v>
      </c>
      <c r="J233" s="148">
        <v>2.23656891265491</v>
      </c>
      <c r="K233" s="148" t="s">
        <v>2842</v>
      </c>
      <c r="L233" s="148">
        <v>69.608975609756101</v>
      </c>
      <c r="M233" s="148">
        <v>33.4</v>
      </c>
    </row>
    <row r="234" spans="1:13">
      <c r="A234" s="148">
        <v>2005</v>
      </c>
      <c r="B234" s="148" t="s">
        <v>237</v>
      </c>
      <c r="C234" s="148" t="str">
        <f t="shared" si="3"/>
        <v>2005_Indonesia</v>
      </c>
      <c r="D234" s="148">
        <v>285868603863.92926</v>
      </c>
      <c r="E234" s="148">
        <v>224480901</v>
      </c>
      <c r="F234" s="148">
        <v>17.456746925687344</v>
      </c>
      <c r="G234" s="148">
        <v>2533990000</v>
      </c>
      <c r="H234" s="148">
        <v>2533990000</v>
      </c>
      <c r="I234" s="148">
        <v>2.8728199999999999</v>
      </c>
      <c r="J234" s="148">
        <v>0.80321100122118105</v>
      </c>
      <c r="K234" s="148">
        <v>16</v>
      </c>
      <c r="L234" s="148">
        <v>68.85443902439026</v>
      </c>
      <c r="M234" s="148">
        <v>33.4</v>
      </c>
    </row>
    <row r="235" spans="1:13">
      <c r="A235" s="148">
        <v>2005</v>
      </c>
      <c r="B235" s="148" t="s">
        <v>245</v>
      </c>
      <c r="C235" s="148" t="str">
        <f t="shared" si="3"/>
        <v>2005_Iraq</v>
      </c>
      <c r="D235" s="148">
        <v>49954890353.260872</v>
      </c>
      <c r="E235" s="148">
        <v>27377045</v>
      </c>
      <c r="F235" s="148" t="s">
        <v>2842</v>
      </c>
      <c r="G235" s="148">
        <v>22057090000</v>
      </c>
      <c r="H235" s="148">
        <v>22057090000</v>
      </c>
      <c r="I235" s="148" t="s">
        <v>2842</v>
      </c>
      <c r="J235" s="148">
        <v>2.7838722756537999</v>
      </c>
      <c r="K235" s="148" t="s">
        <v>2842</v>
      </c>
      <c r="L235" s="148">
        <v>69.407902439024397</v>
      </c>
      <c r="M235" s="148">
        <v>33</v>
      </c>
    </row>
    <row r="236" spans="1:13">
      <c r="A236" s="148">
        <v>2005</v>
      </c>
      <c r="B236" s="148" t="s">
        <v>273</v>
      </c>
      <c r="C236" s="148" t="str">
        <f t="shared" si="3"/>
        <v>2005_Kazakhstan</v>
      </c>
      <c r="D236" s="148">
        <v>57123671733.895248</v>
      </c>
      <c r="E236" s="148">
        <v>15147029</v>
      </c>
      <c r="F236" s="148" t="s">
        <v>2842</v>
      </c>
      <c r="G236" s="148">
        <v>228880000</v>
      </c>
      <c r="H236" s="148">
        <v>228880000</v>
      </c>
      <c r="I236" s="148">
        <v>2.2635299999999998</v>
      </c>
      <c r="J236" s="148">
        <v>2.5215417923814698</v>
      </c>
      <c r="K236" s="148">
        <v>31.6</v>
      </c>
      <c r="L236" s="148">
        <v>65.909756097560987</v>
      </c>
      <c r="M236" s="148">
        <v>28.5</v>
      </c>
    </row>
    <row r="237" spans="1:13">
      <c r="A237" s="148">
        <v>2005</v>
      </c>
      <c r="B237" s="148" t="s">
        <v>278</v>
      </c>
      <c r="C237" s="148" t="str">
        <f t="shared" si="3"/>
        <v>2005_Kyrgyz Republic</v>
      </c>
      <c r="D237" s="148">
        <v>2459876151.9332976</v>
      </c>
      <c r="E237" s="148">
        <v>5162600</v>
      </c>
      <c r="F237" s="148" t="s">
        <v>2842</v>
      </c>
      <c r="G237" s="148">
        <v>267880000</v>
      </c>
      <c r="H237" s="148">
        <v>267880000</v>
      </c>
      <c r="I237" s="148">
        <v>4.8738400000000004</v>
      </c>
      <c r="J237" s="148">
        <v>2.38059842020238</v>
      </c>
      <c r="K237" s="148" t="s">
        <v>2842</v>
      </c>
      <c r="L237" s="148">
        <v>67.956097560975621</v>
      </c>
      <c r="M237" s="148">
        <v>34.4</v>
      </c>
    </row>
    <row r="238" spans="1:13">
      <c r="A238" s="148">
        <v>2005</v>
      </c>
      <c r="B238" s="148" t="s">
        <v>294</v>
      </c>
      <c r="C238" s="148" t="str">
        <f t="shared" si="3"/>
        <v>2005_Liberia</v>
      </c>
      <c r="D238" s="148">
        <v>541999999.99999917</v>
      </c>
      <c r="E238" s="148">
        <v>3269786</v>
      </c>
      <c r="F238" s="148">
        <v>14.639198422509233</v>
      </c>
      <c r="G238" s="148">
        <v>222490000</v>
      </c>
      <c r="H238" s="148">
        <v>222490000</v>
      </c>
      <c r="I238" s="148" t="s">
        <v>2842</v>
      </c>
      <c r="J238" s="148">
        <v>1.55346040444664</v>
      </c>
      <c r="K238" s="148" t="s">
        <v>2842</v>
      </c>
      <c r="L238" s="148">
        <v>55.066170731707324</v>
      </c>
      <c r="M238" s="148">
        <v>83.2</v>
      </c>
    </row>
    <row r="239" spans="1:13">
      <c r="A239" s="148">
        <v>2005</v>
      </c>
      <c r="B239" s="148" t="s">
        <v>309</v>
      </c>
      <c r="C239" s="148" t="str">
        <f t="shared" si="3"/>
        <v>2005_Madagascar</v>
      </c>
      <c r="D239" s="148">
        <v>5039292946.9623337</v>
      </c>
      <c r="E239" s="148">
        <v>18290394</v>
      </c>
      <c r="F239" s="148">
        <v>10.953221590366116</v>
      </c>
      <c r="G239" s="148">
        <v>913020000</v>
      </c>
      <c r="H239" s="148">
        <v>913020000</v>
      </c>
      <c r="I239" s="148">
        <v>3.8487200000000001</v>
      </c>
      <c r="J239" s="148">
        <v>2.4559177536342198</v>
      </c>
      <c r="K239" s="148">
        <v>75</v>
      </c>
      <c r="L239" s="148">
        <v>61.186780487804889</v>
      </c>
      <c r="M239" s="148">
        <v>54.5</v>
      </c>
    </row>
    <row r="240" spans="1:13">
      <c r="A240" s="148">
        <v>2005</v>
      </c>
      <c r="B240" s="148" t="s">
        <v>322</v>
      </c>
      <c r="C240" s="148" t="str">
        <f t="shared" si="3"/>
        <v>2005_Mali</v>
      </c>
      <c r="D240" s="148">
        <v>5305317554.7249508</v>
      </c>
      <c r="E240" s="148">
        <v>11941258</v>
      </c>
      <c r="F240" s="148">
        <v>17.972913400770857</v>
      </c>
      <c r="G240" s="148">
        <v>721320000</v>
      </c>
      <c r="H240" s="148">
        <v>721320000</v>
      </c>
      <c r="I240" s="148">
        <v>4.1460499999999998</v>
      </c>
      <c r="J240" s="148">
        <v>3.04426909151042</v>
      </c>
      <c r="K240" s="148" t="s">
        <v>2842</v>
      </c>
      <c r="L240" s="148">
        <v>51.522536585365856</v>
      </c>
      <c r="M240" s="148">
        <v>96.9</v>
      </c>
    </row>
    <row r="241" spans="1:13">
      <c r="A241" s="148">
        <v>2005</v>
      </c>
      <c r="B241" s="148" t="s">
        <v>338</v>
      </c>
      <c r="C241" s="148" t="str">
        <f t="shared" si="3"/>
        <v>2005_Mauritania</v>
      </c>
      <c r="D241" s="148">
        <v>1857835643.1310711</v>
      </c>
      <c r="E241" s="148">
        <v>3146164</v>
      </c>
      <c r="F241" s="148" t="s">
        <v>2842</v>
      </c>
      <c r="G241" s="148">
        <v>188700000</v>
      </c>
      <c r="H241" s="148">
        <v>188700000</v>
      </c>
      <c r="I241" s="148" t="s">
        <v>2842</v>
      </c>
      <c r="J241" s="148">
        <v>3.1619469597196099</v>
      </c>
      <c r="K241" s="148" t="s">
        <v>2842</v>
      </c>
      <c r="L241" s="148">
        <v>60.242609756097572</v>
      </c>
      <c r="M241" s="148">
        <v>74.8</v>
      </c>
    </row>
    <row r="242" spans="1:13">
      <c r="A242" s="148">
        <v>2005</v>
      </c>
      <c r="B242" s="148" t="s">
        <v>357</v>
      </c>
      <c r="C242" s="148" t="str">
        <f t="shared" si="3"/>
        <v>2005_Mongolia</v>
      </c>
      <c r="D242" s="148">
        <v>2523359940.7120881</v>
      </c>
      <c r="E242" s="148">
        <v>2526502</v>
      </c>
      <c r="F242" s="148" t="s">
        <v>2842</v>
      </c>
      <c r="G242" s="148">
        <v>219590000</v>
      </c>
      <c r="H242" s="148">
        <v>219590000</v>
      </c>
      <c r="I242" s="148" t="s">
        <v>2842</v>
      </c>
      <c r="J242" s="148">
        <v>3.3724109469864501</v>
      </c>
      <c r="K242" s="148" t="s">
        <v>2842</v>
      </c>
      <c r="L242" s="148">
        <v>65.287804878048789</v>
      </c>
      <c r="M242" s="148">
        <v>37</v>
      </c>
    </row>
    <row r="243" spans="1:13">
      <c r="A243" s="148">
        <v>2005</v>
      </c>
      <c r="B243" s="148" t="s">
        <v>378</v>
      </c>
      <c r="C243" s="148" t="str">
        <f t="shared" si="3"/>
        <v>2005_Mozambique</v>
      </c>
      <c r="D243" s="148">
        <v>6578515330.9933043</v>
      </c>
      <c r="E243" s="148">
        <v>21010376</v>
      </c>
      <c r="F243" s="148" t="s">
        <v>2842</v>
      </c>
      <c r="G243" s="148">
        <v>1297150000</v>
      </c>
      <c r="H243" s="148">
        <v>1297150000</v>
      </c>
      <c r="I243" s="148">
        <v>5.2014300000000002</v>
      </c>
      <c r="J243" s="148">
        <v>4.30613506541631</v>
      </c>
      <c r="K243" s="148" t="s">
        <v>2842</v>
      </c>
      <c r="L243" s="148">
        <v>47.85063414634147</v>
      </c>
      <c r="M243" s="148">
        <v>90.5</v>
      </c>
    </row>
    <row r="244" spans="1:13">
      <c r="A244" s="148">
        <v>2005</v>
      </c>
      <c r="B244" s="148" t="s">
        <v>387</v>
      </c>
      <c r="C244" s="148" t="str">
        <f t="shared" si="3"/>
        <v>2005_Niger</v>
      </c>
      <c r="D244" s="148">
        <v>3405134555.2916574</v>
      </c>
      <c r="E244" s="148">
        <v>13183798</v>
      </c>
      <c r="F244" s="148">
        <v>10.52101808512889</v>
      </c>
      <c r="G244" s="148">
        <v>522150000</v>
      </c>
      <c r="H244" s="148">
        <v>522150000</v>
      </c>
      <c r="I244" s="148" t="s">
        <v>2842</v>
      </c>
      <c r="J244" s="148">
        <v>2.97850848849547</v>
      </c>
      <c r="K244" s="148" t="s">
        <v>2842</v>
      </c>
      <c r="L244" s="148">
        <v>54.120146341463418</v>
      </c>
      <c r="M244" s="148">
        <v>82.4</v>
      </c>
    </row>
    <row r="245" spans="1:13">
      <c r="A245" s="148">
        <v>2005</v>
      </c>
      <c r="B245" s="148" t="s">
        <v>406</v>
      </c>
      <c r="C245" s="148" t="str">
        <f t="shared" si="3"/>
        <v>2005_Nigeria</v>
      </c>
      <c r="D245" s="148">
        <v>112248324602.67712</v>
      </c>
      <c r="E245" s="148">
        <v>139585891</v>
      </c>
      <c r="F245" s="148">
        <v>11.932550667949412</v>
      </c>
      <c r="G245" s="148">
        <v>6408810000</v>
      </c>
      <c r="H245" s="148">
        <v>6408810000</v>
      </c>
      <c r="I245" s="148" t="s">
        <v>2842</v>
      </c>
      <c r="J245" s="148">
        <v>1.9259598318225799</v>
      </c>
      <c r="K245" s="148" t="s">
        <v>2842</v>
      </c>
      <c r="L245" s="148">
        <v>48.664487804878057</v>
      </c>
      <c r="M245" s="148">
        <v>97.1</v>
      </c>
    </row>
    <row r="246" spans="1:13">
      <c r="A246" s="148">
        <v>2005</v>
      </c>
      <c r="B246" s="148" t="s">
        <v>429</v>
      </c>
      <c r="C246" s="148" t="str">
        <f t="shared" si="3"/>
        <v>2005_Norway</v>
      </c>
      <c r="D246" s="148">
        <v>304060069848.66125</v>
      </c>
      <c r="E246" s="148">
        <v>4623291</v>
      </c>
      <c r="F246" s="148">
        <v>48.465190026887441</v>
      </c>
      <c r="G246" s="148" t="s">
        <v>2842</v>
      </c>
      <c r="H246" s="148" t="s">
        <v>2842</v>
      </c>
      <c r="I246" s="148">
        <v>6.9739899999999997</v>
      </c>
      <c r="J246" s="148">
        <v>7.9873623403255003</v>
      </c>
      <c r="K246" s="148" t="s">
        <v>2842</v>
      </c>
      <c r="L246" s="148">
        <v>80.041463414634151</v>
      </c>
      <c r="M246" s="148">
        <v>3.2</v>
      </c>
    </row>
    <row r="247" spans="1:13">
      <c r="A247" s="148">
        <v>2005</v>
      </c>
      <c r="B247" s="148" t="s">
        <v>442</v>
      </c>
      <c r="C247" s="148" t="str">
        <f t="shared" si="3"/>
        <v>2005_Peru</v>
      </c>
      <c r="D247" s="148">
        <v>74963815412.621368</v>
      </c>
      <c r="E247" s="148">
        <v>27723281</v>
      </c>
      <c r="F247" s="148">
        <v>18.666934873736064</v>
      </c>
      <c r="G247" s="148">
        <v>450480000</v>
      </c>
      <c r="H247" s="148">
        <v>450480000</v>
      </c>
      <c r="I247" s="148">
        <v>2.72072</v>
      </c>
      <c r="J247" s="148">
        <v>2.65011738705953</v>
      </c>
      <c r="K247" s="148">
        <v>55.6</v>
      </c>
      <c r="L247" s="148">
        <v>72.418609756097567</v>
      </c>
      <c r="M247" s="148">
        <v>21.5</v>
      </c>
    </row>
    <row r="248" spans="1:13">
      <c r="A248" s="148">
        <v>2005</v>
      </c>
      <c r="B248" s="148" t="s">
        <v>481</v>
      </c>
      <c r="C248" s="148" t="str">
        <f t="shared" si="3"/>
        <v>2005_Sierra Leone</v>
      </c>
      <c r="D248" s="148">
        <v>1627853086.4240255</v>
      </c>
      <c r="E248" s="148">
        <v>5119895</v>
      </c>
      <c r="F248" s="148">
        <v>8.7473861714331385</v>
      </c>
      <c r="G248" s="148">
        <v>339850000</v>
      </c>
      <c r="H248" s="148">
        <v>339850000</v>
      </c>
      <c r="I248" s="148">
        <v>2.83588</v>
      </c>
      <c r="J248" s="148">
        <v>2.6321506468223301</v>
      </c>
      <c r="K248" s="148" t="s">
        <v>2842</v>
      </c>
      <c r="L248" s="148">
        <v>42.145219512195133</v>
      </c>
      <c r="M248" s="148">
        <v>127.5</v>
      </c>
    </row>
    <row r="249" spans="1:13">
      <c r="A249" s="148">
        <v>2005</v>
      </c>
      <c r="B249" s="148" t="s">
        <v>492</v>
      </c>
      <c r="C249" s="148" t="str">
        <f t="shared" si="3"/>
        <v>2005_Tanzania</v>
      </c>
      <c r="D249" s="148">
        <v>14141916592.384562</v>
      </c>
      <c r="E249" s="148">
        <v>38824384</v>
      </c>
      <c r="F249" s="148" t="s">
        <v>2842</v>
      </c>
      <c r="G249" s="148">
        <v>1499070000</v>
      </c>
      <c r="H249" s="148">
        <v>1499070000</v>
      </c>
      <c r="I249" s="148">
        <v>4.6107800000000001</v>
      </c>
      <c r="J249" s="148">
        <v>1.8867648011095099</v>
      </c>
      <c r="K249" s="148" t="s">
        <v>2842</v>
      </c>
      <c r="L249" s="148">
        <v>53.825341463414638</v>
      </c>
      <c r="M249" s="148">
        <v>57.2</v>
      </c>
    </row>
    <row r="250" spans="1:13">
      <c r="A250" s="148">
        <v>2005</v>
      </c>
      <c r="B250" s="148" t="s">
        <v>2844</v>
      </c>
      <c r="C250" s="148" t="str">
        <f t="shared" si="3"/>
        <v>2005_Timor-Leste</v>
      </c>
      <c r="D250" s="148">
        <v>491000000</v>
      </c>
      <c r="E250" s="148">
        <v>982889</v>
      </c>
      <c r="F250" s="148" t="s">
        <v>2842</v>
      </c>
      <c r="G250" s="148">
        <v>184760000</v>
      </c>
      <c r="H250" s="148">
        <v>184760000</v>
      </c>
      <c r="I250" s="148" t="s">
        <v>2842</v>
      </c>
      <c r="J250" s="148">
        <v>5.6103253985028596</v>
      </c>
      <c r="K250" s="148" t="s">
        <v>2842</v>
      </c>
      <c r="L250" s="148">
        <v>63.10063414634147</v>
      </c>
      <c r="M250" s="148">
        <v>65.099999999999994</v>
      </c>
    </row>
    <row r="251" spans="1:13">
      <c r="A251" s="148">
        <v>2005</v>
      </c>
      <c r="B251" s="148" t="s">
        <v>510</v>
      </c>
      <c r="C251" s="148" t="str">
        <f t="shared" si="3"/>
        <v>2005_Togo</v>
      </c>
      <c r="D251" s="148">
        <v>2115154090.3107104</v>
      </c>
      <c r="E251" s="148">
        <v>5540214</v>
      </c>
      <c r="F251" s="148">
        <v>14.651348576337847</v>
      </c>
      <c r="G251" s="148">
        <v>82540000</v>
      </c>
      <c r="H251" s="148">
        <v>82540000</v>
      </c>
      <c r="I251" s="148">
        <v>3.4068999999999998</v>
      </c>
      <c r="J251" s="148">
        <v>1.90004670989309</v>
      </c>
      <c r="K251" s="148" t="s">
        <v>2842</v>
      </c>
      <c r="L251" s="148">
        <v>54.143170731707322</v>
      </c>
      <c r="M251" s="148">
        <v>68.400000000000006</v>
      </c>
    </row>
    <row r="252" spans="1:13">
      <c r="A252" s="148">
        <v>2005</v>
      </c>
      <c r="B252" s="148" t="s">
        <v>2845</v>
      </c>
      <c r="C252" s="148" t="str">
        <f t="shared" si="3"/>
        <v>2005_Trinidad and Tobago</v>
      </c>
      <c r="D252" s="148">
        <v>16088526685.842121</v>
      </c>
      <c r="E252" s="148">
        <v>1296933</v>
      </c>
      <c r="F252" s="148">
        <v>30.652748256888025</v>
      </c>
      <c r="G252" s="148">
        <v>-1980000</v>
      </c>
      <c r="H252" s="148">
        <v>-1980000</v>
      </c>
      <c r="I252" s="148" t="s">
        <v>2842</v>
      </c>
      <c r="J252" s="148">
        <v>2.5873542440555402</v>
      </c>
      <c r="K252" s="148" t="s">
        <v>2842</v>
      </c>
      <c r="L252" s="148">
        <v>69.007780487804894</v>
      </c>
      <c r="M252" s="148">
        <v>23.7</v>
      </c>
    </row>
    <row r="253" spans="1:13">
      <c r="A253" s="148">
        <v>2005</v>
      </c>
      <c r="B253" s="148" t="s">
        <v>522</v>
      </c>
      <c r="C253" s="148" t="str">
        <f t="shared" si="3"/>
        <v>2005_Yemen</v>
      </c>
      <c r="D253" s="148">
        <v>16753787028.285877</v>
      </c>
      <c r="E253" s="148">
        <v>20139661</v>
      </c>
      <c r="F253" s="148" t="s">
        <v>2842</v>
      </c>
      <c r="G253" s="148">
        <v>296530000</v>
      </c>
      <c r="H253" s="148">
        <v>296530000</v>
      </c>
      <c r="I253" s="148" t="s">
        <v>2842</v>
      </c>
      <c r="J253" s="148">
        <v>1.5511169758048799</v>
      </c>
      <c r="K253" s="148">
        <v>34.799999999999997</v>
      </c>
      <c r="L253" s="148">
        <v>61.534926829268301</v>
      </c>
      <c r="M253" s="148">
        <v>56.1</v>
      </c>
    </row>
    <row r="254" spans="1:13">
      <c r="A254" s="148">
        <v>2005</v>
      </c>
      <c r="B254" s="148" t="s">
        <v>534</v>
      </c>
      <c r="C254" s="148" t="str">
        <f t="shared" si="3"/>
        <v>2005_Zambia</v>
      </c>
      <c r="D254" s="148">
        <v>8331863989.5221319</v>
      </c>
      <c r="E254" s="148">
        <v>11470022</v>
      </c>
      <c r="F254" s="148">
        <v>15.197796170915009</v>
      </c>
      <c r="G254" s="148">
        <v>1172050000</v>
      </c>
      <c r="H254" s="148">
        <v>1172050000</v>
      </c>
      <c r="I254" s="148">
        <v>2.0143599999999999</v>
      </c>
      <c r="J254" s="148">
        <v>3.9204990575249101</v>
      </c>
      <c r="K254" s="148" t="s">
        <v>2842</v>
      </c>
      <c r="L254" s="148">
        <v>47.128341463414642</v>
      </c>
      <c r="M254" s="148">
        <v>76.400000000000006</v>
      </c>
    </row>
    <row r="255" spans="1:13">
      <c r="A255" s="148">
        <v>2006</v>
      </c>
      <c r="B255" s="148" t="s">
        <v>16</v>
      </c>
      <c r="C255" s="148" t="str">
        <f t="shared" si="3"/>
        <v>2006_Afghanistan</v>
      </c>
      <c r="D255" s="148">
        <v>7057597614.4507599</v>
      </c>
      <c r="E255" s="148">
        <v>25631282</v>
      </c>
      <c r="F255" s="148">
        <v>8.8591224794619361</v>
      </c>
      <c r="G255" s="148">
        <v>2961670000</v>
      </c>
      <c r="H255" s="148">
        <v>2961670000</v>
      </c>
      <c r="I255" s="148" t="s">
        <v>2842</v>
      </c>
      <c r="J255" s="148">
        <v>1.13130882147723</v>
      </c>
      <c r="K255" s="148" t="s">
        <v>2842</v>
      </c>
      <c r="L255" s="148">
        <v>57.57065853658537</v>
      </c>
      <c r="M255" s="148">
        <v>82</v>
      </c>
    </row>
    <row r="256" spans="1:13">
      <c r="A256" s="148">
        <v>2006</v>
      </c>
      <c r="B256" s="148" t="s">
        <v>33</v>
      </c>
      <c r="C256" s="148" t="str">
        <f t="shared" si="3"/>
        <v>2006_Albania</v>
      </c>
      <c r="D256" s="148">
        <v>9132558096.8651447</v>
      </c>
      <c r="E256" s="148">
        <v>2968028</v>
      </c>
      <c r="F256" s="148" t="s">
        <v>2842</v>
      </c>
      <c r="G256" s="148">
        <v>321780000</v>
      </c>
      <c r="H256" s="148">
        <v>321780000</v>
      </c>
      <c r="I256" s="148">
        <v>3.1088200000000001</v>
      </c>
      <c r="J256" s="148">
        <v>2.6152017874664599</v>
      </c>
      <c r="K256" s="148" t="s">
        <v>2842</v>
      </c>
      <c r="L256" s="148">
        <v>76.290536585365857</v>
      </c>
      <c r="M256" s="148">
        <v>17.399999999999999</v>
      </c>
    </row>
    <row r="257" spans="1:13">
      <c r="A257" s="148">
        <v>2006</v>
      </c>
      <c r="B257" s="148" t="s">
        <v>48</v>
      </c>
      <c r="C257" s="148" t="str">
        <f t="shared" si="3"/>
        <v>2006_Azerbaijan</v>
      </c>
      <c r="D257" s="148">
        <v>20982270733.248421</v>
      </c>
      <c r="E257" s="148">
        <v>8484550</v>
      </c>
      <c r="F257" s="148" t="s">
        <v>2842</v>
      </c>
      <c r="G257" s="148">
        <v>206390000</v>
      </c>
      <c r="H257" s="148">
        <v>206390000</v>
      </c>
      <c r="I257" s="148">
        <v>2.5555099999999999</v>
      </c>
      <c r="J257" s="148">
        <v>0.86418435932999005</v>
      </c>
      <c r="K257" s="148" t="s">
        <v>2842</v>
      </c>
      <c r="L257" s="148">
        <v>69.374731707317096</v>
      </c>
      <c r="M257" s="148">
        <v>41.5</v>
      </c>
    </row>
    <row r="258" spans="1:13">
      <c r="A258" s="148">
        <v>2006</v>
      </c>
      <c r="B258" s="148" t="s">
        <v>93</v>
      </c>
      <c r="C258" s="148" t="str">
        <f t="shared" si="3"/>
        <v>2006_Burkina Faso</v>
      </c>
      <c r="D258" s="148">
        <v>5844669738.1110401</v>
      </c>
      <c r="E258" s="148">
        <v>13822257</v>
      </c>
      <c r="F258" s="148">
        <v>13.010595575010145</v>
      </c>
      <c r="G258" s="148">
        <v>901480000</v>
      </c>
      <c r="H258" s="148">
        <v>901480000</v>
      </c>
      <c r="I258" s="148">
        <v>4.4570299999999996</v>
      </c>
      <c r="J258" s="148">
        <v>4.1892977834551202</v>
      </c>
      <c r="K258" s="148" t="s">
        <v>2842</v>
      </c>
      <c r="L258" s="148">
        <v>53.139682926829273</v>
      </c>
      <c r="M258" s="148">
        <v>82.8</v>
      </c>
    </row>
    <row r="259" spans="1:13">
      <c r="A259" s="148">
        <v>2006</v>
      </c>
      <c r="B259" s="148" t="s">
        <v>96</v>
      </c>
      <c r="C259" s="148" t="str">
        <f t="shared" si="3"/>
        <v>2006_Cameroon</v>
      </c>
      <c r="D259" s="148">
        <v>17953066391.113693</v>
      </c>
      <c r="E259" s="148">
        <v>18611937</v>
      </c>
      <c r="F259" s="148" t="s">
        <v>2842</v>
      </c>
      <c r="G259" s="148">
        <v>1718930000</v>
      </c>
      <c r="H259" s="148">
        <v>1718930000</v>
      </c>
      <c r="I259" s="148">
        <v>2.9556800000000001</v>
      </c>
      <c r="J259" s="148">
        <v>1.07609011908069</v>
      </c>
      <c r="K259" s="148" t="s">
        <v>2842</v>
      </c>
      <c r="L259" s="148">
        <v>52.15024390243903</v>
      </c>
      <c r="M259" s="148">
        <v>75.5</v>
      </c>
    </row>
    <row r="260" spans="1:13">
      <c r="A260" s="148">
        <v>2006</v>
      </c>
      <c r="B260" s="148" t="s">
        <v>133</v>
      </c>
      <c r="C260" s="148" t="str">
        <f t="shared" ref="C260:C323" si="4">$A260&amp;"_"&amp;$B260</f>
        <v>2006_Chad</v>
      </c>
      <c r="D260" s="148">
        <v>7422102519.5684767</v>
      </c>
      <c r="E260" s="148">
        <v>10356822</v>
      </c>
      <c r="F260" s="148" t="s">
        <v>2842</v>
      </c>
      <c r="G260" s="148">
        <v>289250000</v>
      </c>
      <c r="H260" s="148">
        <v>289250000</v>
      </c>
      <c r="I260" s="148" t="s">
        <v>2842</v>
      </c>
      <c r="J260" s="148">
        <v>1.2946400140343199</v>
      </c>
      <c r="K260" s="148" t="s">
        <v>2842</v>
      </c>
      <c r="L260" s="148">
        <v>48.028000000000006</v>
      </c>
      <c r="M260" s="148">
        <v>99.7</v>
      </c>
    </row>
    <row r="261" spans="1:13">
      <c r="A261" s="148">
        <v>2006</v>
      </c>
      <c r="B261" s="148" t="s">
        <v>122</v>
      </c>
      <c r="C261" s="148" t="str">
        <f t="shared" si="4"/>
        <v>2006_Central African Republic</v>
      </c>
      <c r="D261" s="148">
        <v>1473721520.6993546</v>
      </c>
      <c r="E261" s="148">
        <v>4032102</v>
      </c>
      <c r="F261" s="148" t="s">
        <v>2842</v>
      </c>
      <c r="G261" s="148">
        <v>133660000</v>
      </c>
      <c r="H261" s="148">
        <v>133660000</v>
      </c>
      <c r="I261" s="148">
        <v>1.40242</v>
      </c>
      <c r="J261" s="148">
        <v>1.97395875737682</v>
      </c>
      <c r="K261" s="148" t="s">
        <v>2842</v>
      </c>
      <c r="L261" s="148">
        <v>45.508195121951218</v>
      </c>
      <c r="M261" s="148">
        <v>109.3</v>
      </c>
    </row>
    <row r="262" spans="1:13">
      <c r="A262" s="148">
        <v>2006</v>
      </c>
      <c r="B262" s="148" t="s">
        <v>165</v>
      </c>
      <c r="C262" s="148" t="str">
        <f t="shared" si="4"/>
        <v>2006_Democratic Republic of Congo</v>
      </c>
      <c r="D262" s="148">
        <v>14296505933.190552</v>
      </c>
      <c r="E262" s="148">
        <v>55590838</v>
      </c>
      <c r="F262" s="148">
        <v>9.9954039515435298</v>
      </c>
      <c r="G262" s="148">
        <v>2197280000</v>
      </c>
      <c r="H262" s="148">
        <v>2197280000</v>
      </c>
      <c r="I262" s="148" t="s">
        <v>2842</v>
      </c>
      <c r="J262" s="148">
        <v>1.5213761574361899</v>
      </c>
      <c r="K262" s="148" t="s">
        <v>2842</v>
      </c>
      <c r="L262" s="148">
        <v>48.015536585365858</v>
      </c>
      <c r="M262" s="148">
        <v>102.1</v>
      </c>
    </row>
    <row r="263" spans="1:13">
      <c r="A263" s="148">
        <v>2006</v>
      </c>
      <c r="B263" s="148" t="s">
        <v>458</v>
      </c>
      <c r="C263" s="148" t="str">
        <f t="shared" si="4"/>
        <v>2006_Republic of the Congo</v>
      </c>
      <c r="D263" s="148">
        <v>7731261168.830965</v>
      </c>
      <c r="E263" s="148">
        <v>3646653</v>
      </c>
      <c r="F263" s="148">
        <v>45.66120813337951</v>
      </c>
      <c r="G263" s="148">
        <v>258300000</v>
      </c>
      <c r="H263" s="148">
        <v>258300000</v>
      </c>
      <c r="I263" s="148" t="s">
        <v>2842</v>
      </c>
      <c r="J263" s="148">
        <v>1.4940327639212401</v>
      </c>
      <c r="K263" s="148" t="s">
        <v>2842</v>
      </c>
      <c r="L263" s="148">
        <v>54.634268292682926</v>
      </c>
      <c r="M263" s="148">
        <v>57.2</v>
      </c>
    </row>
    <row r="264" spans="1:13">
      <c r="A264" s="148">
        <v>2006</v>
      </c>
      <c r="B264" s="33" t="s">
        <v>3542</v>
      </c>
      <c r="C264" s="148" t="str">
        <f t="shared" si="4"/>
        <v>2006_Côte d'Ivoire</v>
      </c>
      <c r="D264" s="148">
        <v>17800887469.314571</v>
      </c>
      <c r="E264" s="148">
        <v>17662417</v>
      </c>
      <c r="F264" s="148">
        <v>15.883698033972832</v>
      </c>
      <c r="G264" s="148">
        <v>247140000</v>
      </c>
      <c r="H264" s="148">
        <v>247140000</v>
      </c>
      <c r="I264" s="148">
        <v>4.2175099999999999</v>
      </c>
      <c r="J264" s="148">
        <v>1.3923172875905001</v>
      </c>
      <c r="K264" s="148" t="s">
        <v>2842</v>
      </c>
      <c r="L264" s="148">
        <v>47.742658536585374</v>
      </c>
      <c r="M264" s="148">
        <v>86.6</v>
      </c>
    </row>
    <row r="265" spans="1:13">
      <c r="A265" s="148">
        <v>2006</v>
      </c>
      <c r="B265" s="148" t="s">
        <v>182</v>
      </c>
      <c r="C265" s="148" t="str">
        <f t="shared" si="4"/>
        <v>2006_Equatorial Guinea</v>
      </c>
      <c r="D265" s="148">
        <v>8081982438.4233265</v>
      </c>
      <c r="E265" s="148">
        <v>621517</v>
      </c>
      <c r="F265" s="148" t="s">
        <v>2842</v>
      </c>
      <c r="G265" s="148">
        <v>26210000</v>
      </c>
      <c r="H265" s="148">
        <v>26210000</v>
      </c>
      <c r="I265" s="148" t="s">
        <v>2842</v>
      </c>
      <c r="J265" s="148">
        <v>1.5273343881621999</v>
      </c>
      <c r="K265" s="148">
        <v>76.8</v>
      </c>
      <c r="L265" s="148">
        <v>49.327829268292689</v>
      </c>
      <c r="M265" s="148">
        <v>84.5</v>
      </c>
    </row>
    <row r="266" spans="1:13">
      <c r="A266" s="148">
        <v>2006</v>
      </c>
      <c r="B266" s="148" t="s">
        <v>185</v>
      </c>
      <c r="C266" s="148" t="str">
        <f t="shared" si="4"/>
        <v>2006_Gabon</v>
      </c>
      <c r="D266" s="148">
        <v>9545982814.0849361</v>
      </c>
      <c r="E266" s="148">
        <v>1412907</v>
      </c>
      <c r="F266" s="148" t="s">
        <v>2842</v>
      </c>
      <c r="G266" s="148">
        <v>29050000</v>
      </c>
      <c r="H266" s="148">
        <v>29050000</v>
      </c>
      <c r="I266" s="148" t="s">
        <v>2842</v>
      </c>
      <c r="J266" s="148">
        <v>1.30958716588921</v>
      </c>
      <c r="K266" s="148" t="s">
        <v>2842</v>
      </c>
      <c r="L266" s="148">
        <v>60.431243902439029</v>
      </c>
      <c r="M266" s="148">
        <v>49</v>
      </c>
    </row>
    <row r="267" spans="1:13">
      <c r="A267" s="148">
        <v>2006</v>
      </c>
      <c r="B267" s="148" t="s">
        <v>189</v>
      </c>
      <c r="C267" s="148" t="str">
        <f t="shared" si="4"/>
        <v>2006_Ghana</v>
      </c>
      <c r="D267" s="148">
        <v>20410331625.663353</v>
      </c>
      <c r="E267" s="148">
        <v>21947779</v>
      </c>
      <c r="F267" s="148">
        <v>13.594153891183151</v>
      </c>
      <c r="G267" s="148">
        <v>1243240000</v>
      </c>
      <c r="H267" s="148">
        <v>1243240000</v>
      </c>
      <c r="I267" s="148">
        <v>5.2599600000000004</v>
      </c>
      <c r="J267" s="148">
        <v>3.06437773153647</v>
      </c>
      <c r="K267" s="148">
        <v>31.9</v>
      </c>
      <c r="L267" s="148">
        <v>59.186707317073179</v>
      </c>
      <c r="M267" s="148">
        <v>57.2</v>
      </c>
    </row>
    <row r="268" spans="1:13">
      <c r="A268" s="148">
        <v>2006</v>
      </c>
      <c r="B268" s="148" t="s">
        <v>2843</v>
      </c>
      <c r="C268" s="148" t="str">
        <f t="shared" si="4"/>
        <v>2006_Guinea</v>
      </c>
      <c r="D268" s="148">
        <v>2821346683.5140185</v>
      </c>
      <c r="E268" s="148">
        <v>9798963</v>
      </c>
      <c r="F268" s="148" t="s">
        <v>2842</v>
      </c>
      <c r="G268" s="148">
        <v>169560000</v>
      </c>
      <c r="H268" s="148">
        <v>169560000</v>
      </c>
      <c r="I268" s="148" t="s">
        <v>2842</v>
      </c>
      <c r="J268" s="148">
        <v>0.94314874051479602</v>
      </c>
      <c r="K268" s="148" t="s">
        <v>2842</v>
      </c>
      <c r="L268" s="148">
        <v>53.349536585365861</v>
      </c>
      <c r="M268" s="148">
        <v>82</v>
      </c>
    </row>
    <row r="269" spans="1:13">
      <c r="A269" s="148">
        <v>2006</v>
      </c>
      <c r="B269" s="148" t="s">
        <v>213</v>
      </c>
      <c r="C269" s="148" t="str">
        <f t="shared" si="4"/>
        <v>2006_Guatemala</v>
      </c>
      <c r="D269" s="148">
        <v>30231117389.640163</v>
      </c>
      <c r="E269" s="148">
        <v>12995374</v>
      </c>
      <c r="F269" s="148">
        <v>12.501305278546443</v>
      </c>
      <c r="G269" s="148">
        <v>484290000</v>
      </c>
      <c r="H269" s="148">
        <v>484290000</v>
      </c>
      <c r="I269" s="148">
        <v>2.9840100000000001</v>
      </c>
      <c r="J269" s="148">
        <v>2.43434342994856</v>
      </c>
      <c r="K269" s="148">
        <v>51</v>
      </c>
      <c r="L269" s="148">
        <v>69.864414634146357</v>
      </c>
      <c r="M269" s="148">
        <v>32.299999999999997</v>
      </c>
    </row>
    <row r="270" spans="1:13">
      <c r="A270" s="148">
        <v>2006</v>
      </c>
      <c r="B270" s="148" t="s">
        <v>237</v>
      </c>
      <c r="C270" s="148" t="str">
        <f t="shared" si="4"/>
        <v>2006_Indonesia</v>
      </c>
      <c r="D270" s="148">
        <v>364570525997.05304</v>
      </c>
      <c r="E270" s="148">
        <v>227709821</v>
      </c>
      <c r="F270" s="148">
        <v>18.699961071363322</v>
      </c>
      <c r="G270" s="148">
        <v>1318320000</v>
      </c>
      <c r="H270" s="148">
        <v>1318320000</v>
      </c>
      <c r="I270" s="148" t="s">
        <v>2842</v>
      </c>
      <c r="J270" s="148">
        <v>0.91258309433517504</v>
      </c>
      <c r="K270" s="148">
        <v>17.8</v>
      </c>
      <c r="L270" s="148">
        <v>69.145951219512199</v>
      </c>
      <c r="M270" s="148">
        <v>32.200000000000003</v>
      </c>
    </row>
    <row r="271" spans="1:13">
      <c r="A271" s="148">
        <v>2006</v>
      </c>
      <c r="B271" s="148" t="s">
        <v>245</v>
      </c>
      <c r="C271" s="148" t="str">
        <f t="shared" si="4"/>
        <v>2006_Iraq</v>
      </c>
      <c r="D271" s="148">
        <v>65141035027.940575</v>
      </c>
      <c r="E271" s="148">
        <v>28064095</v>
      </c>
      <c r="F271" s="148" t="s">
        <v>2842</v>
      </c>
      <c r="G271" s="148">
        <v>8889320000</v>
      </c>
      <c r="H271" s="148">
        <v>8889320000</v>
      </c>
      <c r="I271" s="148" t="s">
        <v>2842</v>
      </c>
      <c r="J271" s="148">
        <v>1.9135715674653899</v>
      </c>
      <c r="K271" s="148" t="s">
        <v>2842</v>
      </c>
      <c r="L271" s="148">
        <v>69.091560975609767</v>
      </c>
      <c r="M271" s="148">
        <v>32.5</v>
      </c>
    </row>
    <row r="272" spans="1:13">
      <c r="A272" s="148">
        <v>2006</v>
      </c>
      <c r="B272" s="148" t="s">
        <v>273</v>
      </c>
      <c r="C272" s="148" t="str">
        <f t="shared" si="4"/>
        <v>2006_Kazakhstan</v>
      </c>
      <c r="D272" s="148">
        <v>81003864915.543655</v>
      </c>
      <c r="E272" s="148">
        <v>15308084</v>
      </c>
      <c r="F272" s="148" t="s">
        <v>2842</v>
      </c>
      <c r="G272" s="148">
        <v>174300000</v>
      </c>
      <c r="H272" s="148">
        <v>174300000</v>
      </c>
      <c r="I272" s="148">
        <v>2.6267800000000001</v>
      </c>
      <c r="J272" s="148">
        <v>2.30571962390629</v>
      </c>
      <c r="K272" s="148">
        <v>18.2</v>
      </c>
      <c r="L272" s="148">
        <v>66.160975609756107</v>
      </c>
      <c r="M272" s="148">
        <v>26.7</v>
      </c>
    </row>
    <row r="273" spans="1:13">
      <c r="A273" s="148">
        <v>2006</v>
      </c>
      <c r="B273" s="148" t="s">
        <v>278</v>
      </c>
      <c r="C273" s="148" t="str">
        <f t="shared" si="4"/>
        <v>2006_Kyrgyz Republic</v>
      </c>
      <c r="D273" s="148">
        <v>2834168889.4201913</v>
      </c>
      <c r="E273" s="148">
        <v>5218400</v>
      </c>
      <c r="F273" s="148">
        <v>16.467632980990352</v>
      </c>
      <c r="G273" s="148">
        <v>310550000</v>
      </c>
      <c r="H273" s="148">
        <v>310550000</v>
      </c>
      <c r="I273" s="148">
        <v>5.5498599999999998</v>
      </c>
      <c r="J273" s="148">
        <v>3.2769972363796098</v>
      </c>
      <c r="K273" s="148">
        <v>39.9</v>
      </c>
      <c r="L273" s="148">
        <v>67.695121951219505</v>
      </c>
      <c r="M273" s="148">
        <v>33.1</v>
      </c>
    </row>
    <row r="274" spans="1:13">
      <c r="A274" s="148">
        <v>2006</v>
      </c>
      <c r="B274" s="148" t="s">
        <v>294</v>
      </c>
      <c r="C274" s="148" t="str">
        <f t="shared" si="4"/>
        <v>2006_Liberia</v>
      </c>
      <c r="D274" s="148">
        <v>604028581.80619025</v>
      </c>
      <c r="E274" s="148">
        <v>3384791</v>
      </c>
      <c r="F274" s="148">
        <v>13.984988218174102</v>
      </c>
      <c r="G274" s="148">
        <v>260450000</v>
      </c>
      <c r="H274" s="148">
        <v>260450000</v>
      </c>
      <c r="I274" s="148" t="s">
        <v>2842</v>
      </c>
      <c r="J274" s="148">
        <v>2.0042945300538801</v>
      </c>
      <c r="K274" s="148" t="s">
        <v>2842</v>
      </c>
      <c r="L274" s="148">
        <v>56.140390243902445</v>
      </c>
      <c r="M274" s="148">
        <v>77.099999999999994</v>
      </c>
    </row>
    <row r="275" spans="1:13">
      <c r="A275" s="148">
        <v>2006</v>
      </c>
      <c r="B275" s="148" t="s">
        <v>309</v>
      </c>
      <c r="C275" s="148" t="str">
        <f t="shared" si="4"/>
        <v>2006_Madagascar</v>
      </c>
      <c r="D275" s="148">
        <v>5515884434.3739243</v>
      </c>
      <c r="E275" s="148">
        <v>18826126</v>
      </c>
      <c r="F275" s="148">
        <v>11.653857251837985</v>
      </c>
      <c r="G275" s="148">
        <v>781580000</v>
      </c>
      <c r="H275" s="148">
        <v>781580000</v>
      </c>
      <c r="I275" s="148">
        <v>3.2829100000000002</v>
      </c>
      <c r="J275" s="148">
        <v>2.64787118406608</v>
      </c>
      <c r="K275" s="148" t="s">
        <v>2842</v>
      </c>
      <c r="L275" s="148">
        <v>61.622365853658543</v>
      </c>
      <c r="M275" s="148">
        <v>51.7</v>
      </c>
    </row>
    <row r="276" spans="1:13">
      <c r="A276" s="148">
        <v>2006</v>
      </c>
      <c r="B276" s="148" t="s">
        <v>322</v>
      </c>
      <c r="C276" s="148" t="str">
        <f t="shared" si="4"/>
        <v>2006_Mali</v>
      </c>
      <c r="D276" s="148">
        <v>6122644014.7868376</v>
      </c>
      <c r="E276" s="148">
        <v>12325545</v>
      </c>
      <c r="F276" s="148">
        <v>16.023461097558307</v>
      </c>
      <c r="G276" s="148">
        <v>865790000</v>
      </c>
      <c r="H276" s="148">
        <v>865790000</v>
      </c>
      <c r="I276" s="148" t="s">
        <v>2842</v>
      </c>
      <c r="J276" s="148">
        <v>3.1695234476295502</v>
      </c>
      <c r="K276" s="148">
        <v>47.5</v>
      </c>
      <c r="L276" s="148">
        <v>51.994439024390246</v>
      </c>
      <c r="M276" s="148">
        <v>93.4</v>
      </c>
    </row>
    <row r="277" spans="1:13">
      <c r="A277" s="148">
        <v>2006</v>
      </c>
      <c r="B277" s="148" t="s">
        <v>338</v>
      </c>
      <c r="C277" s="148" t="str">
        <f t="shared" si="4"/>
        <v>2006_Mauritania</v>
      </c>
      <c r="D277" s="148">
        <v>2699181754.65376</v>
      </c>
      <c r="E277" s="148">
        <v>3237713</v>
      </c>
      <c r="F277" s="148" t="s">
        <v>2842</v>
      </c>
      <c r="G277" s="148">
        <v>225610000</v>
      </c>
      <c r="H277" s="148">
        <v>225610000</v>
      </c>
      <c r="I277" s="148">
        <v>2.5245700000000002</v>
      </c>
      <c r="J277" s="148">
        <v>2.1700962625264002</v>
      </c>
      <c r="K277" s="148" t="s">
        <v>2842</v>
      </c>
      <c r="L277" s="148">
        <v>60.386804878048778</v>
      </c>
      <c r="M277" s="148">
        <v>74</v>
      </c>
    </row>
    <row r="278" spans="1:13">
      <c r="A278" s="148">
        <v>2006</v>
      </c>
      <c r="B278" s="148" t="s">
        <v>357</v>
      </c>
      <c r="C278" s="148" t="str">
        <f t="shared" si="4"/>
        <v>2006_Mongolia</v>
      </c>
      <c r="D278" s="148">
        <v>3414053250.9454865</v>
      </c>
      <c r="E278" s="148">
        <v>2559496</v>
      </c>
      <c r="F278" s="148">
        <v>37.686472303707198</v>
      </c>
      <c r="G278" s="148">
        <v>205140000</v>
      </c>
      <c r="H278" s="148">
        <v>205140000</v>
      </c>
      <c r="I278" s="148" t="s">
        <v>2842</v>
      </c>
      <c r="J278" s="148">
        <v>3.1266137101406999</v>
      </c>
      <c r="K278" s="148" t="s">
        <v>2842</v>
      </c>
      <c r="L278" s="148">
        <v>65.682756097560983</v>
      </c>
      <c r="M278" s="148">
        <v>35</v>
      </c>
    </row>
    <row r="279" spans="1:13">
      <c r="A279" s="148">
        <v>2006</v>
      </c>
      <c r="B279" s="148" t="s">
        <v>378</v>
      </c>
      <c r="C279" s="148" t="str">
        <f t="shared" si="4"/>
        <v>2006_Mozambique</v>
      </c>
      <c r="D279" s="148">
        <v>7095910826.8824329</v>
      </c>
      <c r="E279" s="148">
        <v>21587317</v>
      </c>
      <c r="F279" s="148" t="s">
        <v>2842</v>
      </c>
      <c r="G279" s="148">
        <v>1639300000</v>
      </c>
      <c r="H279" s="148">
        <v>1639300000</v>
      </c>
      <c r="I279" s="148">
        <v>5.0068400000000004</v>
      </c>
      <c r="J279" s="148">
        <v>3.9509892091158201</v>
      </c>
      <c r="K279" s="148" t="s">
        <v>2842</v>
      </c>
      <c r="L279" s="148">
        <v>48.016414634146344</v>
      </c>
      <c r="M279" s="148">
        <v>86.6</v>
      </c>
    </row>
    <row r="280" spans="1:13">
      <c r="A280" s="148">
        <v>2006</v>
      </c>
      <c r="B280" s="148" t="s">
        <v>387</v>
      </c>
      <c r="C280" s="148" t="str">
        <f t="shared" si="4"/>
        <v>2006_Niger</v>
      </c>
      <c r="D280" s="148">
        <v>3646727993.0369811</v>
      </c>
      <c r="E280" s="148">
        <v>13679705</v>
      </c>
      <c r="F280" s="148">
        <v>12.969583443271008</v>
      </c>
      <c r="G280" s="148">
        <v>544410000</v>
      </c>
      <c r="H280" s="148">
        <v>544410000</v>
      </c>
      <c r="I280" s="148">
        <v>3.33406</v>
      </c>
      <c r="J280" s="148">
        <v>3.17549371692381</v>
      </c>
      <c r="K280" s="148" t="s">
        <v>2842</v>
      </c>
      <c r="L280" s="148">
        <v>54.75141463414635</v>
      </c>
      <c r="M280" s="148">
        <v>78.7</v>
      </c>
    </row>
    <row r="281" spans="1:13">
      <c r="A281" s="148">
        <v>2006</v>
      </c>
      <c r="B281" s="148" t="s">
        <v>406</v>
      </c>
      <c r="C281" s="148" t="str">
        <f t="shared" si="4"/>
        <v>2006_Nigeria</v>
      </c>
      <c r="D281" s="148">
        <v>145429802541.7467</v>
      </c>
      <c r="E281" s="148">
        <v>143314909</v>
      </c>
      <c r="F281" s="148">
        <v>10.353405166171624</v>
      </c>
      <c r="G281" s="148">
        <v>11428020000</v>
      </c>
      <c r="H281" s="148">
        <v>11428020000</v>
      </c>
      <c r="I281" s="148" t="s">
        <v>2842</v>
      </c>
      <c r="J281" s="148">
        <v>1.93694028393347</v>
      </c>
      <c r="K281" s="148" t="s">
        <v>2842</v>
      </c>
      <c r="L281" s="148">
        <v>49.22863414634147</v>
      </c>
      <c r="M281" s="148">
        <v>93.9</v>
      </c>
    </row>
    <row r="282" spans="1:13">
      <c r="A282" s="148">
        <v>2006</v>
      </c>
      <c r="B282" s="148" t="s">
        <v>429</v>
      </c>
      <c r="C282" s="148" t="str">
        <f t="shared" si="4"/>
        <v>2006_Norway</v>
      </c>
      <c r="D282" s="148">
        <v>340041735966.73615</v>
      </c>
      <c r="E282" s="148">
        <v>4660677</v>
      </c>
      <c r="F282" s="148">
        <v>50.407166907938873</v>
      </c>
      <c r="G282" s="148" t="s">
        <v>2842</v>
      </c>
      <c r="H282" s="148" t="s">
        <v>2842</v>
      </c>
      <c r="I282" s="148">
        <v>6.4867100000000004</v>
      </c>
      <c r="J282" s="148">
        <v>7.7788757433621898</v>
      </c>
      <c r="K282" s="148" t="s">
        <v>2842</v>
      </c>
      <c r="L282" s="148">
        <v>80.34390243902439</v>
      </c>
      <c r="M282" s="148">
        <v>3.1</v>
      </c>
    </row>
    <row r="283" spans="1:13">
      <c r="A283" s="148">
        <v>2006</v>
      </c>
      <c r="B283" s="148" t="s">
        <v>442</v>
      </c>
      <c r="C283" s="148" t="str">
        <f t="shared" si="4"/>
        <v>2006_Peru</v>
      </c>
      <c r="D283" s="148">
        <v>87985689388.379211</v>
      </c>
      <c r="E283" s="148">
        <v>28030688</v>
      </c>
      <c r="F283" s="148">
        <v>20.121095279864008</v>
      </c>
      <c r="G283" s="148">
        <v>463440000</v>
      </c>
      <c r="H283" s="148">
        <v>463440000</v>
      </c>
      <c r="I283" s="148">
        <v>2.5476299999999998</v>
      </c>
      <c r="J283" s="148">
        <v>2.54357255548606</v>
      </c>
      <c r="K283" s="148">
        <v>49.2</v>
      </c>
      <c r="L283" s="148">
        <v>72.72097560975611</v>
      </c>
      <c r="M283" s="148">
        <v>20</v>
      </c>
    </row>
    <row r="284" spans="1:13">
      <c r="A284" s="148">
        <v>2006</v>
      </c>
      <c r="B284" s="148" t="s">
        <v>481</v>
      </c>
      <c r="C284" s="148" t="str">
        <f t="shared" si="4"/>
        <v>2006_Sierra Leone</v>
      </c>
      <c r="D284" s="148">
        <v>1887429109.5129781</v>
      </c>
      <c r="E284" s="148">
        <v>5280909</v>
      </c>
      <c r="F284" s="148">
        <v>8.8623456082360281</v>
      </c>
      <c r="G284" s="148">
        <v>380470000</v>
      </c>
      <c r="H284" s="148">
        <v>380470000</v>
      </c>
      <c r="I284" s="148" t="s">
        <v>2842</v>
      </c>
      <c r="J284" s="148">
        <v>1.9468941652224101</v>
      </c>
      <c r="K284" s="148" t="s">
        <v>2842</v>
      </c>
      <c r="L284" s="148">
        <v>42.882536585365855</v>
      </c>
      <c r="M284" s="148">
        <v>124.8</v>
      </c>
    </row>
    <row r="285" spans="1:13">
      <c r="A285" s="148">
        <v>2006</v>
      </c>
      <c r="B285" s="148" t="s">
        <v>492</v>
      </c>
      <c r="C285" s="148" t="str">
        <f t="shared" si="4"/>
        <v>2006_Tanzania</v>
      </c>
      <c r="D285" s="148">
        <v>14331231238.929577</v>
      </c>
      <c r="E285" s="148">
        <v>39942347</v>
      </c>
      <c r="F285" s="148" t="s">
        <v>2842</v>
      </c>
      <c r="G285" s="148">
        <v>1883290000</v>
      </c>
      <c r="H285" s="148">
        <v>1883290000</v>
      </c>
      <c r="I285" s="148">
        <v>3.9159899999999999</v>
      </c>
      <c r="J285" s="148">
        <v>3.8435253033754901</v>
      </c>
      <c r="K285" s="148" t="s">
        <v>2842</v>
      </c>
      <c r="L285" s="148">
        <v>54.88426829268294</v>
      </c>
      <c r="M285" s="148">
        <v>53.5</v>
      </c>
    </row>
    <row r="286" spans="1:13">
      <c r="A286" s="148">
        <v>2006</v>
      </c>
      <c r="B286" s="148" t="s">
        <v>2844</v>
      </c>
      <c r="C286" s="148" t="str">
        <f t="shared" si="4"/>
        <v>2006_Timor-Leste</v>
      </c>
      <c r="D286" s="148">
        <v>463000000</v>
      </c>
      <c r="E286" s="148">
        <v>999053</v>
      </c>
      <c r="F286" s="148" t="s">
        <v>2842</v>
      </c>
      <c r="G286" s="148">
        <v>209070000</v>
      </c>
      <c r="H286" s="148">
        <v>209070000</v>
      </c>
      <c r="I286" s="148" t="s">
        <v>2842</v>
      </c>
      <c r="J286" s="148">
        <v>9.0006755827531997</v>
      </c>
      <c r="K286" s="148" t="s">
        <v>2842</v>
      </c>
      <c r="L286" s="148">
        <v>63.689585365853659</v>
      </c>
      <c r="M286" s="148">
        <v>61.7</v>
      </c>
    </row>
    <row r="287" spans="1:13">
      <c r="A287" s="148">
        <v>2006</v>
      </c>
      <c r="B287" s="148" t="s">
        <v>510</v>
      </c>
      <c r="C287" s="148" t="str">
        <f t="shared" si="4"/>
        <v>2006_Togo</v>
      </c>
      <c r="D287" s="148">
        <v>2202809210.7409544</v>
      </c>
      <c r="E287" s="148">
        <v>5685845</v>
      </c>
      <c r="F287" s="148">
        <v>15.911975806154842</v>
      </c>
      <c r="G287" s="148">
        <v>79900000</v>
      </c>
      <c r="H287" s="148">
        <v>79900000</v>
      </c>
      <c r="I287" s="148">
        <v>3.6637400000000002</v>
      </c>
      <c r="J287" s="148">
        <v>2.2402130076036499</v>
      </c>
      <c r="K287" s="148">
        <v>61.7</v>
      </c>
      <c r="L287" s="148">
        <v>54.341536585365859</v>
      </c>
      <c r="M287" s="148">
        <v>66.900000000000006</v>
      </c>
    </row>
    <row r="288" spans="1:13">
      <c r="A288" s="148">
        <v>2006</v>
      </c>
      <c r="B288" s="148" t="s">
        <v>2845</v>
      </c>
      <c r="C288" s="148" t="str">
        <f t="shared" si="4"/>
        <v>2006_Trinidad and Tobago</v>
      </c>
      <c r="D288" s="148">
        <v>18460889362.98938</v>
      </c>
      <c r="E288" s="148">
        <v>1303478</v>
      </c>
      <c r="F288" s="148">
        <v>34.764771325818664</v>
      </c>
      <c r="G288" s="148">
        <v>13820000</v>
      </c>
      <c r="H288" s="148">
        <v>13820000</v>
      </c>
      <c r="I288" s="148" t="s">
        <v>2842</v>
      </c>
      <c r="J288" s="148">
        <v>2.1767796941986801</v>
      </c>
      <c r="K288" s="148" t="s">
        <v>2842</v>
      </c>
      <c r="L288" s="148">
        <v>69.12446341463415</v>
      </c>
      <c r="M288" s="148">
        <v>23.2</v>
      </c>
    </row>
    <row r="289" spans="1:13">
      <c r="A289" s="148">
        <v>2006</v>
      </c>
      <c r="B289" s="148" t="s">
        <v>522</v>
      </c>
      <c r="C289" s="148" t="str">
        <f t="shared" si="4"/>
        <v>2006_Yemen</v>
      </c>
      <c r="D289" s="148">
        <v>19081726103.214478</v>
      </c>
      <c r="E289" s="148">
        <v>20661714</v>
      </c>
      <c r="F289" s="148" t="s">
        <v>2842</v>
      </c>
      <c r="G289" s="148">
        <v>287410000</v>
      </c>
      <c r="H289" s="148">
        <v>287410000</v>
      </c>
      <c r="I289" s="148" t="s">
        <v>2842</v>
      </c>
      <c r="J289" s="148">
        <v>1.52160194278785</v>
      </c>
      <c r="K289" s="148" t="s">
        <v>2842</v>
      </c>
      <c r="L289" s="148">
        <v>61.738658536585369</v>
      </c>
      <c r="M289" s="148">
        <v>53.8</v>
      </c>
    </row>
    <row r="290" spans="1:13">
      <c r="A290" s="148">
        <v>2006</v>
      </c>
      <c r="B290" s="148" t="s">
        <v>534</v>
      </c>
      <c r="C290" s="148" t="str">
        <f t="shared" si="4"/>
        <v>2006_Zambia</v>
      </c>
      <c r="D290" s="148">
        <v>12756957883.932646</v>
      </c>
      <c r="E290" s="148">
        <v>11781612</v>
      </c>
      <c r="F290" s="148">
        <v>14.233456795910834</v>
      </c>
      <c r="G290" s="148">
        <v>1467540000</v>
      </c>
      <c r="H290" s="148">
        <v>1467540000</v>
      </c>
      <c r="I290" s="148" t="s">
        <v>2842</v>
      </c>
      <c r="J290" s="148">
        <v>3.9183164121274499</v>
      </c>
      <c r="K290" s="148" t="s">
        <v>2842</v>
      </c>
      <c r="L290" s="148">
        <v>48.584926829268291</v>
      </c>
      <c r="M290" s="148">
        <v>72.900000000000006</v>
      </c>
    </row>
    <row r="291" spans="1:13">
      <c r="A291" s="148">
        <v>2007</v>
      </c>
      <c r="B291" s="148" t="s">
        <v>16</v>
      </c>
      <c r="C291" s="148" t="str">
        <f t="shared" si="4"/>
        <v>2007_Afghanistan</v>
      </c>
      <c r="D291" s="148">
        <v>9843851009.4146194</v>
      </c>
      <c r="E291" s="148">
        <v>26349243</v>
      </c>
      <c r="F291" s="148">
        <v>6.9379501265754246</v>
      </c>
      <c r="G291" s="148">
        <v>4964720000</v>
      </c>
      <c r="H291" s="148">
        <v>4964720000</v>
      </c>
      <c r="I291" s="148" t="s">
        <v>2842</v>
      </c>
      <c r="J291" s="148">
        <v>1.09236242035888</v>
      </c>
      <c r="K291" s="148" t="s">
        <v>2842</v>
      </c>
      <c r="L291" s="148">
        <v>58.091365853658544</v>
      </c>
      <c r="M291" s="148">
        <v>80.099999999999994</v>
      </c>
    </row>
    <row r="292" spans="1:13">
      <c r="A292" s="148">
        <v>2007</v>
      </c>
      <c r="B292" s="148" t="s">
        <v>33</v>
      </c>
      <c r="C292" s="148" t="str">
        <f t="shared" si="4"/>
        <v>2007_Albania</v>
      </c>
      <c r="D292" s="148">
        <v>10701011524.098206</v>
      </c>
      <c r="E292" s="148">
        <v>2940880</v>
      </c>
      <c r="F292" s="148" t="s">
        <v>2842</v>
      </c>
      <c r="G292" s="148">
        <v>307190000</v>
      </c>
      <c r="H292" s="148">
        <v>307190000</v>
      </c>
      <c r="I292" s="148">
        <v>3.26756</v>
      </c>
      <c r="J292" s="148">
        <v>2.6291711017185602</v>
      </c>
      <c r="K292" s="148" t="s">
        <v>2842</v>
      </c>
      <c r="L292" s="148">
        <v>76.464853658536597</v>
      </c>
      <c r="M292" s="148">
        <v>16.7</v>
      </c>
    </row>
    <row r="293" spans="1:13">
      <c r="A293" s="148">
        <v>2007</v>
      </c>
      <c r="B293" s="148" t="s">
        <v>48</v>
      </c>
      <c r="C293" s="148" t="str">
        <f t="shared" si="4"/>
        <v>2007_Azerbaijan</v>
      </c>
      <c r="D293" s="148">
        <v>33050343782.775902</v>
      </c>
      <c r="E293" s="148">
        <v>8581300</v>
      </c>
      <c r="F293" s="148" t="s">
        <v>2842</v>
      </c>
      <c r="G293" s="148">
        <v>225210000</v>
      </c>
      <c r="H293" s="148">
        <v>225210000</v>
      </c>
      <c r="I293" s="148">
        <v>2.54928</v>
      </c>
      <c r="J293" s="148">
        <v>0.980253878702398</v>
      </c>
      <c r="K293" s="148">
        <v>15.8</v>
      </c>
      <c r="L293" s="148">
        <v>69.756</v>
      </c>
      <c r="M293" s="148">
        <v>39.299999999999997</v>
      </c>
    </row>
    <row r="294" spans="1:13">
      <c r="A294" s="148">
        <v>2007</v>
      </c>
      <c r="B294" s="148" t="s">
        <v>93</v>
      </c>
      <c r="C294" s="148" t="str">
        <f t="shared" si="4"/>
        <v>2007_Burkina Faso</v>
      </c>
      <c r="D294" s="148">
        <v>6755823932.7985668</v>
      </c>
      <c r="E294" s="148">
        <v>14235075</v>
      </c>
      <c r="F294" s="148">
        <v>13.791147932758918</v>
      </c>
      <c r="G294" s="148">
        <v>950400000</v>
      </c>
      <c r="H294" s="148">
        <v>950400000</v>
      </c>
      <c r="I294" s="148">
        <v>4.5990700000000002</v>
      </c>
      <c r="J294" s="148">
        <v>4.6119346715795801</v>
      </c>
      <c r="K294" s="148" t="s">
        <v>2842</v>
      </c>
      <c r="L294" s="148">
        <v>53.61968292682927</v>
      </c>
      <c r="M294" s="148">
        <v>79.400000000000006</v>
      </c>
    </row>
    <row r="295" spans="1:13">
      <c r="A295" s="148">
        <v>2007</v>
      </c>
      <c r="B295" s="148" t="s">
        <v>96</v>
      </c>
      <c r="C295" s="148" t="str">
        <f t="shared" si="4"/>
        <v>2007_Cameroon</v>
      </c>
      <c r="D295" s="148">
        <v>20431781120.178547</v>
      </c>
      <c r="E295" s="148">
        <v>19097676</v>
      </c>
      <c r="F295" s="148" t="s">
        <v>2842</v>
      </c>
      <c r="G295" s="148">
        <v>1926290000</v>
      </c>
      <c r="H295" s="148">
        <v>1926290000</v>
      </c>
      <c r="I295" s="148">
        <v>3.36625</v>
      </c>
      <c r="J295" s="148">
        <v>1.0657766413840699</v>
      </c>
      <c r="K295" s="148">
        <v>39.9</v>
      </c>
      <c r="L295" s="148">
        <v>52.479146341463419</v>
      </c>
      <c r="M295" s="148">
        <v>73.3</v>
      </c>
    </row>
    <row r="296" spans="1:13">
      <c r="A296" s="148">
        <v>2007</v>
      </c>
      <c r="B296" s="148" t="s">
        <v>133</v>
      </c>
      <c r="C296" s="148" t="str">
        <f t="shared" si="4"/>
        <v>2007_Chad</v>
      </c>
      <c r="D296" s="148">
        <v>8638711756.6281834</v>
      </c>
      <c r="E296" s="148">
        <v>10694366</v>
      </c>
      <c r="F296" s="148" t="s">
        <v>2842</v>
      </c>
      <c r="G296" s="148">
        <v>359100000</v>
      </c>
      <c r="H296" s="148">
        <v>359100000</v>
      </c>
      <c r="I296" s="148" t="s">
        <v>2842</v>
      </c>
      <c r="J296" s="148">
        <v>0.97635810144758794</v>
      </c>
      <c r="K296" s="148" t="s">
        <v>2842</v>
      </c>
      <c r="L296" s="148">
        <v>48.427170731707321</v>
      </c>
      <c r="M296" s="148">
        <v>98.5</v>
      </c>
    </row>
    <row r="297" spans="1:13">
      <c r="A297" s="148">
        <v>2007</v>
      </c>
      <c r="B297" s="148" t="s">
        <v>122</v>
      </c>
      <c r="C297" s="148" t="str">
        <f t="shared" si="4"/>
        <v>2007_Central African Republic</v>
      </c>
      <c r="D297" s="148">
        <v>1698125679.6518774</v>
      </c>
      <c r="E297" s="148">
        <v>4106897</v>
      </c>
      <c r="F297" s="148" t="s">
        <v>2842</v>
      </c>
      <c r="G297" s="148">
        <v>176920000</v>
      </c>
      <c r="H297" s="148">
        <v>176920000</v>
      </c>
      <c r="I297" s="148">
        <v>1.3128899999999999</v>
      </c>
      <c r="J297" s="148">
        <v>2.3067470353625401</v>
      </c>
      <c r="K297" s="148" t="s">
        <v>2842</v>
      </c>
      <c r="L297" s="148">
        <v>46.091243902439032</v>
      </c>
      <c r="M297" s="148">
        <v>108.1</v>
      </c>
    </row>
    <row r="298" spans="1:13">
      <c r="A298" s="148">
        <v>2007</v>
      </c>
      <c r="B298" s="148" t="s">
        <v>165</v>
      </c>
      <c r="C298" s="148" t="str">
        <f t="shared" si="4"/>
        <v>2007_Democratic Republic of Congo</v>
      </c>
      <c r="D298" s="148">
        <v>16364027646.772434</v>
      </c>
      <c r="E298" s="148">
        <v>57187942</v>
      </c>
      <c r="F298" s="148">
        <v>9.3871844813972167</v>
      </c>
      <c r="G298" s="148">
        <v>1356710000</v>
      </c>
      <c r="H298" s="148">
        <v>1356710000</v>
      </c>
      <c r="I298" s="148" t="s">
        <v>2842</v>
      </c>
      <c r="J298" s="148">
        <v>1.97638371353889</v>
      </c>
      <c r="K298" s="148" t="s">
        <v>2842</v>
      </c>
      <c r="L298" s="148">
        <v>48.213512195121965</v>
      </c>
      <c r="M298" s="148">
        <v>99.5</v>
      </c>
    </row>
    <row r="299" spans="1:13">
      <c r="A299" s="148">
        <v>2007</v>
      </c>
      <c r="B299" s="148" t="s">
        <v>458</v>
      </c>
      <c r="C299" s="148" t="str">
        <f t="shared" si="4"/>
        <v>2007_Republic of the Congo</v>
      </c>
      <c r="D299" s="148">
        <v>8394688589.0541859</v>
      </c>
      <c r="E299" s="148">
        <v>3758858</v>
      </c>
      <c r="F299" s="148">
        <v>40.604227164005522</v>
      </c>
      <c r="G299" s="148">
        <v>118710000</v>
      </c>
      <c r="H299" s="148">
        <v>118710000</v>
      </c>
      <c r="I299" s="148" t="s">
        <v>2842</v>
      </c>
      <c r="J299" s="148">
        <v>1.5457641330727201</v>
      </c>
      <c r="K299" s="148" t="s">
        <v>2842</v>
      </c>
      <c r="L299" s="148">
        <v>55.276170731707325</v>
      </c>
      <c r="M299" s="148">
        <v>52.9</v>
      </c>
    </row>
    <row r="300" spans="1:13">
      <c r="A300" s="148">
        <v>2007</v>
      </c>
      <c r="B300" s="33" t="s">
        <v>3542</v>
      </c>
      <c r="C300" s="148" t="str">
        <f t="shared" si="4"/>
        <v>2007_Côte d'Ivoire</v>
      </c>
      <c r="D300" s="148">
        <v>20343636058.732971</v>
      </c>
      <c r="E300" s="148">
        <v>17949061</v>
      </c>
      <c r="F300" s="148">
        <v>17.22866670447852</v>
      </c>
      <c r="G300" s="148">
        <v>171080000</v>
      </c>
      <c r="H300" s="148">
        <v>171080000</v>
      </c>
      <c r="I300" s="148">
        <v>4.4163699999999997</v>
      </c>
      <c r="J300" s="148">
        <v>1.4677456511707101</v>
      </c>
      <c r="K300" s="148" t="s">
        <v>2842</v>
      </c>
      <c r="L300" s="148">
        <v>48.273707317073168</v>
      </c>
      <c r="M300" s="148">
        <v>84</v>
      </c>
    </row>
    <row r="301" spans="1:13">
      <c r="A301" s="148">
        <v>2007</v>
      </c>
      <c r="B301" s="148" t="s">
        <v>182</v>
      </c>
      <c r="C301" s="148" t="str">
        <f t="shared" si="4"/>
        <v>2007_Equatorial Guinea</v>
      </c>
      <c r="D301" s="148">
        <v>10201201021.911829</v>
      </c>
      <c r="E301" s="148">
        <v>639618</v>
      </c>
      <c r="F301" s="148">
        <v>47.217842028322572</v>
      </c>
      <c r="G301" s="148">
        <v>31360000</v>
      </c>
      <c r="H301" s="148">
        <v>31360000</v>
      </c>
      <c r="I301" s="148" t="s">
        <v>2842</v>
      </c>
      <c r="J301" s="148">
        <v>1.6231535536783701</v>
      </c>
      <c r="K301" s="148" t="s">
        <v>2842</v>
      </c>
      <c r="L301" s="148">
        <v>49.845073170731709</v>
      </c>
      <c r="M301" s="148">
        <v>82.2</v>
      </c>
    </row>
    <row r="302" spans="1:13">
      <c r="A302" s="148">
        <v>2007</v>
      </c>
      <c r="B302" s="148" t="s">
        <v>185</v>
      </c>
      <c r="C302" s="148" t="str">
        <f t="shared" si="4"/>
        <v>2007_Gabon</v>
      </c>
      <c r="D302" s="148">
        <v>11570860872.227442</v>
      </c>
      <c r="E302" s="148">
        <v>1447388</v>
      </c>
      <c r="F302" s="148" t="s">
        <v>2842</v>
      </c>
      <c r="G302" s="148">
        <v>51140000</v>
      </c>
      <c r="H302" s="148">
        <v>51140000</v>
      </c>
      <c r="I302" s="148" t="s">
        <v>2842</v>
      </c>
      <c r="J302" s="148">
        <v>1.3706772467084001</v>
      </c>
      <c r="K302" s="148" t="s">
        <v>2842</v>
      </c>
      <c r="L302" s="148">
        <v>60.903731707317085</v>
      </c>
      <c r="M302" s="148">
        <v>47.5</v>
      </c>
    </row>
    <row r="303" spans="1:13">
      <c r="A303" s="148">
        <v>2007</v>
      </c>
      <c r="B303" s="148" t="s">
        <v>189</v>
      </c>
      <c r="C303" s="148" t="str">
        <f t="shared" si="4"/>
        <v>2007_Ghana</v>
      </c>
      <c r="D303" s="148">
        <v>24757553101.626564</v>
      </c>
      <c r="E303" s="148">
        <v>22525659</v>
      </c>
      <c r="F303" s="148">
        <v>15.666871862660065</v>
      </c>
      <c r="G303" s="148">
        <v>1165210000</v>
      </c>
      <c r="H303" s="148">
        <v>1165210000</v>
      </c>
      <c r="I303" s="148">
        <v>5.5198600000000004</v>
      </c>
      <c r="J303" s="148">
        <v>3.7497944957239602</v>
      </c>
      <c r="K303" s="148" t="s">
        <v>2842</v>
      </c>
      <c r="L303" s="148">
        <v>59.637853658536592</v>
      </c>
      <c r="M303" s="148">
        <v>56.6</v>
      </c>
    </row>
    <row r="304" spans="1:13">
      <c r="A304" s="148">
        <v>2007</v>
      </c>
      <c r="B304" s="148" t="s">
        <v>2843</v>
      </c>
      <c r="C304" s="148" t="str">
        <f t="shared" si="4"/>
        <v>2007_Guinea</v>
      </c>
      <c r="D304" s="148">
        <v>4134173271.0208378</v>
      </c>
      <c r="E304" s="148">
        <v>10046967</v>
      </c>
      <c r="F304" s="148" t="s">
        <v>2842</v>
      </c>
      <c r="G304" s="148">
        <v>228020000</v>
      </c>
      <c r="H304" s="148">
        <v>228020000</v>
      </c>
      <c r="I304" s="148" t="s">
        <v>2842</v>
      </c>
      <c r="J304" s="148">
        <v>1.13282345247676</v>
      </c>
      <c r="K304" s="148">
        <v>53</v>
      </c>
      <c r="L304" s="148">
        <v>53.943707317073176</v>
      </c>
      <c r="M304" s="148">
        <v>79.2</v>
      </c>
    </row>
    <row r="305" spans="1:13">
      <c r="A305" s="148">
        <v>2007</v>
      </c>
      <c r="B305" s="148" t="s">
        <v>213</v>
      </c>
      <c r="C305" s="148" t="str">
        <f t="shared" si="4"/>
        <v>2007_Guatemala</v>
      </c>
      <c r="D305" s="148">
        <v>34113093453.924648</v>
      </c>
      <c r="E305" s="148">
        <v>13317931</v>
      </c>
      <c r="F305" s="148">
        <v>12.645858801955988</v>
      </c>
      <c r="G305" s="148">
        <v>454380000</v>
      </c>
      <c r="H305" s="148">
        <v>454380000</v>
      </c>
      <c r="I305" s="148">
        <v>3.0387400000000002</v>
      </c>
      <c r="J305" s="148">
        <v>2.4037276880624701</v>
      </c>
      <c r="K305" s="148" t="s">
        <v>2842</v>
      </c>
      <c r="L305" s="148">
        <v>70.119268292682946</v>
      </c>
      <c r="M305" s="148">
        <v>31.2</v>
      </c>
    </row>
    <row r="306" spans="1:13">
      <c r="A306" s="148">
        <v>2007</v>
      </c>
      <c r="B306" s="148" t="s">
        <v>237</v>
      </c>
      <c r="C306" s="148" t="str">
        <f t="shared" si="4"/>
        <v>2007_Indonesia</v>
      </c>
      <c r="D306" s="148">
        <v>432216737774.86053</v>
      </c>
      <c r="E306" s="148">
        <v>230972808</v>
      </c>
      <c r="F306" s="148">
        <v>17.622344258805605</v>
      </c>
      <c r="G306" s="148">
        <v>903870000</v>
      </c>
      <c r="H306" s="148">
        <v>903870000</v>
      </c>
      <c r="I306" s="148">
        <v>3.0442499999999999</v>
      </c>
      <c r="J306" s="148">
        <v>1.1264258927576201</v>
      </c>
      <c r="K306" s="148">
        <v>16.600000000000001</v>
      </c>
      <c r="L306" s="148">
        <v>69.422902439024412</v>
      </c>
      <c r="M306" s="148">
        <v>30.9</v>
      </c>
    </row>
    <row r="307" spans="1:13">
      <c r="A307" s="148">
        <v>2007</v>
      </c>
      <c r="B307" s="148" t="s">
        <v>245</v>
      </c>
      <c r="C307" s="148" t="str">
        <f t="shared" si="4"/>
        <v>2007_Iraq</v>
      </c>
      <c r="D307" s="148">
        <v>88837727881.396469</v>
      </c>
      <c r="E307" s="148">
        <v>28740630</v>
      </c>
      <c r="F307" s="148" t="s">
        <v>2842</v>
      </c>
      <c r="G307" s="148">
        <v>9204340000</v>
      </c>
      <c r="H307" s="148">
        <v>9204340000</v>
      </c>
      <c r="I307" s="148" t="s">
        <v>2842</v>
      </c>
      <c r="J307" s="148">
        <v>2.5652435614051901</v>
      </c>
      <c r="K307" s="148">
        <v>22.4</v>
      </c>
      <c r="L307" s="148">
        <v>68.859463414634149</v>
      </c>
      <c r="M307" s="148">
        <v>31.9</v>
      </c>
    </row>
    <row r="308" spans="1:13">
      <c r="A308" s="148">
        <v>2007</v>
      </c>
      <c r="B308" s="148" t="s">
        <v>273</v>
      </c>
      <c r="C308" s="148" t="str">
        <f t="shared" si="4"/>
        <v>2007_Kazakhstan</v>
      </c>
      <c r="D308" s="148">
        <v>104849886825.58411</v>
      </c>
      <c r="E308" s="148">
        <v>15484192</v>
      </c>
      <c r="F308" s="148" t="s">
        <v>2842</v>
      </c>
      <c r="G308" s="148">
        <v>210820000</v>
      </c>
      <c r="H308" s="148">
        <v>210820000</v>
      </c>
      <c r="I308" s="148">
        <v>2.8313899999999999</v>
      </c>
      <c r="J308" s="148">
        <v>1.7841325643041399</v>
      </c>
      <c r="K308" s="148">
        <v>12.7</v>
      </c>
      <c r="L308" s="148">
        <v>66.504878048780498</v>
      </c>
      <c r="M308" s="148">
        <v>24.9</v>
      </c>
    </row>
    <row r="309" spans="1:13">
      <c r="A309" s="148">
        <v>2007</v>
      </c>
      <c r="B309" s="148" t="s">
        <v>278</v>
      </c>
      <c r="C309" s="148" t="str">
        <f t="shared" si="4"/>
        <v>2007_Kyrgyz Republic</v>
      </c>
      <c r="D309" s="148">
        <v>3802566170.8154349</v>
      </c>
      <c r="E309" s="148">
        <v>5268400</v>
      </c>
      <c r="F309" s="148">
        <v>20.723230468147122</v>
      </c>
      <c r="G309" s="148">
        <v>274450000</v>
      </c>
      <c r="H309" s="148">
        <v>274450000</v>
      </c>
      <c r="I309" s="148">
        <v>6.4669999999999996</v>
      </c>
      <c r="J309" s="148">
        <v>3.5300004228389401</v>
      </c>
      <c r="K309" s="148">
        <v>35</v>
      </c>
      <c r="L309" s="148">
        <v>67.846341463414646</v>
      </c>
      <c r="M309" s="148">
        <v>31.7</v>
      </c>
    </row>
    <row r="310" spans="1:13">
      <c r="A310" s="148">
        <v>2007</v>
      </c>
      <c r="B310" s="148" t="s">
        <v>294</v>
      </c>
      <c r="C310" s="148" t="str">
        <f t="shared" si="4"/>
        <v>2007_Liberia</v>
      </c>
      <c r="D310" s="148">
        <v>739026892.22667861</v>
      </c>
      <c r="E310" s="148">
        <v>3522294</v>
      </c>
      <c r="F310" s="148">
        <v>19.869536622350694</v>
      </c>
      <c r="G310" s="148">
        <v>701390000</v>
      </c>
      <c r="H310" s="148">
        <v>701390000</v>
      </c>
      <c r="I310" s="148" t="s">
        <v>2842</v>
      </c>
      <c r="J310" s="148">
        <v>2.7680014795740999</v>
      </c>
      <c r="K310" s="148">
        <v>63.8</v>
      </c>
      <c r="L310" s="148">
        <v>57.188219512195126</v>
      </c>
      <c r="M310" s="148">
        <v>71.7</v>
      </c>
    </row>
    <row r="311" spans="1:13">
      <c r="A311" s="148">
        <v>2007</v>
      </c>
      <c r="B311" s="148" t="s">
        <v>309</v>
      </c>
      <c r="C311" s="148" t="str">
        <f t="shared" si="4"/>
        <v>2007_Madagascar</v>
      </c>
      <c r="D311" s="148">
        <v>7342923619.7152653</v>
      </c>
      <c r="E311" s="148">
        <v>19371023</v>
      </c>
      <c r="F311" s="148">
        <v>11.890463077492978</v>
      </c>
      <c r="G311" s="148">
        <v>894070000</v>
      </c>
      <c r="H311" s="148">
        <v>894070000</v>
      </c>
      <c r="I311" s="148">
        <v>3.3698800000000002</v>
      </c>
      <c r="J311" s="148">
        <v>2.73982841195666</v>
      </c>
      <c r="K311" s="148" t="s">
        <v>2842</v>
      </c>
      <c r="L311" s="148">
        <v>62.048000000000009</v>
      </c>
      <c r="M311" s="148">
        <v>49.2</v>
      </c>
    </row>
    <row r="312" spans="1:13">
      <c r="A312" s="148">
        <v>2007</v>
      </c>
      <c r="B312" s="148" t="s">
        <v>322</v>
      </c>
      <c r="C312" s="148" t="str">
        <f t="shared" si="4"/>
        <v>2007_Mali</v>
      </c>
      <c r="D312" s="148">
        <v>7145394015.2315435</v>
      </c>
      <c r="E312" s="148">
        <v>12725629</v>
      </c>
      <c r="F312" s="148">
        <v>17.1380181337694</v>
      </c>
      <c r="G312" s="148">
        <v>1018680000</v>
      </c>
      <c r="H312" s="148">
        <v>1018680000</v>
      </c>
      <c r="I312" s="148" t="s">
        <v>2842</v>
      </c>
      <c r="J312" s="148">
        <v>3.3762862891433598</v>
      </c>
      <c r="K312" s="148" t="s">
        <v>2842</v>
      </c>
      <c r="L312" s="148">
        <v>52.453829268292687</v>
      </c>
      <c r="M312" s="148">
        <v>90.3</v>
      </c>
    </row>
    <row r="313" spans="1:13">
      <c r="A313" s="148">
        <v>2007</v>
      </c>
      <c r="B313" s="148" t="s">
        <v>338</v>
      </c>
      <c r="C313" s="148" t="str">
        <f t="shared" si="4"/>
        <v>2007_Mauritania</v>
      </c>
      <c r="D313" s="148">
        <v>2837533270.0921087</v>
      </c>
      <c r="E313" s="148">
        <v>3330037</v>
      </c>
      <c r="F313" s="148" t="s">
        <v>2842</v>
      </c>
      <c r="G313" s="148">
        <v>347230000</v>
      </c>
      <c r="H313" s="148">
        <v>347230000</v>
      </c>
      <c r="I313" s="148" t="s">
        <v>2842</v>
      </c>
      <c r="J313" s="148">
        <v>2.53053634040866</v>
      </c>
      <c r="K313" s="148" t="s">
        <v>2842</v>
      </c>
      <c r="L313" s="148">
        <v>60.539463414634156</v>
      </c>
      <c r="M313" s="148">
        <v>73.2</v>
      </c>
    </row>
    <row r="314" spans="1:13">
      <c r="A314" s="148">
        <v>2007</v>
      </c>
      <c r="B314" s="148" t="s">
        <v>357</v>
      </c>
      <c r="C314" s="148" t="str">
        <f t="shared" si="4"/>
        <v>2007_Mongolia</v>
      </c>
      <c r="D314" s="148">
        <v>4234894168.1565914</v>
      </c>
      <c r="E314" s="148">
        <v>2595068</v>
      </c>
      <c r="F314" s="148">
        <v>37.583292662022821</v>
      </c>
      <c r="G314" s="148">
        <v>238680000</v>
      </c>
      <c r="H314" s="148">
        <v>238680000</v>
      </c>
      <c r="I314" s="148">
        <v>4.6901299999999999</v>
      </c>
      <c r="J314" s="148">
        <v>3.3832426208597099</v>
      </c>
      <c r="K314" s="148" t="s">
        <v>2842</v>
      </c>
      <c r="L314" s="148">
        <v>66.037439024390252</v>
      </c>
      <c r="M314" s="148">
        <v>33.200000000000003</v>
      </c>
    </row>
    <row r="315" spans="1:13">
      <c r="A315" s="148">
        <v>2007</v>
      </c>
      <c r="B315" s="148" t="s">
        <v>378</v>
      </c>
      <c r="C315" s="148" t="str">
        <f t="shared" si="4"/>
        <v>2007_Mozambique</v>
      </c>
      <c r="D315" s="148">
        <v>9192939073.876276</v>
      </c>
      <c r="E315" s="148">
        <v>22171404</v>
      </c>
      <c r="F315" s="148" t="s">
        <v>2842</v>
      </c>
      <c r="G315" s="148">
        <v>1776550000</v>
      </c>
      <c r="H315" s="148">
        <v>1776550000</v>
      </c>
      <c r="I315" s="148" t="s">
        <v>2842</v>
      </c>
      <c r="J315" s="148">
        <v>3.5166029840945101</v>
      </c>
      <c r="K315" s="148" t="s">
        <v>2842</v>
      </c>
      <c r="L315" s="148">
        <v>48.23214634146342</v>
      </c>
      <c r="M315" s="148">
        <v>81.5</v>
      </c>
    </row>
    <row r="316" spans="1:13">
      <c r="A316" s="148">
        <v>2007</v>
      </c>
      <c r="B316" s="148" t="s">
        <v>387</v>
      </c>
      <c r="C316" s="148" t="str">
        <f t="shared" si="4"/>
        <v>2007_Niger</v>
      </c>
      <c r="D316" s="148">
        <v>4291363546.824791</v>
      </c>
      <c r="E316" s="148">
        <v>14197289</v>
      </c>
      <c r="F316" s="148">
        <v>13.49323567161697</v>
      </c>
      <c r="G316" s="148">
        <v>544300000</v>
      </c>
      <c r="H316" s="148">
        <v>544300000</v>
      </c>
      <c r="I316" s="148">
        <v>4.0209700000000002</v>
      </c>
      <c r="J316" s="148">
        <v>2.6628672745694</v>
      </c>
      <c r="K316" s="148">
        <v>59.5</v>
      </c>
      <c r="L316" s="148">
        <v>55.353146341463422</v>
      </c>
      <c r="M316" s="148">
        <v>75.2</v>
      </c>
    </row>
    <row r="317" spans="1:13">
      <c r="A317" s="148">
        <v>2007</v>
      </c>
      <c r="B317" s="148" t="s">
        <v>406</v>
      </c>
      <c r="C317" s="148" t="str">
        <f t="shared" si="4"/>
        <v>2007_Nigeria</v>
      </c>
      <c r="D317" s="148">
        <v>166451202370.17093</v>
      </c>
      <c r="E317" s="148">
        <v>147187353</v>
      </c>
      <c r="F317" s="148">
        <v>11.144214361754436</v>
      </c>
      <c r="G317" s="148">
        <v>1956260000</v>
      </c>
      <c r="H317" s="148">
        <v>1956260000</v>
      </c>
      <c r="I317" s="148" t="s">
        <v>2842</v>
      </c>
      <c r="J317" s="148">
        <v>2.3758050656387399</v>
      </c>
      <c r="K317" s="148" t="s">
        <v>2842</v>
      </c>
      <c r="L317" s="148">
        <v>49.791609756097564</v>
      </c>
      <c r="M317" s="148">
        <v>90.8</v>
      </c>
    </row>
    <row r="318" spans="1:13">
      <c r="A318" s="148">
        <v>2007</v>
      </c>
      <c r="B318" s="148" t="s">
        <v>429</v>
      </c>
      <c r="C318" s="148" t="str">
        <f t="shared" si="4"/>
        <v>2007_Norway</v>
      </c>
      <c r="D318" s="148">
        <v>393479385840.20453</v>
      </c>
      <c r="E318" s="148">
        <v>4709153</v>
      </c>
      <c r="F318" s="148">
        <v>49.673848715230584</v>
      </c>
      <c r="G318" s="148" t="s">
        <v>2842</v>
      </c>
      <c r="H318" s="148" t="s">
        <v>2842</v>
      </c>
      <c r="I318" s="148">
        <v>6.65829</v>
      </c>
      <c r="J318" s="148">
        <v>8.0102495398763001</v>
      </c>
      <c r="K318" s="148" t="s">
        <v>2842</v>
      </c>
      <c r="L318" s="148">
        <v>80.395121951219522</v>
      </c>
      <c r="M318" s="148">
        <v>3</v>
      </c>
    </row>
    <row r="319" spans="1:13">
      <c r="A319" s="148">
        <v>2007</v>
      </c>
      <c r="B319" s="148" t="s">
        <v>442</v>
      </c>
      <c r="C319" s="148" t="str">
        <f t="shared" si="4"/>
        <v>2007_Peru</v>
      </c>
      <c r="D319" s="148">
        <v>102172270670.77251</v>
      </c>
      <c r="E319" s="148">
        <v>28328410</v>
      </c>
      <c r="F319" s="148">
        <v>20.970709473979003</v>
      </c>
      <c r="G319" s="148">
        <v>307030000</v>
      </c>
      <c r="H319" s="148">
        <v>307030000</v>
      </c>
      <c r="I319" s="148">
        <v>2.4992700000000001</v>
      </c>
      <c r="J319" s="148">
        <v>2.9741087807592899</v>
      </c>
      <c r="K319" s="148">
        <v>42.4</v>
      </c>
      <c r="L319" s="148">
        <v>73.014878048780488</v>
      </c>
      <c r="M319" s="148">
        <v>18.600000000000001</v>
      </c>
    </row>
    <row r="320" spans="1:13">
      <c r="A320" s="148">
        <v>2007</v>
      </c>
      <c r="B320" s="148" t="s">
        <v>481</v>
      </c>
      <c r="C320" s="148" t="str">
        <f t="shared" si="4"/>
        <v>2007_Sierra Leone</v>
      </c>
      <c r="D320" s="148">
        <v>2158653216.1733117</v>
      </c>
      <c r="E320" s="148">
        <v>5416015</v>
      </c>
      <c r="F320" s="148">
        <v>8.3316198480411412</v>
      </c>
      <c r="G320" s="148">
        <v>549780000</v>
      </c>
      <c r="H320" s="148">
        <v>549780000</v>
      </c>
      <c r="I320" s="148">
        <v>2.5591599999999999</v>
      </c>
      <c r="J320" s="148">
        <v>1.62570780497138</v>
      </c>
      <c r="K320" s="148" t="s">
        <v>2842</v>
      </c>
      <c r="L320" s="148">
        <v>43.526487804878052</v>
      </c>
      <c r="M320" s="148">
        <v>122.2</v>
      </c>
    </row>
    <row r="321" spans="1:13">
      <c r="A321" s="148">
        <v>2007</v>
      </c>
      <c r="B321" s="148" t="s">
        <v>492</v>
      </c>
      <c r="C321" s="148" t="str">
        <f t="shared" si="4"/>
        <v>2007_Tanzania</v>
      </c>
      <c r="D321" s="148">
        <v>16825547176.056372</v>
      </c>
      <c r="E321" s="148">
        <v>41119693</v>
      </c>
      <c r="F321" s="148" t="s">
        <v>2842</v>
      </c>
      <c r="G321" s="148">
        <v>2821590000</v>
      </c>
      <c r="H321" s="148">
        <v>2821590000</v>
      </c>
      <c r="I321" s="148">
        <v>5.2487899999999996</v>
      </c>
      <c r="J321" s="148">
        <v>3.6524841647241102</v>
      </c>
      <c r="K321" s="148" t="s">
        <v>2842</v>
      </c>
      <c r="L321" s="148">
        <v>55.987658536585378</v>
      </c>
      <c r="M321" s="148">
        <v>49.9</v>
      </c>
    </row>
    <row r="322" spans="1:13">
      <c r="A322" s="148">
        <v>2007</v>
      </c>
      <c r="B322" s="148" t="s">
        <v>2844</v>
      </c>
      <c r="C322" s="148" t="str">
        <f t="shared" si="4"/>
        <v>2007_Timor-Leste</v>
      </c>
      <c r="D322" s="148">
        <v>559000000</v>
      </c>
      <c r="E322" s="148">
        <v>1015482</v>
      </c>
      <c r="F322" s="148" t="s">
        <v>2842</v>
      </c>
      <c r="G322" s="148">
        <v>278270000</v>
      </c>
      <c r="H322" s="148">
        <v>278270000</v>
      </c>
      <c r="I322" s="148" t="s">
        <v>2842</v>
      </c>
      <c r="J322" s="148">
        <v>6.3921157874690504</v>
      </c>
      <c r="K322" s="148">
        <v>49.9</v>
      </c>
      <c r="L322" s="148">
        <v>64.263756097560986</v>
      </c>
      <c r="M322" s="148">
        <v>58.7</v>
      </c>
    </row>
    <row r="323" spans="1:13">
      <c r="A323" s="148">
        <v>2007</v>
      </c>
      <c r="B323" s="148" t="s">
        <v>510</v>
      </c>
      <c r="C323" s="148" t="str">
        <f t="shared" si="4"/>
        <v>2007_Togo</v>
      </c>
      <c r="D323" s="148">
        <v>2523462648.9838715</v>
      </c>
      <c r="E323" s="148">
        <v>5834806</v>
      </c>
      <c r="F323" s="148">
        <v>16.808938956226839</v>
      </c>
      <c r="G323" s="148">
        <v>122420000</v>
      </c>
      <c r="H323" s="148">
        <v>122420000</v>
      </c>
      <c r="I323" s="148">
        <v>3.6993200000000002</v>
      </c>
      <c r="J323" s="148">
        <v>2.1487344381235101</v>
      </c>
      <c r="K323" s="148" t="s">
        <v>2842</v>
      </c>
      <c r="L323" s="148">
        <v>54.57373170731708</v>
      </c>
      <c r="M323" s="148">
        <v>65.3</v>
      </c>
    </row>
    <row r="324" spans="1:13">
      <c r="A324" s="148">
        <v>2007</v>
      </c>
      <c r="B324" s="148" t="s">
        <v>2845</v>
      </c>
      <c r="C324" s="148" t="str">
        <f t="shared" ref="C324:C387" si="5">$A324&amp;"_"&amp;$B324</f>
        <v>2007_Trinidad and Tobago</v>
      </c>
      <c r="D324" s="148">
        <v>21830397704.630589</v>
      </c>
      <c r="E324" s="148">
        <v>1310040</v>
      </c>
      <c r="F324" s="148">
        <v>30.43985892970581</v>
      </c>
      <c r="G324" s="148">
        <v>20800000</v>
      </c>
      <c r="H324" s="148">
        <v>20800000</v>
      </c>
      <c r="I324" s="148" t="s">
        <v>2842</v>
      </c>
      <c r="J324" s="148">
        <v>2.3358463700918199</v>
      </c>
      <c r="K324" s="148" t="s">
        <v>2842</v>
      </c>
      <c r="L324" s="148">
        <v>69.244024390243908</v>
      </c>
      <c r="M324" s="148">
        <v>22.7</v>
      </c>
    </row>
    <row r="325" spans="1:13">
      <c r="A325" s="148">
        <v>2007</v>
      </c>
      <c r="B325" s="148" t="s">
        <v>522</v>
      </c>
      <c r="C325" s="148" t="str">
        <f t="shared" si="5"/>
        <v>2007_Yemen</v>
      </c>
      <c r="D325" s="148">
        <v>25633674563.549282</v>
      </c>
      <c r="E325" s="148">
        <v>21182162</v>
      </c>
      <c r="F325" s="148" t="s">
        <v>2842</v>
      </c>
      <c r="G325" s="148">
        <v>242560000</v>
      </c>
      <c r="H325" s="148">
        <v>242560000</v>
      </c>
      <c r="I325" s="148" t="s">
        <v>2842</v>
      </c>
      <c r="J325" s="148">
        <v>1.46278957675538</v>
      </c>
      <c r="K325" s="148" t="s">
        <v>2842</v>
      </c>
      <c r="L325" s="148">
        <v>61.939780487804882</v>
      </c>
      <c r="M325" s="148">
        <v>51.6</v>
      </c>
    </row>
    <row r="326" spans="1:13">
      <c r="A326" s="148">
        <v>2007</v>
      </c>
      <c r="B326" s="148" t="s">
        <v>534</v>
      </c>
      <c r="C326" s="148" t="str">
        <f t="shared" si="5"/>
        <v>2007_Zambia</v>
      </c>
      <c r="D326" s="148">
        <v>14056878376.099815</v>
      </c>
      <c r="E326" s="148">
        <v>12109620</v>
      </c>
      <c r="F326" s="148">
        <v>14.284099260456268</v>
      </c>
      <c r="G326" s="148">
        <v>1007840000</v>
      </c>
      <c r="H326" s="148">
        <v>1007840000</v>
      </c>
      <c r="I326" s="148">
        <v>1.51118</v>
      </c>
      <c r="J326" s="148">
        <v>3.1299914356974599</v>
      </c>
      <c r="K326" s="148" t="s">
        <v>2842</v>
      </c>
      <c r="L326" s="148">
        <v>50.098536585365856</v>
      </c>
      <c r="M326" s="148">
        <v>69.8</v>
      </c>
    </row>
    <row r="327" spans="1:13">
      <c r="A327" s="148">
        <v>2008</v>
      </c>
      <c r="B327" s="148" t="s">
        <v>16</v>
      </c>
      <c r="C327" s="148" t="str">
        <f t="shared" si="5"/>
        <v>2008_Afghanistan</v>
      </c>
      <c r="D327" s="148">
        <v>10190534636.64436</v>
      </c>
      <c r="E327" s="148">
        <v>27032197</v>
      </c>
      <c r="F327" s="148">
        <v>7.9885051964663809</v>
      </c>
      <c r="G327" s="148">
        <v>4875070000</v>
      </c>
      <c r="H327" s="148">
        <v>4875070000</v>
      </c>
      <c r="I327" s="148" t="s">
        <v>2842</v>
      </c>
      <c r="J327" s="148">
        <v>1.85893013483418</v>
      </c>
      <c r="K327" s="148">
        <v>36.299999999999997</v>
      </c>
      <c r="L327" s="148">
        <v>58.607097560975618</v>
      </c>
      <c r="M327" s="148">
        <v>78.5</v>
      </c>
    </row>
    <row r="328" spans="1:13">
      <c r="A328" s="148">
        <v>2008</v>
      </c>
      <c r="B328" s="148" t="s">
        <v>33</v>
      </c>
      <c r="C328" s="148" t="str">
        <f t="shared" si="5"/>
        <v>2008_Albania</v>
      </c>
      <c r="D328" s="148">
        <v>12881353507.853903</v>
      </c>
      <c r="E328" s="148">
        <v>2912559</v>
      </c>
      <c r="F328" s="148" t="s">
        <v>2842</v>
      </c>
      <c r="G328" s="148">
        <v>363270000</v>
      </c>
      <c r="H328" s="148">
        <v>363270000</v>
      </c>
      <c r="I328" s="148" t="s">
        <v>2842</v>
      </c>
      <c r="J328" s="148">
        <v>2.6725879997392799</v>
      </c>
      <c r="K328" s="148">
        <v>12.4</v>
      </c>
      <c r="L328" s="148">
        <v>76.632317073170739</v>
      </c>
      <c r="M328" s="148">
        <v>16</v>
      </c>
    </row>
    <row r="329" spans="1:13">
      <c r="A329" s="148">
        <v>2008</v>
      </c>
      <c r="B329" s="148" t="s">
        <v>48</v>
      </c>
      <c r="C329" s="148" t="str">
        <f t="shared" si="5"/>
        <v>2008_Azerbaijan</v>
      </c>
      <c r="D329" s="148">
        <v>48852482960.077896</v>
      </c>
      <c r="E329" s="148">
        <v>8763400</v>
      </c>
      <c r="F329" s="148">
        <v>49.301894501858627</v>
      </c>
      <c r="G329" s="148">
        <v>235100000</v>
      </c>
      <c r="H329" s="148">
        <v>235100000</v>
      </c>
      <c r="I329" s="148">
        <v>2.4409299999999998</v>
      </c>
      <c r="J329" s="148">
        <v>0.824675486458878</v>
      </c>
      <c r="K329" s="148">
        <v>13.2</v>
      </c>
      <c r="L329" s="148">
        <v>70.062926829268307</v>
      </c>
      <c r="M329" s="148">
        <v>37.200000000000003</v>
      </c>
    </row>
    <row r="330" spans="1:13">
      <c r="A330" s="148">
        <v>2008</v>
      </c>
      <c r="B330" s="148" t="s">
        <v>93</v>
      </c>
      <c r="C330" s="148" t="str">
        <f t="shared" si="5"/>
        <v>2008_Burkina Faso</v>
      </c>
      <c r="D330" s="148">
        <v>8350710389.3123074</v>
      </c>
      <c r="E330" s="148">
        <v>14659646</v>
      </c>
      <c r="F330" s="148">
        <v>12.938296754532432</v>
      </c>
      <c r="G330" s="148">
        <v>1001160000</v>
      </c>
      <c r="H330" s="148">
        <v>1001160000</v>
      </c>
      <c r="I330" s="148" t="s">
        <v>2842</v>
      </c>
      <c r="J330" s="148">
        <v>5.0650639776239004</v>
      </c>
      <c r="K330" s="148" t="s">
        <v>2842</v>
      </c>
      <c r="L330" s="148">
        <v>54.094195121951223</v>
      </c>
      <c r="M330" s="148">
        <v>76</v>
      </c>
    </row>
    <row r="331" spans="1:13">
      <c r="A331" s="148">
        <v>2008</v>
      </c>
      <c r="B331" s="148" t="s">
        <v>96</v>
      </c>
      <c r="C331" s="148" t="str">
        <f t="shared" si="5"/>
        <v>2008_Cameroon</v>
      </c>
      <c r="D331" s="148">
        <v>23322256428.012459</v>
      </c>
      <c r="E331" s="148">
        <v>19595026</v>
      </c>
      <c r="F331" s="148" t="s">
        <v>2842</v>
      </c>
      <c r="G331" s="148">
        <v>548590000</v>
      </c>
      <c r="H331" s="148">
        <v>548590000</v>
      </c>
      <c r="I331" s="148">
        <v>2.9053800000000001</v>
      </c>
      <c r="J331" s="148">
        <v>1.03101708427024</v>
      </c>
      <c r="K331" s="148" t="s">
        <v>2842</v>
      </c>
      <c r="L331" s="148">
        <v>52.855829268292695</v>
      </c>
      <c r="M331" s="148">
        <v>70.8</v>
      </c>
    </row>
    <row r="332" spans="1:13">
      <c r="A332" s="148">
        <v>2008</v>
      </c>
      <c r="B332" s="148" t="s">
        <v>133</v>
      </c>
      <c r="C332" s="148" t="str">
        <f t="shared" si="5"/>
        <v>2008_Chad</v>
      </c>
      <c r="D332" s="148">
        <v>10351933631.718803</v>
      </c>
      <c r="E332" s="148">
        <v>11030628</v>
      </c>
      <c r="F332" s="148" t="s">
        <v>2842</v>
      </c>
      <c r="G332" s="148">
        <v>421720000</v>
      </c>
      <c r="H332" s="148">
        <v>421720000</v>
      </c>
      <c r="I332" s="148" t="s">
        <v>2842</v>
      </c>
      <c r="J332" s="148">
        <v>0.77015719070913502</v>
      </c>
      <c r="K332" s="148" t="s">
        <v>2842</v>
      </c>
      <c r="L332" s="148">
        <v>48.857170731707328</v>
      </c>
      <c r="M332" s="148">
        <v>97.1</v>
      </c>
    </row>
    <row r="333" spans="1:13">
      <c r="A333" s="148">
        <v>2008</v>
      </c>
      <c r="B333" s="148" t="s">
        <v>122</v>
      </c>
      <c r="C333" s="148" t="str">
        <f t="shared" si="5"/>
        <v>2008_Central African Republic</v>
      </c>
      <c r="D333" s="148">
        <v>1985370254.9617152</v>
      </c>
      <c r="E333" s="148">
        <v>4185106</v>
      </c>
      <c r="F333" s="148">
        <v>9.3940493587829597</v>
      </c>
      <c r="G333" s="148">
        <v>257279999.99999997</v>
      </c>
      <c r="H333" s="148">
        <v>257279999.99999997</v>
      </c>
      <c r="I333" s="148">
        <v>1.2900199999999999</v>
      </c>
      <c r="J333" s="148">
        <v>2.2929867859489499</v>
      </c>
      <c r="K333" s="148">
        <v>62</v>
      </c>
      <c r="L333" s="148">
        <v>46.729121951219518</v>
      </c>
      <c r="M333" s="148">
        <v>106.6</v>
      </c>
    </row>
    <row r="334" spans="1:13">
      <c r="A334" s="148">
        <v>2008</v>
      </c>
      <c r="B334" s="148" t="s">
        <v>165</v>
      </c>
      <c r="C334" s="148" t="str">
        <f t="shared" si="5"/>
        <v>2008_Democratic Republic of Congo</v>
      </c>
      <c r="D334" s="148">
        <v>19206015304.782166</v>
      </c>
      <c r="E334" s="148">
        <v>58819038</v>
      </c>
      <c r="F334" s="148">
        <v>11.838614678185728</v>
      </c>
      <c r="G334" s="148">
        <v>1765970000</v>
      </c>
      <c r="H334" s="148">
        <v>1765970000</v>
      </c>
      <c r="I334" s="148" t="s">
        <v>2842</v>
      </c>
      <c r="J334" s="148">
        <v>3.45431633448821</v>
      </c>
      <c r="K334" s="148" t="s">
        <v>2842</v>
      </c>
      <c r="L334" s="148">
        <v>48.439585365853667</v>
      </c>
      <c r="M334" s="148">
        <v>97.1</v>
      </c>
    </row>
    <row r="335" spans="1:13">
      <c r="A335" s="148">
        <v>2008</v>
      </c>
      <c r="B335" s="148" t="s">
        <v>458</v>
      </c>
      <c r="C335" s="148" t="str">
        <f t="shared" si="5"/>
        <v>2008_Republic of the Congo</v>
      </c>
      <c r="D335" s="148">
        <v>11859015180.940172</v>
      </c>
      <c r="E335" s="148">
        <v>3876475</v>
      </c>
      <c r="F335" s="148">
        <v>48.224477144351212</v>
      </c>
      <c r="G335" s="148">
        <v>485000000</v>
      </c>
      <c r="H335" s="148">
        <v>485000000</v>
      </c>
      <c r="I335" s="148" t="s">
        <v>2842</v>
      </c>
      <c r="J335" s="148">
        <v>1.2385928727700399</v>
      </c>
      <c r="K335" s="148" t="s">
        <v>2842</v>
      </c>
      <c r="L335" s="148">
        <v>55.934048780487807</v>
      </c>
      <c r="M335" s="148">
        <v>48.8</v>
      </c>
    </row>
    <row r="336" spans="1:13">
      <c r="A336" s="148">
        <v>2008</v>
      </c>
      <c r="B336" s="33" t="s">
        <v>3542</v>
      </c>
      <c r="C336" s="148" t="str">
        <f t="shared" si="5"/>
        <v>2008_Côte d'Ivoire</v>
      </c>
      <c r="D336" s="148">
        <v>24224905503.655437</v>
      </c>
      <c r="E336" s="148">
        <v>18260044</v>
      </c>
      <c r="F336" s="148">
        <v>16.838156938949339</v>
      </c>
      <c r="G336" s="148">
        <v>625670000</v>
      </c>
      <c r="H336" s="148">
        <v>625670000</v>
      </c>
      <c r="I336" s="148">
        <v>4.6029900000000001</v>
      </c>
      <c r="J336" s="148">
        <v>1.5815501335938</v>
      </c>
      <c r="K336" s="148">
        <v>42.7</v>
      </c>
      <c r="L336" s="148">
        <v>48.78663414634147</v>
      </c>
      <c r="M336" s="148">
        <v>81.5</v>
      </c>
    </row>
    <row r="337" spans="1:13">
      <c r="A337" s="148">
        <v>2008</v>
      </c>
      <c r="B337" s="148" t="s">
        <v>182</v>
      </c>
      <c r="C337" s="148" t="str">
        <f t="shared" si="5"/>
        <v>2008_Equatorial Guinea</v>
      </c>
      <c r="D337" s="148">
        <v>15439740345.257473</v>
      </c>
      <c r="E337" s="148">
        <v>658025</v>
      </c>
      <c r="F337" s="148">
        <v>44.139259199787112</v>
      </c>
      <c r="G337" s="148">
        <v>32080000</v>
      </c>
      <c r="H337" s="148">
        <v>32080000</v>
      </c>
      <c r="I337" s="148" t="s">
        <v>2842</v>
      </c>
      <c r="J337" s="148">
        <v>1.79102159683069</v>
      </c>
      <c r="K337" s="148" t="s">
        <v>2842</v>
      </c>
      <c r="L337" s="148">
        <v>50.395731707317076</v>
      </c>
      <c r="M337" s="148">
        <v>80.099999999999994</v>
      </c>
    </row>
    <row r="338" spans="1:13">
      <c r="A338" s="148">
        <v>2008</v>
      </c>
      <c r="B338" s="148" t="s">
        <v>185</v>
      </c>
      <c r="C338" s="148" t="str">
        <f t="shared" si="5"/>
        <v>2008_Gabon</v>
      </c>
      <c r="D338" s="148">
        <v>15685389826.888157</v>
      </c>
      <c r="E338" s="148">
        <v>1482843</v>
      </c>
      <c r="F338" s="148" t="s">
        <v>2842</v>
      </c>
      <c r="G338" s="148">
        <v>62050000</v>
      </c>
      <c r="H338" s="148">
        <v>62050000</v>
      </c>
      <c r="I338" s="148" t="s">
        <v>2842</v>
      </c>
      <c r="J338" s="148">
        <v>1.0609375443577</v>
      </c>
      <c r="K338" s="148" t="s">
        <v>2842</v>
      </c>
      <c r="L338" s="148">
        <v>61.385707317073177</v>
      </c>
      <c r="M338" s="148">
        <v>45.9</v>
      </c>
    </row>
    <row r="339" spans="1:13">
      <c r="A339" s="148">
        <v>2008</v>
      </c>
      <c r="B339" s="148" t="s">
        <v>189</v>
      </c>
      <c r="C339" s="148" t="str">
        <f t="shared" si="5"/>
        <v>2008_Ghana</v>
      </c>
      <c r="D339" s="148">
        <v>28528014620.735378</v>
      </c>
      <c r="E339" s="148">
        <v>23110139</v>
      </c>
      <c r="F339" s="148">
        <v>15.694153475916938</v>
      </c>
      <c r="G339" s="148">
        <v>1306930000</v>
      </c>
      <c r="H339" s="148">
        <v>1306930000</v>
      </c>
      <c r="I339" s="148">
        <v>5.7579599999999997</v>
      </c>
      <c r="J339" s="148">
        <v>3.2430848720382501</v>
      </c>
      <c r="K339" s="148" t="s">
        <v>2842</v>
      </c>
      <c r="L339" s="148">
        <v>60.029951219512206</v>
      </c>
      <c r="M339" s="148">
        <v>56.1</v>
      </c>
    </row>
    <row r="340" spans="1:13">
      <c r="A340" s="148">
        <v>2008</v>
      </c>
      <c r="B340" s="148" t="s">
        <v>2843</v>
      </c>
      <c r="C340" s="148" t="str">
        <f t="shared" si="5"/>
        <v>2008_Guinea</v>
      </c>
      <c r="D340" s="148">
        <v>4515824643.3504658</v>
      </c>
      <c r="E340" s="148">
        <v>10314678</v>
      </c>
      <c r="F340" s="148" t="s">
        <v>2842</v>
      </c>
      <c r="G340" s="148">
        <v>328300000</v>
      </c>
      <c r="H340" s="148">
        <v>328300000</v>
      </c>
      <c r="I340" s="148">
        <v>2.4383699999999999</v>
      </c>
      <c r="J340" s="148">
        <v>1.3251983765606801</v>
      </c>
      <c r="K340" s="148" t="s">
        <v>2842</v>
      </c>
      <c r="L340" s="148">
        <v>54.478439024390248</v>
      </c>
      <c r="M340" s="148">
        <v>76.5</v>
      </c>
    </row>
    <row r="341" spans="1:13">
      <c r="A341" s="148">
        <v>2008</v>
      </c>
      <c r="B341" s="148" t="s">
        <v>213</v>
      </c>
      <c r="C341" s="148" t="str">
        <f t="shared" si="5"/>
        <v>2008_Guatemala</v>
      </c>
      <c r="D341" s="148">
        <v>39136507936.507942</v>
      </c>
      <c r="E341" s="148">
        <v>13648307</v>
      </c>
      <c r="F341" s="148">
        <v>11.858303590741942</v>
      </c>
      <c r="G341" s="148">
        <v>536030000</v>
      </c>
      <c r="H341" s="148">
        <v>536030000</v>
      </c>
      <c r="I341" s="148">
        <v>3.1845400000000001</v>
      </c>
      <c r="J341" s="148">
        <v>2.3976624987536801</v>
      </c>
      <c r="K341" s="148" t="s">
        <v>2842</v>
      </c>
      <c r="L341" s="148">
        <v>70.38914634146343</v>
      </c>
      <c r="M341" s="148">
        <v>30.2</v>
      </c>
    </row>
    <row r="342" spans="1:13">
      <c r="A342" s="148">
        <v>2008</v>
      </c>
      <c r="B342" s="148" t="s">
        <v>237</v>
      </c>
      <c r="C342" s="148" t="str">
        <f t="shared" si="5"/>
        <v>2008_Indonesia</v>
      </c>
      <c r="D342" s="148">
        <v>510244548959.96973</v>
      </c>
      <c r="E342" s="148">
        <v>234243489</v>
      </c>
      <c r="F342" s="148">
        <v>19.476767904967804</v>
      </c>
      <c r="G342" s="148">
        <v>1230620000</v>
      </c>
      <c r="H342" s="148">
        <v>1230620000</v>
      </c>
      <c r="I342" s="148">
        <v>2.9018999999999999</v>
      </c>
      <c r="J342" s="148">
        <v>1.0057976175699901</v>
      </c>
      <c r="K342" s="148">
        <v>15.4</v>
      </c>
      <c r="L342" s="148">
        <v>69.685292682926828</v>
      </c>
      <c r="M342" s="148">
        <v>29.7</v>
      </c>
    </row>
    <row r="343" spans="1:13">
      <c r="A343" s="148">
        <v>2008</v>
      </c>
      <c r="B343" s="148" t="s">
        <v>245</v>
      </c>
      <c r="C343" s="148" t="str">
        <f t="shared" si="5"/>
        <v>2008_Iraq</v>
      </c>
      <c r="D343" s="148">
        <v>131611819294.27542</v>
      </c>
      <c r="E343" s="148">
        <v>29429829</v>
      </c>
      <c r="F343" s="148" t="s">
        <v>2842</v>
      </c>
      <c r="G343" s="148">
        <v>9884470000</v>
      </c>
      <c r="H343" s="148">
        <v>9884470000</v>
      </c>
      <c r="I343" s="148" t="s">
        <v>2842</v>
      </c>
      <c r="J343" s="148">
        <v>2.9074690446059899</v>
      </c>
      <c r="K343" s="148" t="s">
        <v>2842</v>
      </c>
      <c r="L343" s="148">
        <v>68.734682926829279</v>
      </c>
      <c r="M343" s="148">
        <v>31.3</v>
      </c>
    </row>
    <row r="344" spans="1:13">
      <c r="A344" s="148">
        <v>2008</v>
      </c>
      <c r="B344" s="148" t="s">
        <v>273</v>
      </c>
      <c r="C344" s="148" t="str">
        <f t="shared" si="5"/>
        <v>2008_Kazakhstan</v>
      </c>
      <c r="D344" s="148">
        <v>133441612246.79799</v>
      </c>
      <c r="E344" s="148">
        <v>15674000</v>
      </c>
      <c r="F344" s="148" t="s">
        <v>2842</v>
      </c>
      <c r="G344" s="148">
        <v>335410000</v>
      </c>
      <c r="H344" s="148">
        <v>335410000</v>
      </c>
      <c r="I344" s="148">
        <v>2.5894599999999999</v>
      </c>
      <c r="J344" s="148">
        <v>2.2625791608367298</v>
      </c>
      <c r="K344" s="148">
        <v>12.1</v>
      </c>
      <c r="L344" s="148">
        <v>67.021951219512204</v>
      </c>
      <c r="M344" s="148">
        <v>23</v>
      </c>
    </row>
    <row r="345" spans="1:13">
      <c r="A345" s="148">
        <v>2008</v>
      </c>
      <c r="B345" s="148" t="s">
        <v>278</v>
      </c>
      <c r="C345" s="148" t="str">
        <f t="shared" si="5"/>
        <v>2008_Kyrgyz Republic</v>
      </c>
      <c r="D345" s="148">
        <v>5139957784.91084</v>
      </c>
      <c r="E345" s="148">
        <v>5318700</v>
      </c>
      <c r="F345" s="148">
        <v>20.12950823945074</v>
      </c>
      <c r="G345" s="148">
        <v>359830000</v>
      </c>
      <c r="H345" s="148">
        <v>359830000</v>
      </c>
      <c r="I345" s="148">
        <v>5.9131900000000002</v>
      </c>
      <c r="J345" s="148">
        <v>3.1283246095578501</v>
      </c>
      <c r="K345" s="148">
        <v>31.7</v>
      </c>
      <c r="L345" s="148">
        <v>68.451219512195124</v>
      </c>
      <c r="M345" s="148">
        <v>30.2</v>
      </c>
    </row>
    <row r="346" spans="1:13">
      <c r="A346" s="148">
        <v>2008</v>
      </c>
      <c r="B346" s="148" t="s">
        <v>294</v>
      </c>
      <c r="C346" s="148" t="str">
        <f t="shared" si="5"/>
        <v>2008_Liberia</v>
      </c>
      <c r="D346" s="148">
        <v>850040458.83963132</v>
      </c>
      <c r="E346" s="148">
        <v>3672714</v>
      </c>
      <c r="F346" s="148">
        <v>23.669902286140399</v>
      </c>
      <c r="G346" s="148">
        <v>1250990000</v>
      </c>
      <c r="H346" s="148">
        <v>1250990000</v>
      </c>
      <c r="I346" s="148">
        <v>3.2612700000000001</v>
      </c>
      <c r="J346" s="148">
        <v>3.90225379452023</v>
      </c>
      <c r="K346" s="148" t="s">
        <v>2842</v>
      </c>
      <c r="L346" s="148">
        <v>58.107487804878055</v>
      </c>
      <c r="M346" s="148">
        <v>67.3</v>
      </c>
    </row>
    <row r="347" spans="1:13">
      <c r="A347" s="148">
        <v>2008</v>
      </c>
      <c r="B347" s="148" t="s">
        <v>309</v>
      </c>
      <c r="C347" s="148" t="str">
        <f t="shared" si="5"/>
        <v>2008_Madagascar</v>
      </c>
      <c r="D347" s="148">
        <v>9413002737.3057842</v>
      </c>
      <c r="E347" s="148">
        <v>19926785</v>
      </c>
      <c r="F347" s="148">
        <v>14.161521399992449</v>
      </c>
      <c r="G347" s="148">
        <v>842550000</v>
      </c>
      <c r="H347" s="148">
        <v>842550000</v>
      </c>
      <c r="I347" s="148">
        <v>2.9161899999999998</v>
      </c>
      <c r="J347" s="148">
        <v>2.2225974636017898</v>
      </c>
      <c r="K347" s="148" t="s">
        <v>2842</v>
      </c>
      <c r="L347" s="148">
        <v>62.474756097560984</v>
      </c>
      <c r="M347" s="148">
        <v>47</v>
      </c>
    </row>
    <row r="348" spans="1:13">
      <c r="A348" s="148">
        <v>2008</v>
      </c>
      <c r="B348" s="148" t="s">
        <v>322</v>
      </c>
      <c r="C348" s="148" t="str">
        <f t="shared" si="5"/>
        <v>2008_Mali</v>
      </c>
      <c r="D348" s="148">
        <v>8737687352.7007885</v>
      </c>
      <c r="E348" s="148">
        <v>13138299</v>
      </c>
      <c r="F348" s="148">
        <v>15.520745869464561</v>
      </c>
      <c r="G348" s="148">
        <v>964090000</v>
      </c>
      <c r="H348" s="148">
        <v>964090000</v>
      </c>
      <c r="I348" s="148">
        <v>3.8168700000000002</v>
      </c>
      <c r="J348" s="148">
        <v>3.1357069288509201</v>
      </c>
      <c r="K348" s="148" t="s">
        <v>2842</v>
      </c>
      <c r="L348" s="148">
        <v>52.90324390243903</v>
      </c>
      <c r="M348" s="148">
        <v>87.6</v>
      </c>
    </row>
    <row r="349" spans="1:13">
      <c r="A349" s="148">
        <v>2008</v>
      </c>
      <c r="B349" s="148" t="s">
        <v>338</v>
      </c>
      <c r="C349" s="148" t="str">
        <f t="shared" si="5"/>
        <v>2008_Mauritania</v>
      </c>
      <c r="D349" s="148">
        <v>3585284791.6044822</v>
      </c>
      <c r="E349" s="148">
        <v>3422901</v>
      </c>
      <c r="F349" s="148" t="s">
        <v>2842</v>
      </c>
      <c r="G349" s="148">
        <v>452160000</v>
      </c>
      <c r="H349" s="148">
        <v>452160000</v>
      </c>
      <c r="I349" s="148">
        <v>3.77793</v>
      </c>
      <c r="J349" s="148">
        <v>2.2403981264636998</v>
      </c>
      <c r="K349" s="148">
        <v>42</v>
      </c>
      <c r="L349" s="148">
        <v>60.697512195121959</v>
      </c>
      <c r="M349" s="148">
        <v>72.2</v>
      </c>
    </row>
    <row r="350" spans="1:13">
      <c r="A350" s="148">
        <v>2008</v>
      </c>
      <c r="B350" s="148" t="s">
        <v>357</v>
      </c>
      <c r="C350" s="148" t="str">
        <f t="shared" si="5"/>
        <v>2008_Mongolia</v>
      </c>
      <c r="D350" s="148">
        <v>5623236707.5247135</v>
      </c>
      <c r="E350" s="148">
        <v>2632834</v>
      </c>
      <c r="F350" s="148">
        <v>30.815973634446685</v>
      </c>
      <c r="G350" s="148">
        <v>246660000</v>
      </c>
      <c r="H350" s="148">
        <v>246660000</v>
      </c>
      <c r="I350" s="148" t="s">
        <v>2842</v>
      </c>
      <c r="J350" s="148">
        <v>3.9324639263930798</v>
      </c>
      <c r="K350" s="148" t="s">
        <v>2842</v>
      </c>
      <c r="L350" s="148">
        <v>66.357121951219526</v>
      </c>
      <c r="M350" s="148">
        <v>31.7</v>
      </c>
    </row>
    <row r="351" spans="1:13">
      <c r="A351" s="148">
        <v>2008</v>
      </c>
      <c r="B351" s="148" t="s">
        <v>378</v>
      </c>
      <c r="C351" s="148" t="str">
        <f t="shared" si="5"/>
        <v>2008_Mozambique</v>
      </c>
      <c r="D351" s="148">
        <v>11026247458.238766</v>
      </c>
      <c r="E351" s="148">
        <v>22762525</v>
      </c>
      <c r="F351" s="148" t="s">
        <v>2842</v>
      </c>
      <c r="G351" s="148">
        <v>1996380000</v>
      </c>
      <c r="H351" s="148">
        <v>1996380000</v>
      </c>
      <c r="I351" s="148" t="s">
        <v>2842</v>
      </c>
      <c r="J351" s="148">
        <v>2.9123256336806702</v>
      </c>
      <c r="K351" s="148" t="s">
        <v>2842</v>
      </c>
      <c r="L351" s="148">
        <v>48.493829268292686</v>
      </c>
      <c r="M351" s="148">
        <v>78.099999999999994</v>
      </c>
    </row>
    <row r="352" spans="1:13">
      <c r="A352" s="148">
        <v>2008</v>
      </c>
      <c r="B352" s="148" t="s">
        <v>387</v>
      </c>
      <c r="C352" s="148" t="str">
        <f t="shared" si="5"/>
        <v>2008_Niger</v>
      </c>
      <c r="D352" s="148">
        <v>5403364453.527771</v>
      </c>
      <c r="E352" s="148">
        <v>14737895</v>
      </c>
      <c r="F352" s="148" t="s">
        <v>2842</v>
      </c>
      <c r="G352" s="148">
        <v>612290000</v>
      </c>
      <c r="H352" s="148">
        <v>612290000</v>
      </c>
      <c r="I352" s="148">
        <v>3.6629299999999998</v>
      </c>
      <c r="J352" s="148">
        <v>2.6958723395022401</v>
      </c>
      <c r="K352" s="148" t="s">
        <v>2842</v>
      </c>
      <c r="L352" s="148">
        <v>55.925390243902449</v>
      </c>
      <c r="M352" s="148">
        <v>71.900000000000006</v>
      </c>
    </row>
    <row r="353" spans="1:13">
      <c r="A353" s="148">
        <v>2008</v>
      </c>
      <c r="B353" s="148" t="s">
        <v>406</v>
      </c>
      <c r="C353" s="148" t="str">
        <f t="shared" si="5"/>
        <v>2008_Nigeria</v>
      </c>
      <c r="D353" s="148">
        <v>208064724514.15082</v>
      </c>
      <c r="E353" s="148">
        <v>151208080</v>
      </c>
      <c r="F353" s="148">
        <v>12.9473682123635</v>
      </c>
      <c r="G353" s="148">
        <v>1290160000</v>
      </c>
      <c r="H353" s="148">
        <v>1290160000</v>
      </c>
      <c r="I353" s="148" t="s">
        <v>2842</v>
      </c>
      <c r="J353" s="148">
        <v>2.37477258850602</v>
      </c>
      <c r="K353" s="148" t="s">
        <v>2842</v>
      </c>
      <c r="L353" s="148">
        <v>50.329390243902445</v>
      </c>
      <c r="M353" s="148">
        <v>87.7</v>
      </c>
    </row>
    <row r="354" spans="1:13">
      <c r="A354" s="148">
        <v>2008</v>
      </c>
      <c r="B354" s="148" t="s">
        <v>429</v>
      </c>
      <c r="C354" s="148" t="str">
        <f t="shared" si="5"/>
        <v>2008_Norway</v>
      </c>
      <c r="D354" s="148">
        <v>453885460992.90784</v>
      </c>
      <c r="E354" s="148">
        <v>4768212</v>
      </c>
      <c r="F354" s="148">
        <v>51.11734222321531</v>
      </c>
      <c r="G354" s="148" t="s">
        <v>2842</v>
      </c>
      <c r="H354" s="148" t="s">
        <v>2842</v>
      </c>
      <c r="I354" s="148">
        <v>6.4010499999999997</v>
      </c>
      <c r="J354" s="148">
        <v>7.6136932725083701</v>
      </c>
      <c r="K354" s="148" t="s">
        <v>2842</v>
      </c>
      <c r="L354" s="148">
        <v>80.592682926829283</v>
      </c>
      <c r="M354" s="148">
        <v>2.9</v>
      </c>
    </row>
    <row r="355" spans="1:13">
      <c r="A355" s="148">
        <v>2008</v>
      </c>
      <c r="B355" s="148" t="s">
        <v>442</v>
      </c>
      <c r="C355" s="148" t="str">
        <f t="shared" si="5"/>
        <v>2008_Peru</v>
      </c>
      <c r="D355" s="148">
        <v>121571548180.02281</v>
      </c>
      <c r="E355" s="148">
        <v>28625628</v>
      </c>
      <c r="F355" s="148">
        <v>20.973667240502653</v>
      </c>
      <c r="G355" s="148">
        <v>463020000</v>
      </c>
      <c r="H355" s="148">
        <v>463020000</v>
      </c>
      <c r="I355" s="148">
        <v>2.6741899999999998</v>
      </c>
      <c r="J355" s="148">
        <v>3.58181189055726</v>
      </c>
      <c r="K355" s="148">
        <v>37.299999999999997</v>
      </c>
      <c r="L355" s="148">
        <v>73.307292682926828</v>
      </c>
      <c r="M355" s="148">
        <v>17.399999999999999</v>
      </c>
    </row>
    <row r="356" spans="1:13">
      <c r="A356" s="148">
        <v>2008</v>
      </c>
      <c r="B356" s="148" t="s">
        <v>481</v>
      </c>
      <c r="C356" s="148" t="str">
        <f t="shared" si="5"/>
        <v>2008_Sierra Leone</v>
      </c>
      <c r="D356" s="148">
        <v>2505620416.4952998</v>
      </c>
      <c r="E356" s="148">
        <v>5532139</v>
      </c>
      <c r="F356" s="148">
        <v>8.8547284359019898</v>
      </c>
      <c r="G356" s="148">
        <v>378210000</v>
      </c>
      <c r="H356" s="148">
        <v>378210000</v>
      </c>
      <c r="I356" s="148">
        <v>2.4142100000000002</v>
      </c>
      <c r="J356" s="148">
        <v>1.7569192938906</v>
      </c>
      <c r="K356" s="148" t="s">
        <v>2842</v>
      </c>
      <c r="L356" s="148">
        <v>44.067463414634155</v>
      </c>
      <c r="M356" s="148">
        <v>119.6</v>
      </c>
    </row>
    <row r="357" spans="1:13">
      <c r="A357" s="148">
        <v>2008</v>
      </c>
      <c r="B357" s="148" t="s">
        <v>492</v>
      </c>
      <c r="C357" s="148" t="str">
        <f t="shared" si="5"/>
        <v>2008_Tanzania</v>
      </c>
      <c r="D357" s="148">
        <v>20715086118.935932</v>
      </c>
      <c r="E357" s="148">
        <v>42353790</v>
      </c>
      <c r="F357" s="148" t="s">
        <v>2842</v>
      </c>
      <c r="G357" s="148">
        <v>2331460000</v>
      </c>
      <c r="H357" s="148">
        <v>2331460000</v>
      </c>
      <c r="I357" s="148">
        <v>5.4343000000000004</v>
      </c>
      <c r="J357" s="148">
        <v>3.3686619363873498</v>
      </c>
      <c r="K357" s="148" t="s">
        <v>2842</v>
      </c>
      <c r="L357" s="148">
        <v>57.09717073170733</v>
      </c>
      <c r="M357" s="148">
        <v>46.8</v>
      </c>
    </row>
    <row r="358" spans="1:13">
      <c r="A358" s="148">
        <v>2008</v>
      </c>
      <c r="B358" s="148" t="s">
        <v>2844</v>
      </c>
      <c r="C358" s="148" t="str">
        <f t="shared" si="5"/>
        <v>2008_Timor-Leste</v>
      </c>
      <c r="D358" s="148">
        <v>694000000</v>
      </c>
      <c r="E358" s="148">
        <v>1032182</v>
      </c>
      <c r="F358" s="148" t="s">
        <v>2842</v>
      </c>
      <c r="G358" s="148">
        <v>277540000</v>
      </c>
      <c r="H358" s="148">
        <v>277540000</v>
      </c>
      <c r="I358" s="148">
        <v>8.1043500000000002</v>
      </c>
      <c r="J358" s="148">
        <v>7.2046511759398504</v>
      </c>
      <c r="K358" s="148" t="s">
        <v>2842</v>
      </c>
      <c r="L358" s="148">
        <v>64.827926829268293</v>
      </c>
      <c r="M358" s="148">
        <v>56</v>
      </c>
    </row>
    <row r="359" spans="1:13">
      <c r="A359" s="148">
        <v>2008</v>
      </c>
      <c r="B359" s="148" t="s">
        <v>510</v>
      </c>
      <c r="C359" s="148" t="str">
        <f t="shared" si="5"/>
        <v>2008_Togo</v>
      </c>
      <c r="D359" s="148">
        <v>3163416556.0537729</v>
      </c>
      <c r="E359" s="148">
        <v>5987491</v>
      </c>
      <c r="F359" s="148">
        <v>15.569510210634743</v>
      </c>
      <c r="G359" s="148">
        <v>330070000</v>
      </c>
      <c r="H359" s="148">
        <v>330070000</v>
      </c>
      <c r="I359" s="148">
        <v>3.44204</v>
      </c>
      <c r="J359" s="148">
        <v>2.4102925625660898</v>
      </c>
      <c r="K359" s="148" t="s">
        <v>2842</v>
      </c>
      <c r="L359" s="148">
        <v>54.843195121951226</v>
      </c>
      <c r="M359" s="148">
        <v>63.6</v>
      </c>
    </row>
    <row r="360" spans="1:13">
      <c r="A360" s="148">
        <v>2008</v>
      </c>
      <c r="B360" s="148" t="s">
        <v>2845</v>
      </c>
      <c r="C360" s="148" t="str">
        <f t="shared" si="5"/>
        <v>2008_Trinidad and Tobago</v>
      </c>
      <c r="D360" s="148">
        <v>28165793617.636662</v>
      </c>
      <c r="E360" s="148">
        <v>1316449</v>
      </c>
      <c r="F360" s="148">
        <v>33.654406772892457</v>
      </c>
      <c r="G360" s="148">
        <v>9290000</v>
      </c>
      <c r="H360" s="148">
        <v>9290000</v>
      </c>
      <c r="I360" s="148" t="s">
        <v>2842</v>
      </c>
      <c r="J360" s="148">
        <v>2.13078878549033</v>
      </c>
      <c r="K360" s="148" t="s">
        <v>2842</v>
      </c>
      <c r="L360" s="148">
        <v>69.364365853658555</v>
      </c>
      <c r="M360" s="148">
        <v>22.1</v>
      </c>
    </row>
    <row r="361" spans="1:13">
      <c r="A361" s="148">
        <v>2008</v>
      </c>
      <c r="B361" s="148" t="s">
        <v>522</v>
      </c>
      <c r="C361" s="148" t="str">
        <f t="shared" si="5"/>
        <v>2008_Yemen</v>
      </c>
      <c r="D361" s="148">
        <v>30397203368.97253</v>
      </c>
      <c r="E361" s="148">
        <v>21703571</v>
      </c>
      <c r="F361" s="148" t="s">
        <v>2842</v>
      </c>
      <c r="G361" s="148">
        <v>429610000</v>
      </c>
      <c r="H361" s="148">
        <v>429610000</v>
      </c>
      <c r="I361" s="148">
        <v>5.1513099999999996</v>
      </c>
      <c r="J361" s="148">
        <v>1.5650183265811599</v>
      </c>
      <c r="K361" s="148" t="s">
        <v>2842</v>
      </c>
      <c r="L361" s="148">
        <v>62.137829268292691</v>
      </c>
      <c r="M361" s="148">
        <v>49.5</v>
      </c>
    </row>
    <row r="362" spans="1:13">
      <c r="A362" s="148">
        <v>2008</v>
      </c>
      <c r="B362" s="148" t="s">
        <v>534</v>
      </c>
      <c r="C362" s="148" t="str">
        <f t="shared" si="5"/>
        <v>2008_Zambia</v>
      </c>
      <c r="D362" s="148">
        <v>17911046608.557137</v>
      </c>
      <c r="E362" s="148">
        <v>12456527</v>
      </c>
      <c r="F362" s="148">
        <v>15.013902187505693</v>
      </c>
      <c r="G362" s="148">
        <v>1116240000</v>
      </c>
      <c r="H362" s="148">
        <v>1116240000</v>
      </c>
      <c r="I362" s="148">
        <v>1.3453599999999999</v>
      </c>
      <c r="J362" s="148">
        <v>3.5808150749632599</v>
      </c>
      <c r="K362" s="148" t="s">
        <v>2842</v>
      </c>
      <c r="L362" s="148">
        <v>51.62214634146342</v>
      </c>
      <c r="M362" s="148">
        <v>67.3</v>
      </c>
    </row>
    <row r="363" spans="1:13">
      <c r="A363" s="148">
        <v>2009</v>
      </c>
      <c r="B363" s="148" t="s">
        <v>16</v>
      </c>
      <c r="C363" s="148" t="str">
        <f t="shared" si="5"/>
        <v>2009_Afghanistan</v>
      </c>
      <c r="D363" s="148">
        <v>12486950468.17728</v>
      </c>
      <c r="E363" s="148">
        <v>27708187</v>
      </c>
      <c r="F363" s="148">
        <v>10.516781151629283</v>
      </c>
      <c r="G363" s="148">
        <v>6235260000</v>
      </c>
      <c r="H363" s="148">
        <v>6235260000</v>
      </c>
      <c r="I363" s="148" t="s">
        <v>2842</v>
      </c>
      <c r="J363" s="148">
        <v>1.8402817056912699</v>
      </c>
      <c r="K363" s="148" t="s">
        <v>2842</v>
      </c>
      <c r="L363" s="148">
        <v>59.112341463414637</v>
      </c>
      <c r="M363" s="148">
        <v>76.900000000000006</v>
      </c>
    </row>
    <row r="364" spans="1:13">
      <c r="A364" s="148">
        <v>2009</v>
      </c>
      <c r="B364" s="148" t="s">
        <v>33</v>
      </c>
      <c r="C364" s="148" t="str">
        <f t="shared" si="5"/>
        <v>2009_Albania</v>
      </c>
      <c r="D364" s="148">
        <v>12044208085.864004</v>
      </c>
      <c r="E364" s="148">
        <v>2884303</v>
      </c>
      <c r="F364" s="148" t="s">
        <v>2842</v>
      </c>
      <c r="G364" s="148">
        <v>356960000</v>
      </c>
      <c r="H364" s="148">
        <v>356960000</v>
      </c>
      <c r="I364" s="148" t="s">
        <v>2842</v>
      </c>
      <c r="J364" s="148">
        <v>2.8233430190526501</v>
      </c>
      <c r="K364" s="148" t="s">
        <v>2842</v>
      </c>
      <c r="L364" s="148">
        <v>76.801878048780495</v>
      </c>
      <c r="M364" s="148">
        <v>15.4</v>
      </c>
    </row>
    <row r="365" spans="1:13">
      <c r="A365" s="148">
        <v>2009</v>
      </c>
      <c r="B365" s="148" t="s">
        <v>48</v>
      </c>
      <c r="C365" s="148" t="str">
        <f t="shared" si="5"/>
        <v>2009_Azerbaijan</v>
      </c>
      <c r="D365" s="148">
        <v>44291490420.502617</v>
      </c>
      <c r="E365" s="148">
        <v>8947243</v>
      </c>
      <c r="F365" s="148">
        <v>40.889850146763479</v>
      </c>
      <c r="G365" s="148">
        <v>231770000</v>
      </c>
      <c r="H365" s="148">
        <v>231770000</v>
      </c>
      <c r="I365" s="148">
        <v>3.22431</v>
      </c>
      <c r="J365" s="148">
        <v>1.3389697208022</v>
      </c>
      <c r="K365" s="148">
        <v>10.9</v>
      </c>
      <c r="L365" s="148">
        <v>70.292658536585378</v>
      </c>
      <c r="M365" s="148">
        <v>35.4</v>
      </c>
    </row>
    <row r="366" spans="1:13">
      <c r="A366" s="148">
        <v>2009</v>
      </c>
      <c r="B366" s="148" t="s">
        <v>93</v>
      </c>
      <c r="C366" s="148" t="str">
        <f t="shared" si="5"/>
        <v>2009_Burkina Faso</v>
      </c>
      <c r="D366" s="148">
        <v>8348156389.0769367</v>
      </c>
      <c r="E366" s="148">
        <v>15094967</v>
      </c>
      <c r="F366" s="148">
        <v>13.675978338358425</v>
      </c>
      <c r="G366" s="148">
        <v>1082820000</v>
      </c>
      <c r="H366" s="148">
        <v>1082820000</v>
      </c>
      <c r="I366" s="148" t="s">
        <v>2842</v>
      </c>
      <c r="J366" s="148">
        <v>3.59516076890558</v>
      </c>
      <c r="K366" s="148">
        <v>46.7</v>
      </c>
      <c r="L366" s="148">
        <v>54.55768292682928</v>
      </c>
      <c r="M366" s="148">
        <v>72.8</v>
      </c>
    </row>
    <row r="367" spans="1:13">
      <c r="A367" s="148">
        <v>2009</v>
      </c>
      <c r="B367" s="148" t="s">
        <v>96</v>
      </c>
      <c r="C367" s="148" t="str">
        <f t="shared" si="5"/>
        <v>2009_Cameroon</v>
      </c>
      <c r="D367" s="148">
        <v>23381142604.436356</v>
      </c>
      <c r="E367" s="148">
        <v>20103945</v>
      </c>
      <c r="F367" s="148" t="s">
        <v>2842</v>
      </c>
      <c r="G367" s="148">
        <v>648340000</v>
      </c>
      <c r="H367" s="148">
        <v>648340000</v>
      </c>
      <c r="I367" s="148">
        <v>3.6499299999999999</v>
      </c>
      <c r="J367" s="148">
        <v>1.35211807028361</v>
      </c>
      <c r="K367" s="148" t="s">
        <v>2842</v>
      </c>
      <c r="L367" s="148">
        <v>53.264853658536587</v>
      </c>
      <c r="M367" s="148">
        <v>68.7</v>
      </c>
    </row>
    <row r="368" spans="1:13">
      <c r="A368" s="148">
        <v>2009</v>
      </c>
      <c r="B368" s="148" t="s">
        <v>133</v>
      </c>
      <c r="C368" s="148" t="str">
        <f t="shared" si="5"/>
        <v>2009_Chad</v>
      </c>
      <c r="D368" s="148">
        <v>9253484289.6743355</v>
      </c>
      <c r="E368" s="148">
        <v>11371325</v>
      </c>
      <c r="F368" s="148" t="s">
        <v>2842</v>
      </c>
      <c r="G368" s="148">
        <v>560730000</v>
      </c>
      <c r="H368" s="148">
        <v>560730000</v>
      </c>
      <c r="I368" s="148">
        <v>2.3117399999999999</v>
      </c>
      <c r="J368" s="148">
        <v>0.96471503088606503</v>
      </c>
      <c r="K368" s="148" t="s">
        <v>2842</v>
      </c>
      <c r="L368" s="148">
        <v>49.30753658536586</v>
      </c>
      <c r="M368" s="148">
        <v>95.4</v>
      </c>
    </row>
    <row r="369" spans="1:13">
      <c r="A369" s="148">
        <v>2009</v>
      </c>
      <c r="B369" s="148" t="s">
        <v>122</v>
      </c>
      <c r="C369" s="148" t="str">
        <f t="shared" si="5"/>
        <v>2009_Central African Republic</v>
      </c>
      <c r="D369" s="148">
        <v>1981728179.4988189</v>
      </c>
      <c r="E369" s="148">
        <v>4266247</v>
      </c>
      <c r="F369" s="148">
        <v>9.4661457671727831</v>
      </c>
      <c r="G369" s="148">
        <v>242030000</v>
      </c>
      <c r="H369" s="148">
        <v>242030000</v>
      </c>
      <c r="I369" s="148">
        <v>1.3035600000000001</v>
      </c>
      <c r="J369" s="148">
        <v>1.4971587385265499</v>
      </c>
      <c r="K369" s="148" t="s">
        <v>2842</v>
      </c>
      <c r="L369" s="148">
        <v>47.404926829268305</v>
      </c>
      <c r="M369" s="148">
        <v>104.7</v>
      </c>
    </row>
    <row r="370" spans="1:13">
      <c r="A370" s="148">
        <v>2009</v>
      </c>
      <c r="B370" s="148" t="s">
        <v>165</v>
      </c>
      <c r="C370" s="148" t="str">
        <f t="shared" si="5"/>
        <v>2009_Democratic Republic of Congo</v>
      </c>
      <c r="D370" s="148">
        <v>18262675199.101006</v>
      </c>
      <c r="E370" s="148">
        <v>60486276</v>
      </c>
      <c r="F370" s="148">
        <v>14.231813157824751</v>
      </c>
      <c r="G370" s="148">
        <v>2356850000</v>
      </c>
      <c r="H370" s="148">
        <v>2356850000</v>
      </c>
      <c r="I370" s="148" t="s">
        <v>2842</v>
      </c>
      <c r="J370" s="148">
        <v>3.8517243881318799</v>
      </c>
      <c r="K370" s="148" t="s">
        <v>2842</v>
      </c>
      <c r="L370" s="148">
        <v>48.697804878048785</v>
      </c>
      <c r="M370" s="148">
        <v>94.7</v>
      </c>
    </row>
    <row r="371" spans="1:13">
      <c r="A371" s="148">
        <v>2009</v>
      </c>
      <c r="B371" s="148" t="s">
        <v>458</v>
      </c>
      <c r="C371" s="148" t="str">
        <f t="shared" si="5"/>
        <v>2009_Republic of the Congo</v>
      </c>
      <c r="D371" s="148">
        <v>9593536719.0731144</v>
      </c>
      <c r="E371" s="148">
        <v>3995146</v>
      </c>
      <c r="F371" s="148" t="s">
        <v>2842</v>
      </c>
      <c r="G371" s="148">
        <v>283280000</v>
      </c>
      <c r="H371" s="148">
        <v>283280000</v>
      </c>
      <c r="I371" s="148" t="s">
        <v>2842</v>
      </c>
      <c r="J371" s="148">
        <v>1.1411418192671701</v>
      </c>
      <c r="K371" s="148" t="s">
        <v>2842</v>
      </c>
      <c r="L371" s="148">
        <v>56.584487804878052</v>
      </c>
      <c r="M371" s="148">
        <v>45.1</v>
      </c>
    </row>
    <row r="372" spans="1:13">
      <c r="A372" s="148">
        <v>2009</v>
      </c>
      <c r="B372" s="33" t="s">
        <v>3542</v>
      </c>
      <c r="C372" s="148" t="str">
        <f t="shared" si="5"/>
        <v>2009_Côte d'Ivoire</v>
      </c>
      <c r="D372" s="148">
        <v>24277494337.400372</v>
      </c>
      <c r="E372" s="148">
        <v>18601342</v>
      </c>
      <c r="F372" s="148">
        <v>16.108547839638852</v>
      </c>
      <c r="G372" s="148">
        <v>2401600000</v>
      </c>
      <c r="H372" s="148">
        <v>2401600000</v>
      </c>
      <c r="I372" s="148" t="s">
        <v>2842</v>
      </c>
      <c r="J372" s="148">
        <v>1.7878208120541099</v>
      </c>
      <c r="K372" s="148" t="s">
        <v>2842</v>
      </c>
      <c r="L372" s="148">
        <v>49.256829268292691</v>
      </c>
      <c r="M372" s="148">
        <v>79.3</v>
      </c>
    </row>
    <row r="373" spans="1:13">
      <c r="A373" s="148">
        <v>2009</v>
      </c>
      <c r="B373" s="148" t="s">
        <v>182</v>
      </c>
      <c r="C373" s="148" t="str">
        <f t="shared" si="5"/>
        <v>2009_Equatorial Guinea</v>
      </c>
      <c r="D373" s="148">
        <v>9364826470.1428719</v>
      </c>
      <c r="E373" s="148">
        <v>676851</v>
      </c>
      <c r="F373" s="148">
        <v>53.553091351817791</v>
      </c>
      <c r="G373" s="148">
        <v>31490000</v>
      </c>
      <c r="H373" s="148">
        <v>31490000</v>
      </c>
      <c r="I373" s="148" t="s">
        <v>2842</v>
      </c>
      <c r="J373" s="148">
        <v>4.0227260826367601</v>
      </c>
      <c r="K373" s="148" t="s">
        <v>2842</v>
      </c>
      <c r="L373" s="148">
        <v>50.96536585365854</v>
      </c>
      <c r="M373" s="148">
        <v>77.7</v>
      </c>
    </row>
    <row r="374" spans="1:13">
      <c r="A374" s="148">
        <v>2009</v>
      </c>
      <c r="B374" s="148" t="s">
        <v>185</v>
      </c>
      <c r="C374" s="148" t="str">
        <f t="shared" si="5"/>
        <v>2009_Gabon</v>
      </c>
      <c r="D374" s="148">
        <v>12031268402.387711</v>
      </c>
      <c r="E374" s="148">
        <v>1519155</v>
      </c>
      <c r="F374" s="148" t="s">
        <v>2842</v>
      </c>
      <c r="G374" s="148">
        <v>77210000</v>
      </c>
      <c r="H374" s="148">
        <v>77210000</v>
      </c>
      <c r="I374" s="148" t="s">
        <v>2842</v>
      </c>
      <c r="J374" s="148">
        <v>1.5579059978954799</v>
      </c>
      <c r="K374" s="148" t="s">
        <v>2842</v>
      </c>
      <c r="L374" s="148">
        <v>61.852707317073175</v>
      </c>
      <c r="M374" s="148">
        <v>44.6</v>
      </c>
    </row>
    <row r="375" spans="1:13">
      <c r="A375" s="148">
        <v>2009</v>
      </c>
      <c r="B375" s="148" t="s">
        <v>189</v>
      </c>
      <c r="C375" s="148" t="str">
        <f t="shared" si="5"/>
        <v>2009_Ghana</v>
      </c>
      <c r="D375" s="148">
        <v>25978508375.922771</v>
      </c>
      <c r="E375" s="148">
        <v>23691533</v>
      </c>
      <c r="F375" s="148">
        <v>15.418098622920914</v>
      </c>
      <c r="G375" s="148">
        <v>1581820000</v>
      </c>
      <c r="H375" s="148">
        <v>1581820000</v>
      </c>
      <c r="I375" s="148">
        <v>5.3172899999999998</v>
      </c>
      <c r="J375" s="148">
        <v>2.9557013859557002</v>
      </c>
      <c r="K375" s="148" t="s">
        <v>2842</v>
      </c>
      <c r="L375" s="148">
        <v>60.351024390243907</v>
      </c>
      <c r="M375" s="148">
        <v>55.6</v>
      </c>
    </row>
    <row r="376" spans="1:13">
      <c r="A376" s="148">
        <v>2009</v>
      </c>
      <c r="B376" s="148" t="s">
        <v>2843</v>
      </c>
      <c r="C376" s="148" t="str">
        <f t="shared" si="5"/>
        <v>2009_Guinea</v>
      </c>
      <c r="D376" s="148">
        <v>4609923720.1779509</v>
      </c>
      <c r="E376" s="148">
        <v>10593248</v>
      </c>
      <c r="F376" s="148" t="s">
        <v>2842</v>
      </c>
      <c r="G376" s="148">
        <v>214340000</v>
      </c>
      <c r="H376" s="148">
        <v>214340000</v>
      </c>
      <c r="I376" s="148">
        <v>3.2160799999999998</v>
      </c>
      <c r="J376" s="148">
        <v>1.7468988943587</v>
      </c>
      <c r="K376" s="148" t="s">
        <v>2842</v>
      </c>
      <c r="L376" s="148">
        <v>54.93187804878049</v>
      </c>
      <c r="M376" s="148">
        <v>73.900000000000006</v>
      </c>
    </row>
    <row r="377" spans="1:13">
      <c r="A377" s="148">
        <v>2009</v>
      </c>
      <c r="B377" s="148" t="s">
        <v>213</v>
      </c>
      <c r="C377" s="148" t="str">
        <f t="shared" si="5"/>
        <v>2009_Guatemala</v>
      </c>
      <c r="D377" s="148">
        <v>37733655165.653793</v>
      </c>
      <c r="E377" s="148">
        <v>13988988</v>
      </c>
      <c r="F377" s="148">
        <v>10.87079264847857</v>
      </c>
      <c r="G377" s="148">
        <v>375580000</v>
      </c>
      <c r="H377" s="148">
        <v>375580000</v>
      </c>
      <c r="I377" s="148" t="s">
        <v>2842</v>
      </c>
      <c r="J377" s="148">
        <v>2.5593684509943602</v>
      </c>
      <c r="K377" s="148" t="s">
        <v>2842</v>
      </c>
      <c r="L377" s="148">
        <v>70.681048780487799</v>
      </c>
      <c r="M377" s="148">
        <v>29.3</v>
      </c>
    </row>
    <row r="378" spans="1:13">
      <c r="A378" s="148">
        <v>2009</v>
      </c>
      <c r="B378" s="148" t="s">
        <v>237</v>
      </c>
      <c r="C378" s="148" t="str">
        <f t="shared" si="5"/>
        <v>2009_Indonesia</v>
      </c>
      <c r="D378" s="148">
        <v>539579955780.06226</v>
      </c>
      <c r="E378" s="148">
        <v>237486894</v>
      </c>
      <c r="F378" s="148">
        <v>15.375024136545859</v>
      </c>
      <c r="G378" s="148">
        <v>1046530000</v>
      </c>
      <c r="H378" s="148">
        <v>1046530000</v>
      </c>
      <c r="I378" s="148">
        <v>3.5251299999999999</v>
      </c>
      <c r="J378" s="148">
        <v>1.0195494155634801</v>
      </c>
      <c r="K378" s="148">
        <v>14.2</v>
      </c>
      <c r="L378" s="148">
        <v>69.933097560975625</v>
      </c>
      <c r="M378" s="148">
        <v>28.6</v>
      </c>
    </row>
    <row r="379" spans="1:13">
      <c r="A379" s="148">
        <v>2009</v>
      </c>
      <c r="B379" s="148" t="s">
        <v>245</v>
      </c>
      <c r="C379" s="148" t="str">
        <f t="shared" si="5"/>
        <v>2009_Iraq</v>
      </c>
      <c r="D379" s="148">
        <v>111660855042.73505</v>
      </c>
      <c r="E379" s="148">
        <v>30163199</v>
      </c>
      <c r="F379" s="148" t="s">
        <v>2842</v>
      </c>
      <c r="G379" s="148">
        <v>2791100000</v>
      </c>
      <c r="H379" s="148">
        <v>2791100000</v>
      </c>
      <c r="I379" s="148" t="s">
        <v>2842</v>
      </c>
      <c r="J379" s="148">
        <v>3.4530814714557101</v>
      </c>
      <c r="K379" s="148" t="s">
        <v>2842</v>
      </c>
      <c r="L379" s="148">
        <v>68.727951219512221</v>
      </c>
      <c r="M379" s="148">
        <v>30.7</v>
      </c>
    </row>
    <row r="380" spans="1:13">
      <c r="A380" s="148">
        <v>2009</v>
      </c>
      <c r="B380" s="148" t="s">
        <v>273</v>
      </c>
      <c r="C380" s="148" t="str">
        <f t="shared" si="5"/>
        <v>2009_Kazakhstan</v>
      </c>
      <c r="D380" s="148">
        <v>115308661142.92726</v>
      </c>
      <c r="E380" s="148">
        <v>16092701</v>
      </c>
      <c r="F380" s="148" t="s">
        <v>2842</v>
      </c>
      <c r="G380" s="148">
        <v>297500000</v>
      </c>
      <c r="H380" s="148">
        <v>297500000</v>
      </c>
      <c r="I380" s="148">
        <v>3.0607199999999999</v>
      </c>
      <c r="J380" s="148">
        <v>2.6511192288974499</v>
      </c>
      <c r="K380" s="148">
        <v>8.1999999999999993</v>
      </c>
      <c r="L380" s="148">
        <v>68.429268292682934</v>
      </c>
      <c r="M380" s="148">
        <v>21.1</v>
      </c>
    </row>
    <row r="381" spans="1:13">
      <c r="A381" s="148">
        <v>2009</v>
      </c>
      <c r="B381" s="148" t="s">
        <v>278</v>
      </c>
      <c r="C381" s="148" t="str">
        <f t="shared" si="5"/>
        <v>2009_Kyrgyz Republic</v>
      </c>
      <c r="D381" s="148">
        <v>4690062255.1224709</v>
      </c>
      <c r="E381" s="148">
        <v>5383300</v>
      </c>
      <c r="F381" s="148">
        <v>18.787700604652848</v>
      </c>
      <c r="G381" s="148">
        <v>313360000</v>
      </c>
      <c r="H381" s="148">
        <v>313360000</v>
      </c>
      <c r="I381" s="148">
        <v>6.2326800000000002</v>
      </c>
      <c r="J381" s="148">
        <v>3.7853525690403198</v>
      </c>
      <c r="K381" s="148">
        <v>31.7</v>
      </c>
      <c r="L381" s="148">
        <v>69.102439024390264</v>
      </c>
      <c r="M381" s="148">
        <v>28.5</v>
      </c>
    </row>
    <row r="382" spans="1:13">
      <c r="A382" s="148">
        <v>2009</v>
      </c>
      <c r="B382" s="148" t="s">
        <v>294</v>
      </c>
      <c r="C382" s="148" t="str">
        <f t="shared" si="5"/>
        <v>2009_Liberia</v>
      </c>
      <c r="D382" s="148">
        <v>1155146229.7859976</v>
      </c>
      <c r="E382" s="148">
        <v>3821440</v>
      </c>
      <c r="F382" s="148" t="s">
        <v>2842</v>
      </c>
      <c r="G382" s="148">
        <v>512570000.00000006</v>
      </c>
      <c r="H382" s="148">
        <v>512570000.00000006</v>
      </c>
      <c r="I382" s="148" t="s">
        <v>2842</v>
      </c>
      <c r="J382" s="148">
        <v>3.33555503970467</v>
      </c>
      <c r="K382" s="148" t="s">
        <v>2842</v>
      </c>
      <c r="L382" s="148">
        <v>58.859195121951224</v>
      </c>
      <c r="M382" s="148">
        <v>63.5</v>
      </c>
    </row>
    <row r="383" spans="1:13">
      <c r="A383" s="148">
        <v>2009</v>
      </c>
      <c r="B383" s="148" t="s">
        <v>309</v>
      </c>
      <c r="C383" s="148" t="str">
        <f t="shared" si="5"/>
        <v>2009_Madagascar</v>
      </c>
      <c r="D383" s="148">
        <v>8550363829.0960493</v>
      </c>
      <c r="E383" s="148">
        <v>20495695</v>
      </c>
      <c r="F383" s="148">
        <v>9.864140912547759</v>
      </c>
      <c r="G383" s="148">
        <v>443960000</v>
      </c>
      <c r="H383" s="148">
        <v>443960000</v>
      </c>
      <c r="I383" s="148">
        <v>3.1630099999999999</v>
      </c>
      <c r="J383" s="148">
        <v>2.1995867693281901</v>
      </c>
      <c r="K383" s="148" t="s">
        <v>2842</v>
      </c>
      <c r="L383" s="148">
        <v>62.907658536585373</v>
      </c>
      <c r="M383" s="148">
        <v>45.2</v>
      </c>
    </row>
    <row r="384" spans="1:13">
      <c r="A384" s="148">
        <v>2009</v>
      </c>
      <c r="B384" s="148" t="s">
        <v>322</v>
      </c>
      <c r="C384" s="148" t="str">
        <f t="shared" si="5"/>
        <v>2009_Mali</v>
      </c>
      <c r="D384" s="148">
        <v>8964480570.3252125</v>
      </c>
      <c r="E384" s="148">
        <v>13559296</v>
      </c>
      <c r="F384" s="148">
        <v>17.127316329560983</v>
      </c>
      <c r="G384" s="148">
        <v>984390000</v>
      </c>
      <c r="H384" s="148">
        <v>984390000</v>
      </c>
      <c r="I384" s="148">
        <v>4.3983699999999999</v>
      </c>
      <c r="J384" s="148">
        <v>3.1489920645607898</v>
      </c>
      <c r="K384" s="148" t="s">
        <v>2842</v>
      </c>
      <c r="L384" s="148">
        <v>53.342195121951235</v>
      </c>
      <c r="M384" s="148">
        <v>85.2</v>
      </c>
    </row>
    <row r="385" spans="1:13">
      <c r="A385" s="148">
        <v>2009</v>
      </c>
      <c r="B385" s="148" t="s">
        <v>338</v>
      </c>
      <c r="C385" s="148" t="str">
        <f t="shared" si="5"/>
        <v>2009_Mauritania</v>
      </c>
      <c r="D385" s="148">
        <v>3027020496.1927204</v>
      </c>
      <c r="E385" s="148">
        <v>3516077</v>
      </c>
      <c r="F385" s="148" t="s">
        <v>2842</v>
      </c>
      <c r="G385" s="148">
        <v>373470000</v>
      </c>
      <c r="H385" s="148">
        <v>373470000</v>
      </c>
      <c r="I385" s="148" t="s">
        <v>2842</v>
      </c>
      <c r="J385" s="148">
        <v>3.3720483064527098</v>
      </c>
      <c r="K385" s="148" t="s">
        <v>2842</v>
      </c>
      <c r="L385" s="148">
        <v>60.859439024390255</v>
      </c>
      <c r="M385" s="148">
        <v>71.2</v>
      </c>
    </row>
    <row r="386" spans="1:13">
      <c r="A386" s="148">
        <v>2009</v>
      </c>
      <c r="B386" s="148" t="s">
        <v>357</v>
      </c>
      <c r="C386" s="148" t="str">
        <f t="shared" si="5"/>
        <v>2009_Mongolia</v>
      </c>
      <c r="D386" s="148">
        <v>4583834427.3647375</v>
      </c>
      <c r="E386" s="148">
        <v>2672223</v>
      </c>
      <c r="F386" s="148">
        <v>26.831178133413957</v>
      </c>
      <c r="G386" s="148">
        <v>371220000</v>
      </c>
      <c r="H386" s="148">
        <v>371220000</v>
      </c>
      <c r="I386" s="148">
        <v>5.1448499999999999</v>
      </c>
      <c r="J386" s="148">
        <v>3.8923869507960398</v>
      </c>
      <c r="K386" s="148" t="s">
        <v>2842</v>
      </c>
      <c r="L386" s="148">
        <v>66.641219512195136</v>
      </c>
      <c r="M386" s="148">
        <v>30.4</v>
      </c>
    </row>
    <row r="387" spans="1:13">
      <c r="A387" s="148">
        <v>2009</v>
      </c>
      <c r="B387" s="148" t="s">
        <v>378</v>
      </c>
      <c r="C387" s="148" t="str">
        <f t="shared" si="5"/>
        <v>2009_Mozambique</v>
      </c>
      <c r="D387" s="148">
        <v>10726631099.557865</v>
      </c>
      <c r="E387" s="148">
        <v>23361025</v>
      </c>
      <c r="F387" s="148" t="s">
        <v>2842</v>
      </c>
      <c r="G387" s="148">
        <v>2012400000</v>
      </c>
      <c r="H387" s="148">
        <v>2012400000</v>
      </c>
      <c r="I387" s="148" t="s">
        <v>2842</v>
      </c>
      <c r="J387" s="148">
        <v>2.78671214403504</v>
      </c>
      <c r="K387" s="148">
        <v>54.7</v>
      </c>
      <c r="L387" s="148">
        <v>48.799439024390246</v>
      </c>
      <c r="M387" s="148">
        <v>74.3</v>
      </c>
    </row>
    <row r="388" spans="1:13">
      <c r="A388" s="148">
        <v>2009</v>
      </c>
      <c r="B388" s="148" t="s">
        <v>387</v>
      </c>
      <c r="C388" s="148" t="str">
        <f t="shared" ref="C388:C451" si="6">$A388&amp;"_"&amp;$B388</f>
        <v>2009_Niger</v>
      </c>
      <c r="D388" s="148">
        <v>5397121962.0242481</v>
      </c>
      <c r="E388" s="148">
        <v>15302948</v>
      </c>
      <c r="F388" s="148" t="s">
        <v>2842</v>
      </c>
      <c r="G388" s="148">
        <v>469290000</v>
      </c>
      <c r="H388" s="148">
        <v>469290000</v>
      </c>
      <c r="I388" s="148">
        <v>4.5260300000000004</v>
      </c>
      <c r="J388" s="148">
        <v>2.6890554719722899</v>
      </c>
      <c r="K388" s="148" t="s">
        <v>2842</v>
      </c>
      <c r="L388" s="148">
        <v>56.468219512195127</v>
      </c>
      <c r="M388" s="148">
        <v>68.8</v>
      </c>
    </row>
    <row r="389" spans="1:13">
      <c r="A389" s="148">
        <v>2009</v>
      </c>
      <c r="B389" s="148" t="s">
        <v>406</v>
      </c>
      <c r="C389" s="148" t="str">
        <f t="shared" si="6"/>
        <v>2009_Nigeria</v>
      </c>
      <c r="D389" s="148">
        <v>169481270114.98428</v>
      </c>
      <c r="E389" s="148">
        <v>155381020</v>
      </c>
      <c r="F389" s="148">
        <v>10.472713995332148</v>
      </c>
      <c r="G389" s="148">
        <v>1657070000</v>
      </c>
      <c r="H389" s="148">
        <v>1657070000</v>
      </c>
      <c r="I389" s="148" t="s">
        <v>2842</v>
      </c>
      <c r="J389" s="148">
        <v>2.1411668410240599</v>
      </c>
      <c r="K389" s="148" t="s">
        <v>2842</v>
      </c>
      <c r="L389" s="148">
        <v>50.830487804878054</v>
      </c>
      <c r="M389" s="148">
        <v>84.7</v>
      </c>
    </row>
    <row r="390" spans="1:13">
      <c r="A390" s="148">
        <v>2009</v>
      </c>
      <c r="B390" s="148" t="s">
        <v>429</v>
      </c>
      <c r="C390" s="148" t="str">
        <f t="shared" si="6"/>
        <v>2009_Norway</v>
      </c>
      <c r="D390" s="148">
        <v>378849191624.70203</v>
      </c>
      <c r="E390" s="148">
        <v>4828726</v>
      </c>
      <c r="F390" s="148">
        <v>48.173426855221571</v>
      </c>
      <c r="G390" s="148" t="s">
        <v>2842</v>
      </c>
      <c r="H390" s="148" t="s">
        <v>2842</v>
      </c>
      <c r="I390" s="148">
        <v>7.2409800000000004</v>
      </c>
      <c r="J390" s="148">
        <v>8.5228746647189908</v>
      </c>
      <c r="K390" s="148" t="s">
        <v>2842</v>
      </c>
      <c r="L390" s="148">
        <v>80.795121951219514</v>
      </c>
      <c r="M390" s="148">
        <v>2.7</v>
      </c>
    </row>
    <row r="391" spans="1:13">
      <c r="A391" s="148">
        <v>2009</v>
      </c>
      <c r="B391" s="148" t="s">
        <v>442</v>
      </c>
      <c r="C391" s="148" t="str">
        <f t="shared" si="6"/>
        <v>2009_Peru</v>
      </c>
      <c r="D391" s="148">
        <v>121200381042.49667</v>
      </c>
      <c r="E391" s="148">
        <v>28934303</v>
      </c>
      <c r="F391" s="148">
        <v>18.903877723521582</v>
      </c>
      <c r="G391" s="148">
        <v>441170000</v>
      </c>
      <c r="H391" s="148">
        <v>441170000</v>
      </c>
      <c r="I391" s="148">
        <v>2.9168400000000001</v>
      </c>
      <c r="J391" s="148">
        <v>3.0825696943416498</v>
      </c>
      <c r="K391" s="148">
        <v>33.5</v>
      </c>
      <c r="L391" s="148">
        <v>73.603682926829279</v>
      </c>
      <c r="M391" s="148">
        <v>16.2</v>
      </c>
    </row>
    <row r="392" spans="1:13">
      <c r="A392" s="148">
        <v>2009</v>
      </c>
      <c r="B392" s="148" t="s">
        <v>481</v>
      </c>
      <c r="C392" s="148" t="str">
        <f t="shared" si="6"/>
        <v>2009_Sierra Leone</v>
      </c>
      <c r="D392" s="148">
        <v>2453972925.4943657</v>
      </c>
      <c r="E392" s="148">
        <v>5641182</v>
      </c>
      <c r="F392" s="148">
        <v>9.02848468040348</v>
      </c>
      <c r="G392" s="148">
        <v>448260000</v>
      </c>
      <c r="H392" s="148">
        <v>448260000</v>
      </c>
      <c r="I392" s="148">
        <v>2.7774299999999998</v>
      </c>
      <c r="J392" s="148">
        <v>2.1735356398180099</v>
      </c>
      <c r="K392" s="148" t="s">
        <v>2842</v>
      </c>
      <c r="L392" s="148">
        <v>44.501439024390251</v>
      </c>
      <c r="M392" s="148">
        <v>116.9</v>
      </c>
    </row>
    <row r="393" spans="1:13">
      <c r="A393" s="148">
        <v>2009</v>
      </c>
      <c r="B393" s="148" t="s">
        <v>492</v>
      </c>
      <c r="C393" s="148" t="str">
        <f t="shared" si="6"/>
        <v>2009_Tanzania</v>
      </c>
      <c r="D393" s="148">
        <v>21368165683.254303</v>
      </c>
      <c r="E393" s="148">
        <v>43639752</v>
      </c>
      <c r="F393" s="148">
        <v>16.465020179836905</v>
      </c>
      <c r="G393" s="148">
        <v>2933150000</v>
      </c>
      <c r="H393" s="148">
        <v>2933150000</v>
      </c>
      <c r="I393" s="148">
        <v>5.3462899999999998</v>
      </c>
      <c r="J393" s="148">
        <v>3.6533132411230298</v>
      </c>
      <c r="K393" s="148" t="s">
        <v>2842</v>
      </c>
      <c r="L393" s="148">
        <v>58.1759512195122</v>
      </c>
      <c r="M393" s="148">
        <v>44.1</v>
      </c>
    </row>
    <row r="394" spans="1:13">
      <c r="A394" s="148">
        <v>2009</v>
      </c>
      <c r="B394" s="148" t="s">
        <v>2844</v>
      </c>
      <c r="C394" s="148" t="str">
        <f t="shared" si="6"/>
        <v>2009_Timor-Leste</v>
      </c>
      <c r="D394" s="148">
        <v>818000000</v>
      </c>
      <c r="E394" s="148">
        <v>1049156</v>
      </c>
      <c r="F394" s="148" t="s">
        <v>2842</v>
      </c>
      <c r="G394" s="148">
        <v>216440000</v>
      </c>
      <c r="H394" s="148">
        <v>216440000</v>
      </c>
      <c r="I394" s="148">
        <v>11.345470000000001</v>
      </c>
      <c r="J394" s="148">
        <v>5.4364928308590299</v>
      </c>
      <c r="K394" s="148" t="s">
        <v>2842</v>
      </c>
      <c r="L394" s="148">
        <v>65.388000000000005</v>
      </c>
      <c r="M394" s="148">
        <v>53.6</v>
      </c>
    </row>
    <row r="395" spans="1:13">
      <c r="A395" s="148">
        <v>2009</v>
      </c>
      <c r="B395" s="148" t="s">
        <v>510</v>
      </c>
      <c r="C395" s="148" t="str">
        <f t="shared" si="6"/>
        <v>2009_Togo</v>
      </c>
      <c r="D395" s="148">
        <v>3163000590.6629839</v>
      </c>
      <c r="E395" s="148">
        <v>6144457</v>
      </c>
      <c r="F395" s="148">
        <v>16.950302627033349</v>
      </c>
      <c r="G395" s="148">
        <v>498520000</v>
      </c>
      <c r="H395" s="148">
        <v>498520000</v>
      </c>
      <c r="I395" s="148">
        <v>4.1157599999999999</v>
      </c>
      <c r="J395" s="148">
        <v>3.27871157838345</v>
      </c>
      <c r="K395" s="148" t="s">
        <v>2842</v>
      </c>
      <c r="L395" s="148">
        <v>55.143902439024387</v>
      </c>
      <c r="M395" s="148">
        <v>62</v>
      </c>
    </row>
    <row r="396" spans="1:13">
      <c r="A396" s="148">
        <v>2009</v>
      </c>
      <c r="B396" s="148" t="s">
        <v>2845</v>
      </c>
      <c r="C396" s="148" t="str">
        <f t="shared" si="6"/>
        <v>2009_Trinidad and Tobago</v>
      </c>
      <c r="D396" s="148">
        <v>19332270662.309715</v>
      </c>
      <c r="E396" s="148">
        <v>1322518</v>
      </c>
      <c r="F396" s="148">
        <v>34.283605840980862</v>
      </c>
      <c r="G396" s="148">
        <v>6840000</v>
      </c>
      <c r="H396" s="148">
        <v>6840000</v>
      </c>
      <c r="I396" s="148" t="s">
        <v>2842</v>
      </c>
      <c r="J396" s="148">
        <v>2.9388103425672401</v>
      </c>
      <c r="K396" s="148" t="s">
        <v>2842</v>
      </c>
      <c r="L396" s="148">
        <v>69.482487804878048</v>
      </c>
      <c r="M396" s="148">
        <v>21.4</v>
      </c>
    </row>
    <row r="397" spans="1:13">
      <c r="A397" s="148">
        <v>2009</v>
      </c>
      <c r="B397" s="148" t="s">
        <v>522</v>
      </c>
      <c r="C397" s="148" t="str">
        <f t="shared" si="6"/>
        <v>2009_Yemen</v>
      </c>
      <c r="D397" s="148">
        <v>27838718233.109901</v>
      </c>
      <c r="E397" s="148">
        <v>22229625</v>
      </c>
      <c r="F397" s="148" t="s">
        <v>2842</v>
      </c>
      <c r="G397" s="148">
        <v>557850000</v>
      </c>
      <c r="H397" s="148">
        <v>557850000</v>
      </c>
      <c r="I397" s="148" t="s">
        <v>2842</v>
      </c>
      <c r="J397" s="148">
        <v>1.33669780443996</v>
      </c>
      <c r="K397" s="148" t="s">
        <v>2842</v>
      </c>
      <c r="L397" s="148">
        <v>62.33378048780488</v>
      </c>
      <c r="M397" s="148">
        <v>47.5</v>
      </c>
    </row>
    <row r="398" spans="1:13">
      <c r="A398" s="148">
        <v>2009</v>
      </c>
      <c r="B398" s="148" t="s">
        <v>534</v>
      </c>
      <c r="C398" s="148" t="str">
        <f t="shared" si="6"/>
        <v>2009_Zambia</v>
      </c>
      <c r="D398" s="148">
        <v>15328314220.185898</v>
      </c>
      <c r="E398" s="148">
        <v>12825031</v>
      </c>
      <c r="F398" s="148">
        <v>13.054265273784175</v>
      </c>
      <c r="G398" s="148">
        <v>1267060000</v>
      </c>
      <c r="H398" s="148">
        <v>1267060000</v>
      </c>
      <c r="I398" s="148" t="s">
        <v>2842</v>
      </c>
      <c r="J398" s="148">
        <v>3.5602735395649199</v>
      </c>
      <c r="K398" s="148" t="s">
        <v>2842</v>
      </c>
      <c r="L398" s="148">
        <v>53.11336585365855</v>
      </c>
      <c r="M398" s="148">
        <v>64.8</v>
      </c>
    </row>
    <row r="399" spans="1:13">
      <c r="A399" s="148">
        <v>2010</v>
      </c>
      <c r="B399" s="148" t="s">
        <v>16</v>
      </c>
      <c r="C399" s="148" t="str">
        <f t="shared" si="6"/>
        <v>2010_Afghanistan</v>
      </c>
      <c r="D399" s="148">
        <v>15936784437.224018</v>
      </c>
      <c r="E399" s="148">
        <v>28397812</v>
      </c>
      <c r="F399" s="148">
        <v>11.036184539599427</v>
      </c>
      <c r="G399" s="148">
        <v>6426380000</v>
      </c>
      <c r="H399" s="148">
        <v>6426380000</v>
      </c>
      <c r="I399" s="148" t="s">
        <v>2842</v>
      </c>
      <c r="J399" s="148">
        <v>1.8055435219651901</v>
      </c>
      <c r="K399" s="148" t="s">
        <v>2842</v>
      </c>
      <c r="L399" s="148">
        <v>59.60009756097562</v>
      </c>
      <c r="M399" s="148">
        <v>75.3</v>
      </c>
    </row>
    <row r="400" spans="1:13">
      <c r="A400" s="148">
        <v>2010</v>
      </c>
      <c r="B400" s="148" t="s">
        <v>33</v>
      </c>
      <c r="C400" s="148" t="str">
        <f t="shared" si="6"/>
        <v>2010_Albania</v>
      </c>
      <c r="D400" s="148">
        <v>11926957254.628792</v>
      </c>
      <c r="E400" s="148">
        <v>2856673</v>
      </c>
      <c r="F400" s="148" t="s">
        <v>2842</v>
      </c>
      <c r="G400" s="148">
        <v>340700000</v>
      </c>
      <c r="H400" s="148">
        <v>340700000</v>
      </c>
      <c r="I400" s="148" t="s">
        <v>2842</v>
      </c>
      <c r="J400" s="148">
        <v>2.5117111288743499</v>
      </c>
      <c r="K400" s="148" t="s">
        <v>2842</v>
      </c>
      <c r="L400" s="148">
        <v>76.978512195121951</v>
      </c>
      <c r="M400" s="148">
        <v>14.8</v>
      </c>
    </row>
    <row r="401" spans="1:13">
      <c r="A401" s="148">
        <v>2010</v>
      </c>
      <c r="B401" s="148" t="s">
        <v>48</v>
      </c>
      <c r="C401" s="148" t="str">
        <f t="shared" si="6"/>
        <v>2010_Azerbaijan</v>
      </c>
      <c r="D401" s="148">
        <v>52902703376.105644</v>
      </c>
      <c r="E401" s="148">
        <v>9054332</v>
      </c>
      <c r="F401" s="148">
        <v>46.828917932414932</v>
      </c>
      <c r="G401" s="148">
        <v>159110000</v>
      </c>
      <c r="H401" s="148">
        <v>159110000</v>
      </c>
      <c r="I401" s="148">
        <v>2.7806199999999999</v>
      </c>
      <c r="J401" s="148">
        <v>1.1680207229483099</v>
      </c>
      <c r="K401" s="148">
        <v>9.1</v>
      </c>
      <c r="L401" s="148">
        <v>70.450292682926829</v>
      </c>
      <c r="M401" s="148">
        <v>33.799999999999997</v>
      </c>
    </row>
    <row r="402" spans="1:13">
      <c r="A402" s="148">
        <v>2010</v>
      </c>
      <c r="B402" s="148" t="s">
        <v>93</v>
      </c>
      <c r="C402" s="148" t="str">
        <f t="shared" si="6"/>
        <v>2010_Burkina Faso</v>
      </c>
      <c r="D402" s="148">
        <v>9209288383.0871105</v>
      </c>
      <c r="E402" s="148">
        <v>15540284</v>
      </c>
      <c r="F402" s="148">
        <v>14.936569973414764</v>
      </c>
      <c r="G402" s="148">
        <v>1062339999.9999999</v>
      </c>
      <c r="H402" s="148">
        <v>1062339999.9999999</v>
      </c>
      <c r="I402" s="148">
        <v>3.8408699999999998</v>
      </c>
      <c r="J402" s="148">
        <v>4.0761827832910198</v>
      </c>
      <c r="K402" s="148" t="s">
        <v>2842</v>
      </c>
      <c r="L402" s="148">
        <v>55.006756097560981</v>
      </c>
      <c r="M402" s="148">
        <v>70</v>
      </c>
    </row>
    <row r="403" spans="1:13">
      <c r="A403" s="148">
        <v>2010</v>
      </c>
      <c r="B403" s="148" t="s">
        <v>96</v>
      </c>
      <c r="C403" s="148" t="str">
        <f t="shared" si="6"/>
        <v>2010_Cameroon</v>
      </c>
      <c r="D403" s="148">
        <v>23622482954.803967</v>
      </c>
      <c r="E403" s="148">
        <v>20624343</v>
      </c>
      <c r="F403" s="148" t="s">
        <v>2842</v>
      </c>
      <c r="G403" s="148">
        <v>540500000</v>
      </c>
      <c r="H403" s="148">
        <v>540500000</v>
      </c>
      <c r="I403" s="148">
        <v>3.4795099999999999</v>
      </c>
      <c r="J403" s="148">
        <v>1.58362844660621</v>
      </c>
      <c r="K403" s="148" t="s">
        <v>2842</v>
      </c>
      <c r="L403" s="148">
        <v>53.694829268292686</v>
      </c>
      <c r="M403" s="148">
        <v>66</v>
      </c>
    </row>
    <row r="404" spans="1:13">
      <c r="A404" s="148">
        <v>2010</v>
      </c>
      <c r="B404" s="148" t="s">
        <v>133</v>
      </c>
      <c r="C404" s="148" t="str">
        <f t="shared" si="6"/>
        <v>2010_Chad</v>
      </c>
      <c r="D404" s="148">
        <v>10657705072.288368</v>
      </c>
      <c r="E404" s="148">
        <v>11720781</v>
      </c>
      <c r="F404" s="148" t="s">
        <v>2842</v>
      </c>
      <c r="G404" s="148">
        <v>486040000</v>
      </c>
      <c r="H404" s="148">
        <v>486040000</v>
      </c>
      <c r="I404" s="148">
        <v>1.98194</v>
      </c>
      <c r="J404" s="148">
        <v>0.99600314839290804</v>
      </c>
      <c r="K404" s="148" t="s">
        <v>2842</v>
      </c>
      <c r="L404" s="148">
        <v>49.76985365853659</v>
      </c>
      <c r="M404" s="148">
        <v>93.7</v>
      </c>
    </row>
    <row r="405" spans="1:13">
      <c r="A405" s="148">
        <v>2010</v>
      </c>
      <c r="B405" s="148" t="s">
        <v>122</v>
      </c>
      <c r="C405" s="148" t="str">
        <f t="shared" si="6"/>
        <v>2010_Central African Republic</v>
      </c>
      <c r="D405" s="148">
        <v>1986014759.1978452</v>
      </c>
      <c r="E405" s="148">
        <v>4349921</v>
      </c>
      <c r="F405" s="148">
        <v>9.9236488854090155</v>
      </c>
      <c r="G405" s="148">
        <v>261010000</v>
      </c>
      <c r="H405" s="148">
        <v>261010000</v>
      </c>
      <c r="I405" s="148">
        <v>1.20455</v>
      </c>
      <c r="J405" s="148">
        <v>1.9420800432716201</v>
      </c>
      <c r="K405" s="148" t="s">
        <v>2842</v>
      </c>
      <c r="L405" s="148">
        <v>48.098731707317079</v>
      </c>
      <c r="M405" s="148">
        <v>102.7</v>
      </c>
    </row>
    <row r="406" spans="1:13">
      <c r="A406" s="148">
        <v>2010</v>
      </c>
      <c r="B406" s="148" t="s">
        <v>165</v>
      </c>
      <c r="C406" s="148" t="str">
        <f t="shared" si="6"/>
        <v>2010_Democratic Republic of Congo</v>
      </c>
      <c r="D406" s="148">
        <v>21561941369.362782</v>
      </c>
      <c r="E406" s="148">
        <v>62191161</v>
      </c>
      <c r="F406" s="148">
        <v>14.268142471174643</v>
      </c>
      <c r="G406" s="148">
        <v>3486160000</v>
      </c>
      <c r="H406" s="148">
        <v>3486160000</v>
      </c>
      <c r="I406" s="148">
        <v>2.5030700000000001</v>
      </c>
      <c r="J406" s="148">
        <v>3.1923783294619299</v>
      </c>
      <c r="K406" s="148" t="s">
        <v>2842</v>
      </c>
      <c r="L406" s="148">
        <v>48.987682926829265</v>
      </c>
      <c r="M406" s="148">
        <v>92.4</v>
      </c>
    </row>
    <row r="407" spans="1:13">
      <c r="A407" s="148">
        <v>2010</v>
      </c>
      <c r="B407" s="148" t="s">
        <v>458</v>
      </c>
      <c r="C407" s="148" t="str">
        <f t="shared" si="6"/>
        <v>2010_Republic of the Congo</v>
      </c>
      <c r="D407" s="148">
        <v>12007880067.439547</v>
      </c>
      <c r="E407" s="148">
        <v>4111715</v>
      </c>
      <c r="F407" s="148" t="s">
        <v>2842</v>
      </c>
      <c r="G407" s="148">
        <v>1311500000</v>
      </c>
      <c r="H407" s="148">
        <v>1311500000</v>
      </c>
      <c r="I407" s="148">
        <v>6.22079</v>
      </c>
      <c r="J407" s="148">
        <v>1.3865789712969201</v>
      </c>
      <c r="K407" s="148" t="s">
        <v>2842</v>
      </c>
      <c r="L407" s="148">
        <v>57.204024390243902</v>
      </c>
      <c r="M407" s="148">
        <v>42</v>
      </c>
    </row>
    <row r="408" spans="1:13">
      <c r="A408" s="148">
        <v>2010</v>
      </c>
      <c r="B408" s="33" t="s">
        <v>3542</v>
      </c>
      <c r="C408" s="148" t="str">
        <f t="shared" si="6"/>
        <v>2010_Côte d'Ivoire</v>
      </c>
      <c r="D408" s="148">
        <v>24884503950.681389</v>
      </c>
      <c r="E408" s="148">
        <v>18976588</v>
      </c>
      <c r="F408" s="148">
        <v>15.793847861732877</v>
      </c>
      <c r="G408" s="148">
        <v>844960000</v>
      </c>
      <c r="H408" s="148">
        <v>844960000</v>
      </c>
      <c r="I408" s="148" t="s">
        <v>2842</v>
      </c>
      <c r="J408" s="148">
        <v>1.8197765054606401</v>
      </c>
      <c r="K408" s="148" t="s">
        <v>2842</v>
      </c>
      <c r="L408" s="148">
        <v>49.67529268292683</v>
      </c>
      <c r="M408" s="148">
        <v>76.900000000000006</v>
      </c>
    </row>
    <row r="409" spans="1:13">
      <c r="A409" s="148">
        <v>2010</v>
      </c>
      <c r="B409" s="148" t="s">
        <v>182</v>
      </c>
      <c r="C409" s="148" t="str">
        <f t="shared" si="6"/>
        <v>2010_Equatorial Guinea</v>
      </c>
      <c r="D409" s="148">
        <v>11582917790.30464</v>
      </c>
      <c r="E409" s="148">
        <v>696167</v>
      </c>
      <c r="F409" s="148" t="s">
        <v>2842</v>
      </c>
      <c r="G409" s="148">
        <v>84710000</v>
      </c>
      <c r="H409" s="148">
        <v>84710000</v>
      </c>
      <c r="I409" s="148" t="s">
        <v>2842</v>
      </c>
      <c r="J409" s="148">
        <v>2.8833746860430098</v>
      </c>
      <c r="K409" s="148" t="s">
        <v>2842</v>
      </c>
      <c r="L409" s="148">
        <v>51.533073170731711</v>
      </c>
      <c r="M409" s="148">
        <v>75.599999999999994</v>
      </c>
    </row>
    <row r="410" spans="1:13">
      <c r="A410" s="148">
        <v>2010</v>
      </c>
      <c r="B410" s="148" t="s">
        <v>185</v>
      </c>
      <c r="C410" s="148" t="str">
        <f t="shared" si="6"/>
        <v>2010_Gabon</v>
      </c>
      <c r="D410" s="148">
        <v>14569527124.619944</v>
      </c>
      <c r="E410" s="148">
        <v>1556222</v>
      </c>
      <c r="F410" s="148" t="s">
        <v>2842</v>
      </c>
      <c r="G410" s="148">
        <v>104000000</v>
      </c>
      <c r="H410" s="148">
        <v>104000000</v>
      </c>
      <c r="I410" s="148" t="s">
        <v>2842</v>
      </c>
      <c r="J410" s="148">
        <v>1.63579870452715</v>
      </c>
      <c r="K410" s="148" t="s">
        <v>2842</v>
      </c>
      <c r="L410" s="148">
        <v>62.289756097560989</v>
      </c>
      <c r="M410" s="148">
        <v>43.2</v>
      </c>
    </row>
    <row r="411" spans="1:13">
      <c r="A411" s="148">
        <v>2010</v>
      </c>
      <c r="B411" s="148" t="s">
        <v>189</v>
      </c>
      <c r="C411" s="148" t="str">
        <f t="shared" si="6"/>
        <v>2010_Ghana</v>
      </c>
      <c r="D411" s="148">
        <v>32174839712.793278</v>
      </c>
      <c r="E411" s="148">
        <v>24262901</v>
      </c>
      <c r="F411" s="148">
        <v>16.691211237321635</v>
      </c>
      <c r="G411" s="148">
        <v>1692540000</v>
      </c>
      <c r="H411" s="148">
        <v>1692540000</v>
      </c>
      <c r="I411" s="148">
        <v>5.5406000000000004</v>
      </c>
      <c r="J411" s="148">
        <v>3.09697739170507</v>
      </c>
      <c r="K411" s="148" t="s">
        <v>2842</v>
      </c>
      <c r="L411" s="148">
        <v>60.599560975609762</v>
      </c>
      <c r="M411" s="148">
        <v>55</v>
      </c>
    </row>
    <row r="412" spans="1:13">
      <c r="A412" s="148">
        <v>2010</v>
      </c>
      <c r="B412" s="148" t="s">
        <v>2843</v>
      </c>
      <c r="C412" s="148" t="str">
        <f t="shared" si="6"/>
        <v>2010_Guinea</v>
      </c>
      <c r="D412" s="148">
        <v>4735956475.8338232</v>
      </c>
      <c r="E412" s="148">
        <v>10876033</v>
      </c>
      <c r="F412" s="148" t="s">
        <v>2842</v>
      </c>
      <c r="G412" s="148">
        <v>217700000</v>
      </c>
      <c r="H412" s="148">
        <v>217700000</v>
      </c>
      <c r="I412" s="148">
        <v>3.6918600000000001</v>
      </c>
      <c r="J412" s="148">
        <v>2.01176888989623</v>
      </c>
      <c r="K412" s="148" t="s">
        <v>2842</v>
      </c>
      <c r="L412" s="148">
        <v>55.298000000000009</v>
      </c>
      <c r="M412" s="148">
        <v>71.400000000000006</v>
      </c>
    </row>
    <row r="413" spans="1:13">
      <c r="A413" s="148">
        <v>2010</v>
      </c>
      <c r="B413" s="148" t="s">
        <v>213</v>
      </c>
      <c r="C413" s="148" t="str">
        <f t="shared" si="6"/>
        <v>2010_Guatemala</v>
      </c>
      <c r="D413" s="148">
        <v>41337958251.631958</v>
      </c>
      <c r="E413" s="148">
        <v>14341576</v>
      </c>
      <c r="F413" s="148">
        <v>11.070848524418105</v>
      </c>
      <c r="G413" s="148">
        <v>393520000</v>
      </c>
      <c r="H413" s="148">
        <v>393520000</v>
      </c>
      <c r="I413" s="148">
        <v>2.8030599999999999</v>
      </c>
      <c r="J413" s="148">
        <v>2.3895845335041699</v>
      </c>
      <c r="K413" s="148" t="s">
        <v>2842</v>
      </c>
      <c r="L413" s="148">
        <v>70.995975609756101</v>
      </c>
      <c r="M413" s="148">
        <v>28.4</v>
      </c>
    </row>
    <row r="414" spans="1:13">
      <c r="A414" s="148">
        <v>2010</v>
      </c>
      <c r="B414" s="148" t="s">
        <v>237</v>
      </c>
      <c r="C414" s="148" t="str">
        <f t="shared" si="6"/>
        <v>2010_Indonesia</v>
      </c>
      <c r="D414" s="148">
        <v>709190823319.75391</v>
      </c>
      <c r="E414" s="148">
        <v>240676485</v>
      </c>
      <c r="F414" s="148" t="s">
        <v>2842</v>
      </c>
      <c r="G414" s="148">
        <v>1392510000</v>
      </c>
      <c r="H414" s="148">
        <v>1392510000</v>
      </c>
      <c r="I414" s="148">
        <v>2.9943</v>
      </c>
      <c r="J414" s="148">
        <v>1.0998667281730501</v>
      </c>
      <c r="K414" s="148">
        <v>13.3</v>
      </c>
      <c r="L414" s="148">
        <v>70.167853658536586</v>
      </c>
      <c r="M414" s="148">
        <v>27.4</v>
      </c>
    </row>
    <row r="415" spans="1:13">
      <c r="A415" s="148">
        <v>2010</v>
      </c>
      <c r="B415" s="148" t="s">
        <v>245</v>
      </c>
      <c r="C415" s="148" t="str">
        <f t="shared" si="6"/>
        <v>2010_Iraq</v>
      </c>
      <c r="D415" s="148">
        <v>138516722649.57266</v>
      </c>
      <c r="E415" s="148">
        <v>30962380</v>
      </c>
      <c r="F415" s="148" t="s">
        <v>2842</v>
      </c>
      <c r="G415" s="148">
        <v>2191630000</v>
      </c>
      <c r="H415" s="148">
        <v>2191630000</v>
      </c>
      <c r="I415" s="148" t="s">
        <v>2842</v>
      </c>
      <c r="J415" s="148">
        <v>2.3124568950576201</v>
      </c>
      <c r="K415" s="148" t="s">
        <v>2842</v>
      </c>
      <c r="L415" s="148">
        <v>68.829756097560974</v>
      </c>
      <c r="M415" s="148">
        <v>30.1</v>
      </c>
    </row>
    <row r="416" spans="1:13">
      <c r="A416" s="148">
        <v>2010</v>
      </c>
      <c r="B416" s="148" t="s">
        <v>273</v>
      </c>
      <c r="C416" s="148" t="str">
        <f t="shared" si="6"/>
        <v>2010_Kazakhstan</v>
      </c>
      <c r="D416" s="148">
        <v>148047348240.64334</v>
      </c>
      <c r="E416" s="148">
        <v>16321581</v>
      </c>
      <c r="F416" s="148" t="s">
        <v>2842</v>
      </c>
      <c r="G416" s="148">
        <v>223930000</v>
      </c>
      <c r="H416" s="148">
        <v>223930000</v>
      </c>
      <c r="I416" s="148" t="s">
        <v>2842</v>
      </c>
      <c r="J416" s="148">
        <v>2.52721812643725</v>
      </c>
      <c r="K416" s="148">
        <v>6.5</v>
      </c>
      <c r="L416" s="148">
        <v>68.295365853658538</v>
      </c>
      <c r="M416" s="148">
        <v>19.3</v>
      </c>
    </row>
    <row r="417" spans="1:13">
      <c r="A417" s="148">
        <v>2010</v>
      </c>
      <c r="B417" s="148" t="s">
        <v>278</v>
      </c>
      <c r="C417" s="148" t="str">
        <f t="shared" si="6"/>
        <v>2010_Kyrgyz Republic</v>
      </c>
      <c r="D417" s="148">
        <v>4794357795.0713921</v>
      </c>
      <c r="E417" s="148">
        <v>5447900</v>
      </c>
      <c r="F417" s="148">
        <v>19.422486253756762</v>
      </c>
      <c r="G417" s="148">
        <v>380370000</v>
      </c>
      <c r="H417" s="148">
        <v>380370000</v>
      </c>
      <c r="I417" s="148">
        <v>5.8188300000000002</v>
      </c>
      <c r="J417" s="148">
        <v>3.7101407185221098</v>
      </c>
      <c r="K417" s="148">
        <v>33.700000000000003</v>
      </c>
      <c r="L417" s="148">
        <v>69.300000000000011</v>
      </c>
      <c r="M417" s="148">
        <v>26.7</v>
      </c>
    </row>
    <row r="418" spans="1:13">
      <c r="A418" s="148">
        <v>2010</v>
      </c>
      <c r="B418" s="148" t="s">
        <v>294</v>
      </c>
      <c r="C418" s="148" t="str">
        <f t="shared" si="6"/>
        <v>2010_Liberia</v>
      </c>
      <c r="D418" s="148">
        <v>1292696475.9587305</v>
      </c>
      <c r="E418" s="148">
        <v>3957990</v>
      </c>
      <c r="F418" s="148">
        <v>20.899193520608826</v>
      </c>
      <c r="G418" s="148">
        <v>1417010000</v>
      </c>
      <c r="H418" s="148">
        <v>1417010000</v>
      </c>
      <c r="I418" s="148" t="s">
        <v>2842</v>
      </c>
      <c r="J418" s="148">
        <v>2.3823546512784501</v>
      </c>
      <c r="K418" s="148" t="s">
        <v>2842</v>
      </c>
      <c r="L418" s="148">
        <v>59.434317073170739</v>
      </c>
      <c r="M418" s="148">
        <v>60.4</v>
      </c>
    </row>
    <row r="419" spans="1:13">
      <c r="A419" s="148">
        <v>2010</v>
      </c>
      <c r="B419" s="148" t="s">
        <v>309</v>
      </c>
      <c r="C419" s="148" t="str">
        <f t="shared" si="6"/>
        <v>2010_Madagascar</v>
      </c>
      <c r="D419" s="148">
        <v>8729936135.744875</v>
      </c>
      <c r="E419" s="148">
        <v>21079532</v>
      </c>
      <c r="F419" s="148">
        <v>11.230727854385988</v>
      </c>
      <c r="G419" s="148">
        <v>470080000</v>
      </c>
      <c r="H419" s="148">
        <v>470080000</v>
      </c>
      <c r="I419" s="148" t="s">
        <v>2842</v>
      </c>
      <c r="J419" s="148">
        <v>2.2306930490901999</v>
      </c>
      <c r="K419" s="148">
        <v>75.3</v>
      </c>
      <c r="L419" s="148">
        <v>63.349731707317083</v>
      </c>
      <c r="M419" s="148">
        <v>43.6</v>
      </c>
    </row>
    <row r="420" spans="1:13">
      <c r="A420" s="148">
        <v>2010</v>
      </c>
      <c r="B420" s="148" t="s">
        <v>322</v>
      </c>
      <c r="C420" s="148" t="str">
        <f t="shared" si="6"/>
        <v>2010_Mali</v>
      </c>
      <c r="D420" s="148">
        <v>9422267259.989397</v>
      </c>
      <c r="E420" s="148">
        <v>13985961</v>
      </c>
      <c r="F420" s="148">
        <v>17.278883778611583</v>
      </c>
      <c r="G420" s="148">
        <v>1088620000</v>
      </c>
      <c r="H420" s="148">
        <v>1088620000</v>
      </c>
      <c r="I420" s="148">
        <v>4.3065600000000002</v>
      </c>
      <c r="J420" s="148">
        <v>2.80329011738641</v>
      </c>
      <c r="K420" s="148">
        <v>43.6</v>
      </c>
      <c r="L420" s="148">
        <v>53.770731707317083</v>
      </c>
      <c r="M420" s="148">
        <v>83.1</v>
      </c>
    </row>
    <row r="421" spans="1:13">
      <c r="A421" s="148">
        <v>2010</v>
      </c>
      <c r="B421" s="148" t="s">
        <v>338</v>
      </c>
      <c r="C421" s="148" t="str">
        <f t="shared" si="6"/>
        <v>2010_Mauritania</v>
      </c>
      <c r="D421" s="148">
        <v>3526947608.8832636</v>
      </c>
      <c r="E421" s="148">
        <v>3609420</v>
      </c>
      <c r="F421" s="148" t="s">
        <v>2842</v>
      </c>
      <c r="G421" s="148">
        <v>374400000</v>
      </c>
      <c r="H421" s="148">
        <v>374400000</v>
      </c>
      <c r="I421" s="148">
        <v>4.2585100000000002</v>
      </c>
      <c r="J421" s="148">
        <v>3.893598153168</v>
      </c>
      <c r="K421" s="148" t="s">
        <v>2842</v>
      </c>
      <c r="L421" s="148">
        <v>61.023243902439027</v>
      </c>
      <c r="M421" s="148">
        <v>70.2</v>
      </c>
    </row>
    <row r="422" spans="1:13">
      <c r="A422" s="148">
        <v>2010</v>
      </c>
      <c r="B422" s="148" t="s">
        <v>357</v>
      </c>
      <c r="C422" s="148" t="str">
        <f t="shared" si="6"/>
        <v>2010_Mongolia</v>
      </c>
      <c r="D422" s="148">
        <v>6200357070.1147966</v>
      </c>
      <c r="E422" s="148">
        <v>2712738</v>
      </c>
      <c r="F422" s="148">
        <v>33.657838923430802</v>
      </c>
      <c r="G422" s="148">
        <v>302760000</v>
      </c>
      <c r="H422" s="148">
        <v>302760000</v>
      </c>
      <c r="I422" s="148">
        <v>5.38598</v>
      </c>
      <c r="J422" s="148">
        <v>3.8961770938140701</v>
      </c>
      <c r="K422" s="148">
        <v>38.700000000000003</v>
      </c>
      <c r="L422" s="148">
        <v>66.894609756097566</v>
      </c>
      <c r="M422" s="148">
        <v>29.3</v>
      </c>
    </row>
    <row r="423" spans="1:13">
      <c r="A423" s="148">
        <v>2010</v>
      </c>
      <c r="B423" s="148" t="s">
        <v>378</v>
      </c>
      <c r="C423" s="148" t="str">
        <f t="shared" si="6"/>
        <v>2010_Mozambique</v>
      </c>
      <c r="D423" s="148">
        <v>10165353591.167343</v>
      </c>
      <c r="E423" s="148">
        <v>23967265</v>
      </c>
      <c r="F423" s="148">
        <v>17.872038962505606</v>
      </c>
      <c r="G423" s="148">
        <v>1951530000</v>
      </c>
      <c r="H423" s="148">
        <v>1951530000</v>
      </c>
      <c r="I423" s="148" t="s">
        <v>2842</v>
      </c>
      <c r="J423" s="148">
        <v>3.2929929642406299</v>
      </c>
      <c r="K423" s="148" t="s">
        <v>2842</v>
      </c>
      <c r="L423" s="148">
        <v>49.137073170731711</v>
      </c>
      <c r="M423" s="148">
        <v>71.8</v>
      </c>
    </row>
    <row r="424" spans="1:13">
      <c r="A424" s="148">
        <v>2010</v>
      </c>
      <c r="B424" s="148" t="s">
        <v>387</v>
      </c>
      <c r="C424" s="148" t="str">
        <f t="shared" si="6"/>
        <v>2010_Niger</v>
      </c>
      <c r="D424" s="148">
        <v>5718589550.1634874</v>
      </c>
      <c r="E424" s="148">
        <v>15893746</v>
      </c>
      <c r="F424" s="148" t="s">
        <v>2842</v>
      </c>
      <c r="G424" s="148">
        <v>744520000</v>
      </c>
      <c r="H424" s="148">
        <v>744520000</v>
      </c>
      <c r="I424" s="148">
        <v>3.73339</v>
      </c>
      <c r="J424" s="148">
        <v>2.3408256108972498</v>
      </c>
      <c r="K424" s="148" t="s">
        <v>2842</v>
      </c>
      <c r="L424" s="148">
        <v>56.985634146341468</v>
      </c>
      <c r="M424" s="148">
        <v>66.099999999999994</v>
      </c>
    </row>
    <row r="425" spans="1:13">
      <c r="A425" s="148">
        <v>2010</v>
      </c>
      <c r="B425" s="148" t="s">
        <v>406</v>
      </c>
      <c r="C425" s="148" t="str">
        <f t="shared" si="6"/>
        <v>2010_Nigeria</v>
      </c>
      <c r="D425" s="148">
        <v>369062403181.9447</v>
      </c>
      <c r="E425" s="148">
        <v>159707780</v>
      </c>
      <c r="F425" s="148">
        <v>5.569201700204518</v>
      </c>
      <c r="G425" s="148">
        <v>2061960000</v>
      </c>
      <c r="H425" s="148">
        <v>2061960000</v>
      </c>
      <c r="I425" s="148" t="s">
        <v>2842</v>
      </c>
      <c r="J425" s="148">
        <v>1.46661178628433</v>
      </c>
      <c r="K425" s="148">
        <v>46</v>
      </c>
      <c r="L425" s="148">
        <v>51.289414634146354</v>
      </c>
      <c r="M425" s="148">
        <v>81.900000000000006</v>
      </c>
    </row>
    <row r="426" spans="1:13">
      <c r="A426" s="148">
        <v>2010</v>
      </c>
      <c r="B426" s="148" t="s">
        <v>429</v>
      </c>
      <c r="C426" s="148" t="str">
        <f t="shared" si="6"/>
        <v>2010_Norway</v>
      </c>
      <c r="D426" s="148">
        <v>420945705225.42371</v>
      </c>
      <c r="E426" s="148">
        <v>4889252</v>
      </c>
      <c r="F426" s="148">
        <v>47.789814429780535</v>
      </c>
      <c r="G426" s="148" t="s">
        <v>2842</v>
      </c>
      <c r="H426" s="148" t="s">
        <v>2842</v>
      </c>
      <c r="I426" s="148">
        <v>6.8715299999999999</v>
      </c>
      <c r="J426" s="148">
        <v>8.5189520278147004</v>
      </c>
      <c r="K426" s="148" t="s">
        <v>2842</v>
      </c>
      <c r="L426" s="148">
        <v>80.997560975609773</v>
      </c>
      <c r="M426" s="148">
        <v>2.6</v>
      </c>
    </row>
    <row r="427" spans="1:13">
      <c r="A427" s="148">
        <v>2010</v>
      </c>
      <c r="B427" s="148" t="s">
        <v>442</v>
      </c>
      <c r="C427" s="148" t="str">
        <f t="shared" si="6"/>
        <v>2010_Peru</v>
      </c>
      <c r="D427" s="148">
        <v>148522810971.50192</v>
      </c>
      <c r="E427" s="148">
        <v>29262830</v>
      </c>
      <c r="F427" s="148">
        <v>20.145402042179157</v>
      </c>
      <c r="G427" s="148">
        <v>-255920000</v>
      </c>
      <c r="H427" s="148">
        <v>-255920000</v>
      </c>
      <c r="I427" s="148">
        <v>2.6887599999999998</v>
      </c>
      <c r="J427" s="148">
        <v>2.7433049608395401</v>
      </c>
      <c r="K427" s="148">
        <v>30.8</v>
      </c>
      <c r="L427" s="148">
        <v>73.905097560975619</v>
      </c>
      <c r="M427" s="148">
        <v>15.2</v>
      </c>
    </row>
    <row r="428" spans="1:13">
      <c r="A428" s="148">
        <v>2010</v>
      </c>
      <c r="B428" s="148" t="s">
        <v>481</v>
      </c>
      <c r="C428" s="148" t="str">
        <f t="shared" si="6"/>
        <v>2010_Sierra Leone</v>
      </c>
      <c r="D428" s="148">
        <v>2578159495.5592995</v>
      </c>
      <c r="E428" s="148">
        <v>5751976</v>
      </c>
      <c r="F428" s="148">
        <v>9.8246078293128054</v>
      </c>
      <c r="G428" s="148">
        <v>466850000</v>
      </c>
      <c r="H428" s="148">
        <v>466850000</v>
      </c>
      <c r="I428" s="148">
        <v>2.5912199999999999</v>
      </c>
      <c r="J428" s="148">
        <v>2.3672967957118201</v>
      </c>
      <c r="K428" s="148" t="s">
        <v>2842</v>
      </c>
      <c r="L428" s="148">
        <v>44.838951219512197</v>
      </c>
      <c r="M428" s="148">
        <v>114.4</v>
      </c>
    </row>
    <row r="429" spans="1:13">
      <c r="A429" s="148">
        <v>2010</v>
      </c>
      <c r="B429" s="148" t="s">
        <v>492</v>
      </c>
      <c r="C429" s="148" t="str">
        <f t="shared" si="6"/>
        <v>2010_Tanzania</v>
      </c>
      <c r="D429" s="148">
        <v>22915004589.311516</v>
      </c>
      <c r="E429" s="148">
        <v>44973330</v>
      </c>
      <c r="F429" s="148">
        <v>17.249346130305838</v>
      </c>
      <c r="G429" s="148">
        <v>2958180000</v>
      </c>
      <c r="H429" s="148">
        <v>2958180000</v>
      </c>
      <c r="I429" s="148">
        <v>6.1811999999999996</v>
      </c>
      <c r="J429" s="148">
        <v>2.8170831698648202</v>
      </c>
      <c r="K429" s="148" t="s">
        <v>2842</v>
      </c>
      <c r="L429" s="148">
        <v>59.181707317073176</v>
      </c>
      <c r="M429" s="148">
        <v>41.4</v>
      </c>
    </row>
    <row r="430" spans="1:13">
      <c r="A430" s="148">
        <v>2010</v>
      </c>
      <c r="B430" s="148" t="s">
        <v>2844</v>
      </c>
      <c r="C430" s="148" t="str">
        <f t="shared" si="6"/>
        <v>2010_Timor-Leste</v>
      </c>
      <c r="D430" s="148">
        <v>934000000</v>
      </c>
      <c r="E430" s="148">
        <v>1066409</v>
      </c>
      <c r="F430" s="148" t="s">
        <v>2842</v>
      </c>
      <c r="G430" s="148">
        <v>291500000</v>
      </c>
      <c r="H430" s="148">
        <v>291500000</v>
      </c>
      <c r="I430" s="148">
        <v>10.483779999999999</v>
      </c>
      <c r="J430" s="148">
        <v>4.2899097246029001</v>
      </c>
      <c r="K430" s="148" t="s">
        <v>2842</v>
      </c>
      <c r="L430" s="148">
        <v>65.944463414634157</v>
      </c>
      <c r="M430" s="148">
        <v>51.5</v>
      </c>
    </row>
    <row r="431" spans="1:13">
      <c r="A431" s="148">
        <v>2010</v>
      </c>
      <c r="B431" s="148" t="s">
        <v>510</v>
      </c>
      <c r="C431" s="148" t="str">
        <f t="shared" si="6"/>
        <v>2010_Togo</v>
      </c>
      <c r="D431" s="148">
        <v>3172945506.3569741</v>
      </c>
      <c r="E431" s="148">
        <v>6306014</v>
      </c>
      <c r="F431" s="148">
        <v>17.443958814676801</v>
      </c>
      <c r="G431" s="148">
        <v>404040000</v>
      </c>
      <c r="H431" s="148">
        <v>404040000</v>
      </c>
      <c r="I431" s="148">
        <v>4.4231999999999996</v>
      </c>
      <c r="J431" s="148">
        <v>3.4236850305299402</v>
      </c>
      <c r="K431" s="148" t="s">
        <v>2842</v>
      </c>
      <c r="L431" s="148">
        <v>55.468878048780489</v>
      </c>
      <c r="M431" s="148">
        <v>60.5</v>
      </c>
    </row>
    <row r="432" spans="1:13">
      <c r="A432" s="148">
        <v>2010</v>
      </c>
      <c r="B432" s="148" t="s">
        <v>2845</v>
      </c>
      <c r="C432" s="148" t="str">
        <f t="shared" si="6"/>
        <v>2010_Trinidad and Tobago</v>
      </c>
      <c r="D432" s="148">
        <v>20758191857.981426</v>
      </c>
      <c r="E432" s="148">
        <v>1328095</v>
      </c>
      <c r="F432" s="148">
        <v>35.455266086373264</v>
      </c>
      <c r="G432" s="148">
        <v>4330000</v>
      </c>
      <c r="H432" s="148">
        <v>4330000</v>
      </c>
      <c r="I432" s="148" t="s">
        <v>2842</v>
      </c>
      <c r="J432" s="148">
        <v>2.9272915225448499</v>
      </c>
      <c r="K432" s="148" t="s">
        <v>2842</v>
      </c>
      <c r="L432" s="148">
        <v>69.597365853658545</v>
      </c>
      <c r="M432" s="148">
        <v>20.8</v>
      </c>
    </row>
    <row r="433" spans="1:13">
      <c r="A433" s="148">
        <v>2010</v>
      </c>
      <c r="B433" s="148" t="s">
        <v>522</v>
      </c>
      <c r="C433" s="148" t="str">
        <f t="shared" si="6"/>
        <v>2010_Yemen</v>
      </c>
      <c r="D433" s="148">
        <v>31743751169.317116</v>
      </c>
      <c r="E433" s="148">
        <v>22763008</v>
      </c>
      <c r="F433" s="148" t="s">
        <v>2842</v>
      </c>
      <c r="G433" s="148">
        <v>664230000</v>
      </c>
      <c r="H433" s="148">
        <v>664230000</v>
      </c>
      <c r="I433" s="148" t="s">
        <v>2842</v>
      </c>
      <c r="J433" s="148">
        <v>1.2885190673772899</v>
      </c>
      <c r="K433" s="148" t="s">
        <v>2842</v>
      </c>
      <c r="L433" s="148">
        <v>62.527658536585378</v>
      </c>
      <c r="M433" s="148">
        <v>45.5</v>
      </c>
    </row>
    <row r="434" spans="1:13">
      <c r="A434" s="148">
        <v>2010</v>
      </c>
      <c r="B434" s="148" t="s">
        <v>534</v>
      </c>
      <c r="C434" s="148" t="str">
        <f t="shared" si="6"/>
        <v>2010_Zambia</v>
      </c>
      <c r="D434" s="148">
        <v>20265396325.594734</v>
      </c>
      <c r="E434" s="148">
        <v>13216985</v>
      </c>
      <c r="F434" s="148">
        <v>13.919701448081323</v>
      </c>
      <c r="G434" s="148">
        <v>914370000</v>
      </c>
      <c r="H434" s="148">
        <v>914370000</v>
      </c>
      <c r="I434" s="148" t="s">
        <v>2842</v>
      </c>
      <c r="J434" s="148">
        <v>3.71833740378016</v>
      </c>
      <c r="K434" s="148">
        <v>60.5</v>
      </c>
      <c r="L434" s="148">
        <v>54.527560975609767</v>
      </c>
      <c r="M434" s="148">
        <v>63.5</v>
      </c>
    </row>
    <row r="435" spans="1:13">
      <c r="A435" s="148">
        <v>2011</v>
      </c>
      <c r="B435" s="148" t="s">
        <v>16</v>
      </c>
      <c r="C435" s="148" t="str">
        <f t="shared" si="6"/>
        <v>2011_Afghanistan</v>
      </c>
      <c r="D435" s="148">
        <v>17870159081.787025</v>
      </c>
      <c r="E435" s="148">
        <v>29105480</v>
      </c>
      <c r="F435" s="148">
        <v>11.429836990904029</v>
      </c>
      <c r="G435" s="148">
        <v>6884700000</v>
      </c>
      <c r="H435" s="148">
        <v>6884700000</v>
      </c>
      <c r="I435" s="148" t="s">
        <v>2842</v>
      </c>
      <c r="J435" s="148">
        <v>1.6025985835148999</v>
      </c>
      <c r="K435" s="148">
        <v>35.799999999999997</v>
      </c>
      <c r="L435" s="148">
        <v>60.065365853658541</v>
      </c>
      <c r="M435" s="148">
        <v>73.599999999999994</v>
      </c>
    </row>
    <row r="436" spans="1:13">
      <c r="A436" s="148">
        <v>2011</v>
      </c>
      <c r="B436" s="148" t="s">
        <v>33</v>
      </c>
      <c r="C436" s="148" t="str">
        <f t="shared" si="6"/>
        <v>2011_Albania</v>
      </c>
      <c r="D436" s="148">
        <v>12890866742.653254</v>
      </c>
      <c r="E436" s="148">
        <v>2829337</v>
      </c>
      <c r="F436" s="148" t="s">
        <v>2842</v>
      </c>
      <c r="G436" s="148">
        <v>350750000</v>
      </c>
      <c r="H436" s="148">
        <v>350750000</v>
      </c>
      <c r="I436" s="148" t="s">
        <v>2842</v>
      </c>
      <c r="J436" s="148">
        <v>2.8899867811004798</v>
      </c>
      <c r="K436" s="148" t="s">
        <v>2842</v>
      </c>
      <c r="L436" s="148">
        <v>77.163219512195127</v>
      </c>
      <c r="M436" s="148">
        <v>14.2</v>
      </c>
    </row>
    <row r="437" spans="1:13">
      <c r="A437" s="148">
        <v>2011</v>
      </c>
      <c r="B437" s="148" t="s">
        <v>48</v>
      </c>
      <c r="C437" s="148" t="str">
        <f t="shared" si="6"/>
        <v>2011_Azerbaijan</v>
      </c>
      <c r="D437" s="148">
        <v>65951627200.202614</v>
      </c>
      <c r="E437" s="148">
        <v>9173082</v>
      </c>
      <c r="F437" s="148">
        <v>45.481356322721858</v>
      </c>
      <c r="G437" s="148">
        <v>286410000</v>
      </c>
      <c r="H437" s="148">
        <v>286410000</v>
      </c>
      <c r="I437" s="148">
        <v>2.4356399999999998</v>
      </c>
      <c r="J437" s="148">
        <v>1.0809876732844399</v>
      </c>
      <c r="K437" s="148">
        <v>7.6</v>
      </c>
      <c r="L437" s="148">
        <v>70.551292682926842</v>
      </c>
      <c r="M437" s="148">
        <v>32.4</v>
      </c>
    </row>
    <row r="438" spans="1:13">
      <c r="A438" s="148">
        <v>2011</v>
      </c>
      <c r="B438" s="148" t="s">
        <v>93</v>
      </c>
      <c r="C438" s="148" t="str">
        <f t="shared" si="6"/>
        <v>2011_Burkina Faso</v>
      </c>
      <c r="D438" s="148">
        <v>10395757480.230143</v>
      </c>
      <c r="E438" s="148">
        <v>15995313</v>
      </c>
      <c r="F438" s="148">
        <v>16.17839328923581</v>
      </c>
      <c r="G438" s="148">
        <v>995120000</v>
      </c>
      <c r="H438" s="148">
        <v>995120000</v>
      </c>
      <c r="I438" s="148">
        <v>3.4270100000000001</v>
      </c>
      <c r="J438" s="148">
        <v>3.1526792812272699</v>
      </c>
      <c r="K438" s="148" t="s">
        <v>2842</v>
      </c>
      <c r="L438" s="148">
        <v>55.440487804878053</v>
      </c>
      <c r="M438" s="148">
        <v>67.7</v>
      </c>
    </row>
    <row r="439" spans="1:13">
      <c r="A439" s="148">
        <v>2011</v>
      </c>
      <c r="B439" s="148" t="s">
        <v>96</v>
      </c>
      <c r="C439" s="148" t="str">
        <f t="shared" si="6"/>
        <v>2011_Cameroon</v>
      </c>
      <c r="D439" s="148">
        <v>26587310733.573769</v>
      </c>
      <c r="E439" s="148">
        <v>21156272</v>
      </c>
      <c r="F439" s="148" t="s">
        <v>2842</v>
      </c>
      <c r="G439" s="148">
        <v>611840000</v>
      </c>
      <c r="H439" s="148">
        <v>611840000</v>
      </c>
      <c r="I439" s="148">
        <v>3.18472</v>
      </c>
      <c r="J439" s="148">
        <v>1.85908388132541</v>
      </c>
      <c r="K439" s="148" t="s">
        <v>2842</v>
      </c>
      <c r="L439" s="148">
        <v>54.137365853658544</v>
      </c>
      <c r="M439" s="148">
        <v>64.3</v>
      </c>
    </row>
    <row r="440" spans="1:13">
      <c r="A440" s="148">
        <v>2011</v>
      </c>
      <c r="B440" s="148" t="s">
        <v>133</v>
      </c>
      <c r="C440" s="148" t="str">
        <f t="shared" si="6"/>
        <v>2011_Chad</v>
      </c>
      <c r="D440" s="148">
        <v>12156380062.047134</v>
      </c>
      <c r="E440" s="148">
        <v>12080037</v>
      </c>
      <c r="F440" s="148" t="s">
        <v>2842</v>
      </c>
      <c r="G440" s="148">
        <v>460190000</v>
      </c>
      <c r="H440" s="148">
        <v>460190000</v>
      </c>
      <c r="I440" s="148">
        <v>2.2578999999999998</v>
      </c>
      <c r="J440" s="148">
        <v>0.84052690367454397</v>
      </c>
      <c r="K440" s="148">
        <v>46.7</v>
      </c>
      <c r="L440" s="148">
        <v>50.236195121951226</v>
      </c>
      <c r="M440" s="148">
        <v>91.9</v>
      </c>
    </row>
    <row r="441" spans="1:13">
      <c r="A441" s="148">
        <v>2011</v>
      </c>
      <c r="B441" s="148" t="s">
        <v>122</v>
      </c>
      <c r="C441" s="148" t="str">
        <f t="shared" si="6"/>
        <v>2011_Central African Republic</v>
      </c>
      <c r="D441" s="148">
        <v>2195599491.1697845</v>
      </c>
      <c r="E441" s="148">
        <v>4436217</v>
      </c>
      <c r="F441" s="148">
        <v>9.564945013315274</v>
      </c>
      <c r="G441" s="148">
        <v>268760000</v>
      </c>
      <c r="H441" s="148">
        <v>268760000</v>
      </c>
      <c r="I441" s="148">
        <v>1.21913</v>
      </c>
      <c r="J441" s="148">
        <v>1.9946628158463799</v>
      </c>
      <c r="K441" s="148" t="s">
        <v>2842</v>
      </c>
      <c r="L441" s="148">
        <v>48.793048780487808</v>
      </c>
      <c r="M441" s="148">
        <v>100.1</v>
      </c>
    </row>
    <row r="442" spans="1:13">
      <c r="A442" s="148">
        <v>2011</v>
      </c>
      <c r="B442" s="148" t="s">
        <v>165</v>
      </c>
      <c r="C442" s="148" t="str">
        <f t="shared" si="6"/>
        <v>2011_Democratic Republic of Congo</v>
      </c>
      <c r="D442" s="148">
        <v>25835398967.342049</v>
      </c>
      <c r="E442" s="148">
        <v>63931512</v>
      </c>
      <c r="F442" s="148" t="s">
        <v>2842</v>
      </c>
      <c r="G442" s="148">
        <v>5534410000</v>
      </c>
      <c r="H442" s="148">
        <v>5534410000</v>
      </c>
      <c r="I442" s="148" t="s">
        <v>2842</v>
      </c>
      <c r="J442" s="148">
        <v>3.0834157425683899</v>
      </c>
      <c r="K442" s="148" t="s">
        <v>2842</v>
      </c>
      <c r="L442" s="148">
        <v>49.300707317073176</v>
      </c>
      <c r="M442" s="148">
        <v>90.2</v>
      </c>
    </row>
    <row r="443" spans="1:13">
      <c r="A443" s="148">
        <v>2011</v>
      </c>
      <c r="B443" s="148" t="s">
        <v>458</v>
      </c>
      <c r="C443" s="148" t="str">
        <f t="shared" si="6"/>
        <v>2011_Republic of the Congo</v>
      </c>
      <c r="D443" s="148">
        <v>14425606793.365059</v>
      </c>
      <c r="E443" s="148">
        <v>4225359</v>
      </c>
      <c r="F443" s="148" t="s">
        <v>2842</v>
      </c>
      <c r="G443" s="148">
        <v>259790000.00000003</v>
      </c>
      <c r="H443" s="148">
        <v>259790000.00000003</v>
      </c>
      <c r="I443" s="148" t="s">
        <v>2842</v>
      </c>
      <c r="J443" s="148">
        <v>1.6846000638124401</v>
      </c>
      <c r="K443" s="148">
        <v>46.5</v>
      </c>
      <c r="L443" s="148">
        <v>57.775219512195129</v>
      </c>
      <c r="M443" s="148">
        <v>39.4</v>
      </c>
    </row>
    <row r="444" spans="1:13">
      <c r="A444" s="148">
        <v>2011</v>
      </c>
      <c r="B444" s="33" t="s">
        <v>3542</v>
      </c>
      <c r="C444" s="148" t="str">
        <f t="shared" si="6"/>
        <v>2011_Côte d'Ivoire</v>
      </c>
      <c r="D444" s="148">
        <v>25381617035.70116</v>
      </c>
      <c r="E444" s="148">
        <v>19389954</v>
      </c>
      <c r="F444" s="148">
        <v>12.503919059676164</v>
      </c>
      <c r="G444" s="148">
        <v>1436000000</v>
      </c>
      <c r="H444" s="148">
        <v>1436000000</v>
      </c>
      <c r="I444" s="148" t="s">
        <v>2842</v>
      </c>
      <c r="J444" s="148">
        <v>1.6615888269469401</v>
      </c>
      <c r="K444" s="148" t="s">
        <v>2842</v>
      </c>
      <c r="L444" s="148">
        <v>50.047560975609755</v>
      </c>
      <c r="M444" s="148">
        <v>75.2</v>
      </c>
    </row>
    <row r="445" spans="1:13">
      <c r="A445" s="148">
        <v>2011</v>
      </c>
      <c r="B445" s="148" t="s">
        <v>182</v>
      </c>
      <c r="C445" s="148" t="str">
        <f t="shared" si="6"/>
        <v>2011_Equatorial Guinea</v>
      </c>
      <c r="D445" s="148">
        <v>15725711943.066019</v>
      </c>
      <c r="E445" s="148">
        <v>715996</v>
      </c>
      <c r="F445" s="148" t="s">
        <v>2842</v>
      </c>
      <c r="G445" s="148">
        <v>24300000</v>
      </c>
      <c r="H445" s="148">
        <v>24300000</v>
      </c>
      <c r="I445" s="148" t="s">
        <v>2842</v>
      </c>
      <c r="J445" s="148">
        <v>2.4273821144797401</v>
      </c>
      <c r="K445" s="148" t="s">
        <v>2842</v>
      </c>
      <c r="L445" s="148">
        <v>52.08490243902439</v>
      </c>
      <c r="M445" s="148">
        <v>73.400000000000006</v>
      </c>
    </row>
    <row r="446" spans="1:13">
      <c r="A446" s="148">
        <v>2011</v>
      </c>
      <c r="B446" s="148" t="s">
        <v>185</v>
      </c>
      <c r="C446" s="148" t="str">
        <f t="shared" si="6"/>
        <v>2011_Gabon</v>
      </c>
      <c r="D446" s="148">
        <v>18796191833.085072</v>
      </c>
      <c r="E446" s="148">
        <v>1594034</v>
      </c>
      <c r="F446" s="148" t="s">
        <v>2842</v>
      </c>
      <c r="G446" s="148">
        <v>72550000</v>
      </c>
      <c r="H446" s="148">
        <v>72550000</v>
      </c>
      <c r="I446" s="148" t="s">
        <v>2842</v>
      </c>
      <c r="J446" s="148">
        <v>1.8001256694471599</v>
      </c>
      <c r="K446" s="148" t="s">
        <v>2842</v>
      </c>
      <c r="L446" s="148">
        <v>62.693341463414633</v>
      </c>
      <c r="M446" s="148">
        <v>41.6</v>
      </c>
    </row>
    <row r="447" spans="1:13">
      <c r="A447" s="148">
        <v>2011</v>
      </c>
      <c r="B447" s="148" t="s">
        <v>189</v>
      </c>
      <c r="C447" s="148" t="str">
        <f t="shared" si="6"/>
        <v>2011_Ghana</v>
      </c>
      <c r="D447" s="148">
        <v>39564771637.397896</v>
      </c>
      <c r="E447" s="148">
        <v>24820706</v>
      </c>
      <c r="F447" s="148">
        <v>19.371817114150062</v>
      </c>
      <c r="G447" s="148">
        <v>1810220000</v>
      </c>
      <c r="H447" s="148">
        <v>1810220000</v>
      </c>
      <c r="I447" s="148">
        <v>8.1409699999999994</v>
      </c>
      <c r="J447" s="148">
        <v>2.9444298154682498</v>
      </c>
      <c r="K447" s="148" t="s">
        <v>2842</v>
      </c>
      <c r="L447" s="148">
        <v>60.788585365853663</v>
      </c>
      <c r="M447" s="148">
        <v>54.2</v>
      </c>
    </row>
    <row r="448" spans="1:13">
      <c r="A448" s="148">
        <v>2011</v>
      </c>
      <c r="B448" s="148" t="s">
        <v>2843</v>
      </c>
      <c r="C448" s="148" t="str">
        <f t="shared" si="6"/>
        <v>2011_Guinea</v>
      </c>
      <c r="D448" s="148">
        <v>5067360041.1040449</v>
      </c>
      <c r="E448" s="148">
        <v>11161530</v>
      </c>
      <c r="F448" s="148" t="s">
        <v>2842</v>
      </c>
      <c r="G448" s="148">
        <v>204490000</v>
      </c>
      <c r="H448" s="148">
        <v>204490000</v>
      </c>
      <c r="I448" s="148">
        <v>3.0628299999999999</v>
      </c>
      <c r="J448" s="148">
        <v>1.45413775188702</v>
      </c>
      <c r="K448" s="148" t="s">
        <v>2842</v>
      </c>
      <c r="L448" s="148">
        <v>55.590195121951226</v>
      </c>
      <c r="M448" s="148">
        <v>69</v>
      </c>
    </row>
    <row r="449" spans="1:13">
      <c r="A449" s="148">
        <v>2011</v>
      </c>
      <c r="B449" s="148" t="s">
        <v>213</v>
      </c>
      <c r="C449" s="148" t="str">
        <f t="shared" si="6"/>
        <v>2011_Guatemala</v>
      </c>
      <c r="D449" s="148">
        <v>47654841112.852264</v>
      </c>
      <c r="E449" s="148">
        <v>14706578</v>
      </c>
      <c r="F449" s="148">
        <v>11.399262010775933</v>
      </c>
      <c r="G449" s="148">
        <v>387910000</v>
      </c>
      <c r="H449" s="148">
        <v>387910000</v>
      </c>
      <c r="I449" s="148">
        <v>2.91804</v>
      </c>
      <c r="J449" s="148">
        <v>2.3829820740474199</v>
      </c>
      <c r="K449" s="148">
        <v>53.7</v>
      </c>
      <c r="L449" s="148">
        <v>71.327902439024385</v>
      </c>
      <c r="M449" s="148">
        <v>27.5</v>
      </c>
    </row>
    <row r="450" spans="1:13">
      <c r="A450" s="148">
        <v>2011</v>
      </c>
      <c r="B450" s="148" t="s">
        <v>237</v>
      </c>
      <c r="C450" s="148" t="str">
        <f t="shared" si="6"/>
        <v>2011_Indonesia</v>
      </c>
      <c r="D450" s="148">
        <v>845931645338.69507</v>
      </c>
      <c r="E450" s="148">
        <v>243801639</v>
      </c>
      <c r="F450" s="148" t="s">
        <v>2842</v>
      </c>
      <c r="G450" s="148">
        <v>419270000</v>
      </c>
      <c r="H450" s="148">
        <v>419270000</v>
      </c>
      <c r="I450" s="148">
        <v>2.7670400000000002</v>
      </c>
      <c r="J450" s="148">
        <v>1.08560021804934</v>
      </c>
      <c r="K450" s="148">
        <v>12.5</v>
      </c>
      <c r="L450" s="148">
        <v>70.391560975609764</v>
      </c>
      <c r="M450" s="148">
        <v>26.4</v>
      </c>
    </row>
    <row r="451" spans="1:13">
      <c r="A451" s="148">
        <v>2011</v>
      </c>
      <c r="B451" s="148" t="s">
        <v>245</v>
      </c>
      <c r="C451" s="148" t="str">
        <f t="shared" si="6"/>
        <v>2011_Iraq</v>
      </c>
      <c r="D451" s="148">
        <v>185749664444.44446</v>
      </c>
      <c r="E451" s="148">
        <v>31760020</v>
      </c>
      <c r="F451" s="148" t="s">
        <v>2842</v>
      </c>
      <c r="G451" s="148">
        <v>1908080000</v>
      </c>
      <c r="H451" s="148">
        <v>1908080000</v>
      </c>
      <c r="I451" s="148" t="s">
        <v>2842</v>
      </c>
      <c r="J451" s="148">
        <v>2.0529155881024899</v>
      </c>
      <c r="K451" s="148" t="s">
        <v>2842</v>
      </c>
      <c r="L451" s="148">
        <v>69.015780487804889</v>
      </c>
      <c r="M451" s="148">
        <v>29.4</v>
      </c>
    </row>
    <row r="452" spans="1:13">
      <c r="A452" s="148">
        <v>2011</v>
      </c>
      <c r="B452" s="148" t="s">
        <v>273</v>
      </c>
      <c r="C452" s="148" t="str">
        <f t="shared" ref="C452:C515" si="7">$A452&amp;"_"&amp;$B452</f>
        <v>2011_Kazakhstan</v>
      </c>
      <c r="D452" s="148">
        <v>188048960311.22461</v>
      </c>
      <c r="E452" s="148">
        <v>16556600</v>
      </c>
      <c r="F452" s="148" t="s">
        <v>2842</v>
      </c>
      <c r="G452" s="148">
        <v>215510000</v>
      </c>
      <c r="H452" s="148">
        <v>215510000</v>
      </c>
      <c r="I452" s="148" t="s">
        <v>2842</v>
      </c>
      <c r="J452" s="148">
        <v>2.27155273982134</v>
      </c>
      <c r="K452" s="148">
        <v>5.5</v>
      </c>
      <c r="L452" s="148">
        <v>68.98</v>
      </c>
      <c r="M452" s="148">
        <v>17.600000000000001</v>
      </c>
    </row>
    <row r="453" spans="1:13">
      <c r="A453" s="148">
        <v>2011</v>
      </c>
      <c r="B453" s="148" t="s">
        <v>278</v>
      </c>
      <c r="C453" s="148" t="str">
        <f t="shared" si="7"/>
        <v>2011_Kyrgyz Republic</v>
      </c>
      <c r="D453" s="148">
        <v>6197766118.5985575</v>
      </c>
      <c r="E453" s="148">
        <v>5514600</v>
      </c>
      <c r="F453" s="148">
        <v>21.07396540637388</v>
      </c>
      <c r="G453" s="148">
        <v>525030000</v>
      </c>
      <c r="H453" s="148">
        <v>525030000</v>
      </c>
      <c r="I453" s="148">
        <v>6.7906199999999997</v>
      </c>
      <c r="J453" s="148">
        <v>3.7010895697386998</v>
      </c>
      <c r="K453" s="148">
        <v>36.799999999999997</v>
      </c>
      <c r="L453" s="148">
        <v>69.60243902439025</v>
      </c>
      <c r="M453" s="148">
        <v>24.9</v>
      </c>
    </row>
    <row r="454" spans="1:13">
      <c r="A454" s="148">
        <v>2011</v>
      </c>
      <c r="B454" s="148" t="s">
        <v>294</v>
      </c>
      <c r="C454" s="148" t="str">
        <f t="shared" si="7"/>
        <v>2011_Liberia</v>
      </c>
      <c r="D454" s="148">
        <v>1537753884.5750225</v>
      </c>
      <c r="E454" s="148">
        <v>4079697</v>
      </c>
      <c r="F454" s="148">
        <v>20.786675890617211</v>
      </c>
      <c r="G454" s="148">
        <v>764840000</v>
      </c>
      <c r="H454" s="148">
        <v>764840000</v>
      </c>
      <c r="I454" s="148" t="s">
        <v>2842</v>
      </c>
      <c r="J454" s="148">
        <v>4.6313662871430399</v>
      </c>
      <c r="K454" s="148" t="s">
        <v>2842</v>
      </c>
      <c r="L454" s="148">
        <v>59.859878048780494</v>
      </c>
      <c r="M454" s="148">
        <v>57.9</v>
      </c>
    </row>
    <row r="455" spans="1:13">
      <c r="A455" s="148">
        <v>2011</v>
      </c>
      <c r="B455" s="148" t="s">
        <v>309</v>
      </c>
      <c r="C455" s="148" t="str">
        <f t="shared" si="7"/>
        <v>2011_Madagascar</v>
      </c>
      <c r="D455" s="148">
        <v>9892702357.566906</v>
      </c>
      <c r="E455" s="148">
        <v>21678934</v>
      </c>
      <c r="F455" s="148">
        <v>10.277630795353078</v>
      </c>
      <c r="G455" s="148">
        <v>443270000</v>
      </c>
      <c r="H455" s="148">
        <v>443270000</v>
      </c>
      <c r="I455" s="148">
        <v>2.77576</v>
      </c>
      <c r="J455" s="148">
        <v>2.2967245730962502</v>
      </c>
      <c r="K455" s="148" t="s">
        <v>2842</v>
      </c>
      <c r="L455" s="148">
        <v>63.798902439024403</v>
      </c>
      <c r="M455" s="148">
        <v>42.2</v>
      </c>
    </row>
    <row r="456" spans="1:13">
      <c r="A456" s="148">
        <v>2011</v>
      </c>
      <c r="B456" s="148" t="s">
        <v>322</v>
      </c>
      <c r="C456" s="148" t="str">
        <f t="shared" si="7"/>
        <v>2011_Mali</v>
      </c>
      <c r="D456" s="148">
        <v>10647545670.176308</v>
      </c>
      <c r="E456" s="148">
        <v>14416737</v>
      </c>
      <c r="F456" s="148">
        <v>16.013378845595014</v>
      </c>
      <c r="G456" s="148">
        <v>1280610000</v>
      </c>
      <c r="H456" s="148">
        <v>1280610000</v>
      </c>
      <c r="I456" s="148">
        <v>4.7958699999999999</v>
      </c>
      <c r="J456" s="148">
        <v>2.9697002282442</v>
      </c>
      <c r="K456" s="148" t="s">
        <v>2842</v>
      </c>
      <c r="L456" s="148">
        <v>54.190829268292696</v>
      </c>
      <c r="M456" s="148">
        <v>81.099999999999994</v>
      </c>
    </row>
    <row r="457" spans="1:13">
      <c r="A457" s="148">
        <v>2011</v>
      </c>
      <c r="B457" s="148" t="s">
        <v>338</v>
      </c>
      <c r="C457" s="148" t="str">
        <f t="shared" si="7"/>
        <v>2011_Mauritania</v>
      </c>
      <c r="D457" s="148">
        <v>4136083638.0982671</v>
      </c>
      <c r="E457" s="148">
        <v>3702763</v>
      </c>
      <c r="F457" s="148" t="s">
        <v>2842</v>
      </c>
      <c r="G457" s="148">
        <v>382210000</v>
      </c>
      <c r="H457" s="148">
        <v>382210000</v>
      </c>
      <c r="I457" s="148">
        <v>3.6900499999999998</v>
      </c>
      <c r="J457" s="148">
        <v>3.8443618368605401</v>
      </c>
      <c r="K457" s="148" t="s">
        <v>2842</v>
      </c>
      <c r="L457" s="148">
        <v>61.186951219512203</v>
      </c>
      <c r="M457" s="148">
        <v>69.2</v>
      </c>
    </row>
    <row r="458" spans="1:13">
      <c r="A458" s="148">
        <v>2011</v>
      </c>
      <c r="B458" s="148" t="s">
        <v>357</v>
      </c>
      <c r="C458" s="148" t="str">
        <f t="shared" si="7"/>
        <v>2011_Mongolia</v>
      </c>
      <c r="D458" s="148">
        <v>8761426370.5587749</v>
      </c>
      <c r="E458" s="148">
        <v>2754209</v>
      </c>
      <c r="F458" s="148">
        <v>33.972503336239335</v>
      </c>
      <c r="G458" s="148">
        <v>350600000</v>
      </c>
      <c r="H458" s="148">
        <v>350600000</v>
      </c>
      <c r="I458" s="148">
        <v>5.4761699999999998</v>
      </c>
      <c r="J458" s="148">
        <v>3.77699524034725</v>
      </c>
      <c r="K458" s="148">
        <v>33.700000000000003</v>
      </c>
      <c r="L458" s="148">
        <v>67.124707317073174</v>
      </c>
      <c r="M458" s="148">
        <v>28.2</v>
      </c>
    </row>
    <row r="459" spans="1:13">
      <c r="A459" s="148">
        <v>2011</v>
      </c>
      <c r="B459" s="148" t="s">
        <v>378</v>
      </c>
      <c r="C459" s="148" t="str">
        <f t="shared" si="7"/>
        <v>2011_Mozambique</v>
      </c>
      <c r="D459" s="148">
        <v>13244880034.848072</v>
      </c>
      <c r="E459" s="148">
        <v>24581367</v>
      </c>
      <c r="F459" s="148">
        <v>20.634115775643156</v>
      </c>
      <c r="G459" s="148">
        <v>2084980000</v>
      </c>
      <c r="H459" s="148">
        <v>2084980000</v>
      </c>
      <c r="I459" s="148" t="s">
        <v>2842</v>
      </c>
      <c r="J459" s="148">
        <v>2.7978640893090301</v>
      </c>
      <c r="K459" s="148" t="s">
        <v>2842</v>
      </c>
      <c r="L459" s="148">
        <v>49.487829268292693</v>
      </c>
      <c r="M459" s="148">
        <v>67.8</v>
      </c>
    </row>
    <row r="460" spans="1:13">
      <c r="A460" s="148">
        <v>2011</v>
      </c>
      <c r="B460" s="148" t="s">
        <v>387</v>
      </c>
      <c r="C460" s="148" t="str">
        <f t="shared" si="7"/>
        <v>2011_Niger</v>
      </c>
      <c r="D460" s="148">
        <v>6409169698.1069489</v>
      </c>
      <c r="E460" s="148">
        <v>16511462</v>
      </c>
      <c r="F460" s="148" t="s">
        <v>2842</v>
      </c>
      <c r="G460" s="148">
        <v>649500000</v>
      </c>
      <c r="H460" s="148">
        <v>649500000</v>
      </c>
      <c r="I460" s="148">
        <v>4.2054200000000002</v>
      </c>
      <c r="J460" s="148">
        <v>2.27088954854554</v>
      </c>
      <c r="K460" s="148" t="s">
        <v>2842</v>
      </c>
      <c r="L460" s="148">
        <v>57.482634146341475</v>
      </c>
      <c r="M460" s="148">
        <v>63.7</v>
      </c>
    </row>
    <row r="461" spans="1:13">
      <c r="A461" s="148">
        <v>2011</v>
      </c>
      <c r="B461" s="148" t="s">
        <v>406</v>
      </c>
      <c r="C461" s="148" t="str">
        <f t="shared" si="7"/>
        <v>2011_Nigeria</v>
      </c>
      <c r="D461" s="148">
        <v>411743801711.64203</v>
      </c>
      <c r="E461" s="148">
        <v>164192925</v>
      </c>
      <c r="F461" s="148">
        <v>5.5773232387429257</v>
      </c>
      <c r="G461" s="148">
        <v>1768550000</v>
      </c>
      <c r="H461" s="148">
        <v>1768550000</v>
      </c>
      <c r="I461" s="148" t="s">
        <v>2842</v>
      </c>
      <c r="J461" s="148">
        <v>1.9434277198716301</v>
      </c>
      <c r="K461" s="148" t="s">
        <v>2842</v>
      </c>
      <c r="L461" s="148">
        <v>51.710243902439032</v>
      </c>
      <c r="M461" s="148">
        <v>79.2</v>
      </c>
    </row>
    <row r="462" spans="1:13">
      <c r="A462" s="148">
        <v>2011</v>
      </c>
      <c r="B462" s="148" t="s">
        <v>429</v>
      </c>
      <c r="C462" s="148" t="str">
        <f t="shared" si="7"/>
        <v>2011_Norway</v>
      </c>
      <c r="D462" s="148">
        <v>490806911071.2771</v>
      </c>
      <c r="E462" s="148">
        <v>4953088</v>
      </c>
      <c r="F462" s="148">
        <v>49.216949374359267</v>
      </c>
      <c r="G462" s="148" t="s">
        <v>2842</v>
      </c>
      <c r="H462" s="148" t="s">
        <v>2842</v>
      </c>
      <c r="I462" s="148" t="s">
        <v>2842</v>
      </c>
      <c r="J462" s="148">
        <v>8.4590809439981598</v>
      </c>
      <c r="K462" s="148" t="s">
        <v>2842</v>
      </c>
      <c r="L462" s="148">
        <v>81.2951219512195</v>
      </c>
      <c r="M462" s="148">
        <v>2.5</v>
      </c>
    </row>
    <row r="463" spans="1:13">
      <c r="A463" s="148">
        <v>2011</v>
      </c>
      <c r="B463" s="148" t="s">
        <v>442</v>
      </c>
      <c r="C463" s="148" t="str">
        <f t="shared" si="7"/>
        <v>2011_Peru</v>
      </c>
      <c r="D463" s="148">
        <v>170564249004.95398</v>
      </c>
      <c r="E463" s="148">
        <v>29614887</v>
      </c>
      <c r="F463" s="148">
        <v>20.943982120853647</v>
      </c>
      <c r="G463" s="148">
        <v>604820000</v>
      </c>
      <c r="H463" s="148">
        <v>604820000</v>
      </c>
      <c r="I463" s="148">
        <v>2.5311699999999999</v>
      </c>
      <c r="J463" s="148">
        <v>2.6990369269299799</v>
      </c>
      <c r="K463" s="148">
        <v>27.8</v>
      </c>
      <c r="L463" s="148">
        <v>74.210536585365858</v>
      </c>
      <c r="M463" s="148">
        <v>14.3</v>
      </c>
    </row>
    <row r="464" spans="1:13">
      <c r="A464" s="148">
        <v>2011</v>
      </c>
      <c r="B464" s="148" t="s">
        <v>481</v>
      </c>
      <c r="C464" s="148" t="str">
        <f t="shared" si="7"/>
        <v>2011_Sierra Leone</v>
      </c>
      <c r="D464" s="148">
        <v>2925391429.7983232</v>
      </c>
      <c r="E464" s="148">
        <v>5865491</v>
      </c>
      <c r="F464" s="148">
        <v>11.49178394884847</v>
      </c>
      <c r="G464" s="148">
        <v>425300000</v>
      </c>
      <c r="H464" s="148">
        <v>425300000</v>
      </c>
      <c r="I464" s="148">
        <v>2.6723599999999998</v>
      </c>
      <c r="J464" s="148">
        <v>2.6409520252557899</v>
      </c>
      <c r="K464" s="148">
        <v>52.9</v>
      </c>
      <c r="L464" s="148">
        <v>45.102585365853663</v>
      </c>
      <c r="M464" s="148">
        <v>112</v>
      </c>
    </row>
    <row r="465" spans="1:13">
      <c r="A465" s="148">
        <v>2011</v>
      </c>
      <c r="B465" s="148" t="s">
        <v>492</v>
      </c>
      <c r="C465" s="148" t="str">
        <f t="shared" si="7"/>
        <v>2011_Tanzania</v>
      </c>
      <c r="D465" s="148">
        <v>23874165023.892677</v>
      </c>
      <c r="E465" s="148">
        <v>46354607</v>
      </c>
      <c r="F465" s="148">
        <v>18.719239271817237</v>
      </c>
      <c r="G465" s="148">
        <v>2445770000</v>
      </c>
      <c r="H465" s="148">
        <v>2445770000</v>
      </c>
      <c r="I465" s="148" t="s">
        <v>2842</v>
      </c>
      <c r="J465" s="148">
        <v>2.7587333789439099</v>
      </c>
      <c r="K465" s="148" t="s">
        <v>2842</v>
      </c>
      <c r="L465" s="148">
        <v>60.074658536585375</v>
      </c>
      <c r="M465" s="148">
        <v>39.200000000000003</v>
      </c>
    </row>
    <row r="466" spans="1:13">
      <c r="A466" s="148">
        <v>2011</v>
      </c>
      <c r="B466" s="148" t="s">
        <v>2844</v>
      </c>
      <c r="C466" s="148" t="str">
        <f t="shared" si="7"/>
        <v>2011_Timor-Leste</v>
      </c>
      <c r="D466" s="148">
        <v>1123000000</v>
      </c>
      <c r="E466" s="148">
        <v>1120392</v>
      </c>
      <c r="F466" s="148" t="s">
        <v>2842</v>
      </c>
      <c r="G466" s="148">
        <v>279260000</v>
      </c>
      <c r="H466" s="148">
        <v>279260000</v>
      </c>
      <c r="I466" s="148">
        <v>9.4186800000000002</v>
      </c>
      <c r="J466" s="148">
        <v>3.5011915673693901</v>
      </c>
      <c r="K466" s="148" t="s">
        <v>2842</v>
      </c>
      <c r="L466" s="148">
        <v>66.491804878048782</v>
      </c>
      <c r="M466" s="148">
        <v>49.6</v>
      </c>
    </row>
    <row r="467" spans="1:13">
      <c r="A467" s="148">
        <v>2011</v>
      </c>
      <c r="B467" s="148" t="s">
        <v>510</v>
      </c>
      <c r="C467" s="148" t="str">
        <f t="shared" si="7"/>
        <v>2011_Togo</v>
      </c>
      <c r="D467" s="148">
        <v>3756023047.7909942</v>
      </c>
      <c r="E467" s="148">
        <v>6472304</v>
      </c>
      <c r="F467" s="148">
        <v>17.865082320547977</v>
      </c>
      <c r="G467" s="148">
        <v>542730000</v>
      </c>
      <c r="H467" s="148">
        <v>542730000</v>
      </c>
      <c r="I467" s="148">
        <v>4.52163</v>
      </c>
      <c r="J467" s="148">
        <v>4.1846152975892599</v>
      </c>
      <c r="K467" s="148">
        <v>58.7</v>
      </c>
      <c r="L467" s="148">
        <v>55.807658536585372</v>
      </c>
      <c r="M467" s="148">
        <v>59</v>
      </c>
    </row>
    <row r="468" spans="1:13">
      <c r="A468" s="148">
        <v>2011</v>
      </c>
      <c r="B468" s="148" t="s">
        <v>2845</v>
      </c>
      <c r="C468" s="148" t="str">
        <f t="shared" si="7"/>
        <v>2011_Trinidad and Tobago</v>
      </c>
      <c r="D468" s="148">
        <v>23676348287.27895</v>
      </c>
      <c r="E468" s="148">
        <v>1333082</v>
      </c>
      <c r="F468" s="148" t="s">
        <v>2842</v>
      </c>
      <c r="G468" s="148" t="s">
        <v>2842</v>
      </c>
      <c r="H468" s="148" t="s">
        <v>2842</v>
      </c>
      <c r="I468" s="148" t="s">
        <v>2842</v>
      </c>
      <c r="J468" s="148">
        <v>2.61229394934736</v>
      </c>
      <c r="K468" s="148" t="s">
        <v>2842</v>
      </c>
      <c r="L468" s="148">
        <v>69.708560975609771</v>
      </c>
      <c r="M468" s="148">
        <v>20.2</v>
      </c>
    </row>
    <row r="469" spans="1:13">
      <c r="A469" s="148">
        <v>2011</v>
      </c>
      <c r="B469" s="148" t="s">
        <v>522</v>
      </c>
      <c r="C469" s="148" t="str">
        <f t="shared" si="7"/>
        <v>2011_Yemen</v>
      </c>
      <c r="D469" s="148">
        <v>29207296703.296703</v>
      </c>
      <c r="E469" s="148">
        <v>23304206</v>
      </c>
      <c r="F469" s="148" t="s">
        <v>2842</v>
      </c>
      <c r="G469" s="148">
        <v>476120000</v>
      </c>
      <c r="H469" s="148">
        <v>476120000</v>
      </c>
      <c r="I469" s="148" t="s">
        <v>2842</v>
      </c>
      <c r="J469" s="148">
        <v>1.33532427959887</v>
      </c>
      <c r="K469" s="148" t="s">
        <v>2842</v>
      </c>
      <c r="L469" s="148">
        <v>62.718487804878059</v>
      </c>
      <c r="M469" s="148">
        <v>43.7</v>
      </c>
    </row>
    <row r="470" spans="1:13">
      <c r="A470" s="148">
        <v>2011</v>
      </c>
      <c r="B470" s="148" t="s">
        <v>534</v>
      </c>
      <c r="C470" s="148" t="str">
        <f t="shared" si="7"/>
        <v>2011_Zambia</v>
      </c>
      <c r="D470" s="148">
        <v>23731894786.497993</v>
      </c>
      <c r="E470" s="148">
        <v>13633796</v>
      </c>
      <c r="F470" s="148">
        <v>17.286030665418682</v>
      </c>
      <c r="G470" s="148">
        <v>1035060000</v>
      </c>
      <c r="H470" s="148">
        <v>1035060000</v>
      </c>
      <c r="I470" s="148" t="s">
        <v>2842</v>
      </c>
      <c r="J470" s="148">
        <v>3.92240541573761</v>
      </c>
      <c r="K470" s="148" t="s">
        <v>2842</v>
      </c>
      <c r="L470" s="148">
        <v>55.833146341463419</v>
      </c>
      <c r="M470" s="148">
        <v>59.3</v>
      </c>
    </row>
    <row r="471" spans="1:13">
      <c r="A471" s="148">
        <v>2012</v>
      </c>
      <c r="B471" s="148" t="s">
        <v>16</v>
      </c>
      <c r="C471" s="148" t="str">
        <f t="shared" si="7"/>
        <v>2012_Afghanistan</v>
      </c>
      <c r="D471" s="148">
        <v>20506795254.488354</v>
      </c>
      <c r="E471" s="148">
        <v>29824536</v>
      </c>
      <c r="F471" s="148">
        <v>9.8880844565544379</v>
      </c>
      <c r="G471" s="148">
        <v>6725030000</v>
      </c>
      <c r="H471" s="148">
        <v>6725030000</v>
      </c>
      <c r="I471" s="148" t="s">
        <v>2842</v>
      </c>
      <c r="J471" s="148">
        <v>1.7987943457912601</v>
      </c>
      <c r="K471" s="148" t="s">
        <v>2842</v>
      </c>
      <c r="L471" s="148">
        <v>60.50912195121952</v>
      </c>
      <c r="M471" s="148">
        <v>72</v>
      </c>
    </row>
    <row r="472" spans="1:13">
      <c r="A472" s="148">
        <v>2012</v>
      </c>
      <c r="B472" s="148" t="s">
        <v>33</v>
      </c>
      <c r="C472" s="148" t="str">
        <f t="shared" si="7"/>
        <v>2012_Albania</v>
      </c>
      <c r="D472" s="148">
        <v>12344529628.061665</v>
      </c>
      <c r="E472" s="148">
        <v>2801681</v>
      </c>
      <c r="F472" s="148" t="s">
        <v>2842</v>
      </c>
      <c r="G472" s="148">
        <v>341620000</v>
      </c>
      <c r="H472" s="148">
        <v>341620000</v>
      </c>
      <c r="I472" s="148" t="s">
        <v>2842</v>
      </c>
      <c r="J472" s="148">
        <v>2.8431629355147199</v>
      </c>
      <c r="K472" s="148">
        <v>14.3</v>
      </c>
      <c r="L472" s="148">
        <v>77.350463414634149</v>
      </c>
      <c r="M472" s="148">
        <v>13.8</v>
      </c>
    </row>
    <row r="473" spans="1:13">
      <c r="A473" s="148">
        <v>2012</v>
      </c>
      <c r="B473" s="148" t="s">
        <v>48</v>
      </c>
      <c r="C473" s="148" t="str">
        <f t="shared" si="7"/>
        <v>2012_Azerbaijan</v>
      </c>
      <c r="D473" s="148">
        <v>68730906313.64563</v>
      </c>
      <c r="E473" s="148">
        <v>9295784</v>
      </c>
      <c r="F473" s="148">
        <v>41.846282063153993</v>
      </c>
      <c r="G473" s="148">
        <v>337610000</v>
      </c>
      <c r="H473" s="148">
        <v>337610000</v>
      </c>
      <c r="I473" s="148" t="s">
        <v>2842</v>
      </c>
      <c r="J473" s="148">
        <v>1.22738957310862</v>
      </c>
      <c r="K473" s="148">
        <v>6</v>
      </c>
      <c r="L473" s="148">
        <v>70.624951219512212</v>
      </c>
      <c r="M473" s="148">
        <v>31.1</v>
      </c>
    </row>
    <row r="474" spans="1:13">
      <c r="A474" s="148">
        <v>2012</v>
      </c>
      <c r="B474" s="148" t="s">
        <v>93</v>
      </c>
      <c r="C474" s="148" t="str">
        <f t="shared" si="7"/>
        <v>2012_Burkina Faso</v>
      </c>
      <c r="D474" s="148">
        <v>10726305449.611792</v>
      </c>
      <c r="E474" s="148">
        <v>16460141</v>
      </c>
      <c r="F474" s="148">
        <v>18.23961667800074</v>
      </c>
      <c r="G474" s="148">
        <v>1158540000</v>
      </c>
      <c r="H474" s="148">
        <v>1158540000</v>
      </c>
      <c r="I474" s="148" t="s">
        <v>2842</v>
      </c>
      <c r="J474" s="148">
        <v>3.3515467693304801</v>
      </c>
      <c r="K474" s="148" t="s">
        <v>2842</v>
      </c>
      <c r="L474" s="148">
        <v>55.86202439024391</v>
      </c>
      <c r="M474" s="148">
        <v>65.7</v>
      </c>
    </row>
    <row r="475" spans="1:13">
      <c r="A475" s="148">
        <v>2012</v>
      </c>
      <c r="B475" s="148" t="s">
        <v>96</v>
      </c>
      <c r="C475" s="148" t="str">
        <f t="shared" si="7"/>
        <v>2012_Cameroon</v>
      </c>
      <c r="D475" s="148">
        <v>26472054176.16637</v>
      </c>
      <c r="E475" s="148">
        <v>21699631</v>
      </c>
      <c r="F475" s="148" t="s">
        <v>2842</v>
      </c>
      <c r="G475" s="148">
        <v>596240000</v>
      </c>
      <c r="H475" s="148">
        <v>596240000</v>
      </c>
      <c r="I475" s="148">
        <v>3.10012</v>
      </c>
      <c r="J475" s="148">
        <v>1.71938325031211</v>
      </c>
      <c r="K475" s="148" t="s">
        <v>2842</v>
      </c>
      <c r="L475" s="148">
        <v>54.58751219512196</v>
      </c>
      <c r="M475" s="148">
        <v>62.4</v>
      </c>
    </row>
    <row r="476" spans="1:13">
      <c r="A476" s="148">
        <v>2012</v>
      </c>
      <c r="B476" s="148" t="s">
        <v>133</v>
      </c>
      <c r="C476" s="148" t="str">
        <f t="shared" si="7"/>
        <v>2012_Chad</v>
      </c>
      <c r="D476" s="148">
        <v>12887072081.636263</v>
      </c>
      <c r="E476" s="148">
        <v>12448175</v>
      </c>
      <c r="F476" s="148" t="s">
        <v>2842</v>
      </c>
      <c r="G476" s="148">
        <v>478590000</v>
      </c>
      <c r="H476" s="148">
        <v>478590000</v>
      </c>
      <c r="I476" s="148" t="s">
        <v>2842</v>
      </c>
      <c r="J476" s="148">
        <v>0.87857213638364395</v>
      </c>
      <c r="K476" s="148" t="s">
        <v>2842</v>
      </c>
      <c r="L476" s="148">
        <v>50.700585365853662</v>
      </c>
      <c r="M476" s="148">
        <v>90.2</v>
      </c>
    </row>
    <row r="477" spans="1:13">
      <c r="A477" s="148">
        <v>2012</v>
      </c>
      <c r="B477" s="148" t="s">
        <v>122</v>
      </c>
      <c r="C477" s="148" t="str">
        <f t="shared" si="7"/>
        <v>2012_Central African Republic</v>
      </c>
      <c r="D477" s="148">
        <v>2169706411.4779911</v>
      </c>
      <c r="E477" s="148">
        <v>4525209</v>
      </c>
      <c r="F477" s="148">
        <v>11.053706709140791</v>
      </c>
      <c r="G477" s="148">
        <v>227250000</v>
      </c>
      <c r="H477" s="148">
        <v>227250000</v>
      </c>
      <c r="I477" s="148" t="s">
        <v>2842</v>
      </c>
      <c r="J477" s="148">
        <v>1.8669628699587899</v>
      </c>
      <c r="K477" s="148" t="s">
        <v>2842</v>
      </c>
      <c r="L477" s="148">
        <v>49.475390243902446</v>
      </c>
      <c r="M477" s="148">
        <v>97.9</v>
      </c>
    </row>
    <row r="478" spans="1:13">
      <c r="A478" s="148">
        <v>2012</v>
      </c>
      <c r="B478" s="148" t="s">
        <v>165</v>
      </c>
      <c r="C478" s="148" t="str">
        <f t="shared" si="7"/>
        <v>2012_Democratic Republic of Congo</v>
      </c>
      <c r="D478" s="148">
        <v>29306222815.632816</v>
      </c>
      <c r="E478" s="148">
        <v>65705093</v>
      </c>
      <c r="F478" s="148" t="s">
        <v>2842</v>
      </c>
      <c r="G478" s="148">
        <v>2859380000</v>
      </c>
      <c r="H478" s="148">
        <v>2859380000</v>
      </c>
      <c r="I478" s="148" t="s">
        <v>2842</v>
      </c>
      <c r="J478" s="148">
        <v>2.8686960534763899</v>
      </c>
      <c r="K478" s="148" t="s">
        <v>2842</v>
      </c>
      <c r="L478" s="148">
        <v>49.62326829268293</v>
      </c>
      <c r="M478" s="148">
        <v>88.1</v>
      </c>
    </row>
    <row r="479" spans="1:13">
      <c r="A479" s="148">
        <v>2012</v>
      </c>
      <c r="B479" s="148" t="s">
        <v>458</v>
      </c>
      <c r="C479" s="148" t="str">
        <f t="shared" si="7"/>
        <v>2012_Republic of the Congo</v>
      </c>
      <c r="D479" s="148">
        <v>13677929161.714231</v>
      </c>
      <c r="E479" s="148">
        <v>4337051</v>
      </c>
      <c r="F479" s="148" t="s">
        <v>2842</v>
      </c>
      <c r="G479" s="148">
        <v>138600000</v>
      </c>
      <c r="H479" s="148">
        <v>138600000</v>
      </c>
      <c r="I479" s="148" t="s">
        <v>2842</v>
      </c>
      <c r="J479" s="148">
        <v>2.33824628006772</v>
      </c>
      <c r="K479" s="148" t="s">
        <v>2842</v>
      </c>
      <c r="L479" s="148">
        <v>58.296560975609758</v>
      </c>
      <c r="M479" s="148">
        <v>37.299999999999997</v>
      </c>
    </row>
    <row r="480" spans="1:13">
      <c r="A480" s="148">
        <v>2012</v>
      </c>
      <c r="B480" s="33" t="s">
        <v>3542</v>
      </c>
      <c r="C480" s="148" t="str">
        <f t="shared" si="7"/>
        <v>2012_Côte d'Ivoire</v>
      </c>
      <c r="D480" s="148">
        <v>27098590232.320923</v>
      </c>
      <c r="E480" s="148">
        <v>19839750</v>
      </c>
      <c r="F480" s="148">
        <v>16.22531603408353</v>
      </c>
      <c r="G480" s="148">
        <v>2635630000</v>
      </c>
      <c r="H480" s="148">
        <v>2635630000</v>
      </c>
      <c r="I480" s="148" t="s">
        <v>2842</v>
      </c>
      <c r="J480" s="148">
        <v>1.94158637361151</v>
      </c>
      <c r="K480" s="148" t="s">
        <v>2842</v>
      </c>
      <c r="L480" s="148">
        <v>50.401731707317076</v>
      </c>
      <c r="M480" s="148">
        <v>73.2</v>
      </c>
    </row>
    <row r="481" spans="1:13">
      <c r="A481" s="148">
        <v>2012</v>
      </c>
      <c r="B481" s="148" t="s">
        <v>182</v>
      </c>
      <c r="C481" s="148" t="str">
        <f t="shared" si="7"/>
        <v>2012_Equatorial Guinea</v>
      </c>
      <c r="D481" s="148">
        <v>16496531232.99827</v>
      </c>
      <c r="E481" s="148">
        <v>736296</v>
      </c>
      <c r="F481" s="148" t="s">
        <v>2842</v>
      </c>
      <c r="G481" s="148">
        <v>14200000</v>
      </c>
      <c r="H481" s="148">
        <v>14200000</v>
      </c>
      <c r="I481" s="148" t="s">
        <v>2842</v>
      </c>
      <c r="J481" s="148">
        <v>2.57044205634267</v>
      </c>
      <c r="K481" s="148" t="s">
        <v>2842</v>
      </c>
      <c r="L481" s="148">
        <v>52.612902439024396</v>
      </c>
      <c r="M481" s="148">
        <v>71.3</v>
      </c>
    </row>
    <row r="482" spans="1:13">
      <c r="A482" s="148">
        <v>2012</v>
      </c>
      <c r="B482" s="148" t="s">
        <v>185</v>
      </c>
      <c r="C482" s="148" t="str">
        <f t="shared" si="7"/>
        <v>2012_Gabon</v>
      </c>
      <c r="D482" s="148">
        <v>17843815459.300541</v>
      </c>
      <c r="E482" s="148">
        <v>1632572</v>
      </c>
      <c r="F482" s="148" t="s">
        <v>2842</v>
      </c>
      <c r="G482" s="148">
        <v>73200000</v>
      </c>
      <c r="H482" s="148">
        <v>73200000</v>
      </c>
      <c r="I482" s="148" t="s">
        <v>2842</v>
      </c>
      <c r="J482" s="148">
        <v>1.7770733573972901</v>
      </c>
      <c r="K482" s="148" t="s">
        <v>2842</v>
      </c>
      <c r="L482" s="148">
        <v>63.073926829268295</v>
      </c>
      <c r="M482" s="148">
        <v>40</v>
      </c>
    </row>
    <row r="483" spans="1:13">
      <c r="A483" s="148">
        <v>2012</v>
      </c>
      <c r="B483" s="148" t="s">
        <v>189</v>
      </c>
      <c r="C483" s="148" t="str">
        <f t="shared" si="7"/>
        <v>2012_Ghana</v>
      </c>
      <c r="D483" s="148">
        <v>41740926505.118301</v>
      </c>
      <c r="E483" s="148">
        <v>25366462</v>
      </c>
      <c r="F483" s="148" t="s">
        <v>2842</v>
      </c>
      <c r="G483" s="148">
        <v>1807910000</v>
      </c>
      <c r="H483" s="148">
        <v>1807910000</v>
      </c>
      <c r="I483" s="148" t="s">
        <v>2842</v>
      </c>
      <c r="J483" s="148">
        <v>2.9554989812675698</v>
      </c>
      <c r="K483" s="148">
        <v>24.2</v>
      </c>
      <c r="L483" s="148">
        <v>60.947121951219515</v>
      </c>
      <c r="M483" s="148">
        <v>53.3</v>
      </c>
    </row>
    <row r="484" spans="1:13">
      <c r="A484" s="148">
        <v>2012</v>
      </c>
      <c r="B484" s="148" t="s">
        <v>2843</v>
      </c>
      <c r="C484" s="148" t="str">
        <f t="shared" si="7"/>
        <v>2012_Guinea</v>
      </c>
      <c r="D484" s="148">
        <v>5651088170.2860603</v>
      </c>
      <c r="E484" s="148">
        <v>11451273</v>
      </c>
      <c r="F484" s="148" t="s">
        <v>2842</v>
      </c>
      <c r="G484" s="148">
        <v>339650000</v>
      </c>
      <c r="H484" s="148">
        <v>339650000</v>
      </c>
      <c r="I484" s="148">
        <v>2.47139</v>
      </c>
      <c r="J484" s="148">
        <v>1.77206640601468</v>
      </c>
      <c r="K484" s="148">
        <v>55.2</v>
      </c>
      <c r="L484" s="148">
        <v>55.844658536585371</v>
      </c>
      <c r="M484" s="148">
        <v>67</v>
      </c>
    </row>
    <row r="485" spans="1:13">
      <c r="A485" s="148">
        <v>2012</v>
      </c>
      <c r="B485" s="148" t="s">
        <v>213</v>
      </c>
      <c r="C485" s="148" t="str">
        <f t="shared" si="7"/>
        <v>2012_Guatemala</v>
      </c>
      <c r="D485" s="148">
        <v>50388454861.111115</v>
      </c>
      <c r="E485" s="148">
        <v>15082831</v>
      </c>
      <c r="F485" s="148">
        <v>11.469881617564722</v>
      </c>
      <c r="G485" s="148">
        <v>299430000</v>
      </c>
      <c r="H485" s="148">
        <v>299430000</v>
      </c>
      <c r="I485" s="148" t="s">
        <v>2842</v>
      </c>
      <c r="J485" s="148">
        <v>2.40288760134638</v>
      </c>
      <c r="K485" s="148" t="s">
        <v>2842</v>
      </c>
      <c r="L485" s="148">
        <v>71.663853658536596</v>
      </c>
      <c r="M485" s="148">
        <v>26.6</v>
      </c>
    </row>
    <row r="486" spans="1:13">
      <c r="A486" s="148">
        <v>2012</v>
      </c>
      <c r="B486" s="148" t="s">
        <v>237</v>
      </c>
      <c r="C486" s="148" t="str">
        <f t="shared" si="7"/>
        <v>2012_Indonesia</v>
      </c>
      <c r="D486" s="148">
        <v>876719347689.15503</v>
      </c>
      <c r="E486" s="148">
        <v>246864191</v>
      </c>
      <c r="F486" s="148" t="s">
        <v>2842</v>
      </c>
      <c r="G486" s="148">
        <v>67810000</v>
      </c>
      <c r="H486" s="148">
        <v>67810000</v>
      </c>
      <c r="I486" s="148">
        <v>3.5620400000000001</v>
      </c>
      <c r="J486" s="148">
        <v>1.1997963501872999</v>
      </c>
      <c r="K486" s="148">
        <v>12</v>
      </c>
      <c r="L486" s="148">
        <v>70.607243902439038</v>
      </c>
      <c r="M486" s="148">
        <v>25.4</v>
      </c>
    </row>
    <row r="487" spans="1:13">
      <c r="A487" s="148">
        <v>2012</v>
      </c>
      <c r="B487" s="148" t="s">
        <v>245</v>
      </c>
      <c r="C487" s="148" t="str">
        <f t="shared" si="7"/>
        <v>2012_Iraq</v>
      </c>
      <c r="D487" s="148">
        <v>216044306775.30017</v>
      </c>
      <c r="E487" s="148">
        <v>32578209</v>
      </c>
      <c r="F487" s="148" t="s">
        <v>2842</v>
      </c>
      <c r="G487" s="148">
        <v>1300790000</v>
      </c>
      <c r="H487" s="148">
        <v>1300790000</v>
      </c>
      <c r="I487" s="148" t="s">
        <v>2842</v>
      </c>
      <c r="J487" s="148">
        <v>1.92174579901219</v>
      </c>
      <c r="K487" s="148">
        <v>18.899999999999999</v>
      </c>
      <c r="L487" s="148">
        <v>69.241926829268309</v>
      </c>
      <c r="M487" s="148">
        <v>28.8</v>
      </c>
    </row>
    <row r="488" spans="1:13">
      <c r="A488" s="148">
        <v>2012</v>
      </c>
      <c r="B488" s="148" t="s">
        <v>273</v>
      </c>
      <c r="C488" s="148" t="str">
        <f t="shared" si="7"/>
        <v>2012_Kazakhstan</v>
      </c>
      <c r="D488" s="148">
        <v>203517198088.69141</v>
      </c>
      <c r="E488" s="148">
        <v>16791425</v>
      </c>
      <c r="F488" s="148" t="s">
        <v>2842</v>
      </c>
      <c r="G488" s="148">
        <v>129639999.99999999</v>
      </c>
      <c r="H488" s="148">
        <v>129639999.99999999</v>
      </c>
      <c r="I488" s="148" t="s">
        <v>2842</v>
      </c>
      <c r="J488" s="148">
        <v>2.4184484202812699</v>
      </c>
      <c r="K488" s="148">
        <v>3.8</v>
      </c>
      <c r="L488" s="148">
        <v>69.61</v>
      </c>
      <c r="M488" s="148">
        <v>16</v>
      </c>
    </row>
    <row r="489" spans="1:13">
      <c r="A489" s="148">
        <v>2012</v>
      </c>
      <c r="B489" s="148" t="s">
        <v>278</v>
      </c>
      <c r="C489" s="148" t="str">
        <f t="shared" si="7"/>
        <v>2012_Kyrgyz Republic</v>
      </c>
      <c r="D489" s="148">
        <v>6605139933.4106312</v>
      </c>
      <c r="E489" s="148">
        <v>5607200</v>
      </c>
      <c r="F489" s="148">
        <v>23.155222721069549</v>
      </c>
      <c r="G489" s="148">
        <v>472910000</v>
      </c>
      <c r="H489" s="148">
        <v>472910000</v>
      </c>
      <c r="I489" s="148" t="s">
        <v>2842</v>
      </c>
      <c r="J489" s="148">
        <v>4.2817311547724701</v>
      </c>
      <c r="K489" s="148">
        <v>38</v>
      </c>
      <c r="L489" s="148">
        <v>70.002439024390242</v>
      </c>
      <c r="M489" s="148">
        <v>23.2</v>
      </c>
    </row>
    <row r="490" spans="1:13">
      <c r="A490" s="148">
        <v>2012</v>
      </c>
      <c r="B490" s="148" t="s">
        <v>294</v>
      </c>
      <c r="C490" s="148" t="str">
        <f t="shared" si="7"/>
        <v>2012_Liberia</v>
      </c>
      <c r="D490" s="148">
        <v>1733828404.7414153</v>
      </c>
      <c r="E490" s="148">
        <v>4190435</v>
      </c>
      <c r="F490" s="148">
        <v>24.83990315581153</v>
      </c>
      <c r="G490" s="148">
        <v>570970000</v>
      </c>
      <c r="H490" s="148">
        <v>570970000</v>
      </c>
      <c r="I490" s="148">
        <v>2.8206899999999999</v>
      </c>
      <c r="J490" s="148">
        <v>4.6278142090733096</v>
      </c>
      <c r="K490" s="148" t="s">
        <v>2842</v>
      </c>
      <c r="L490" s="148">
        <v>60.206390243902447</v>
      </c>
      <c r="M490" s="148">
        <v>55.6</v>
      </c>
    </row>
    <row r="491" spans="1:13">
      <c r="A491" s="148">
        <v>2012</v>
      </c>
      <c r="B491" s="148" t="s">
        <v>309</v>
      </c>
      <c r="C491" s="148" t="str">
        <f t="shared" si="7"/>
        <v>2012_Madagascar</v>
      </c>
      <c r="D491" s="148">
        <v>9919780221.931982</v>
      </c>
      <c r="E491" s="148">
        <v>22293914</v>
      </c>
      <c r="F491" s="148" t="s">
        <v>2842</v>
      </c>
      <c r="G491" s="148">
        <v>378690000</v>
      </c>
      <c r="H491" s="148">
        <v>378690000</v>
      </c>
      <c r="I491" s="148">
        <v>2.7170100000000001</v>
      </c>
      <c r="J491" s="148">
        <v>2.4979380474902602</v>
      </c>
      <c r="K491" s="148" t="s">
        <v>2842</v>
      </c>
      <c r="L491" s="148">
        <v>64.248634146341473</v>
      </c>
      <c r="M491" s="148">
        <v>40.799999999999997</v>
      </c>
    </row>
    <row r="492" spans="1:13">
      <c r="A492" s="148">
        <v>2012</v>
      </c>
      <c r="B492" s="148" t="s">
        <v>322</v>
      </c>
      <c r="C492" s="148" t="str">
        <f t="shared" si="7"/>
        <v>2012_Mali</v>
      </c>
      <c r="D492" s="148">
        <v>10340794110.136602</v>
      </c>
      <c r="E492" s="148">
        <v>14853572</v>
      </c>
      <c r="F492" s="148">
        <v>16.598077456368852</v>
      </c>
      <c r="G492" s="148">
        <v>1001300000</v>
      </c>
      <c r="H492" s="148">
        <v>1001300000</v>
      </c>
      <c r="I492" s="148" t="s">
        <v>2842</v>
      </c>
      <c r="J492" s="148">
        <v>2.2692459238093199</v>
      </c>
      <c r="K492" s="148" t="s">
        <v>2842</v>
      </c>
      <c r="L492" s="148">
        <v>54.603926829268296</v>
      </c>
      <c r="M492" s="148">
        <v>79.400000000000006</v>
      </c>
    </row>
    <row r="493" spans="1:13">
      <c r="A493" s="148">
        <v>2012</v>
      </c>
      <c r="B493" s="148" t="s">
        <v>338</v>
      </c>
      <c r="C493" s="148" t="str">
        <f t="shared" si="7"/>
        <v>2012_Mauritania</v>
      </c>
      <c r="D493" s="148">
        <v>3958702640.0782146</v>
      </c>
      <c r="E493" s="148">
        <v>3796141</v>
      </c>
      <c r="F493" s="148" t="s">
        <v>2842</v>
      </c>
      <c r="G493" s="148">
        <v>408310000</v>
      </c>
      <c r="H493" s="148">
        <v>408310000</v>
      </c>
      <c r="I493" s="148" t="s">
        <v>2842</v>
      </c>
      <c r="J493" s="148">
        <v>4.0835321428140396</v>
      </c>
      <c r="K493" s="148" t="s">
        <v>2842</v>
      </c>
      <c r="L493" s="148">
        <v>61.350609756097562</v>
      </c>
      <c r="M493" s="148">
        <v>68.2</v>
      </c>
    </row>
    <row r="494" spans="1:13">
      <c r="A494" s="148">
        <v>2012</v>
      </c>
      <c r="B494" s="148" t="s">
        <v>357</v>
      </c>
      <c r="C494" s="148" t="str">
        <f t="shared" si="7"/>
        <v>2012_Mongolia</v>
      </c>
      <c r="D494" s="148">
        <v>10321968594.779902</v>
      </c>
      <c r="E494" s="148">
        <v>2796484</v>
      </c>
      <c r="F494" s="148">
        <v>30.509052637581512</v>
      </c>
      <c r="G494" s="148">
        <v>448780000</v>
      </c>
      <c r="H494" s="148">
        <v>448780000</v>
      </c>
      <c r="I494" s="148" t="s">
        <v>2842</v>
      </c>
      <c r="J494" s="148">
        <v>3.9663895322970402</v>
      </c>
      <c r="K494" s="148">
        <v>27.4</v>
      </c>
      <c r="L494" s="148">
        <v>67.339439024390245</v>
      </c>
      <c r="M494" s="148">
        <v>27.2</v>
      </c>
    </row>
    <row r="495" spans="1:13">
      <c r="A495" s="148">
        <v>2012</v>
      </c>
      <c r="B495" s="148" t="s">
        <v>378</v>
      </c>
      <c r="C495" s="148" t="str">
        <f t="shared" si="7"/>
        <v>2012_Mozambique</v>
      </c>
      <c r="D495" s="148">
        <v>14952946846.345062</v>
      </c>
      <c r="E495" s="148">
        <v>25203395</v>
      </c>
      <c r="F495" s="148">
        <v>22.89212727754235</v>
      </c>
      <c r="G495" s="148">
        <v>2096920000</v>
      </c>
      <c r="H495" s="148">
        <v>2096920000</v>
      </c>
      <c r="I495" s="148" t="s">
        <v>2842</v>
      </c>
      <c r="J495" s="148">
        <v>2.84236277037258</v>
      </c>
      <c r="K495" s="148" t="s">
        <v>2842</v>
      </c>
      <c r="L495" s="148">
        <v>49.836268292682938</v>
      </c>
      <c r="M495" s="148">
        <v>63.6</v>
      </c>
    </row>
    <row r="496" spans="1:13">
      <c r="A496" s="148">
        <v>2012</v>
      </c>
      <c r="B496" s="148" t="s">
        <v>387</v>
      </c>
      <c r="C496" s="148" t="str">
        <f t="shared" si="7"/>
        <v>2012_Niger</v>
      </c>
      <c r="D496" s="148">
        <v>6611341028.9871645</v>
      </c>
      <c r="E496" s="148">
        <v>17157042</v>
      </c>
      <c r="F496" s="148" t="s">
        <v>2842</v>
      </c>
      <c r="G496" s="148">
        <v>901870000</v>
      </c>
      <c r="H496" s="148">
        <v>901870000</v>
      </c>
      <c r="I496" s="148">
        <v>4.43567</v>
      </c>
      <c r="J496" s="148">
        <v>2.8449168433077601</v>
      </c>
      <c r="K496" s="148" t="s">
        <v>2842</v>
      </c>
      <c r="L496" s="148">
        <v>57.966170731707322</v>
      </c>
      <c r="M496" s="148">
        <v>61.6</v>
      </c>
    </row>
    <row r="497" spans="1:13">
      <c r="A497" s="148">
        <v>2012</v>
      </c>
      <c r="B497" s="148" t="s">
        <v>406</v>
      </c>
      <c r="C497" s="148" t="str">
        <f t="shared" si="7"/>
        <v>2012_Nigeria</v>
      </c>
      <c r="D497" s="148">
        <v>462979245902.41315</v>
      </c>
      <c r="E497" s="148">
        <v>168833776</v>
      </c>
      <c r="F497" s="148">
        <v>4.9996122569770671</v>
      </c>
      <c r="G497" s="148">
        <v>1915820000</v>
      </c>
      <c r="H497" s="148">
        <v>1915820000</v>
      </c>
      <c r="I497" s="148" t="s">
        <v>2842</v>
      </c>
      <c r="J497" s="148">
        <v>1.8891673902730799</v>
      </c>
      <c r="K497" s="148" t="s">
        <v>2842</v>
      </c>
      <c r="L497" s="148">
        <v>52.10902439024391</v>
      </c>
      <c r="M497" s="148">
        <v>76.599999999999994</v>
      </c>
    </row>
    <row r="498" spans="1:13">
      <c r="A498" s="148">
        <v>2012</v>
      </c>
      <c r="B498" s="148" t="s">
        <v>429</v>
      </c>
      <c r="C498" s="148" t="str">
        <f t="shared" si="7"/>
        <v>2012_Norway</v>
      </c>
      <c r="D498" s="148">
        <v>500029909755.04944</v>
      </c>
      <c r="E498" s="148">
        <v>5018573</v>
      </c>
      <c r="F498" s="148">
        <v>49.114380437577601</v>
      </c>
      <c r="G498" s="148" t="s">
        <v>2842</v>
      </c>
      <c r="H498" s="148" t="s">
        <v>2842</v>
      </c>
      <c r="I498" s="148" t="s">
        <v>2842</v>
      </c>
      <c r="J498" s="148">
        <v>7.66523708956099</v>
      </c>
      <c r="K498" s="148" t="s">
        <v>2842</v>
      </c>
      <c r="L498" s="148">
        <v>81.451219512195138</v>
      </c>
      <c r="M498" s="148">
        <v>2.2999999999999998</v>
      </c>
    </row>
    <row r="499" spans="1:13">
      <c r="A499" s="148">
        <v>2012</v>
      </c>
      <c r="B499" s="148" t="s">
        <v>442</v>
      </c>
      <c r="C499" s="148" t="str">
        <f t="shared" si="7"/>
        <v>2012_Peru</v>
      </c>
      <c r="D499" s="148">
        <v>192628494178.35443</v>
      </c>
      <c r="E499" s="148">
        <v>29987800</v>
      </c>
      <c r="F499" s="148">
        <v>21.510754766218842</v>
      </c>
      <c r="G499" s="148">
        <v>393820000</v>
      </c>
      <c r="H499" s="148">
        <v>393820000</v>
      </c>
      <c r="I499" s="148">
        <v>2.7604600000000001</v>
      </c>
      <c r="J499" s="148">
        <v>2.98654141864909</v>
      </c>
      <c r="K499" s="148">
        <v>25.8</v>
      </c>
      <c r="L499" s="148">
        <v>74.515536585365851</v>
      </c>
      <c r="M499" s="148">
        <v>13.6</v>
      </c>
    </row>
    <row r="500" spans="1:13">
      <c r="A500" s="148">
        <v>2012</v>
      </c>
      <c r="B500" s="148" t="s">
        <v>481</v>
      </c>
      <c r="C500" s="148" t="str">
        <f t="shared" si="7"/>
        <v>2012_Sierra Leone</v>
      </c>
      <c r="D500" s="148">
        <v>3529350504.3838177</v>
      </c>
      <c r="E500" s="148">
        <v>5978727</v>
      </c>
      <c r="F500" s="148">
        <v>12.219873710843929</v>
      </c>
      <c r="G500" s="148">
        <v>442820000</v>
      </c>
      <c r="H500" s="148">
        <v>442820000</v>
      </c>
      <c r="I500" s="148">
        <v>2.8764500000000002</v>
      </c>
      <c r="J500" s="148">
        <v>2.4994631528346001</v>
      </c>
      <c r="K500" s="148" t="s">
        <v>2842</v>
      </c>
      <c r="L500" s="148">
        <v>45.329048780487817</v>
      </c>
      <c r="M500" s="148">
        <v>109.6</v>
      </c>
    </row>
    <row r="501" spans="1:13">
      <c r="A501" s="148">
        <v>2012</v>
      </c>
      <c r="B501" s="148" t="s">
        <v>492</v>
      </c>
      <c r="C501" s="148" t="str">
        <f t="shared" si="7"/>
        <v>2012_Tanzania</v>
      </c>
      <c r="D501" s="148">
        <v>28248632095.687702</v>
      </c>
      <c r="E501" s="148">
        <v>47783107</v>
      </c>
      <c r="F501" s="148">
        <v>17.321821852641847</v>
      </c>
      <c r="G501" s="148">
        <v>2831890000</v>
      </c>
      <c r="H501" s="148">
        <v>2831890000</v>
      </c>
      <c r="I501" s="148" t="s">
        <v>2842</v>
      </c>
      <c r="J501" s="148">
        <v>2.7503102648098299</v>
      </c>
      <c r="K501" s="148">
        <v>28.2</v>
      </c>
      <c r="L501" s="148">
        <v>60.84643902439025</v>
      </c>
      <c r="M501" s="148">
        <v>37.700000000000003</v>
      </c>
    </row>
    <row r="502" spans="1:13">
      <c r="A502" s="148">
        <v>2012</v>
      </c>
      <c r="B502" s="148" t="s">
        <v>2844</v>
      </c>
      <c r="C502" s="148" t="str">
        <f t="shared" si="7"/>
        <v>2012_Timor-Leste</v>
      </c>
      <c r="D502" s="148">
        <v>1270000000</v>
      </c>
      <c r="E502" s="148">
        <v>1148958</v>
      </c>
      <c r="F502" s="148" t="s">
        <v>2842</v>
      </c>
      <c r="G502" s="148">
        <v>283070000</v>
      </c>
      <c r="H502" s="148">
        <v>283070000</v>
      </c>
      <c r="I502" s="148" t="s">
        <v>2842</v>
      </c>
      <c r="J502" s="148">
        <v>3.1646166937417801</v>
      </c>
      <c r="K502" s="148" t="s">
        <v>2842</v>
      </c>
      <c r="L502" s="148">
        <v>67.020585365853663</v>
      </c>
      <c r="M502" s="148">
        <v>47.9</v>
      </c>
    </row>
    <row r="503" spans="1:13">
      <c r="A503" s="148">
        <v>2012</v>
      </c>
      <c r="B503" s="148" t="s">
        <v>510</v>
      </c>
      <c r="C503" s="148" t="str">
        <f t="shared" si="7"/>
        <v>2012_Togo</v>
      </c>
      <c r="D503" s="148">
        <v>3915754216.2066875</v>
      </c>
      <c r="E503" s="148">
        <v>6642928</v>
      </c>
      <c r="F503" s="148">
        <v>18.586970065516155</v>
      </c>
      <c r="G503" s="148">
        <v>241460000</v>
      </c>
      <c r="H503" s="148">
        <v>241460000</v>
      </c>
      <c r="I503" s="148" t="s">
        <v>2842</v>
      </c>
      <c r="J503" s="148">
        <v>4.4414998198932603</v>
      </c>
      <c r="K503" s="148" t="s">
        <v>2842</v>
      </c>
      <c r="L503" s="148">
        <v>56.150341463414641</v>
      </c>
      <c r="M503" s="148">
        <v>57.4</v>
      </c>
    </row>
    <row r="504" spans="1:13">
      <c r="A504" s="148">
        <v>2012</v>
      </c>
      <c r="B504" s="148" t="s">
        <v>2845</v>
      </c>
      <c r="C504" s="148" t="str">
        <f t="shared" si="7"/>
        <v>2012_Trinidad and Tobago</v>
      </c>
      <c r="D504" s="148">
        <v>23436342519.932198</v>
      </c>
      <c r="E504" s="148">
        <v>1337439</v>
      </c>
      <c r="F504" s="148" t="s">
        <v>2842</v>
      </c>
      <c r="G504" s="148" t="s">
        <v>2842</v>
      </c>
      <c r="H504" s="148" t="s">
        <v>2842</v>
      </c>
      <c r="I504" s="148" t="s">
        <v>2842</v>
      </c>
      <c r="J504" s="148">
        <v>2.7405775332269502</v>
      </c>
      <c r="K504" s="148" t="s">
        <v>2842</v>
      </c>
      <c r="L504" s="148">
        <v>69.817146341463427</v>
      </c>
      <c r="M504" s="148">
        <v>19.600000000000001</v>
      </c>
    </row>
    <row r="505" spans="1:13">
      <c r="A505" s="148">
        <v>2012</v>
      </c>
      <c r="B505" s="148" t="s">
        <v>522</v>
      </c>
      <c r="C505" s="148" t="str">
        <f t="shared" si="7"/>
        <v>2012_Yemen</v>
      </c>
      <c r="D505" s="148">
        <v>31992801302.931595</v>
      </c>
      <c r="E505" s="148">
        <v>23852409</v>
      </c>
      <c r="F505" s="148" t="s">
        <v>2842</v>
      </c>
      <c r="G505" s="148">
        <v>709390000</v>
      </c>
      <c r="H505" s="148">
        <v>709390000</v>
      </c>
      <c r="I505" s="148" t="s">
        <v>2842</v>
      </c>
      <c r="J505" s="148">
        <v>1.5120316163840199</v>
      </c>
      <c r="K505" s="148" t="s">
        <v>2842</v>
      </c>
      <c r="L505" s="148">
        <v>62.905780487804883</v>
      </c>
      <c r="M505" s="148">
        <v>42</v>
      </c>
    </row>
    <row r="506" spans="1:13">
      <c r="A506" s="148">
        <v>2012</v>
      </c>
      <c r="B506" s="148" t="s">
        <v>534</v>
      </c>
      <c r="C506" s="148" t="str">
        <f t="shared" si="7"/>
        <v>2012_Zambia</v>
      </c>
      <c r="D506" s="148">
        <v>24939543374.136166</v>
      </c>
      <c r="E506" s="148">
        <v>14075099</v>
      </c>
      <c r="F506" s="148" t="s">
        <v>2842</v>
      </c>
      <c r="G506" s="148">
        <v>957720000</v>
      </c>
      <c r="H506" s="148">
        <v>957720000</v>
      </c>
      <c r="I506" s="148" t="s">
        <v>2842</v>
      </c>
      <c r="J506" s="148">
        <v>4.19512038495371</v>
      </c>
      <c r="K506" s="148" t="s">
        <v>2842</v>
      </c>
      <c r="L506" s="148">
        <v>57.022585365853665</v>
      </c>
      <c r="M506" s="148">
        <v>57.1</v>
      </c>
    </row>
    <row r="507" spans="1:13">
      <c r="A507" s="148">
        <v>2013</v>
      </c>
      <c r="B507" s="148" t="s">
        <v>16</v>
      </c>
      <c r="C507" s="148" t="str">
        <f t="shared" si="7"/>
        <v>2013_Afghanistan</v>
      </c>
      <c r="D507" s="148">
        <v>20309671014.623577</v>
      </c>
      <c r="E507" s="148">
        <v>30551674</v>
      </c>
      <c r="F507" s="148" t="s">
        <v>2842</v>
      </c>
      <c r="G507" s="148" t="s">
        <v>2842</v>
      </c>
      <c r="H507" s="148" t="s">
        <v>2842</v>
      </c>
      <c r="I507" s="148" t="s">
        <v>2842</v>
      </c>
      <c r="J507" s="148" t="s">
        <v>2842</v>
      </c>
      <c r="K507" s="148" t="s">
        <v>2842</v>
      </c>
      <c r="L507" s="148" t="s">
        <v>2842</v>
      </c>
      <c r="M507" s="148">
        <v>70.2</v>
      </c>
    </row>
    <row r="508" spans="1:13">
      <c r="A508" s="148">
        <v>2013</v>
      </c>
      <c r="B508" s="148" t="s">
        <v>33</v>
      </c>
      <c r="C508" s="148" t="str">
        <f t="shared" si="7"/>
        <v>2013_Albania</v>
      </c>
      <c r="D508" s="148">
        <v>12923240278.341646</v>
      </c>
      <c r="E508" s="148">
        <v>2773620</v>
      </c>
      <c r="F508" s="148" t="s">
        <v>2842</v>
      </c>
      <c r="G508" s="148" t="s">
        <v>2842</v>
      </c>
      <c r="H508" s="148" t="s">
        <v>2842</v>
      </c>
      <c r="I508" s="148" t="s">
        <v>2842</v>
      </c>
      <c r="J508" s="148" t="s">
        <v>2842</v>
      </c>
      <c r="K508" s="148" t="s">
        <v>2842</v>
      </c>
      <c r="L508" s="148" t="s">
        <v>2842</v>
      </c>
      <c r="M508" s="148">
        <v>13.3</v>
      </c>
    </row>
    <row r="509" spans="1:13">
      <c r="A509" s="148">
        <v>2013</v>
      </c>
      <c r="B509" s="148" t="s">
        <v>48</v>
      </c>
      <c r="C509" s="148" t="str">
        <f t="shared" si="7"/>
        <v>2013_Azerbaijan</v>
      </c>
      <c r="D509" s="148">
        <v>73560484384.958572</v>
      </c>
      <c r="E509" s="148">
        <v>9416598</v>
      </c>
      <c r="F509" s="148" t="s">
        <v>2842</v>
      </c>
      <c r="G509" s="148" t="s">
        <v>2842</v>
      </c>
      <c r="H509" s="148" t="s">
        <v>2842</v>
      </c>
      <c r="I509" s="148" t="s">
        <v>2842</v>
      </c>
      <c r="J509" s="148" t="s">
        <v>2842</v>
      </c>
      <c r="K509" s="148">
        <v>5.3</v>
      </c>
      <c r="L509" s="148" t="s">
        <v>2842</v>
      </c>
      <c r="M509" s="148">
        <v>29.9</v>
      </c>
    </row>
    <row r="510" spans="1:13">
      <c r="A510" s="148">
        <v>2013</v>
      </c>
      <c r="B510" s="148" t="s">
        <v>93</v>
      </c>
      <c r="C510" s="148" t="str">
        <f t="shared" si="7"/>
        <v>2013_Burkina Faso</v>
      </c>
      <c r="D510" s="148">
        <v>11582556068.334547</v>
      </c>
      <c r="E510" s="148">
        <v>16934839</v>
      </c>
      <c r="F510" s="148" t="s">
        <v>2842</v>
      </c>
      <c r="G510" s="148" t="s">
        <v>2842</v>
      </c>
      <c r="H510" s="148" t="s">
        <v>2842</v>
      </c>
      <c r="I510" s="148" t="s">
        <v>2842</v>
      </c>
      <c r="J510" s="148" t="s">
        <v>2842</v>
      </c>
      <c r="K510" s="148" t="s">
        <v>2842</v>
      </c>
      <c r="L510" s="148" t="s">
        <v>2842</v>
      </c>
      <c r="M510" s="148">
        <v>64.099999999999994</v>
      </c>
    </row>
    <row r="511" spans="1:13">
      <c r="A511" s="148">
        <v>2013</v>
      </c>
      <c r="B511" s="148" t="s">
        <v>96</v>
      </c>
      <c r="C511" s="148" t="str">
        <f t="shared" si="7"/>
        <v>2013_Cameroon</v>
      </c>
      <c r="D511" s="148">
        <v>29567504655.493481</v>
      </c>
      <c r="E511" s="148">
        <v>22253959</v>
      </c>
      <c r="F511" s="148" t="s">
        <v>2842</v>
      </c>
      <c r="G511" s="148" t="s">
        <v>2842</v>
      </c>
      <c r="H511" s="148" t="s">
        <v>2842</v>
      </c>
      <c r="I511" s="148" t="s">
        <v>2842</v>
      </c>
      <c r="J511" s="148" t="s">
        <v>2842</v>
      </c>
      <c r="K511" s="148" t="s">
        <v>2842</v>
      </c>
      <c r="L511" s="148" t="s">
        <v>2842</v>
      </c>
      <c r="M511" s="148">
        <v>60.8</v>
      </c>
    </row>
    <row r="512" spans="1:13">
      <c r="A512" s="148">
        <v>2013</v>
      </c>
      <c r="B512" s="148" t="s">
        <v>133</v>
      </c>
      <c r="C512" s="148" t="str">
        <f t="shared" si="7"/>
        <v>2013_Chad</v>
      </c>
      <c r="D512" s="148">
        <v>13513552424.904865</v>
      </c>
      <c r="E512" s="148">
        <v>12825314</v>
      </c>
      <c r="F512" s="148" t="s">
        <v>2842</v>
      </c>
      <c r="G512" s="148" t="s">
        <v>2842</v>
      </c>
      <c r="H512" s="148" t="s">
        <v>2842</v>
      </c>
      <c r="I512" s="148" t="s">
        <v>2842</v>
      </c>
      <c r="J512" s="148" t="s">
        <v>2842</v>
      </c>
      <c r="K512" s="148" t="s">
        <v>2842</v>
      </c>
      <c r="L512" s="148" t="s">
        <v>2842</v>
      </c>
      <c r="M512" s="148">
        <v>88.5</v>
      </c>
    </row>
    <row r="513" spans="1:13">
      <c r="A513" s="148">
        <v>2013</v>
      </c>
      <c r="B513" s="148" t="s">
        <v>122</v>
      </c>
      <c r="C513" s="148" t="str">
        <f t="shared" si="7"/>
        <v>2013_Central African Republic</v>
      </c>
      <c r="D513" s="148">
        <v>1538175744.0777485</v>
      </c>
      <c r="E513" s="148">
        <v>4616417</v>
      </c>
      <c r="F513" s="148" t="s">
        <v>2842</v>
      </c>
      <c r="G513" s="148" t="s">
        <v>2842</v>
      </c>
      <c r="H513" s="148" t="s">
        <v>2842</v>
      </c>
      <c r="I513" s="148" t="s">
        <v>2842</v>
      </c>
      <c r="J513" s="148" t="s">
        <v>2842</v>
      </c>
      <c r="K513" s="148" t="s">
        <v>2842</v>
      </c>
      <c r="L513" s="148" t="s">
        <v>2842</v>
      </c>
      <c r="M513" s="148">
        <v>96.1</v>
      </c>
    </row>
    <row r="514" spans="1:13">
      <c r="A514" s="148">
        <v>2013</v>
      </c>
      <c r="B514" s="148" t="s">
        <v>165</v>
      </c>
      <c r="C514" s="148" t="str">
        <f t="shared" si="7"/>
        <v>2013_Democratic Republic of Congo</v>
      </c>
      <c r="D514" s="148">
        <v>32690896872.764435</v>
      </c>
      <c r="E514" s="148">
        <v>67513677</v>
      </c>
      <c r="F514" s="148" t="s">
        <v>2842</v>
      </c>
      <c r="G514" s="148" t="s">
        <v>2842</v>
      </c>
      <c r="H514" s="148" t="s">
        <v>2842</v>
      </c>
      <c r="I514" s="148" t="s">
        <v>2842</v>
      </c>
      <c r="J514" s="148" t="s">
        <v>2842</v>
      </c>
      <c r="K514" s="148" t="s">
        <v>2842</v>
      </c>
      <c r="L514" s="148" t="s">
        <v>2842</v>
      </c>
      <c r="M514" s="148">
        <v>86.1</v>
      </c>
    </row>
    <row r="515" spans="1:13">
      <c r="A515" s="148">
        <v>2013</v>
      </c>
      <c r="B515" s="148" t="s">
        <v>458</v>
      </c>
      <c r="C515" s="148" t="str">
        <f t="shared" si="7"/>
        <v>2013_Republic of the Congo</v>
      </c>
      <c r="D515" s="148">
        <v>14085852120.476074</v>
      </c>
      <c r="E515" s="148">
        <v>4447632</v>
      </c>
      <c r="F515" s="148" t="s">
        <v>2842</v>
      </c>
      <c r="G515" s="148" t="s">
        <v>2842</v>
      </c>
      <c r="H515" s="148" t="s">
        <v>2842</v>
      </c>
      <c r="I515" s="148" t="s">
        <v>2842</v>
      </c>
      <c r="J515" s="148" t="s">
        <v>2842</v>
      </c>
      <c r="K515" s="148" t="s">
        <v>2842</v>
      </c>
      <c r="L515" s="148" t="s">
        <v>2842</v>
      </c>
      <c r="M515" s="148">
        <v>35.6</v>
      </c>
    </row>
    <row r="516" spans="1:13">
      <c r="A516" s="148">
        <v>2013</v>
      </c>
      <c r="B516" s="33" t="s">
        <v>3542</v>
      </c>
      <c r="C516" s="148" t="str">
        <f t="shared" ref="C516:C578" si="8">$A516&amp;"_"&amp;$B516</f>
        <v>2013_Côte d'Ivoire</v>
      </c>
      <c r="D516" s="148">
        <v>31062026533.150764</v>
      </c>
      <c r="E516" s="148">
        <v>20316086</v>
      </c>
      <c r="F516" s="148" t="s">
        <v>2842</v>
      </c>
      <c r="G516" s="148" t="s">
        <v>2842</v>
      </c>
      <c r="H516" s="148" t="s">
        <v>2842</v>
      </c>
      <c r="I516" s="148" t="s">
        <v>2842</v>
      </c>
      <c r="J516" s="148" t="s">
        <v>2842</v>
      </c>
      <c r="K516" s="148" t="s">
        <v>2842</v>
      </c>
      <c r="L516" s="148" t="s">
        <v>2842</v>
      </c>
      <c r="M516" s="148">
        <v>71.3</v>
      </c>
    </row>
    <row r="517" spans="1:13">
      <c r="A517" s="148">
        <v>2013</v>
      </c>
      <c r="B517" s="148" t="s">
        <v>182</v>
      </c>
      <c r="C517" s="148" t="str">
        <f t="shared" si="8"/>
        <v>2013_Equatorial Guinea</v>
      </c>
      <c r="D517" s="148">
        <v>15580563835.924215</v>
      </c>
      <c r="E517" s="148">
        <v>757014</v>
      </c>
      <c r="F517" s="148" t="s">
        <v>2842</v>
      </c>
      <c r="G517" s="148" t="s">
        <v>2842</v>
      </c>
      <c r="H517" s="148" t="s">
        <v>2842</v>
      </c>
      <c r="I517" s="148" t="s">
        <v>2842</v>
      </c>
      <c r="J517" s="148" t="s">
        <v>2842</v>
      </c>
      <c r="K517" s="148" t="s">
        <v>2842</v>
      </c>
      <c r="L517" s="148" t="s">
        <v>2842</v>
      </c>
      <c r="M517" s="148">
        <v>69.3</v>
      </c>
    </row>
    <row r="518" spans="1:13">
      <c r="A518" s="148">
        <v>2013</v>
      </c>
      <c r="B518" s="148" t="s">
        <v>185</v>
      </c>
      <c r="C518" s="148" t="str">
        <f t="shared" si="8"/>
        <v>2013_Gabon</v>
      </c>
      <c r="D518" s="148">
        <v>19343506598.655979</v>
      </c>
      <c r="E518" s="148">
        <v>1671711</v>
      </c>
      <c r="F518" s="148" t="s">
        <v>2842</v>
      </c>
      <c r="G518" s="148" t="s">
        <v>2842</v>
      </c>
      <c r="H518" s="148" t="s">
        <v>2842</v>
      </c>
      <c r="I518" s="148" t="s">
        <v>2842</v>
      </c>
      <c r="J518" s="148" t="s">
        <v>2842</v>
      </c>
      <c r="K518" s="148" t="s">
        <v>2842</v>
      </c>
      <c r="L518" s="148" t="s">
        <v>2842</v>
      </c>
      <c r="M518" s="148">
        <v>39.1</v>
      </c>
    </row>
    <row r="519" spans="1:13">
      <c r="A519" s="148">
        <v>2013</v>
      </c>
      <c r="B519" s="148" t="s">
        <v>189</v>
      </c>
      <c r="C519" s="148" t="str">
        <f t="shared" si="8"/>
        <v>2013_Ghana</v>
      </c>
      <c r="D519" s="148">
        <v>48137027487.179489</v>
      </c>
      <c r="E519" s="148">
        <v>25904598</v>
      </c>
      <c r="F519" s="148" t="s">
        <v>2842</v>
      </c>
      <c r="G519" s="148" t="s">
        <v>2842</v>
      </c>
      <c r="H519" s="148" t="s">
        <v>2842</v>
      </c>
      <c r="I519" s="148" t="s">
        <v>2842</v>
      </c>
      <c r="J519" s="148" t="s">
        <v>2842</v>
      </c>
      <c r="K519" s="148" t="s">
        <v>2842</v>
      </c>
      <c r="L519" s="148" t="s">
        <v>2842</v>
      </c>
      <c r="M519" s="148">
        <v>52.3</v>
      </c>
    </row>
    <row r="520" spans="1:13">
      <c r="A520" s="148">
        <v>2013</v>
      </c>
      <c r="B520" s="148" t="s">
        <v>2843</v>
      </c>
      <c r="C520" s="148" t="str">
        <f t="shared" si="8"/>
        <v>2013_Guinea</v>
      </c>
      <c r="D520" s="148">
        <v>6144131903.013833</v>
      </c>
      <c r="E520" s="148">
        <v>11745189</v>
      </c>
      <c r="F520" s="148" t="s">
        <v>2842</v>
      </c>
      <c r="G520" s="148" t="s">
        <v>2842</v>
      </c>
      <c r="H520" s="148" t="s">
        <v>2842</v>
      </c>
      <c r="I520" s="148" t="s">
        <v>2842</v>
      </c>
      <c r="J520" s="148" t="s">
        <v>2842</v>
      </c>
      <c r="K520" s="148" t="s">
        <v>2842</v>
      </c>
      <c r="L520" s="148" t="s">
        <v>2842</v>
      </c>
      <c r="M520" s="148">
        <v>64.900000000000006</v>
      </c>
    </row>
    <row r="521" spans="1:13">
      <c r="A521" s="148">
        <v>2013</v>
      </c>
      <c r="B521" s="148" t="s">
        <v>213</v>
      </c>
      <c r="C521" s="148" t="str">
        <f t="shared" si="8"/>
        <v>2013_Guatemala</v>
      </c>
      <c r="D521" s="148">
        <v>53796709474.595253</v>
      </c>
      <c r="E521" s="148">
        <v>15468203</v>
      </c>
      <c r="F521" s="148" t="s">
        <v>2842</v>
      </c>
      <c r="G521" s="148" t="s">
        <v>2842</v>
      </c>
      <c r="H521" s="148" t="s">
        <v>2842</v>
      </c>
      <c r="I521" s="148" t="s">
        <v>2842</v>
      </c>
      <c r="J521" s="148" t="s">
        <v>2842</v>
      </c>
      <c r="K521" s="148" t="s">
        <v>2842</v>
      </c>
      <c r="L521" s="148" t="s">
        <v>2842</v>
      </c>
      <c r="M521" s="148">
        <v>25.8</v>
      </c>
    </row>
    <row r="522" spans="1:13">
      <c r="A522" s="148">
        <v>2013</v>
      </c>
      <c r="B522" s="148" t="s">
        <v>237</v>
      </c>
      <c r="C522" s="148" t="str">
        <f t="shared" si="8"/>
        <v>2013_Indonesia</v>
      </c>
      <c r="D522" s="148">
        <v>868345652474.89783</v>
      </c>
      <c r="E522" s="148">
        <v>249865631</v>
      </c>
      <c r="F522" s="148" t="s">
        <v>2842</v>
      </c>
      <c r="G522" s="148" t="s">
        <v>2842</v>
      </c>
      <c r="H522" s="148" t="s">
        <v>2842</v>
      </c>
      <c r="I522" s="148" t="s">
        <v>2842</v>
      </c>
      <c r="J522" s="148" t="s">
        <v>2842</v>
      </c>
      <c r="K522" s="148">
        <v>11.4</v>
      </c>
      <c r="L522" s="148" t="s">
        <v>2842</v>
      </c>
      <c r="M522" s="148">
        <v>24.5</v>
      </c>
    </row>
    <row r="523" spans="1:13">
      <c r="A523" s="148">
        <v>2013</v>
      </c>
      <c r="B523" s="148" t="s">
        <v>245</v>
      </c>
      <c r="C523" s="148" t="str">
        <f t="shared" si="8"/>
        <v>2013_Iraq</v>
      </c>
      <c r="D523" s="148">
        <v>229327284734.13379</v>
      </c>
      <c r="E523" s="148">
        <v>33417476</v>
      </c>
      <c r="F523" s="148" t="s">
        <v>2842</v>
      </c>
      <c r="G523" s="148" t="s">
        <v>2842</v>
      </c>
      <c r="H523" s="148" t="s">
        <v>2842</v>
      </c>
      <c r="I523" s="148" t="s">
        <v>2842</v>
      </c>
      <c r="J523" s="148" t="s">
        <v>2842</v>
      </c>
      <c r="K523" s="148" t="s">
        <v>2842</v>
      </c>
      <c r="L523" s="148" t="s">
        <v>2842</v>
      </c>
      <c r="M523" s="148">
        <v>28</v>
      </c>
    </row>
    <row r="524" spans="1:13">
      <c r="A524" s="148">
        <v>2013</v>
      </c>
      <c r="B524" s="148" t="s">
        <v>273</v>
      </c>
      <c r="C524" s="148" t="str">
        <f t="shared" si="8"/>
        <v>2013_Kazakhstan</v>
      </c>
      <c r="D524" s="148">
        <v>231876282133.87042</v>
      </c>
      <c r="E524" s="148">
        <v>17037508</v>
      </c>
      <c r="F524" s="148" t="s">
        <v>2842</v>
      </c>
      <c r="G524" s="148" t="s">
        <v>2842</v>
      </c>
      <c r="H524" s="148" t="s">
        <v>2842</v>
      </c>
      <c r="I524" s="148" t="s">
        <v>2842</v>
      </c>
      <c r="J524" s="148" t="s">
        <v>2842</v>
      </c>
      <c r="K524" s="148">
        <v>2.9</v>
      </c>
      <c r="L524" s="148" t="s">
        <v>2842</v>
      </c>
      <c r="M524" s="148">
        <v>14.6</v>
      </c>
    </row>
    <row r="525" spans="1:13">
      <c r="A525" s="148">
        <v>2013</v>
      </c>
      <c r="B525" s="148" t="s">
        <v>278</v>
      </c>
      <c r="C525" s="148" t="str">
        <f t="shared" si="8"/>
        <v>2013_Kyrgyz Republic</v>
      </c>
      <c r="D525" s="148">
        <v>7226303261.2757311</v>
      </c>
      <c r="E525" s="148">
        <v>5719500</v>
      </c>
      <c r="F525" s="148" t="s">
        <v>2842</v>
      </c>
      <c r="G525" s="148" t="s">
        <v>2842</v>
      </c>
      <c r="H525" s="148" t="s">
        <v>2842</v>
      </c>
      <c r="I525" s="148" t="s">
        <v>2842</v>
      </c>
      <c r="J525" s="148" t="s">
        <v>2842</v>
      </c>
      <c r="K525" s="148" t="s">
        <v>2842</v>
      </c>
      <c r="L525" s="148" t="s">
        <v>2842</v>
      </c>
      <c r="M525" s="148">
        <v>21.6</v>
      </c>
    </row>
    <row r="526" spans="1:13">
      <c r="A526" s="148">
        <v>2013</v>
      </c>
      <c r="B526" s="148" t="s">
        <v>294</v>
      </c>
      <c r="C526" s="148" t="str">
        <f t="shared" si="8"/>
        <v>2013_Liberia</v>
      </c>
      <c r="D526" s="148">
        <v>1950960137.7301018</v>
      </c>
      <c r="E526" s="148">
        <v>4294077</v>
      </c>
      <c r="F526" s="148" t="s">
        <v>2842</v>
      </c>
      <c r="G526" s="148" t="s">
        <v>2842</v>
      </c>
      <c r="H526" s="148" t="s">
        <v>2842</v>
      </c>
      <c r="I526" s="148" t="s">
        <v>2842</v>
      </c>
      <c r="J526" s="148" t="s">
        <v>2842</v>
      </c>
      <c r="K526" s="148" t="s">
        <v>2842</v>
      </c>
      <c r="L526" s="148" t="s">
        <v>2842</v>
      </c>
      <c r="M526" s="148">
        <v>53.6</v>
      </c>
    </row>
    <row r="527" spans="1:13">
      <c r="A527" s="148">
        <v>2013</v>
      </c>
      <c r="B527" s="148" t="s">
        <v>309</v>
      </c>
      <c r="C527" s="148" t="str">
        <f t="shared" si="8"/>
        <v>2013_Madagascar</v>
      </c>
      <c r="D527" s="148">
        <v>10613494031.383247</v>
      </c>
      <c r="E527" s="148">
        <v>22924851</v>
      </c>
      <c r="F527" s="148" t="s">
        <v>2842</v>
      </c>
      <c r="G527" s="148" t="s">
        <v>2842</v>
      </c>
      <c r="H527" s="148" t="s">
        <v>2842</v>
      </c>
      <c r="I527" s="148" t="s">
        <v>2842</v>
      </c>
      <c r="J527" s="148" t="s">
        <v>2842</v>
      </c>
      <c r="K527" s="148" t="s">
        <v>2842</v>
      </c>
      <c r="L527" s="148" t="s">
        <v>2842</v>
      </c>
      <c r="M527" s="148">
        <v>39.6</v>
      </c>
    </row>
    <row r="528" spans="1:13">
      <c r="A528" s="148">
        <v>2013</v>
      </c>
      <c r="B528" s="148" t="s">
        <v>322</v>
      </c>
      <c r="C528" s="148" t="str">
        <f t="shared" si="8"/>
        <v>2013_Mali</v>
      </c>
      <c r="D528" s="148">
        <v>10942727309.529593</v>
      </c>
      <c r="E528" s="148">
        <v>15301650</v>
      </c>
      <c r="F528" s="148">
        <v>17.817853572184987</v>
      </c>
      <c r="G528" s="148" t="s">
        <v>2842</v>
      </c>
      <c r="H528" s="148" t="s">
        <v>2842</v>
      </c>
      <c r="I528" s="148" t="s">
        <v>2842</v>
      </c>
      <c r="J528" s="148" t="s">
        <v>2842</v>
      </c>
      <c r="K528" s="148" t="s">
        <v>2842</v>
      </c>
      <c r="L528" s="148" t="s">
        <v>2842</v>
      </c>
      <c r="M528" s="148">
        <v>77.599999999999994</v>
      </c>
    </row>
    <row r="529" spans="1:13">
      <c r="A529" s="148">
        <v>2013</v>
      </c>
      <c r="B529" s="148" t="s">
        <v>338</v>
      </c>
      <c r="C529" s="148" t="str">
        <f t="shared" si="8"/>
        <v>2013_Mauritania</v>
      </c>
      <c r="D529" s="148">
        <v>4158182904.2454085</v>
      </c>
      <c r="E529" s="148">
        <v>3889880</v>
      </c>
      <c r="F529" s="148" t="s">
        <v>2842</v>
      </c>
      <c r="G529" s="148" t="s">
        <v>2842</v>
      </c>
      <c r="H529" s="148" t="s">
        <v>2842</v>
      </c>
      <c r="I529" s="148" t="s">
        <v>2842</v>
      </c>
      <c r="J529" s="148" t="s">
        <v>2842</v>
      </c>
      <c r="K529" s="148" t="s">
        <v>2842</v>
      </c>
      <c r="L529" s="148" t="s">
        <v>2842</v>
      </c>
      <c r="M529" s="148">
        <v>67.099999999999994</v>
      </c>
    </row>
    <row r="530" spans="1:13">
      <c r="A530" s="148">
        <v>2013</v>
      </c>
      <c r="B530" s="148" t="s">
        <v>357</v>
      </c>
      <c r="C530" s="148" t="str">
        <f t="shared" si="8"/>
        <v>2013_Mongolia</v>
      </c>
      <c r="D530" s="148">
        <v>11516409581.298849</v>
      </c>
      <c r="E530" s="148">
        <v>2839073</v>
      </c>
      <c r="F530" s="148" t="s">
        <v>2842</v>
      </c>
      <c r="G530" s="148" t="s">
        <v>2842</v>
      </c>
      <c r="H530" s="148" t="s">
        <v>2842</v>
      </c>
      <c r="I530" s="148" t="s">
        <v>2842</v>
      </c>
      <c r="J530" s="148" t="s">
        <v>2842</v>
      </c>
      <c r="K530" s="148" t="s">
        <v>2842</v>
      </c>
      <c r="L530" s="148" t="s">
        <v>2842</v>
      </c>
      <c r="M530" s="148">
        <v>26.4</v>
      </c>
    </row>
    <row r="531" spans="1:13">
      <c r="A531" s="148">
        <v>2013</v>
      </c>
      <c r="B531" s="148" t="s">
        <v>378</v>
      </c>
      <c r="C531" s="148" t="str">
        <f t="shared" si="8"/>
        <v>2013_Mozambique</v>
      </c>
      <c r="D531" s="148">
        <v>15630302813.953487</v>
      </c>
      <c r="E531" s="148">
        <v>25833752</v>
      </c>
      <c r="F531" s="148" t="s">
        <v>2842</v>
      </c>
      <c r="G531" s="148" t="s">
        <v>2842</v>
      </c>
      <c r="H531" s="148" t="s">
        <v>2842</v>
      </c>
      <c r="I531" s="148" t="s">
        <v>2842</v>
      </c>
      <c r="J531" s="148" t="s">
        <v>2842</v>
      </c>
      <c r="K531" s="148" t="s">
        <v>2842</v>
      </c>
      <c r="L531" s="148" t="s">
        <v>2842</v>
      </c>
      <c r="M531" s="148">
        <v>61.5</v>
      </c>
    </row>
    <row r="532" spans="1:13">
      <c r="A532" s="148">
        <v>2013</v>
      </c>
      <c r="B532" s="148" t="s">
        <v>387</v>
      </c>
      <c r="C532" s="148" t="str">
        <f t="shared" si="8"/>
        <v>2013_Niger</v>
      </c>
      <c r="D532" s="148">
        <v>7407418427.6576796</v>
      </c>
      <c r="E532" s="148">
        <v>17831270</v>
      </c>
      <c r="F532" s="148" t="s">
        <v>2842</v>
      </c>
      <c r="G532" s="148" t="s">
        <v>2842</v>
      </c>
      <c r="H532" s="148" t="s">
        <v>2842</v>
      </c>
      <c r="I532" s="148" t="s">
        <v>2842</v>
      </c>
      <c r="J532" s="148" t="s">
        <v>2842</v>
      </c>
      <c r="K532" s="148" t="s">
        <v>2842</v>
      </c>
      <c r="L532" s="148" t="s">
        <v>2842</v>
      </c>
      <c r="M532" s="148">
        <v>59.9</v>
      </c>
    </row>
    <row r="533" spans="1:13">
      <c r="A533" s="148">
        <v>2013</v>
      </c>
      <c r="B533" s="148" t="s">
        <v>406</v>
      </c>
      <c r="C533" s="148" t="str">
        <f t="shared" si="8"/>
        <v>2013_Nigeria</v>
      </c>
      <c r="D533" s="148">
        <v>521803314653.78424</v>
      </c>
      <c r="E533" s="148">
        <v>173615345</v>
      </c>
      <c r="F533" s="148" t="s">
        <v>2842</v>
      </c>
      <c r="G533" s="148" t="s">
        <v>2842</v>
      </c>
      <c r="H533" s="148" t="s">
        <v>2842</v>
      </c>
      <c r="I533" s="148" t="s">
        <v>2842</v>
      </c>
      <c r="J533" s="148" t="s">
        <v>2842</v>
      </c>
      <c r="K533" s="148" t="s">
        <v>2842</v>
      </c>
      <c r="L533" s="148" t="s">
        <v>2842</v>
      </c>
      <c r="M533" s="148">
        <v>74.3</v>
      </c>
    </row>
    <row r="534" spans="1:13">
      <c r="A534" s="148">
        <v>2013</v>
      </c>
      <c r="B534" s="148" t="s">
        <v>429</v>
      </c>
      <c r="C534" s="148" t="str">
        <f t="shared" si="8"/>
        <v>2013_Norway</v>
      </c>
      <c r="D534" s="148">
        <v>512580425531.91492</v>
      </c>
      <c r="E534" s="148">
        <v>5084190</v>
      </c>
      <c r="F534" s="148" t="s">
        <v>2842</v>
      </c>
      <c r="G534" s="148" t="s">
        <v>2842</v>
      </c>
      <c r="H534" s="148" t="s">
        <v>2842</v>
      </c>
      <c r="I534" s="148" t="s">
        <v>2842</v>
      </c>
      <c r="J534" s="148" t="s">
        <v>2842</v>
      </c>
      <c r="K534" s="148" t="s">
        <v>2842</v>
      </c>
      <c r="L534" s="148" t="s">
        <v>2842</v>
      </c>
      <c r="M534" s="148">
        <v>2.2999999999999998</v>
      </c>
    </row>
    <row r="535" spans="1:13">
      <c r="A535" s="148">
        <v>2013</v>
      </c>
      <c r="B535" s="148" t="s">
        <v>442</v>
      </c>
      <c r="C535" s="148" t="str">
        <f t="shared" si="8"/>
        <v>2013_Peru</v>
      </c>
      <c r="D535" s="148">
        <v>202349846974.37076</v>
      </c>
      <c r="E535" s="148">
        <v>30375603</v>
      </c>
      <c r="F535" s="148" t="s">
        <v>2842</v>
      </c>
      <c r="G535" s="148" t="s">
        <v>2842</v>
      </c>
      <c r="H535" s="148" t="s">
        <v>2842</v>
      </c>
      <c r="I535" s="148" t="s">
        <v>2842</v>
      </c>
      <c r="J535" s="148" t="s">
        <v>2842</v>
      </c>
      <c r="K535" s="148">
        <v>23.9</v>
      </c>
      <c r="L535" s="148" t="s">
        <v>2842</v>
      </c>
      <c r="M535" s="148">
        <v>12.9</v>
      </c>
    </row>
    <row r="536" spans="1:13">
      <c r="A536" s="148">
        <v>2013</v>
      </c>
      <c r="B536" s="148" t="s">
        <v>481</v>
      </c>
      <c r="C536" s="148" t="str">
        <f t="shared" si="8"/>
        <v>2013_Sierra Leone</v>
      </c>
      <c r="D536" s="148">
        <v>4136280752.0369301</v>
      </c>
      <c r="E536" s="148">
        <v>6092075</v>
      </c>
      <c r="F536" s="148" t="s">
        <v>2842</v>
      </c>
      <c r="G536" s="148" t="s">
        <v>2842</v>
      </c>
      <c r="H536" s="148" t="s">
        <v>2842</v>
      </c>
      <c r="I536" s="148" t="s">
        <v>2842</v>
      </c>
      <c r="J536" s="148" t="s">
        <v>2842</v>
      </c>
      <c r="K536" s="148" t="s">
        <v>2842</v>
      </c>
      <c r="L536" s="148" t="s">
        <v>2842</v>
      </c>
      <c r="M536" s="148">
        <v>107.2</v>
      </c>
    </row>
    <row r="537" spans="1:13">
      <c r="A537" s="148">
        <v>2013</v>
      </c>
      <c r="B537" s="148" t="s">
        <v>492</v>
      </c>
      <c r="C537" s="148" t="str">
        <f t="shared" si="8"/>
        <v>2013_Tanzania</v>
      </c>
      <c r="D537" s="148">
        <v>33225037489.690334</v>
      </c>
      <c r="E537" s="148">
        <v>49253126</v>
      </c>
      <c r="F537" s="148" t="s">
        <v>2842</v>
      </c>
      <c r="G537" s="148" t="s">
        <v>2842</v>
      </c>
      <c r="H537" s="148" t="s">
        <v>2842</v>
      </c>
      <c r="I537" s="148" t="s">
        <v>2842</v>
      </c>
      <c r="J537" s="148" t="s">
        <v>2842</v>
      </c>
      <c r="K537" s="148" t="s">
        <v>2842</v>
      </c>
      <c r="L537" s="148" t="s">
        <v>2842</v>
      </c>
      <c r="M537" s="148">
        <v>36.4</v>
      </c>
    </row>
    <row r="538" spans="1:13">
      <c r="A538" s="148">
        <v>2013</v>
      </c>
      <c r="B538" s="148" t="s">
        <v>2844</v>
      </c>
      <c r="C538" s="148" t="str">
        <f t="shared" si="8"/>
        <v>2013_Timor-Leste</v>
      </c>
      <c r="D538" s="148" t="s">
        <v>2842</v>
      </c>
      <c r="E538" s="148">
        <v>1178252</v>
      </c>
      <c r="F538" s="148" t="s">
        <v>2842</v>
      </c>
      <c r="G538" s="148" t="s">
        <v>2842</v>
      </c>
      <c r="H538" s="148" t="s">
        <v>2842</v>
      </c>
      <c r="I538" s="148" t="s">
        <v>2842</v>
      </c>
      <c r="J538" s="148" t="s">
        <v>2842</v>
      </c>
      <c r="K538" s="148" t="s">
        <v>2842</v>
      </c>
      <c r="L538" s="148" t="s">
        <v>2842</v>
      </c>
      <c r="M538" s="148">
        <v>46.2</v>
      </c>
    </row>
    <row r="539" spans="1:13">
      <c r="A539" s="148">
        <v>2013</v>
      </c>
      <c r="B539" s="148" t="s">
        <v>510</v>
      </c>
      <c r="C539" s="148" t="str">
        <f t="shared" si="8"/>
        <v>2013_Togo</v>
      </c>
      <c r="D539" s="148">
        <v>4338575823.8199339</v>
      </c>
      <c r="E539" s="148">
        <v>6816982</v>
      </c>
      <c r="F539" s="148" t="s">
        <v>2842</v>
      </c>
      <c r="G539" s="148" t="s">
        <v>2842</v>
      </c>
      <c r="H539" s="148" t="s">
        <v>2842</v>
      </c>
      <c r="I539" s="148" t="s">
        <v>2842</v>
      </c>
      <c r="J539" s="148" t="s">
        <v>2842</v>
      </c>
      <c r="K539" s="148" t="s">
        <v>2842</v>
      </c>
      <c r="L539" s="148" t="s">
        <v>2842</v>
      </c>
      <c r="M539" s="148">
        <v>55.8</v>
      </c>
    </row>
    <row r="540" spans="1:13">
      <c r="A540" s="148">
        <v>2013</v>
      </c>
      <c r="B540" s="148" t="s">
        <v>2845</v>
      </c>
      <c r="C540" s="148" t="str">
        <f t="shared" si="8"/>
        <v>2013_Trinidad and Tobago</v>
      </c>
      <c r="D540" s="148">
        <v>24640839007.591766</v>
      </c>
      <c r="E540" s="148">
        <v>1341151</v>
      </c>
      <c r="F540" s="148" t="s">
        <v>2842</v>
      </c>
      <c r="G540" s="148" t="s">
        <v>2842</v>
      </c>
      <c r="H540" s="148" t="s">
        <v>2842</v>
      </c>
      <c r="I540" s="148" t="s">
        <v>2842</v>
      </c>
      <c r="J540" s="148" t="s">
        <v>2842</v>
      </c>
      <c r="K540" s="148" t="s">
        <v>2842</v>
      </c>
      <c r="L540" s="148" t="s">
        <v>2842</v>
      </c>
      <c r="M540" s="148">
        <v>19</v>
      </c>
    </row>
    <row r="541" spans="1:13">
      <c r="A541" s="148">
        <v>2013</v>
      </c>
      <c r="B541" s="148" t="s">
        <v>522</v>
      </c>
      <c r="C541" s="148" t="str">
        <f t="shared" si="8"/>
        <v>2013_Yemen</v>
      </c>
      <c r="D541" s="148">
        <v>35954502303.50412</v>
      </c>
      <c r="E541" s="148">
        <v>24407381</v>
      </c>
      <c r="F541" s="148" t="s">
        <v>2842</v>
      </c>
      <c r="G541" s="148" t="s">
        <v>2842</v>
      </c>
      <c r="H541" s="148" t="s">
        <v>2842</v>
      </c>
      <c r="I541" s="148" t="s">
        <v>2842</v>
      </c>
      <c r="J541" s="148" t="s">
        <v>2842</v>
      </c>
      <c r="K541" s="148" t="s">
        <v>2842</v>
      </c>
      <c r="L541" s="148" t="s">
        <v>2842</v>
      </c>
      <c r="M541" s="148">
        <v>40.4</v>
      </c>
    </row>
    <row r="542" spans="1:13">
      <c r="A542" s="148">
        <v>2013</v>
      </c>
      <c r="B542" s="148" t="s">
        <v>534</v>
      </c>
      <c r="C542" s="148" t="str">
        <f t="shared" si="8"/>
        <v>2013_Zambia</v>
      </c>
      <c r="D542" s="148">
        <v>26820870558.94062</v>
      </c>
      <c r="E542" s="148">
        <v>14538640</v>
      </c>
      <c r="F542" s="148" t="s">
        <v>2842</v>
      </c>
      <c r="G542" s="148" t="s">
        <v>2842</v>
      </c>
      <c r="H542" s="148" t="s">
        <v>2842</v>
      </c>
      <c r="I542" s="148" t="s">
        <v>2842</v>
      </c>
      <c r="J542" s="148" t="s">
        <v>2842</v>
      </c>
      <c r="K542" s="148" t="s">
        <v>2842</v>
      </c>
      <c r="L542" s="148" t="s">
        <v>2842</v>
      </c>
      <c r="M542" s="148">
        <v>55.8</v>
      </c>
    </row>
    <row r="543" spans="1:13">
      <c r="A543" s="148">
        <v>2014</v>
      </c>
      <c r="B543" s="148" t="s">
        <v>16</v>
      </c>
      <c r="C543" s="148" t="str">
        <f t="shared" si="8"/>
        <v>2014_Afghanistan</v>
      </c>
      <c r="D543" s="148" t="s">
        <v>2842</v>
      </c>
      <c r="E543" s="148" t="s">
        <v>2842</v>
      </c>
      <c r="F543" s="148" t="s">
        <v>2842</v>
      </c>
      <c r="G543" s="148" t="s">
        <v>2842</v>
      </c>
      <c r="H543" s="148" t="s">
        <v>2842</v>
      </c>
      <c r="I543" s="148" t="s">
        <v>2842</v>
      </c>
      <c r="J543" s="148" t="s">
        <v>2842</v>
      </c>
      <c r="K543" s="148" t="s">
        <v>2842</v>
      </c>
      <c r="L543" s="148" t="s">
        <v>2842</v>
      </c>
      <c r="M543" s="148" t="s">
        <v>2842</v>
      </c>
    </row>
    <row r="544" spans="1:13">
      <c r="A544" s="148">
        <v>2014</v>
      </c>
      <c r="B544" s="148" t="s">
        <v>33</v>
      </c>
      <c r="C544" s="148" t="str">
        <f t="shared" si="8"/>
        <v>2014_Albania</v>
      </c>
      <c r="D544" s="148" t="s">
        <v>2842</v>
      </c>
      <c r="E544" s="148" t="s">
        <v>2842</v>
      </c>
      <c r="F544" s="148" t="s">
        <v>2842</v>
      </c>
      <c r="G544" s="148" t="s">
        <v>2842</v>
      </c>
      <c r="H544" s="148" t="s">
        <v>2842</v>
      </c>
      <c r="I544" s="148" t="s">
        <v>2842</v>
      </c>
      <c r="J544" s="148" t="s">
        <v>2842</v>
      </c>
      <c r="K544" s="148" t="s">
        <v>2842</v>
      </c>
      <c r="L544" s="148" t="s">
        <v>2842</v>
      </c>
      <c r="M544" s="148" t="s">
        <v>2842</v>
      </c>
    </row>
    <row r="545" spans="1:13">
      <c r="A545" s="148">
        <v>2014</v>
      </c>
      <c r="B545" s="148" t="s">
        <v>48</v>
      </c>
      <c r="C545" s="148" t="str">
        <f t="shared" si="8"/>
        <v>2014_Azerbaijan</v>
      </c>
      <c r="D545" s="148" t="s">
        <v>2842</v>
      </c>
      <c r="E545" s="148" t="s">
        <v>2842</v>
      </c>
      <c r="F545" s="148" t="s">
        <v>2842</v>
      </c>
      <c r="G545" s="148" t="s">
        <v>2842</v>
      </c>
      <c r="H545" s="148" t="s">
        <v>2842</v>
      </c>
      <c r="I545" s="148" t="s">
        <v>2842</v>
      </c>
      <c r="J545" s="148" t="s">
        <v>2842</v>
      </c>
      <c r="K545" s="148" t="s">
        <v>2842</v>
      </c>
      <c r="L545" s="148" t="s">
        <v>2842</v>
      </c>
      <c r="M545" s="148" t="s">
        <v>2842</v>
      </c>
    </row>
    <row r="546" spans="1:13">
      <c r="A546" s="148">
        <v>2014</v>
      </c>
      <c r="B546" s="148" t="s">
        <v>93</v>
      </c>
      <c r="C546" s="148" t="str">
        <f t="shared" si="8"/>
        <v>2014_Burkina Faso</v>
      </c>
      <c r="D546" s="148" t="s">
        <v>2842</v>
      </c>
      <c r="E546" s="148" t="s">
        <v>2842</v>
      </c>
      <c r="F546" s="148" t="s">
        <v>2842</v>
      </c>
      <c r="G546" s="148" t="s">
        <v>2842</v>
      </c>
      <c r="H546" s="148" t="s">
        <v>2842</v>
      </c>
      <c r="I546" s="148" t="s">
        <v>2842</v>
      </c>
      <c r="J546" s="148" t="s">
        <v>2842</v>
      </c>
      <c r="K546" s="148" t="s">
        <v>2842</v>
      </c>
      <c r="L546" s="148" t="s">
        <v>2842</v>
      </c>
      <c r="M546" s="148" t="s">
        <v>2842</v>
      </c>
    </row>
    <row r="547" spans="1:13">
      <c r="A547" s="148">
        <v>2014</v>
      </c>
      <c r="B547" s="148" t="s">
        <v>96</v>
      </c>
      <c r="C547" s="148" t="str">
        <f t="shared" si="8"/>
        <v>2014_Cameroon</v>
      </c>
      <c r="D547" s="148" t="s">
        <v>2842</v>
      </c>
      <c r="E547" s="148" t="s">
        <v>2842</v>
      </c>
      <c r="F547" s="148" t="s">
        <v>2842</v>
      </c>
      <c r="G547" s="148" t="s">
        <v>2842</v>
      </c>
      <c r="H547" s="148" t="s">
        <v>2842</v>
      </c>
      <c r="I547" s="148" t="s">
        <v>2842</v>
      </c>
      <c r="J547" s="148" t="s">
        <v>2842</v>
      </c>
      <c r="K547" s="148" t="s">
        <v>2842</v>
      </c>
      <c r="L547" s="148" t="s">
        <v>2842</v>
      </c>
      <c r="M547" s="148" t="s">
        <v>2842</v>
      </c>
    </row>
    <row r="548" spans="1:13">
      <c r="A548" s="148">
        <v>2014</v>
      </c>
      <c r="B548" s="148" t="s">
        <v>133</v>
      </c>
      <c r="C548" s="148" t="str">
        <f t="shared" si="8"/>
        <v>2014_Chad</v>
      </c>
      <c r="D548" s="148" t="s">
        <v>2842</v>
      </c>
      <c r="E548" s="148" t="s">
        <v>2842</v>
      </c>
      <c r="F548" s="148" t="s">
        <v>2842</v>
      </c>
      <c r="G548" s="148" t="s">
        <v>2842</v>
      </c>
      <c r="H548" s="148" t="s">
        <v>2842</v>
      </c>
      <c r="I548" s="148" t="s">
        <v>2842</v>
      </c>
      <c r="J548" s="148" t="s">
        <v>2842</v>
      </c>
      <c r="K548" s="148" t="s">
        <v>2842</v>
      </c>
      <c r="L548" s="148" t="s">
        <v>2842</v>
      </c>
      <c r="M548" s="148" t="s">
        <v>2842</v>
      </c>
    </row>
    <row r="549" spans="1:13">
      <c r="A549" s="148">
        <v>2014</v>
      </c>
      <c r="B549" s="148" t="s">
        <v>122</v>
      </c>
      <c r="C549" s="148" t="str">
        <f t="shared" si="8"/>
        <v>2014_Central African Republic</v>
      </c>
      <c r="D549" s="148" t="s">
        <v>2842</v>
      </c>
      <c r="E549" s="148" t="s">
        <v>2842</v>
      </c>
      <c r="F549" s="148" t="s">
        <v>2842</v>
      </c>
      <c r="G549" s="148" t="s">
        <v>2842</v>
      </c>
      <c r="H549" s="148" t="s">
        <v>2842</v>
      </c>
      <c r="I549" s="148" t="s">
        <v>2842</v>
      </c>
      <c r="J549" s="148" t="s">
        <v>2842</v>
      </c>
      <c r="K549" s="148" t="s">
        <v>2842</v>
      </c>
      <c r="L549" s="148" t="s">
        <v>2842</v>
      </c>
      <c r="M549" s="148" t="s">
        <v>2842</v>
      </c>
    </row>
    <row r="550" spans="1:13">
      <c r="A550" s="148">
        <v>2014</v>
      </c>
      <c r="B550" s="148" t="s">
        <v>165</v>
      </c>
      <c r="C550" s="148" t="str">
        <f t="shared" si="8"/>
        <v>2014_Democratic Republic of Congo</v>
      </c>
      <c r="D550" s="148" t="s">
        <v>2842</v>
      </c>
      <c r="E550" s="148" t="s">
        <v>2842</v>
      </c>
      <c r="F550" s="148" t="s">
        <v>2842</v>
      </c>
      <c r="G550" s="148" t="s">
        <v>2842</v>
      </c>
      <c r="H550" s="148" t="s">
        <v>2842</v>
      </c>
      <c r="I550" s="148" t="s">
        <v>2842</v>
      </c>
      <c r="J550" s="148" t="s">
        <v>2842</v>
      </c>
      <c r="K550" s="148" t="s">
        <v>2842</v>
      </c>
      <c r="L550" s="148" t="s">
        <v>2842</v>
      </c>
      <c r="M550" s="148" t="s">
        <v>2842</v>
      </c>
    </row>
    <row r="551" spans="1:13">
      <c r="A551" s="148">
        <v>2014</v>
      </c>
      <c r="B551" s="148" t="s">
        <v>458</v>
      </c>
      <c r="C551" s="148" t="str">
        <f t="shared" si="8"/>
        <v>2014_Republic of the Congo</v>
      </c>
      <c r="D551" s="148" t="s">
        <v>2842</v>
      </c>
      <c r="E551" s="148" t="s">
        <v>2842</v>
      </c>
      <c r="F551" s="148" t="s">
        <v>2842</v>
      </c>
      <c r="G551" s="148" t="s">
        <v>2842</v>
      </c>
      <c r="H551" s="148" t="s">
        <v>2842</v>
      </c>
      <c r="I551" s="148" t="s">
        <v>2842</v>
      </c>
      <c r="J551" s="148" t="s">
        <v>2842</v>
      </c>
      <c r="K551" s="148" t="s">
        <v>2842</v>
      </c>
      <c r="L551" s="148" t="s">
        <v>2842</v>
      </c>
      <c r="M551" s="148" t="s">
        <v>2842</v>
      </c>
    </row>
    <row r="552" spans="1:13">
      <c r="A552" s="148">
        <v>2014</v>
      </c>
      <c r="B552" s="33" t="s">
        <v>3542</v>
      </c>
      <c r="C552" s="148" t="str">
        <f t="shared" si="8"/>
        <v>2014_Côte d'Ivoire</v>
      </c>
      <c r="D552" s="148" t="s">
        <v>2842</v>
      </c>
      <c r="E552" s="148" t="s">
        <v>2842</v>
      </c>
      <c r="F552" s="148" t="s">
        <v>2842</v>
      </c>
      <c r="G552" s="148" t="s">
        <v>2842</v>
      </c>
      <c r="H552" s="148" t="s">
        <v>2842</v>
      </c>
      <c r="I552" s="148" t="s">
        <v>2842</v>
      </c>
      <c r="J552" s="148" t="s">
        <v>2842</v>
      </c>
      <c r="K552" s="148" t="s">
        <v>2842</v>
      </c>
      <c r="L552" s="148" t="s">
        <v>2842</v>
      </c>
      <c r="M552" s="148" t="s">
        <v>2842</v>
      </c>
    </row>
    <row r="553" spans="1:13">
      <c r="A553" s="148">
        <v>2014</v>
      </c>
      <c r="B553" s="148" t="s">
        <v>182</v>
      </c>
      <c r="C553" s="148" t="str">
        <f t="shared" si="8"/>
        <v>2014_Equatorial Guinea</v>
      </c>
      <c r="D553" s="148" t="s">
        <v>2842</v>
      </c>
      <c r="E553" s="148" t="s">
        <v>2842</v>
      </c>
      <c r="F553" s="148" t="s">
        <v>2842</v>
      </c>
      <c r="G553" s="148" t="s">
        <v>2842</v>
      </c>
      <c r="H553" s="148" t="s">
        <v>2842</v>
      </c>
      <c r="I553" s="148" t="s">
        <v>2842</v>
      </c>
      <c r="J553" s="148" t="s">
        <v>2842</v>
      </c>
      <c r="K553" s="148" t="s">
        <v>2842</v>
      </c>
      <c r="L553" s="148" t="s">
        <v>2842</v>
      </c>
      <c r="M553" s="148" t="s">
        <v>2842</v>
      </c>
    </row>
    <row r="554" spans="1:13">
      <c r="A554" s="148">
        <v>2014</v>
      </c>
      <c r="B554" s="148" t="s">
        <v>185</v>
      </c>
      <c r="C554" s="148" t="str">
        <f t="shared" si="8"/>
        <v>2014_Gabon</v>
      </c>
      <c r="D554" s="148" t="s">
        <v>2842</v>
      </c>
      <c r="E554" s="148" t="s">
        <v>2842</v>
      </c>
      <c r="F554" s="148" t="s">
        <v>2842</v>
      </c>
      <c r="G554" s="148" t="s">
        <v>2842</v>
      </c>
      <c r="H554" s="148" t="s">
        <v>2842</v>
      </c>
      <c r="I554" s="148" t="s">
        <v>2842</v>
      </c>
      <c r="J554" s="148" t="s">
        <v>2842</v>
      </c>
      <c r="K554" s="148" t="s">
        <v>2842</v>
      </c>
      <c r="L554" s="148" t="s">
        <v>2842</v>
      </c>
      <c r="M554" s="148" t="s">
        <v>2842</v>
      </c>
    </row>
    <row r="555" spans="1:13">
      <c r="A555" s="148">
        <v>2014</v>
      </c>
      <c r="B555" s="148" t="s">
        <v>189</v>
      </c>
      <c r="C555" s="148" t="str">
        <f t="shared" si="8"/>
        <v>2014_Ghana</v>
      </c>
      <c r="D555" s="148" t="s">
        <v>2842</v>
      </c>
      <c r="E555" s="148" t="s">
        <v>2842</v>
      </c>
      <c r="F555" s="148" t="s">
        <v>2842</v>
      </c>
      <c r="G555" s="148" t="s">
        <v>2842</v>
      </c>
      <c r="H555" s="148" t="s">
        <v>2842</v>
      </c>
      <c r="I555" s="148" t="s">
        <v>2842</v>
      </c>
      <c r="J555" s="148" t="s">
        <v>2842</v>
      </c>
      <c r="K555" s="148" t="s">
        <v>2842</v>
      </c>
      <c r="L555" s="148" t="s">
        <v>2842</v>
      </c>
      <c r="M555" s="148" t="s">
        <v>2842</v>
      </c>
    </row>
    <row r="556" spans="1:13">
      <c r="A556" s="148">
        <v>2014</v>
      </c>
      <c r="B556" s="148" t="s">
        <v>2843</v>
      </c>
      <c r="C556" s="148" t="str">
        <f t="shared" si="8"/>
        <v>2014_Guinea</v>
      </c>
      <c r="D556" s="148" t="s">
        <v>2842</v>
      </c>
      <c r="E556" s="148" t="s">
        <v>2842</v>
      </c>
      <c r="F556" s="148" t="s">
        <v>2842</v>
      </c>
      <c r="G556" s="148" t="s">
        <v>2842</v>
      </c>
      <c r="H556" s="148" t="s">
        <v>2842</v>
      </c>
      <c r="I556" s="148" t="s">
        <v>2842</v>
      </c>
      <c r="J556" s="148" t="s">
        <v>2842</v>
      </c>
      <c r="K556" s="148" t="s">
        <v>2842</v>
      </c>
      <c r="L556" s="148" t="s">
        <v>2842</v>
      </c>
      <c r="M556" s="148" t="s">
        <v>2842</v>
      </c>
    </row>
    <row r="557" spans="1:13">
      <c r="A557" s="148">
        <v>2014</v>
      </c>
      <c r="B557" s="148" t="s">
        <v>213</v>
      </c>
      <c r="C557" s="148" t="str">
        <f t="shared" si="8"/>
        <v>2014_Guatemala</v>
      </c>
      <c r="D557" s="148" t="s">
        <v>2842</v>
      </c>
      <c r="E557" s="148" t="s">
        <v>2842</v>
      </c>
      <c r="F557" s="148" t="s">
        <v>2842</v>
      </c>
      <c r="G557" s="148" t="s">
        <v>2842</v>
      </c>
      <c r="H557" s="148" t="s">
        <v>2842</v>
      </c>
      <c r="I557" s="148" t="s">
        <v>2842</v>
      </c>
      <c r="J557" s="148" t="s">
        <v>2842</v>
      </c>
      <c r="K557" s="148" t="s">
        <v>2842</v>
      </c>
      <c r="L557" s="148" t="s">
        <v>2842</v>
      </c>
      <c r="M557" s="148" t="s">
        <v>2842</v>
      </c>
    </row>
    <row r="558" spans="1:13">
      <c r="A558" s="148">
        <v>2014</v>
      </c>
      <c r="B558" s="148" t="s">
        <v>237</v>
      </c>
      <c r="C558" s="148" t="str">
        <f t="shared" si="8"/>
        <v>2014_Indonesia</v>
      </c>
      <c r="D558" s="148" t="s">
        <v>2842</v>
      </c>
      <c r="E558" s="148" t="s">
        <v>2842</v>
      </c>
      <c r="F558" s="148" t="s">
        <v>2842</v>
      </c>
      <c r="G558" s="148" t="s">
        <v>2842</v>
      </c>
      <c r="H558" s="148" t="s">
        <v>2842</v>
      </c>
      <c r="I558" s="148" t="s">
        <v>2842</v>
      </c>
      <c r="J558" s="148" t="s">
        <v>2842</v>
      </c>
      <c r="K558" s="148">
        <v>11.3</v>
      </c>
      <c r="L558" s="148" t="s">
        <v>2842</v>
      </c>
      <c r="M558" s="148" t="s">
        <v>2842</v>
      </c>
    </row>
    <row r="559" spans="1:13">
      <c r="A559" s="148">
        <v>2014</v>
      </c>
      <c r="B559" s="148" t="s">
        <v>245</v>
      </c>
      <c r="C559" s="148" t="str">
        <f t="shared" si="8"/>
        <v>2014_Iraq</v>
      </c>
      <c r="D559" s="148" t="s">
        <v>2842</v>
      </c>
      <c r="E559" s="148" t="s">
        <v>2842</v>
      </c>
      <c r="F559" s="148" t="s">
        <v>2842</v>
      </c>
      <c r="G559" s="148" t="s">
        <v>2842</v>
      </c>
      <c r="H559" s="148" t="s">
        <v>2842</v>
      </c>
      <c r="I559" s="148" t="s">
        <v>2842</v>
      </c>
      <c r="J559" s="148" t="s">
        <v>2842</v>
      </c>
      <c r="K559" s="148" t="s">
        <v>2842</v>
      </c>
      <c r="L559" s="148" t="s">
        <v>2842</v>
      </c>
      <c r="M559" s="148" t="s">
        <v>2842</v>
      </c>
    </row>
    <row r="560" spans="1:13">
      <c r="A560" s="148">
        <v>2014</v>
      </c>
      <c r="B560" s="148" t="s">
        <v>273</v>
      </c>
      <c r="C560" s="148" t="str">
        <f t="shared" si="8"/>
        <v>2014_Kazakhstan</v>
      </c>
      <c r="D560" s="148" t="s">
        <v>2842</v>
      </c>
      <c r="E560" s="148" t="s">
        <v>2842</v>
      </c>
      <c r="F560" s="148" t="s">
        <v>2842</v>
      </c>
      <c r="G560" s="148" t="s">
        <v>2842</v>
      </c>
      <c r="H560" s="148" t="s">
        <v>2842</v>
      </c>
      <c r="I560" s="148" t="s">
        <v>2842</v>
      </c>
      <c r="J560" s="148" t="s">
        <v>2842</v>
      </c>
      <c r="K560" s="148" t="s">
        <v>2842</v>
      </c>
      <c r="L560" s="148" t="s">
        <v>2842</v>
      </c>
      <c r="M560" s="148" t="s">
        <v>2842</v>
      </c>
    </row>
    <row r="561" spans="1:13">
      <c r="A561" s="148">
        <v>2014</v>
      </c>
      <c r="B561" s="148" t="s">
        <v>278</v>
      </c>
      <c r="C561" s="148" t="str">
        <f t="shared" si="8"/>
        <v>2014_Kyrgyz Republic</v>
      </c>
      <c r="D561" s="148" t="s">
        <v>2842</v>
      </c>
      <c r="E561" s="148" t="s">
        <v>2842</v>
      </c>
      <c r="F561" s="148" t="s">
        <v>2842</v>
      </c>
      <c r="G561" s="148" t="s">
        <v>2842</v>
      </c>
      <c r="H561" s="148" t="s">
        <v>2842</v>
      </c>
      <c r="I561" s="148" t="s">
        <v>2842</v>
      </c>
      <c r="J561" s="148" t="s">
        <v>2842</v>
      </c>
      <c r="K561" s="148" t="s">
        <v>2842</v>
      </c>
      <c r="L561" s="148" t="s">
        <v>2842</v>
      </c>
      <c r="M561" s="148" t="s">
        <v>2842</v>
      </c>
    </row>
    <row r="562" spans="1:13">
      <c r="A562" s="148">
        <v>2014</v>
      </c>
      <c r="B562" s="148" t="s">
        <v>294</v>
      </c>
      <c r="C562" s="148" t="str">
        <f t="shared" si="8"/>
        <v>2014_Liberia</v>
      </c>
      <c r="D562" s="148" t="s">
        <v>2842</v>
      </c>
      <c r="E562" s="148" t="s">
        <v>2842</v>
      </c>
      <c r="F562" s="148" t="s">
        <v>2842</v>
      </c>
      <c r="G562" s="148" t="s">
        <v>2842</v>
      </c>
      <c r="H562" s="148" t="s">
        <v>2842</v>
      </c>
      <c r="I562" s="148" t="s">
        <v>2842</v>
      </c>
      <c r="J562" s="148" t="s">
        <v>2842</v>
      </c>
      <c r="K562" s="148" t="s">
        <v>2842</v>
      </c>
      <c r="L562" s="148" t="s">
        <v>2842</v>
      </c>
      <c r="M562" s="148" t="s">
        <v>2842</v>
      </c>
    </row>
    <row r="563" spans="1:13">
      <c r="A563" s="148">
        <v>2014</v>
      </c>
      <c r="B563" s="148" t="s">
        <v>309</v>
      </c>
      <c r="C563" s="148" t="str">
        <f t="shared" si="8"/>
        <v>2014_Madagascar</v>
      </c>
      <c r="D563" s="148" t="s">
        <v>2842</v>
      </c>
      <c r="E563" s="148" t="s">
        <v>2842</v>
      </c>
      <c r="F563" s="148" t="s">
        <v>2842</v>
      </c>
      <c r="G563" s="148" t="s">
        <v>2842</v>
      </c>
      <c r="H563" s="148" t="s">
        <v>2842</v>
      </c>
      <c r="I563" s="148" t="s">
        <v>2842</v>
      </c>
      <c r="J563" s="148" t="s">
        <v>2842</v>
      </c>
      <c r="K563" s="148" t="s">
        <v>2842</v>
      </c>
      <c r="L563" s="148" t="s">
        <v>2842</v>
      </c>
      <c r="M563" s="148" t="s">
        <v>2842</v>
      </c>
    </row>
    <row r="564" spans="1:13">
      <c r="A564" s="148">
        <v>2014</v>
      </c>
      <c r="B564" s="148" t="s">
        <v>322</v>
      </c>
      <c r="C564" s="148" t="str">
        <f t="shared" si="8"/>
        <v>2014_Mali</v>
      </c>
      <c r="D564" s="148" t="s">
        <v>2842</v>
      </c>
      <c r="E564" s="148" t="s">
        <v>2842</v>
      </c>
      <c r="F564" s="148" t="s">
        <v>2842</v>
      </c>
      <c r="G564" s="148" t="s">
        <v>2842</v>
      </c>
      <c r="H564" s="148" t="s">
        <v>2842</v>
      </c>
      <c r="I564" s="148" t="s">
        <v>2842</v>
      </c>
      <c r="J564" s="148" t="s">
        <v>2842</v>
      </c>
      <c r="K564" s="148" t="s">
        <v>2842</v>
      </c>
      <c r="L564" s="148" t="s">
        <v>2842</v>
      </c>
      <c r="M564" s="148" t="s">
        <v>2842</v>
      </c>
    </row>
    <row r="565" spans="1:13">
      <c r="A565" s="148">
        <v>2014</v>
      </c>
      <c r="B565" s="148" t="s">
        <v>338</v>
      </c>
      <c r="C565" s="148" t="str">
        <f t="shared" si="8"/>
        <v>2014_Mauritania</v>
      </c>
      <c r="D565" s="148" t="s">
        <v>2842</v>
      </c>
      <c r="E565" s="148" t="s">
        <v>2842</v>
      </c>
      <c r="F565" s="148" t="s">
        <v>2842</v>
      </c>
      <c r="G565" s="148" t="s">
        <v>2842</v>
      </c>
      <c r="H565" s="148" t="s">
        <v>2842</v>
      </c>
      <c r="I565" s="148" t="s">
        <v>2842</v>
      </c>
      <c r="J565" s="148" t="s">
        <v>2842</v>
      </c>
      <c r="K565" s="148" t="s">
        <v>2842</v>
      </c>
      <c r="L565" s="148" t="s">
        <v>2842</v>
      </c>
      <c r="M565" s="148" t="s">
        <v>2842</v>
      </c>
    </row>
    <row r="566" spans="1:13">
      <c r="A566" s="148">
        <v>2014</v>
      </c>
      <c r="B566" s="148" t="s">
        <v>357</v>
      </c>
      <c r="C566" s="148" t="str">
        <f t="shared" si="8"/>
        <v>2014_Mongolia</v>
      </c>
      <c r="D566" s="148" t="s">
        <v>2842</v>
      </c>
      <c r="E566" s="148" t="s">
        <v>2842</v>
      </c>
      <c r="F566" s="148" t="s">
        <v>2842</v>
      </c>
      <c r="G566" s="148" t="s">
        <v>2842</v>
      </c>
      <c r="H566" s="148" t="s">
        <v>2842</v>
      </c>
      <c r="I566" s="148" t="s">
        <v>2842</v>
      </c>
      <c r="J566" s="148" t="s">
        <v>2842</v>
      </c>
      <c r="K566" s="148" t="s">
        <v>2842</v>
      </c>
      <c r="L566" s="148" t="s">
        <v>2842</v>
      </c>
      <c r="M566" s="148" t="s">
        <v>2842</v>
      </c>
    </row>
    <row r="567" spans="1:13">
      <c r="A567" s="148">
        <v>2014</v>
      </c>
      <c r="B567" s="148" t="s">
        <v>378</v>
      </c>
      <c r="C567" s="148" t="str">
        <f t="shared" si="8"/>
        <v>2014_Mozambique</v>
      </c>
      <c r="D567" s="148" t="s">
        <v>2842</v>
      </c>
      <c r="E567" s="148" t="s">
        <v>2842</v>
      </c>
      <c r="F567" s="148" t="s">
        <v>2842</v>
      </c>
      <c r="G567" s="148" t="s">
        <v>2842</v>
      </c>
      <c r="H567" s="148" t="s">
        <v>2842</v>
      </c>
      <c r="I567" s="148" t="s">
        <v>2842</v>
      </c>
      <c r="J567" s="148" t="s">
        <v>2842</v>
      </c>
      <c r="K567" s="148" t="s">
        <v>2842</v>
      </c>
      <c r="L567" s="148" t="s">
        <v>2842</v>
      </c>
      <c r="M567" s="148" t="s">
        <v>2842</v>
      </c>
    </row>
    <row r="568" spans="1:13">
      <c r="A568" s="148">
        <v>2014</v>
      </c>
      <c r="B568" s="148" t="s">
        <v>387</v>
      </c>
      <c r="C568" s="148" t="str">
        <f t="shared" si="8"/>
        <v>2014_Niger</v>
      </c>
      <c r="D568" s="148" t="s">
        <v>2842</v>
      </c>
      <c r="E568" s="148" t="s">
        <v>2842</v>
      </c>
      <c r="F568" s="148" t="s">
        <v>2842</v>
      </c>
      <c r="G568" s="148" t="s">
        <v>2842</v>
      </c>
      <c r="H568" s="148" t="s">
        <v>2842</v>
      </c>
      <c r="I568" s="148" t="s">
        <v>2842</v>
      </c>
      <c r="J568" s="148" t="s">
        <v>2842</v>
      </c>
      <c r="K568" s="148" t="s">
        <v>2842</v>
      </c>
      <c r="L568" s="148" t="s">
        <v>2842</v>
      </c>
      <c r="M568" s="148" t="s">
        <v>2842</v>
      </c>
    </row>
    <row r="569" spans="1:13">
      <c r="A569" s="148">
        <v>2014</v>
      </c>
      <c r="B569" s="148" t="s">
        <v>406</v>
      </c>
      <c r="C569" s="148" t="str">
        <f t="shared" si="8"/>
        <v>2014_Nigeria</v>
      </c>
      <c r="D569" s="148" t="s">
        <v>2842</v>
      </c>
      <c r="E569" s="148" t="s">
        <v>2842</v>
      </c>
      <c r="F569" s="148" t="s">
        <v>2842</v>
      </c>
      <c r="G569" s="148" t="s">
        <v>2842</v>
      </c>
      <c r="H569" s="148" t="s">
        <v>2842</v>
      </c>
      <c r="I569" s="148" t="s">
        <v>2842</v>
      </c>
      <c r="J569" s="148" t="s">
        <v>2842</v>
      </c>
      <c r="K569" s="148" t="s">
        <v>2842</v>
      </c>
      <c r="L569" s="148" t="s">
        <v>2842</v>
      </c>
      <c r="M569" s="148" t="s">
        <v>2842</v>
      </c>
    </row>
    <row r="570" spans="1:13">
      <c r="A570" s="148">
        <v>2014</v>
      </c>
      <c r="B570" s="148" t="s">
        <v>429</v>
      </c>
      <c r="C570" s="148" t="str">
        <f t="shared" si="8"/>
        <v>2014_Norway</v>
      </c>
      <c r="D570" s="148" t="s">
        <v>2842</v>
      </c>
      <c r="E570" s="148" t="s">
        <v>2842</v>
      </c>
      <c r="F570" s="148" t="s">
        <v>2842</v>
      </c>
      <c r="G570" s="148" t="s">
        <v>2842</v>
      </c>
      <c r="H570" s="148" t="s">
        <v>2842</v>
      </c>
      <c r="I570" s="148" t="s">
        <v>2842</v>
      </c>
      <c r="J570" s="148" t="s">
        <v>2842</v>
      </c>
      <c r="K570" s="148" t="s">
        <v>2842</v>
      </c>
      <c r="L570" s="148" t="s">
        <v>2842</v>
      </c>
      <c r="M570" s="148" t="s">
        <v>2842</v>
      </c>
    </row>
    <row r="571" spans="1:13">
      <c r="A571" s="148">
        <v>2014</v>
      </c>
      <c r="B571" s="148" t="s">
        <v>442</v>
      </c>
      <c r="C571" s="148" t="str">
        <f t="shared" si="8"/>
        <v>2014_Peru</v>
      </c>
      <c r="D571" s="148" t="s">
        <v>2842</v>
      </c>
      <c r="E571" s="148" t="s">
        <v>2842</v>
      </c>
      <c r="F571" s="148" t="s">
        <v>2842</v>
      </c>
      <c r="G571" s="148" t="s">
        <v>2842</v>
      </c>
      <c r="H571" s="148" t="s">
        <v>2842</v>
      </c>
      <c r="I571" s="148" t="s">
        <v>2842</v>
      </c>
      <c r="J571" s="148" t="s">
        <v>2842</v>
      </c>
      <c r="K571" s="148" t="s">
        <v>2842</v>
      </c>
      <c r="L571" s="148" t="s">
        <v>2842</v>
      </c>
      <c r="M571" s="148" t="s">
        <v>2842</v>
      </c>
    </row>
    <row r="572" spans="1:13">
      <c r="A572" s="148">
        <v>2014</v>
      </c>
      <c r="B572" s="148" t="s">
        <v>481</v>
      </c>
      <c r="C572" s="148" t="str">
        <f t="shared" si="8"/>
        <v>2014_Sierra Leone</v>
      </c>
      <c r="D572" s="148" t="s">
        <v>2842</v>
      </c>
      <c r="E572" s="148" t="s">
        <v>2842</v>
      </c>
      <c r="F572" s="148" t="s">
        <v>2842</v>
      </c>
      <c r="G572" s="148" t="s">
        <v>2842</v>
      </c>
      <c r="H572" s="148" t="s">
        <v>2842</v>
      </c>
      <c r="I572" s="148" t="s">
        <v>2842</v>
      </c>
      <c r="J572" s="148" t="s">
        <v>2842</v>
      </c>
      <c r="K572" s="148" t="s">
        <v>2842</v>
      </c>
      <c r="L572" s="148" t="s">
        <v>2842</v>
      </c>
      <c r="M572" s="148" t="s">
        <v>2842</v>
      </c>
    </row>
    <row r="573" spans="1:13">
      <c r="A573" s="148">
        <v>2014</v>
      </c>
      <c r="B573" s="148" t="s">
        <v>492</v>
      </c>
      <c r="C573" s="148" t="str">
        <f t="shared" si="8"/>
        <v>2014_Tanzania</v>
      </c>
      <c r="D573" s="148" t="s">
        <v>2842</v>
      </c>
      <c r="E573" s="148" t="s">
        <v>2842</v>
      </c>
      <c r="F573" s="148" t="s">
        <v>2842</v>
      </c>
      <c r="G573" s="148" t="s">
        <v>2842</v>
      </c>
      <c r="H573" s="148" t="s">
        <v>2842</v>
      </c>
      <c r="I573" s="148" t="s">
        <v>2842</v>
      </c>
      <c r="J573" s="148" t="s">
        <v>2842</v>
      </c>
      <c r="K573" s="148" t="s">
        <v>2842</v>
      </c>
      <c r="L573" s="148" t="s">
        <v>2842</v>
      </c>
      <c r="M573" s="148" t="s">
        <v>2842</v>
      </c>
    </row>
    <row r="574" spans="1:13">
      <c r="A574" s="148">
        <v>2014</v>
      </c>
      <c r="B574" s="148" t="s">
        <v>2844</v>
      </c>
      <c r="C574" s="148" t="str">
        <f t="shared" si="8"/>
        <v>2014_Timor-Leste</v>
      </c>
      <c r="D574" s="148" t="s">
        <v>2842</v>
      </c>
      <c r="E574" s="148" t="s">
        <v>2842</v>
      </c>
      <c r="F574" s="148" t="s">
        <v>2842</v>
      </c>
      <c r="G574" s="148" t="s">
        <v>2842</v>
      </c>
      <c r="H574" s="148" t="s">
        <v>2842</v>
      </c>
      <c r="I574" s="148" t="s">
        <v>2842</v>
      </c>
      <c r="J574" s="148" t="s">
        <v>2842</v>
      </c>
      <c r="K574" s="148" t="s">
        <v>2842</v>
      </c>
      <c r="L574" s="148" t="s">
        <v>2842</v>
      </c>
      <c r="M574" s="148" t="s">
        <v>2842</v>
      </c>
    </row>
    <row r="575" spans="1:13">
      <c r="A575" s="148">
        <v>2014</v>
      </c>
      <c r="B575" s="148" t="s">
        <v>510</v>
      </c>
      <c r="C575" s="148" t="str">
        <f t="shared" si="8"/>
        <v>2014_Togo</v>
      </c>
      <c r="D575" s="148" t="s">
        <v>2842</v>
      </c>
      <c r="E575" s="148" t="s">
        <v>2842</v>
      </c>
      <c r="F575" s="148" t="s">
        <v>2842</v>
      </c>
      <c r="G575" s="148" t="s">
        <v>2842</v>
      </c>
      <c r="H575" s="148" t="s">
        <v>2842</v>
      </c>
      <c r="I575" s="148" t="s">
        <v>2842</v>
      </c>
      <c r="J575" s="148" t="s">
        <v>2842</v>
      </c>
      <c r="K575" s="148" t="s">
        <v>2842</v>
      </c>
      <c r="L575" s="148" t="s">
        <v>2842</v>
      </c>
      <c r="M575" s="148" t="s">
        <v>2842</v>
      </c>
    </row>
    <row r="576" spans="1:13">
      <c r="A576" s="148">
        <v>2014</v>
      </c>
      <c r="B576" s="148" t="s">
        <v>2845</v>
      </c>
      <c r="C576" s="148" t="str">
        <f t="shared" si="8"/>
        <v>2014_Trinidad and Tobago</v>
      </c>
      <c r="D576" s="148" t="s">
        <v>2842</v>
      </c>
      <c r="E576" s="148" t="s">
        <v>2842</v>
      </c>
      <c r="F576" s="148" t="s">
        <v>2842</v>
      </c>
      <c r="G576" s="148" t="s">
        <v>2842</v>
      </c>
      <c r="H576" s="148" t="s">
        <v>2842</v>
      </c>
      <c r="I576" s="148" t="s">
        <v>2842</v>
      </c>
      <c r="J576" s="148" t="s">
        <v>2842</v>
      </c>
      <c r="K576" s="148" t="s">
        <v>2842</v>
      </c>
      <c r="L576" s="148" t="s">
        <v>2842</v>
      </c>
      <c r="M576" s="148" t="s">
        <v>2842</v>
      </c>
    </row>
    <row r="577" spans="1:13">
      <c r="A577" s="148">
        <v>2014</v>
      </c>
      <c r="B577" s="148" t="s">
        <v>522</v>
      </c>
      <c r="C577" s="148" t="str">
        <f t="shared" si="8"/>
        <v>2014_Yemen</v>
      </c>
      <c r="D577" s="148" t="s">
        <v>2842</v>
      </c>
      <c r="E577" s="148" t="s">
        <v>2842</v>
      </c>
      <c r="F577" s="148" t="s">
        <v>2842</v>
      </c>
      <c r="G577" s="148" t="s">
        <v>2842</v>
      </c>
      <c r="H577" s="148" t="s">
        <v>2842</v>
      </c>
      <c r="I577" s="148" t="s">
        <v>2842</v>
      </c>
      <c r="J577" s="148" t="s">
        <v>2842</v>
      </c>
      <c r="K577" s="148" t="s">
        <v>2842</v>
      </c>
      <c r="L577" s="148" t="s">
        <v>2842</v>
      </c>
      <c r="M577" s="148" t="s">
        <v>2842</v>
      </c>
    </row>
    <row r="578" spans="1:13">
      <c r="A578" s="148">
        <v>2014</v>
      </c>
      <c r="B578" s="148" t="s">
        <v>534</v>
      </c>
      <c r="C578" s="148" t="str">
        <f t="shared" si="8"/>
        <v>2014_Zambia</v>
      </c>
      <c r="D578" s="148" t="s">
        <v>2842</v>
      </c>
      <c r="E578" s="148" t="s">
        <v>2842</v>
      </c>
      <c r="F578" s="148" t="s">
        <v>2842</v>
      </c>
      <c r="G578" s="148" t="s">
        <v>2842</v>
      </c>
      <c r="H578" s="148" t="s">
        <v>2842</v>
      </c>
      <c r="I578" s="148" t="s">
        <v>2842</v>
      </c>
      <c r="J578" s="148" t="s">
        <v>2842</v>
      </c>
      <c r="K578" s="148" t="s">
        <v>2842</v>
      </c>
      <c r="L578" s="148" t="s">
        <v>2842</v>
      </c>
      <c r="M578" s="148" t="s">
        <v>2842</v>
      </c>
    </row>
    <row r="582" spans="1:13">
      <c r="A582" s="148" t="s">
        <v>2847</v>
      </c>
    </row>
    <row r="583" spans="1:13">
      <c r="A583" s="148" t="s">
        <v>2848</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0"/>
  <sheetViews>
    <sheetView workbookViewId="0">
      <selection activeCell="C1" sqref="A1:XFD1"/>
    </sheetView>
  </sheetViews>
  <sheetFormatPr defaultColWidth="8.85546875" defaultRowHeight="15"/>
  <cols>
    <col min="1" max="1" width="14" style="161" customWidth="1"/>
    <col min="2" max="2" width="22.7109375" style="161" bestFit="1" customWidth="1"/>
    <col min="3" max="3" width="27.85546875" style="161" bestFit="1" customWidth="1"/>
    <col min="4" max="4" width="31.140625" style="161" customWidth="1"/>
    <col min="5" max="5" width="12.42578125" style="161" customWidth="1"/>
    <col min="6" max="7" width="10.28515625" style="161" customWidth="1"/>
    <col min="8" max="8" width="24.42578125" style="161" customWidth="1"/>
    <col min="9" max="9" width="31.42578125" style="161" customWidth="1"/>
    <col min="10" max="10" width="33.28515625" style="161" customWidth="1"/>
    <col min="11" max="11" width="34.42578125" style="161" customWidth="1"/>
    <col min="12" max="16384" width="8.85546875" style="161"/>
  </cols>
  <sheetData>
    <row r="1" spans="1:11">
      <c r="A1" s="161" t="s">
        <v>2849</v>
      </c>
      <c r="B1" s="161" t="s">
        <v>551</v>
      </c>
      <c r="C1" s="161" t="s">
        <v>2850</v>
      </c>
      <c r="D1" s="161" t="s">
        <v>3549</v>
      </c>
      <c r="E1" s="161" t="s">
        <v>3550</v>
      </c>
      <c r="F1" s="161" t="s">
        <v>3548</v>
      </c>
      <c r="G1" s="161" t="s">
        <v>3551</v>
      </c>
      <c r="H1" s="161" t="s">
        <v>3552</v>
      </c>
      <c r="I1" s="161" t="s">
        <v>3547</v>
      </c>
      <c r="J1" s="161" t="s">
        <v>3546</v>
      </c>
      <c r="K1" s="161" t="s">
        <v>3545</v>
      </c>
    </row>
    <row r="2" spans="1:11">
      <c r="A2" s="161">
        <v>1999</v>
      </c>
      <c r="B2" s="161" t="s">
        <v>16</v>
      </c>
      <c r="C2" s="161" t="str">
        <f t="shared" ref="C2:C65" si="0">$A2&amp;"_"&amp;$B2</f>
        <v>1999_Afghanistan</v>
      </c>
      <c r="D2" s="161">
        <v>166240000</v>
      </c>
      <c r="E2" s="161" t="s">
        <v>2842</v>
      </c>
      <c r="F2" s="161" t="s">
        <v>2842</v>
      </c>
      <c r="G2" s="161" t="str">
        <f>IFERROR(($E2+$F2)/100,"..")</f>
        <v>..</v>
      </c>
      <c r="H2" s="161" t="str">
        <f>IFERROR($G2*$D2,"..")</f>
        <v>..</v>
      </c>
      <c r="I2" s="161" t="s">
        <v>2842</v>
      </c>
      <c r="J2" s="161">
        <v>25.741119999999999</v>
      </c>
      <c r="K2" s="161" t="s">
        <v>2842</v>
      </c>
    </row>
    <row r="3" spans="1:11">
      <c r="A3" s="161">
        <v>1999</v>
      </c>
      <c r="B3" s="161" t="s">
        <v>33</v>
      </c>
      <c r="C3" s="161" t="str">
        <f t="shared" si="0"/>
        <v>1999_Albania</v>
      </c>
      <c r="D3" s="161">
        <v>351120000</v>
      </c>
      <c r="E3" s="161">
        <v>1.9781619836231716</v>
      </c>
      <c r="F3" s="161">
        <v>3.9153754657737698</v>
      </c>
      <c r="G3" s="161">
        <f t="shared" ref="G3:G66" si="1">IFERROR(($E3+$F3)/100,"..")</f>
        <v>5.8935374493969413E-2</v>
      </c>
      <c r="H3" s="161">
        <f t="shared" ref="H3:H66" si="2">IFERROR($G3*$D3,"..")</f>
        <v>20693388.692322541</v>
      </c>
      <c r="I3" s="161">
        <v>93.087230000000005</v>
      </c>
      <c r="J3" s="161">
        <v>101.68789</v>
      </c>
      <c r="K3" s="161">
        <v>93.087230000000005</v>
      </c>
    </row>
    <row r="4" spans="1:11">
      <c r="A4" s="161">
        <v>1999</v>
      </c>
      <c r="B4" s="161" t="s">
        <v>48</v>
      </c>
      <c r="C4" s="161" t="str">
        <f t="shared" si="0"/>
        <v>1999_Azerbaijan</v>
      </c>
      <c r="D4" s="161">
        <v>929000000</v>
      </c>
      <c r="E4" s="161">
        <v>78.596075863119552</v>
      </c>
      <c r="F4" s="161">
        <v>2.4080406864668422</v>
      </c>
      <c r="G4" s="161">
        <f t="shared" si="1"/>
        <v>0.81004116549586402</v>
      </c>
      <c r="H4" s="161">
        <f t="shared" si="2"/>
        <v>752528242.74565768</v>
      </c>
      <c r="I4" s="161">
        <v>92.141099999999994</v>
      </c>
      <c r="J4" s="161">
        <v>95.480140000000006</v>
      </c>
      <c r="K4" s="161">
        <v>92.141099999999994</v>
      </c>
    </row>
    <row r="5" spans="1:11">
      <c r="A5" s="161">
        <v>1999</v>
      </c>
      <c r="B5" s="161" t="s">
        <v>93</v>
      </c>
      <c r="C5" s="161" t="str">
        <f t="shared" si="0"/>
        <v>1999_Burkina Faso</v>
      </c>
      <c r="D5" s="161">
        <v>255000000</v>
      </c>
      <c r="E5" s="161">
        <v>1.1043421413550452</v>
      </c>
      <c r="F5" s="161">
        <v>8.5812866891221404E-2</v>
      </c>
      <c r="G5" s="161">
        <f t="shared" si="1"/>
        <v>1.1901550082462665E-2</v>
      </c>
      <c r="H5" s="161">
        <f t="shared" si="2"/>
        <v>3034895.2710279799</v>
      </c>
      <c r="I5" s="161">
        <v>35.491610000000001</v>
      </c>
      <c r="J5" s="161">
        <v>44.286700000000003</v>
      </c>
      <c r="K5" s="161">
        <v>35.516460000000002</v>
      </c>
    </row>
    <row r="6" spans="1:11">
      <c r="A6" s="161">
        <v>1999</v>
      </c>
      <c r="B6" s="161" t="s">
        <v>96</v>
      </c>
      <c r="C6" s="161" t="str">
        <f t="shared" si="0"/>
        <v>1999_Cameroon</v>
      </c>
      <c r="D6" s="161">
        <v>1601000000</v>
      </c>
      <c r="E6" s="161" t="s">
        <v>2842</v>
      </c>
      <c r="F6" s="161" t="s">
        <v>2842</v>
      </c>
      <c r="G6" s="161" t="str">
        <f t="shared" si="1"/>
        <v>..</v>
      </c>
      <c r="H6" s="161" t="str">
        <f t="shared" si="2"/>
        <v>..</v>
      </c>
      <c r="I6" s="161" t="s">
        <v>2842</v>
      </c>
      <c r="J6" s="161">
        <v>81.012649999999994</v>
      </c>
      <c r="K6" s="161" t="s">
        <v>2842</v>
      </c>
    </row>
    <row r="7" spans="1:11">
      <c r="A7" s="161">
        <v>1999</v>
      </c>
      <c r="B7" s="161" t="s">
        <v>122</v>
      </c>
      <c r="C7" s="161" t="str">
        <f t="shared" si="0"/>
        <v>1999_Central African Republic</v>
      </c>
      <c r="D7" s="161">
        <v>146000000</v>
      </c>
      <c r="E7" s="161">
        <v>0.15382327182831551</v>
      </c>
      <c r="F7" s="161">
        <v>1.3002943472816963</v>
      </c>
      <c r="G7" s="161">
        <f t="shared" si="1"/>
        <v>1.4541176191100118E-2</v>
      </c>
      <c r="H7" s="161">
        <f t="shared" si="2"/>
        <v>2123011.7239006171</v>
      </c>
      <c r="I7" s="161" t="s">
        <v>2842</v>
      </c>
      <c r="J7" s="161" t="s">
        <v>2842</v>
      </c>
      <c r="K7" s="161" t="s">
        <v>2842</v>
      </c>
    </row>
    <row r="8" spans="1:11">
      <c r="A8" s="161">
        <v>1999</v>
      </c>
      <c r="B8" s="161" t="s">
        <v>133</v>
      </c>
      <c r="C8" s="161" t="str">
        <f t="shared" si="0"/>
        <v>1999_Chad</v>
      </c>
      <c r="D8" s="161">
        <v>243000000</v>
      </c>
      <c r="E8" s="161" t="s">
        <v>2842</v>
      </c>
      <c r="F8" s="161" t="s">
        <v>2842</v>
      </c>
      <c r="G8" s="161" t="str">
        <f t="shared" si="1"/>
        <v>..</v>
      </c>
      <c r="H8" s="161" t="str">
        <f t="shared" si="2"/>
        <v>..</v>
      </c>
      <c r="I8" s="161">
        <v>49.954279999999997</v>
      </c>
      <c r="J8" s="161">
        <v>61.244349999999997</v>
      </c>
      <c r="K8" s="161">
        <v>49.992710000000002</v>
      </c>
    </row>
    <row r="9" spans="1:11">
      <c r="A9" s="161">
        <v>1999</v>
      </c>
      <c r="B9" s="161" t="s">
        <v>3544</v>
      </c>
      <c r="C9" s="161" t="str">
        <f t="shared" si="0"/>
        <v>1999_Congo, Dem. Rep.</v>
      </c>
      <c r="D9" s="161">
        <v>809000000</v>
      </c>
      <c r="E9" s="161" t="s">
        <v>2842</v>
      </c>
      <c r="F9" s="161" t="s">
        <v>2842</v>
      </c>
      <c r="G9" s="161" t="str">
        <f t="shared" si="1"/>
        <v>..</v>
      </c>
      <c r="H9" s="161" t="str">
        <f t="shared" si="2"/>
        <v>..</v>
      </c>
      <c r="I9" s="161">
        <v>36.210610000000003</v>
      </c>
      <c r="J9" s="161">
        <v>52.513330000000003</v>
      </c>
      <c r="K9" s="161">
        <v>36.210610000000003</v>
      </c>
    </row>
    <row r="10" spans="1:11">
      <c r="A10" s="161">
        <v>1999</v>
      </c>
      <c r="B10" s="161" t="s">
        <v>3543</v>
      </c>
      <c r="C10" s="161" t="str">
        <f t="shared" si="0"/>
        <v>1999_Congo, Rep.</v>
      </c>
      <c r="D10" s="161">
        <v>1560000000</v>
      </c>
      <c r="E10" s="161" t="s">
        <v>2842</v>
      </c>
      <c r="F10" s="161" t="s">
        <v>2842</v>
      </c>
      <c r="G10" s="161" t="str">
        <f t="shared" si="1"/>
        <v>..</v>
      </c>
      <c r="H10" s="161" t="str">
        <f t="shared" si="2"/>
        <v>..</v>
      </c>
      <c r="I10" s="161" t="s">
        <v>2842</v>
      </c>
      <c r="J10" s="161">
        <v>59.09863</v>
      </c>
      <c r="K10" s="161" t="s">
        <v>2842</v>
      </c>
    </row>
    <row r="11" spans="1:11">
      <c r="A11" s="161">
        <v>1999</v>
      </c>
      <c r="B11" s="161" t="s">
        <v>182</v>
      </c>
      <c r="C11" s="161" t="str">
        <f t="shared" si="0"/>
        <v>1999_Equatorial Guinea</v>
      </c>
      <c r="D11" s="161">
        <v>709000000</v>
      </c>
      <c r="E11" s="161" t="s">
        <v>2842</v>
      </c>
      <c r="F11" s="161" t="s">
        <v>2842</v>
      </c>
      <c r="G11" s="161" t="str">
        <f t="shared" si="1"/>
        <v>..</v>
      </c>
      <c r="H11" s="161" t="str">
        <f t="shared" si="2"/>
        <v>..</v>
      </c>
      <c r="I11" s="161" t="s">
        <v>2842</v>
      </c>
      <c r="J11" s="161">
        <v>113.34453000000001</v>
      </c>
      <c r="K11" s="161" t="s">
        <v>2842</v>
      </c>
    </row>
    <row r="12" spans="1:11">
      <c r="A12" s="161">
        <v>1999</v>
      </c>
      <c r="B12" s="161" t="s">
        <v>185</v>
      </c>
      <c r="C12" s="161" t="str">
        <f t="shared" si="0"/>
        <v>1999_Gabon</v>
      </c>
      <c r="D12" s="161">
        <v>2394000000</v>
      </c>
      <c r="E12" s="161">
        <v>78.474568442546783</v>
      </c>
      <c r="F12" s="161">
        <v>2.3266503769018398</v>
      </c>
      <c r="G12" s="161">
        <f t="shared" si="1"/>
        <v>0.80801218819448617</v>
      </c>
      <c r="H12" s="161">
        <f t="shared" si="2"/>
        <v>1934381178.5375998</v>
      </c>
      <c r="I12" s="161" t="s">
        <v>2842</v>
      </c>
      <c r="J12" s="161">
        <v>142.87468999999999</v>
      </c>
      <c r="K12" s="161" t="s">
        <v>2842</v>
      </c>
    </row>
    <row r="13" spans="1:11">
      <c r="A13" s="161">
        <v>1999</v>
      </c>
      <c r="B13" s="161" t="s">
        <v>294</v>
      </c>
      <c r="C13" s="161" t="str">
        <f t="shared" si="0"/>
        <v>1999_Liberia</v>
      </c>
      <c r="D13" s="161">
        <v>469000000</v>
      </c>
      <c r="E13" s="161" t="s">
        <v>2842</v>
      </c>
      <c r="F13" s="161" t="s">
        <v>2842</v>
      </c>
      <c r="G13" s="161" t="str">
        <f t="shared" si="1"/>
        <v>..</v>
      </c>
      <c r="H13" s="161" t="str">
        <f t="shared" si="2"/>
        <v>..</v>
      </c>
      <c r="I13" s="161">
        <v>46.633870000000002</v>
      </c>
      <c r="J13" s="161">
        <v>95.167429999999996</v>
      </c>
      <c r="K13" s="161">
        <v>46.633870000000002</v>
      </c>
    </row>
    <row r="14" spans="1:11">
      <c r="A14" s="161">
        <v>1999</v>
      </c>
      <c r="B14" s="161" t="s">
        <v>278</v>
      </c>
      <c r="C14" s="161" t="str">
        <f t="shared" si="0"/>
        <v>1999_Kyrgyz Republic</v>
      </c>
      <c r="D14" s="161">
        <v>454000000</v>
      </c>
      <c r="E14" s="161">
        <v>11.819788693450382</v>
      </c>
      <c r="F14" s="161">
        <v>5.8330048186771846</v>
      </c>
      <c r="G14" s="161">
        <f t="shared" si="1"/>
        <v>0.17652793512127565</v>
      </c>
      <c r="H14" s="161">
        <f t="shared" si="2"/>
        <v>80143682.545059144</v>
      </c>
      <c r="I14" s="161">
        <v>86.761449999999996</v>
      </c>
      <c r="J14" s="161">
        <v>96.36927</v>
      </c>
      <c r="K14" s="161">
        <v>92.946759999999998</v>
      </c>
    </row>
    <row r="15" spans="1:11">
      <c r="A15" s="161">
        <v>1999</v>
      </c>
      <c r="B15" s="161" t="s">
        <v>189</v>
      </c>
      <c r="C15" s="161" t="str">
        <f t="shared" si="0"/>
        <v>1999_Ghana</v>
      </c>
      <c r="D15" s="161">
        <v>1720000000</v>
      </c>
      <c r="E15" s="161">
        <v>4.7958414025185494</v>
      </c>
      <c r="F15" s="161">
        <v>8.3530016301505938</v>
      </c>
      <c r="G15" s="161">
        <f t="shared" si="1"/>
        <v>0.13148843032669144</v>
      </c>
      <c r="H15" s="161">
        <f t="shared" si="2"/>
        <v>226160100.16190928</v>
      </c>
      <c r="I15" s="161">
        <v>61.343389999999999</v>
      </c>
      <c r="J15" s="161">
        <v>81.364810000000006</v>
      </c>
      <c r="K15" s="161">
        <v>62.102370000000001</v>
      </c>
    </row>
    <row r="16" spans="1:11">
      <c r="A16" s="161">
        <v>1999</v>
      </c>
      <c r="B16" s="161" t="s">
        <v>213</v>
      </c>
      <c r="C16" s="161" t="str">
        <f t="shared" si="0"/>
        <v>1999_Guatemala</v>
      </c>
      <c r="D16" s="161">
        <v>2398000000</v>
      </c>
      <c r="E16" s="161">
        <v>3.5068252600989842</v>
      </c>
      <c r="F16" s="161">
        <v>0.69971986297925215</v>
      </c>
      <c r="G16" s="161">
        <f t="shared" si="1"/>
        <v>4.2065451230782369E-2</v>
      </c>
      <c r="H16" s="161">
        <f t="shared" si="2"/>
        <v>100872952.05141611</v>
      </c>
      <c r="I16" s="161">
        <v>82.774969999999996</v>
      </c>
      <c r="J16" s="161">
        <v>101.74212</v>
      </c>
      <c r="K16" s="161">
        <v>84.026449999999997</v>
      </c>
    </row>
    <row r="17" spans="1:11">
      <c r="A17" s="161">
        <v>1999</v>
      </c>
      <c r="B17" s="161" t="s">
        <v>2843</v>
      </c>
      <c r="C17" s="161" t="str">
        <f t="shared" si="0"/>
        <v>1999_Guinea</v>
      </c>
      <c r="D17" s="161">
        <v>635700000</v>
      </c>
      <c r="E17" s="161">
        <v>2.2510900442516697E-2</v>
      </c>
      <c r="F17" s="161">
        <v>74.111008563484475</v>
      </c>
      <c r="G17" s="161">
        <f t="shared" si="1"/>
        <v>0.74133519463926989</v>
      </c>
      <c r="H17" s="161">
        <f t="shared" si="2"/>
        <v>471266783.23218387</v>
      </c>
      <c r="I17" s="161">
        <v>41.755699999999997</v>
      </c>
      <c r="J17" s="161">
        <v>53.848849999999999</v>
      </c>
      <c r="K17" s="161">
        <v>41.983609999999999</v>
      </c>
    </row>
    <row r="18" spans="1:11">
      <c r="A18" s="161">
        <v>1999</v>
      </c>
      <c r="B18" s="161" t="s">
        <v>237</v>
      </c>
      <c r="C18" s="161" t="str">
        <f t="shared" si="0"/>
        <v>1999_Indonesia</v>
      </c>
      <c r="D18" s="161">
        <v>51243000000</v>
      </c>
      <c r="E18" s="161">
        <v>22.97127331904872</v>
      </c>
      <c r="F18" s="161">
        <v>4.7011518875328102</v>
      </c>
      <c r="G18" s="161">
        <f t="shared" si="1"/>
        <v>0.2767242520658153</v>
      </c>
      <c r="H18" s="161">
        <f t="shared" si="2"/>
        <v>14180180848.608574</v>
      </c>
      <c r="I18" s="161" t="s">
        <v>2842</v>
      </c>
      <c r="J18" s="161">
        <v>112.93586000000001</v>
      </c>
      <c r="K18" s="161" t="s">
        <v>2842</v>
      </c>
    </row>
    <row r="19" spans="1:11">
      <c r="A19" s="161">
        <v>1999</v>
      </c>
      <c r="B19" s="161" t="s">
        <v>245</v>
      </c>
      <c r="C19" s="161" t="str">
        <f t="shared" si="0"/>
        <v>1999_Iraq</v>
      </c>
      <c r="D19" s="161">
        <v>12800000000</v>
      </c>
      <c r="E19" s="161" t="s">
        <v>2842</v>
      </c>
      <c r="F19" s="161" t="s">
        <v>2842</v>
      </c>
      <c r="G19" s="161" t="str">
        <f t="shared" si="1"/>
        <v>..</v>
      </c>
      <c r="H19" s="161" t="str">
        <f t="shared" si="2"/>
        <v>..</v>
      </c>
      <c r="I19" s="161">
        <v>89.002750000000006</v>
      </c>
      <c r="J19" s="161">
        <v>97.1404</v>
      </c>
      <c r="K19" s="161">
        <v>89.002750000000006</v>
      </c>
    </row>
    <row r="20" spans="1:11">
      <c r="A20" s="161">
        <v>1999</v>
      </c>
      <c r="B20" s="161" t="s">
        <v>273</v>
      </c>
      <c r="C20" s="161" t="str">
        <f t="shared" si="0"/>
        <v>1999_Kazakhstan</v>
      </c>
      <c r="D20" s="161">
        <v>5872000000</v>
      </c>
      <c r="E20" s="161">
        <v>45.010920304546779</v>
      </c>
      <c r="F20" s="161">
        <v>21.453546035893385</v>
      </c>
      <c r="G20" s="161">
        <f t="shared" si="1"/>
        <v>0.66464466340440165</v>
      </c>
      <c r="H20" s="161">
        <f t="shared" si="2"/>
        <v>3902793463.5106463</v>
      </c>
      <c r="I20" s="161" t="s">
        <v>2842</v>
      </c>
      <c r="J20" s="161">
        <v>98.015590000000003</v>
      </c>
      <c r="K20" s="161" t="s">
        <v>2842</v>
      </c>
    </row>
    <row r="21" spans="1:11">
      <c r="A21" s="161">
        <v>1999</v>
      </c>
      <c r="B21" s="161" t="s">
        <v>309</v>
      </c>
      <c r="C21" s="161" t="str">
        <f t="shared" si="0"/>
        <v>1999_Madagascar</v>
      </c>
      <c r="D21" s="161">
        <v>584000000</v>
      </c>
      <c r="E21" s="161">
        <v>2.3920041759931947</v>
      </c>
      <c r="F21" s="161">
        <v>3.7757195210496697</v>
      </c>
      <c r="G21" s="161">
        <f t="shared" si="1"/>
        <v>6.167723697042865E-2</v>
      </c>
      <c r="H21" s="161">
        <f t="shared" si="2"/>
        <v>36019506.390730329</v>
      </c>
      <c r="I21" s="161">
        <v>63.233440000000002</v>
      </c>
      <c r="J21" s="161">
        <v>93.689769999999996</v>
      </c>
      <c r="K21" s="161">
        <v>63.53181</v>
      </c>
    </row>
    <row r="22" spans="1:11">
      <c r="A22" s="161">
        <v>1999</v>
      </c>
      <c r="B22" s="161" t="s">
        <v>322</v>
      </c>
      <c r="C22" s="161" t="str">
        <f t="shared" si="0"/>
        <v>1999_Mali</v>
      </c>
      <c r="D22" s="161">
        <v>571000000</v>
      </c>
      <c r="E22" s="161">
        <v>5.2005196067574696E-3</v>
      </c>
      <c r="F22" s="161">
        <v>4.3658463469347437E-2</v>
      </c>
      <c r="G22" s="161">
        <f t="shared" si="1"/>
        <v>4.8858983076104914E-4</v>
      </c>
      <c r="H22" s="161">
        <f t="shared" si="2"/>
        <v>278984.79336455907</v>
      </c>
      <c r="I22" s="161">
        <v>47.183549999999997</v>
      </c>
      <c r="J22" s="161">
        <v>60.069009999999999</v>
      </c>
      <c r="K22" s="161">
        <v>47.183549999999997</v>
      </c>
    </row>
    <row r="23" spans="1:11">
      <c r="A23" s="161">
        <v>1999</v>
      </c>
      <c r="B23" s="161" t="s">
        <v>338</v>
      </c>
      <c r="C23" s="161" t="str">
        <f t="shared" si="0"/>
        <v>1999_Mauritania</v>
      </c>
      <c r="D23" s="161">
        <v>357832456</v>
      </c>
      <c r="E23" s="161" t="s">
        <v>2842</v>
      </c>
      <c r="F23" s="161" t="s">
        <v>2842</v>
      </c>
      <c r="G23" s="161" t="str">
        <f t="shared" si="1"/>
        <v>..</v>
      </c>
      <c r="H23" s="161" t="str">
        <f t="shared" si="2"/>
        <v>..</v>
      </c>
      <c r="I23" s="161">
        <v>59.714669999999998</v>
      </c>
      <c r="J23" s="161">
        <v>82.501779999999997</v>
      </c>
      <c r="K23" s="161">
        <v>59.714669999999998</v>
      </c>
    </row>
    <row r="24" spans="1:11">
      <c r="A24" s="161">
        <v>1999</v>
      </c>
      <c r="B24" s="161" t="s">
        <v>357</v>
      </c>
      <c r="C24" s="161" t="str">
        <f t="shared" si="0"/>
        <v>1999_Mongolia</v>
      </c>
      <c r="D24" s="161">
        <v>454000000</v>
      </c>
      <c r="E24" s="161">
        <v>0.37089382565792822</v>
      </c>
      <c r="F24" s="161">
        <v>42.530004713406754</v>
      </c>
      <c r="G24" s="161">
        <f t="shared" si="1"/>
        <v>0.42900898539064686</v>
      </c>
      <c r="H24" s="161">
        <f t="shared" si="2"/>
        <v>194770079.36735368</v>
      </c>
      <c r="I24" s="161">
        <v>88.133170000000007</v>
      </c>
      <c r="J24" s="161">
        <v>96.736419999999995</v>
      </c>
      <c r="K24" s="161">
        <v>90.705879999999993</v>
      </c>
    </row>
    <row r="25" spans="1:11">
      <c r="A25" s="161">
        <v>1999</v>
      </c>
      <c r="B25" s="161" t="s">
        <v>387</v>
      </c>
      <c r="C25" s="161" t="str">
        <f t="shared" si="0"/>
        <v>1999_Niger</v>
      </c>
      <c r="D25" s="161">
        <v>287000000</v>
      </c>
      <c r="E25" s="161">
        <v>1.4495671828493029E-2</v>
      </c>
      <c r="F25" s="161">
        <v>59.247328457708825</v>
      </c>
      <c r="G25" s="161">
        <f t="shared" si="1"/>
        <v>0.59261824129537322</v>
      </c>
      <c r="H25" s="161">
        <f t="shared" si="2"/>
        <v>170081435.25177211</v>
      </c>
      <c r="I25" s="161">
        <v>27.059979999999999</v>
      </c>
      <c r="J25" s="161">
        <v>32.03839</v>
      </c>
      <c r="K25" s="161">
        <v>27.242660000000001</v>
      </c>
    </row>
    <row r="26" spans="1:11">
      <c r="A26" s="161">
        <v>1999</v>
      </c>
      <c r="B26" s="161" t="s">
        <v>406</v>
      </c>
      <c r="C26" s="161" t="str">
        <f t="shared" si="0"/>
        <v>1999_Nigeria</v>
      </c>
      <c r="D26" s="161">
        <v>13856000000</v>
      </c>
      <c r="E26" s="161">
        <v>98.942308296871857</v>
      </c>
      <c r="F26" s="161">
        <v>2.6758514171315952E-3</v>
      </c>
      <c r="G26" s="161">
        <f t="shared" si="1"/>
        <v>0.98944984148288995</v>
      </c>
      <c r="H26" s="161">
        <f t="shared" si="2"/>
        <v>13709817003.586924</v>
      </c>
      <c r="I26" s="161">
        <v>61.870249999999999</v>
      </c>
      <c r="J26" s="161">
        <v>93.809849999999997</v>
      </c>
      <c r="K26" s="161">
        <v>62.909489999999998</v>
      </c>
    </row>
    <row r="27" spans="1:11">
      <c r="A27" s="161">
        <v>1999</v>
      </c>
      <c r="B27" s="161" t="s">
        <v>429</v>
      </c>
      <c r="C27" s="161" t="str">
        <f t="shared" si="0"/>
        <v>1999_Norway</v>
      </c>
      <c r="D27" s="161">
        <v>45479000000</v>
      </c>
      <c r="E27" s="161">
        <v>49.951893635697829</v>
      </c>
      <c r="F27" s="161">
        <v>7.2235842797493204</v>
      </c>
      <c r="G27" s="161">
        <f t="shared" si="1"/>
        <v>0.57175477915447148</v>
      </c>
      <c r="H27" s="161">
        <f t="shared" si="2"/>
        <v>26002835601.16621</v>
      </c>
      <c r="I27" s="161">
        <v>99.777619999999999</v>
      </c>
      <c r="J27" s="161">
        <v>100.82249</v>
      </c>
      <c r="K27" s="161">
        <v>99.777619999999999</v>
      </c>
    </row>
    <row r="28" spans="1:11">
      <c r="A28" s="161">
        <v>1999</v>
      </c>
      <c r="B28" s="161" t="s">
        <v>442</v>
      </c>
      <c r="C28" s="161" t="str">
        <f t="shared" si="0"/>
        <v>1999_Peru</v>
      </c>
      <c r="D28" s="161">
        <v>6113000000</v>
      </c>
      <c r="E28" s="161">
        <v>5.2776031328394435</v>
      </c>
      <c r="F28" s="161">
        <v>40.212269980981716</v>
      </c>
      <c r="G28" s="161">
        <f t="shared" si="1"/>
        <v>0.45489873113821161</v>
      </c>
      <c r="H28" s="161">
        <f t="shared" si="2"/>
        <v>2780795943.4478874</v>
      </c>
      <c r="I28" s="161">
        <v>97.638990000000007</v>
      </c>
      <c r="J28" s="161">
        <v>122.83911000000001</v>
      </c>
      <c r="K28" s="161">
        <v>99.913210000000007</v>
      </c>
    </row>
    <row r="29" spans="1:11">
      <c r="A29" s="161">
        <v>1999</v>
      </c>
      <c r="B29" s="161" t="s">
        <v>481</v>
      </c>
      <c r="C29" s="161" t="str">
        <f t="shared" si="0"/>
        <v>1999_Sierra Leone</v>
      </c>
      <c r="D29" s="161">
        <v>6000000</v>
      </c>
      <c r="E29" s="161" t="s">
        <v>2842</v>
      </c>
      <c r="F29" s="161" t="s">
        <v>2842</v>
      </c>
      <c r="G29" s="161" t="str">
        <f t="shared" si="1"/>
        <v>..</v>
      </c>
      <c r="H29" s="161" t="str">
        <f t="shared" si="2"/>
        <v>..</v>
      </c>
      <c r="I29" s="161" t="s">
        <v>2842</v>
      </c>
      <c r="J29" s="161" t="s">
        <v>2842</v>
      </c>
      <c r="K29" s="161" t="s">
        <v>2842</v>
      </c>
    </row>
    <row r="30" spans="1:11">
      <c r="A30" s="161">
        <v>1999</v>
      </c>
      <c r="B30" s="161" t="s">
        <v>492</v>
      </c>
      <c r="C30" s="161" t="str">
        <f t="shared" si="0"/>
        <v>1999_Tanzania</v>
      </c>
      <c r="D30" s="161">
        <v>543000000</v>
      </c>
      <c r="E30" s="161">
        <v>0.32778265709761734</v>
      </c>
      <c r="F30" s="161">
        <v>0.77502888986129992</v>
      </c>
      <c r="G30" s="161">
        <f t="shared" si="1"/>
        <v>1.1028115469589173E-2</v>
      </c>
      <c r="H30" s="161">
        <f t="shared" si="2"/>
        <v>5988266.6999869207</v>
      </c>
      <c r="I30" s="161">
        <v>49.262149999999998</v>
      </c>
      <c r="J30" s="161">
        <v>66.507540000000006</v>
      </c>
      <c r="K30" s="161">
        <v>49.294490000000003</v>
      </c>
    </row>
    <row r="31" spans="1:11">
      <c r="A31" s="161">
        <v>1999</v>
      </c>
      <c r="B31" s="161" t="s">
        <v>2844</v>
      </c>
      <c r="C31" s="161" t="str">
        <f t="shared" si="0"/>
        <v>1999_Timor-Leste</v>
      </c>
      <c r="D31" s="161" t="s">
        <v>2842</v>
      </c>
      <c r="E31" s="161" t="s">
        <v>2842</v>
      </c>
      <c r="F31" s="161" t="s">
        <v>2842</v>
      </c>
      <c r="G31" s="161" t="str">
        <f t="shared" si="1"/>
        <v>..</v>
      </c>
      <c r="H31" s="161" t="str">
        <f t="shared" si="2"/>
        <v>..</v>
      </c>
      <c r="I31" s="161" t="s">
        <v>2842</v>
      </c>
      <c r="J31" s="161" t="s">
        <v>2842</v>
      </c>
      <c r="K31" s="161" t="s">
        <v>2842</v>
      </c>
    </row>
    <row r="32" spans="1:11">
      <c r="A32" s="161">
        <v>1999</v>
      </c>
      <c r="B32" s="161" t="s">
        <v>510</v>
      </c>
      <c r="C32" s="161" t="str">
        <f t="shared" si="0"/>
        <v>1999_Togo</v>
      </c>
      <c r="D32" s="161">
        <v>391000000</v>
      </c>
      <c r="E32" s="161">
        <v>0</v>
      </c>
      <c r="F32" s="161">
        <v>26.64773466557893</v>
      </c>
      <c r="G32" s="161">
        <f t="shared" si="1"/>
        <v>0.26647734665578932</v>
      </c>
      <c r="H32" s="161">
        <f t="shared" si="2"/>
        <v>104192642.54241362</v>
      </c>
      <c r="I32" s="161">
        <v>85.062610000000006</v>
      </c>
      <c r="J32" s="161">
        <v>119.52545000000001</v>
      </c>
      <c r="K32" s="161">
        <v>88.54907</v>
      </c>
    </row>
    <row r="33" spans="1:11">
      <c r="A33" s="161">
        <v>1999</v>
      </c>
      <c r="B33" s="161" t="s">
        <v>2845</v>
      </c>
      <c r="C33" s="161" t="str">
        <f t="shared" si="0"/>
        <v>1999_Trinidad and Tobago</v>
      </c>
      <c r="D33" s="161">
        <v>2804000000</v>
      </c>
      <c r="E33" s="161">
        <v>54.084850195596722</v>
      </c>
      <c r="F33" s="161">
        <v>0.27850386807547811</v>
      </c>
      <c r="G33" s="161">
        <f t="shared" si="1"/>
        <v>0.54363354063672198</v>
      </c>
      <c r="H33" s="161">
        <f t="shared" si="2"/>
        <v>1524348447.9453685</v>
      </c>
      <c r="I33" s="161">
        <v>93.702129999999997</v>
      </c>
      <c r="J33" s="161">
        <v>102.55488</v>
      </c>
      <c r="K33" s="161">
        <v>97.889989999999997</v>
      </c>
    </row>
    <row r="34" spans="1:11">
      <c r="A34" s="161">
        <v>1999</v>
      </c>
      <c r="B34" s="161" t="s">
        <v>2846</v>
      </c>
      <c r="C34" s="161" t="str">
        <f t="shared" si="0"/>
        <v>1999_Yemen, Rep.</v>
      </c>
      <c r="D34" s="161">
        <v>2440000000</v>
      </c>
      <c r="E34" s="161">
        <v>95.963834625160743</v>
      </c>
      <c r="F34" s="161">
        <v>0.17497411116244196</v>
      </c>
      <c r="G34" s="161">
        <f t="shared" si="1"/>
        <v>0.96138808736323189</v>
      </c>
      <c r="H34" s="161">
        <f t="shared" si="2"/>
        <v>2345786933.166286</v>
      </c>
      <c r="I34" s="161">
        <v>57.171210000000002</v>
      </c>
      <c r="J34" s="161">
        <v>73.006780000000006</v>
      </c>
      <c r="K34" s="161">
        <v>57.575620000000001</v>
      </c>
    </row>
    <row r="35" spans="1:11">
      <c r="A35" s="161">
        <v>1999</v>
      </c>
      <c r="B35" s="161" t="s">
        <v>534</v>
      </c>
      <c r="C35" s="161" t="str">
        <f t="shared" si="0"/>
        <v>1999_Zambia</v>
      </c>
      <c r="D35" s="161">
        <v>1063000000</v>
      </c>
      <c r="E35" s="161">
        <v>0.97958348135590845</v>
      </c>
      <c r="F35" s="161">
        <v>63.741615659172567</v>
      </c>
      <c r="G35" s="161">
        <f t="shared" si="1"/>
        <v>0.64721199140528474</v>
      </c>
      <c r="H35" s="161">
        <f t="shared" si="2"/>
        <v>687986346.86381769</v>
      </c>
      <c r="I35" s="161">
        <v>71.126540000000006</v>
      </c>
      <c r="J35" s="161">
        <v>84.337620000000001</v>
      </c>
      <c r="K35" s="161">
        <v>71.492090000000005</v>
      </c>
    </row>
    <row r="36" spans="1:11">
      <c r="A36" s="161">
        <v>2000</v>
      </c>
      <c r="B36" s="161" t="s">
        <v>16</v>
      </c>
      <c r="C36" s="161" t="str">
        <f t="shared" si="0"/>
        <v>2000_Afghanistan</v>
      </c>
      <c r="D36" s="161">
        <v>137310000</v>
      </c>
      <c r="E36" s="161" t="s">
        <v>2842</v>
      </c>
      <c r="F36" s="161" t="s">
        <v>2842</v>
      </c>
      <c r="G36" s="161" t="str">
        <f t="shared" si="1"/>
        <v>..</v>
      </c>
      <c r="H36" s="161" t="str">
        <f t="shared" si="2"/>
        <v>..</v>
      </c>
      <c r="I36" s="161" t="s">
        <v>2842</v>
      </c>
      <c r="J36" s="161">
        <v>21.259119999999999</v>
      </c>
      <c r="K36" s="161" t="s">
        <v>2842</v>
      </c>
    </row>
    <row r="37" spans="1:11">
      <c r="A37" s="161">
        <v>2000</v>
      </c>
      <c r="B37" s="161" t="s">
        <v>33</v>
      </c>
      <c r="C37" s="161" t="str">
        <f t="shared" si="0"/>
        <v>2000_Albania</v>
      </c>
      <c r="D37" s="161">
        <v>257930000</v>
      </c>
      <c r="E37" s="161">
        <v>1.8513687889128057</v>
      </c>
      <c r="F37" s="161">
        <v>3.7070565246729297</v>
      </c>
      <c r="G37" s="161">
        <f t="shared" si="1"/>
        <v>5.5584253135857346E-2</v>
      </c>
      <c r="H37" s="161">
        <f t="shared" si="2"/>
        <v>14336846.411331685</v>
      </c>
      <c r="I37" s="161">
        <v>93.602490000000003</v>
      </c>
      <c r="J37" s="161">
        <v>102.25078999999999</v>
      </c>
      <c r="K37" s="161">
        <v>93.602490000000003</v>
      </c>
    </row>
    <row r="38" spans="1:11">
      <c r="A38" s="161">
        <v>2000</v>
      </c>
      <c r="B38" s="161" t="s">
        <v>48</v>
      </c>
      <c r="C38" s="161" t="str">
        <f t="shared" si="0"/>
        <v>2000_Azerbaijan</v>
      </c>
      <c r="D38" s="161">
        <v>1745000000</v>
      </c>
      <c r="E38" s="161">
        <v>85.08093842332228</v>
      </c>
      <c r="F38" s="161">
        <v>1.6750807947535202</v>
      </c>
      <c r="G38" s="161">
        <f t="shared" si="1"/>
        <v>0.86756019218075808</v>
      </c>
      <c r="H38" s="161">
        <f t="shared" si="2"/>
        <v>1513892535.355423</v>
      </c>
      <c r="I38" s="161">
        <v>88.239620000000002</v>
      </c>
      <c r="J38" s="161">
        <v>97.207490000000007</v>
      </c>
      <c r="K38" s="161">
        <v>88.239620000000002</v>
      </c>
    </row>
    <row r="39" spans="1:11">
      <c r="A39" s="161">
        <v>2000</v>
      </c>
      <c r="B39" s="161" t="s">
        <v>93</v>
      </c>
      <c r="C39" s="161" t="str">
        <f t="shared" si="0"/>
        <v>2000_Burkina Faso</v>
      </c>
      <c r="D39" s="161">
        <v>209000000</v>
      </c>
      <c r="E39" s="161">
        <v>3.2179220307766037</v>
      </c>
      <c r="F39" s="161">
        <v>3.2441821074801355E-2</v>
      </c>
      <c r="G39" s="161">
        <f t="shared" si="1"/>
        <v>3.2503638518514053E-2</v>
      </c>
      <c r="H39" s="161">
        <f t="shared" si="2"/>
        <v>6793260.4503694372</v>
      </c>
      <c r="I39" s="161">
        <v>36.334980000000002</v>
      </c>
      <c r="J39" s="161">
        <v>45.018940000000001</v>
      </c>
      <c r="K39" s="161">
        <v>36.747579999999999</v>
      </c>
    </row>
    <row r="40" spans="1:11">
      <c r="A40" s="161">
        <v>2000</v>
      </c>
      <c r="B40" s="161" t="s">
        <v>96</v>
      </c>
      <c r="C40" s="161" t="str">
        <f t="shared" si="0"/>
        <v>2000_Cameroon</v>
      </c>
      <c r="D40" s="161">
        <v>1833000000</v>
      </c>
      <c r="E40" s="161">
        <v>54.150736703214683</v>
      </c>
      <c r="F40" s="161">
        <v>5.5919100668565589</v>
      </c>
      <c r="G40" s="161">
        <f t="shared" si="1"/>
        <v>0.59742646770071239</v>
      </c>
      <c r="H40" s="161">
        <f t="shared" si="2"/>
        <v>1095082715.2954059</v>
      </c>
      <c r="I40" s="161" t="s">
        <v>2842</v>
      </c>
      <c r="J40" s="161">
        <v>83.145349999999993</v>
      </c>
      <c r="K40" s="161" t="s">
        <v>2842</v>
      </c>
    </row>
    <row r="41" spans="1:11">
      <c r="A41" s="161">
        <v>2000</v>
      </c>
      <c r="B41" s="161" t="s">
        <v>122</v>
      </c>
      <c r="C41" s="161" t="str">
        <f t="shared" si="0"/>
        <v>2000_Central African Republic</v>
      </c>
      <c r="D41" s="161">
        <v>161000000</v>
      </c>
      <c r="E41" s="161">
        <v>0.45483146012980308</v>
      </c>
      <c r="F41" s="161">
        <v>7.5676125643014789</v>
      </c>
      <c r="G41" s="161">
        <f t="shared" si="1"/>
        <v>8.0224440244312814E-2</v>
      </c>
      <c r="H41" s="161">
        <f t="shared" si="2"/>
        <v>12916134.879334362</v>
      </c>
      <c r="I41" s="161" t="s">
        <v>2842</v>
      </c>
      <c r="J41" s="161" t="s">
        <v>2842</v>
      </c>
      <c r="K41" s="161" t="s">
        <v>2842</v>
      </c>
    </row>
    <row r="42" spans="1:11">
      <c r="A42" s="161">
        <v>2000</v>
      </c>
      <c r="B42" s="161" t="s">
        <v>133</v>
      </c>
      <c r="C42" s="161" t="str">
        <f t="shared" si="0"/>
        <v>2000_Chad</v>
      </c>
      <c r="D42" s="161">
        <v>183000000</v>
      </c>
      <c r="E42" s="161" t="s">
        <v>2842</v>
      </c>
      <c r="F42" s="161" t="s">
        <v>2842</v>
      </c>
      <c r="G42" s="161" t="str">
        <f t="shared" si="1"/>
        <v>..</v>
      </c>
      <c r="H42" s="161" t="str">
        <f t="shared" si="2"/>
        <v>..</v>
      </c>
      <c r="I42" s="161">
        <v>51.621389999999998</v>
      </c>
      <c r="J42" s="161">
        <v>64.060820000000007</v>
      </c>
      <c r="K42" s="161">
        <v>51.682749999999999</v>
      </c>
    </row>
    <row r="43" spans="1:11">
      <c r="A43" s="161">
        <v>2000</v>
      </c>
      <c r="B43" s="161" t="s">
        <v>3544</v>
      </c>
      <c r="C43" s="161" t="str">
        <f t="shared" si="0"/>
        <v>2000_Congo, Dem. Rep.</v>
      </c>
      <c r="D43" s="161">
        <v>806600000</v>
      </c>
      <c r="E43" s="161" t="s">
        <v>2842</v>
      </c>
      <c r="F43" s="161" t="s">
        <v>2842</v>
      </c>
      <c r="G43" s="161" t="str">
        <f t="shared" si="1"/>
        <v>..</v>
      </c>
      <c r="H43" s="161" t="str">
        <f t="shared" si="2"/>
        <v>..</v>
      </c>
      <c r="I43" s="161" t="s">
        <v>2842</v>
      </c>
      <c r="J43" s="161" t="s">
        <v>2842</v>
      </c>
      <c r="K43" s="161" t="s">
        <v>2842</v>
      </c>
    </row>
    <row r="44" spans="1:11">
      <c r="A44" s="161">
        <v>2000</v>
      </c>
      <c r="B44" s="161" t="s">
        <v>3543</v>
      </c>
      <c r="C44" s="161" t="str">
        <f t="shared" si="0"/>
        <v>2000_Congo, Rep.</v>
      </c>
      <c r="D44" s="161">
        <v>2489000000</v>
      </c>
      <c r="E44" s="161" t="s">
        <v>2842</v>
      </c>
      <c r="F44" s="161" t="s">
        <v>2842</v>
      </c>
      <c r="G44" s="161" t="str">
        <f t="shared" si="1"/>
        <v>..</v>
      </c>
      <c r="H44" s="161" t="str">
        <f t="shared" si="2"/>
        <v>..</v>
      </c>
      <c r="I44" s="161" t="s">
        <v>2842</v>
      </c>
      <c r="J44" s="161">
        <v>87.765259999999998</v>
      </c>
      <c r="K44" s="161" t="s">
        <v>2842</v>
      </c>
    </row>
    <row r="45" spans="1:11">
      <c r="A45" s="161">
        <v>2000</v>
      </c>
      <c r="B45" s="161" t="s">
        <v>182</v>
      </c>
      <c r="C45" s="161" t="str">
        <f t="shared" si="0"/>
        <v>2000_Equatorial Guinea</v>
      </c>
      <c r="D45" s="161">
        <v>1097000000</v>
      </c>
      <c r="E45" s="161" t="s">
        <v>2842</v>
      </c>
      <c r="F45" s="161" t="s">
        <v>2842</v>
      </c>
      <c r="G45" s="161" t="str">
        <f t="shared" si="1"/>
        <v>..</v>
      </c>
      <c r="H45" s="161" t="str">
        <f t="shared" si="2"/>
        <v>..</v>
      </c>
      <c r="I45" s="161">
        <v>68.023520000000005</v>
      </c>
      <c r="J45" s="161">
        <v>107.59564</v>
      </c>
      <c r="K45" s="161">
        <v>68.319720000000004</v>
      </c>
    </row>
    <row r="46" spans="1:11">
      <c r="A46" s="161">
        <v>2000</v>
      </c>
      <c r="B46" s="161" t="s">
        <v>185</v>
      </c>
      <c r="C46" s="161" t="str">
        <f t="shared" si="0"/>
        <v>2000_Gabon</v>
      </c>
      <c r="D46" s="161">
        <v>2598135330</v>
      </c>
      <c r="E46" s="161">
        <v>83.325529280778028</v>
      </c>
      <c r="F46" s="161">
        <v>1.7275813786820149</v>
      </c>
      <c r="G46" s="161">
        <f t="shared" si="1"/>
        <v>0.85053110659460041</v>
      </c>
      <c r="H46" s="161">
        <f t="shared" si="2"/>
        <v>2209794917.3074274</v>
      </c>
      <c r="I46" s="161" t="s">
        <v>2842</v>
      </c>
      <c r="J46" s="161" t="s">
        <v>2842</v>
      </c>
      <c r="K46" s="161" t="s">
        <v>2842</v>
      </c>
    </row>
    <row r="47" spans="1:11">
      <c r="A47" s="161">
        <v>2000</v>
      </c>
      <c r="B47" s="161" t="s">
        <v>294</v>
      </c>
      <c r="C47" s="161" t="str">
        <f t="shared" si="0"/>
        <v>2000_Liberia</v>
      </c>
      <c r="D47" s="161">
        <v>329000000</v>
      </c>
      <c r="E47" s="161" t="s">
        <v>2842</v>
      </c>
      <c r="F47" s="161" t="s">
        <v>2842</v>
      </c>
      <c r="G47" s="161" t="str">
        <f t="shared" si="1"/>
        <v>..</v>
      </c>
      <c r="H47" s="161" t="str">
        <f t="shared" si="2"/>
        <v>..</v>
      </c>
      <c r="I47" s="161" t="s">
        <v>2842</v>
      </c>
      <c r="J47" s="161">
        <v>112.68771</v>
      </c>
      <c r="K47" s="161" t="s">
        <v>2842</v>
      </c>
    </row>
    <row r="48" spans="1:11">
      <c r="A48" s="161">
        <v>2000</v>
      </c>
      <c r="B48" s="161" t="s">
        <v>278</v>
      </c>
      <c r="C48" s="161" t="str">
        <f t="shared" si="0"/>
        <v>2000_Kyrgyz Republic</v>
      </c>
      <c r="D48" s="161">
        <v>505000000</v>
      </c>
      <c r="E48" s="161">
        <v>26.697394249376284</v>
      </c>
      <c r="F48" s="161">
        <v>11.193398941835323</v>
      </c>
      <c r="G48" s="161">
        <f t="shared" si="1"/>
        <v>0.37890793191211608</v>
      </c>
      <c r="H48" s="161">
        <f t="shared" si="2"/>
        <v>191348505.61561862</v>
      </c>
      <c r="I48" s="161">
        <v>85.833259999999996</v>
      </c>
      <c r="J48" s="161">
        <v>95.887079999999997</v>
      </c>
      <c r="K48" s="161">
        <v>92.308369999999996</v>
      </c>
    </row>
    <row r="49" spans="1:11">
      <c r="A49" s="161">
        <v>2000</v>
      </c>
      <c r="B49" s="161" t="s">
        <v>189</v>
      </c>
      <c r="C49" s="161" t="str">
        <f t="shared" si="0"/>
        <v>2000_Ghana</v>
      </c>
      <c r="D49" s="161">
        <v>1671000000</v>
      </c>
      <c r="E49" s="161">
        <v>7.7302106756693023</v>
      </c>
      <c r="F49" s="161">
        <v>18.821440270508432</v>
      </c>
      <c r="G49" s="161">
        <f t="shared" si="1"/>
        <v>0.26551650946177735</v>
      </c>
      <c r="H49" s="161">
        <f t="shared" si="2"/>
        <v>443678087.31062996</v>
      </c>
      <c r="I49" s="161">
        <v>64.855729999999994</v>
      </c>
      <c r="J49" s="161">
        <v>86.023529999999994</v>
      </c>
      <c r="K49" s="161">
        <v>65.631450000000001</v>
      </c>
    </row>
    <row r="50" spans="1:11">
      <c r="A50" s="161">
        <v>2000</v>
      </c>
      <c r="B50" s="161" t="s">
        <v>213</v>
      </c>
      <c r="C50" s="161" t="str">
        <f t="shared" si="0"/>
        <v>2000_Guatemala</v>
      </c>
      <c r="D50" s="161">
        <v>2696000000</v>
      </c>
      <c r="E50" s="161">
        <v>6.0149648570220613</v>
      </c>
      <c r="F50" s="161">
        <v>1.871519493987019</v>
      </c>
      <c r="G50" s="161">
        <f t="shared" si="1"/>
        <v>7.8864843510090807E-2</v>
      </c>
      <c r="H50" s="161">
        <f t="shared" si="2"/>
        <v>212619618.10320482</v>
      </c>
      <c r="I50" s="161">
        <v>85.596369999999993</v>
      </c>
      <c r="J50" s="161">
        <v>103.72176</v>
      </c>
      <c r="K50" s="161">
        <v>86.832679999999996</v>
      </c>
    </row>
    <row r="51" spans="1:11">
      <c r="A51" s="161">
        <v>2000</v>
      </c>
      <c r="B51" s="161" t="s">
        <v>2843</v>
      </c>
      <c r="C51" s="161" t="str">
        <f t="shared" si="0"/>
        <v>2000_Guinea</v>
      </c>
      <c r="D51" s="161">
        <v>666000000</v>
      </c>
      <c r="E51" s="161">
        <v>4.0081316095265065E-2</v>
      </c>
      <c r="F51" s="161">
        <v>63.411741671968436</v>
      </c>
      <c r="G51" s="161">
        <f t="shared" si="1"/>
        <v>0.634518229880637</v>
      </c>
      <c r="H51" s="161">
        <f t="shared" si="2"/>
        <v>422589141.10050422</v>
      </c>
      <c r="I51" s="161">
        <v>44.831249999999997</v>
      </c>
      <c r="J51" s="161">
        <v>57.452539999999999</v>
      </c>
      <c r="K51" s="161">
        <v>45.155909999999999</v>
      </c>
    </row>
    <row r="52" spans="1:11">
      <c r="A52" s="161">
        <v>2000</v>
      </c>
      <c r="B52" s="161" t="s">
        <v>237</v>
      </c>
      <c r="C52" s="161" t="str">
        <f t="shared" si="0"/>
        <v>2000_Indonesia</v>
      </c>
      <c r="D52" s="161">
        <v>65403000000</v>
      </c>
      <c r="E52" s="161">
        <v>25.371196809713677</v>
      </c>
      <c r="F52" s="161">
        <v>4.9298745464225453</v>
      </c>
      <c r="G52" s="161">
        <f t="shared" si="1"/>
        <v>0.30301071356136222</v>
      </c>
      <c r="H52" s="161">
        <f t="shared" si="2"/>
        <v>19817809699.053772</v>
      </c>
      <c r="I52" s="161" t="s">
        <v>2842</v>
      </c>
      <c r="J52" s="161">
        <v>110.25839999999999</v>
      </c>
      <c r="K52" s="161" t="s">
        <v>2842</v>
      </c>
    </row>
    <row r="53" spans="1:11">
      <c r="A53" s="161">
        <v>2000</v>
      </c>
      <c r="B53" s="161" t="s">
        <v>245</v>
      </c>
      <c r="C53" s="161" t="str">
        <f t="shared" si="0"/>
        <v>2000_Iraq</v>
      </c>
      <c r="D53" s="161">
        <v>20603000000</v>
      </c>
      <c r="E53" s="161">
        <v>97.141652497527545</v>
      </c>
      <c r="F53" s="161">
        <v>5.9340272896422552E-3</v>
      </c>
      <c r="G53" s="161">
        <f t="shared" si="1"/>
        <v>0.97147586524817187</v>
      </c>
      <c r="H53" s="161">
        <f t="shared" si="2"/>
        <v>20015317251.708084</v>
      </c>
      <c r="I53" s="161">
        <v>87.950670000000002</v>
      </c>
      <c r="J53" s="161">
        <v>95.992099999999994</v>
      </c>
      <c r="K53" s="161">
        <v>87.950670000000002</v>
      </c>
    </row>
    <row r="54" spans="1:11">
      <c r="A54" s="161">
        <v>2000</v>
      </c>
      <c r="B54" s="161" t="s">
        <v>273</v>
      </c>
      <c r="C54" s="161" t="str">
        <f t="shared" si="0"/>
        <v>2000_Kazakhstan</v>
      </c>
      <c r="D54" s="161">
        <v>8812000000</v>
      </c>
      <c r="E54" s="161">
        <v>53.81812285373406</v>
      </c>
      <c r="F54" s="161">
        <v>18.712585535360947</v>
      </c>
      <c r="G54" s="161">
        <f t="shared" si="1"/>
        <v>0.72530708389095011</v>
      </c>
      <c r="H54" s="161">
        <f t="shared" si="2"/>
        <v>6391406023.2470522</v>
      </c>
      <c r="I54" s="161">
        <v>88.633219999999994</v>
      </c>
      <c r="J54" s="161">
        <v>98.721369999999993</v>
      </c>
      <c r="K54" s="161">
        <v>96.384230000000002</v>
      </c>
    </row>
    <row r="55" spans="1:11">
      <c r="A55" s="161">
        <v>2000</v>
      </c>
      <c r="B55" s="161" t="s">
        <v>309</v>
      </c>
      <c r="C55" s="161" t="str">
        <f t="shared" si="0"/>
        <v>2000_Madagascar</v>
      </c>
      <c r="D55" s="161">
        <v>824000000</v>
      </c>
      <c r="E55" s="161">
        <v>3.8003213470060797</v>
      </c>
      <c r="F55" s="161">
        <v>2.0691515808029055</v>
      </c>
      <c r="G55" s="161">
        <f t="shared" si="1"/>
        <v>5.8694729278089851E-2</v>
      </c>
      <c r="H55" s="161">
        <f t="shared" si="2"/>
        <v>48364456.925146036</v>
      </c>
      <c r="I55" s="161">
        <v>64.949399999999997</v>
      </c>
      <c r="J55" s="161">
        <v>99.634770000000003</v>
      </c>
      <c r="K55" s="161">
        <v>65.180589999999995</v>
      </c>
    </row>
    <row r="56" spans="1:11">
      <c r="A56" s="161">
        <v>2000</v>
      </c>
      <c r="B56" s="161" t="s">
        <v>322</v>
      </c>
      <c r="C56" s="161" t="str">
        <f t="shared" si="0"/>
        <v>2000_Mali</v>
      </c>
      <c r="D56" s="161">
        <v>545000000</v>
      </c>
      <c r="E56" s="161">
        <v>7.1919500469673367E-5</v>
      </c>
      <c r="F56" s="161">
        <v>0.30449211206989407</v>
      </c>
      <c r="G56" s="161">
        <f t="shared" si="1"/>
        <v>3.0456403157036378E-3</v>
      </c>
      <c r="H56" s="161">
        <f t="shared" si="2"/>
        <v>1659873.9720584827</v>
      </c>
      <c r="I56" s="161" t="s">
        <v>2842</v>
      </c>
      <c r="J56" s="161">
        <v>62.180439999999997</v>
      </c>
      <c r="K56" s="161" t="s">
        <v>2842</v>
      </c>
    </row>
    <row r="57" spans="1:11">
      <c r="A57" s="161">
        <v>2000</v>
      </c>
      <c r="B57" s="161" t="s">
        <v>338</v>
      </c>
      <c r="C57" s="161" t="str">
        <f t="shared" si="0"/>
        <v>2000_Mauritania</v>
      </c>
      <c r="D57" s="161">
        <v>354570578</v>
      </c>
      <c r="E57" s="161" t="s">
        <v>2842</v>
      </c>
      <c r="F57" s="161">
        <v>45.723552432687583</v>
      </c>
      <c r="G57" s="161" t="str">
        <f t="shared" si="1"/>
        <v>..</v>
      </c>
      <c r="H57" s="161" t="str">
        <f t="shared" si="2"/>
        <v>..</v>
      </c>
      <c r="I57" s="161">
        <v>59.86309</v>
      </c>
      <c r="J57" s="161">
        <v>82.706990000000005</v>
      </c>
      <c r="K57" s="161">
        <v>59.869140000000002</v>
      </c>
    </row>
    <row r="58" spans="1:11">
      <c r="A58" s="161">
        <v>2000</v>
      </c>
      <c r="B58" s="161" t="s">
        <v>357</v>
      </c>
      <c r="C58" s="161" t="str">
        <f t="shared" si="0"/>
        <v>2000_Mongolia</v>
      </c>
      <c r="D58" s="161">
        <v>536000000</v>
      </c>
      <c r="E58" s="161">
        <v>0.49146165907848394</v>
      </c>
      <c r="F58" s="161">
        <v>41.412469244338368</v>
      </c>
      <c r="G58" s="161">
        <f t="shared" si="1"/>
        <v>0.41903930903416847</v>
      </c>
      <c r="H58" s="161">
        <f t="shared" si="2"/>
        <v>224605069.64231431</v>
      </c>
      <c r="I58" s="161">
        <v>89.995469999999997</v>
      </c>
      <c r="J58" s="161">
        <v>99.018180000000001</v>
      </c>
      <c r="K58" s="161">
        <v>92.856139999999996</v>
      </c>
    </row>
    <row r="59" spans="1:11">
      <c r="A59" s="161">
        <v>2000</v>
      </c>
      <c r="B59" s="161" t="s">
        <v>387</v>
      </c>
      <c r="C59" s="161" t="str">
        <f t="shared" si="0"/>
        <v>2000_Niger</v>
      </c>
      <c r="D59" s="161">
        <v>283000000</v>
      </c>
      <c r="E59" s="161">
        <v>1.6399559192703861</v>
      </c>
      <c r="F59" s="161">
        <v>40.673335849751297</v>
      </c>
      <c r="G59" s="161">
        <f t="shared" si="1"/>
        <v>0.42313291769021683</v>
      </c>
      <c r="H59" s="161">
        <f t="shared" si="2"/>
        <v>119746615.70633136</v>
      </c>
      <c r="I59" s="161">
        <v>27.89883</v>
      </c>
      <c r="J59" s="161">
        <v>33.647770000000001</v>
      </c>
      <c r="K59" s="161">
        <v>27.969149999999999</v>
      </c>
    </row>
    <row r="60" spans="1:11">
      <c r="A60" s="161">
        <v>2000</v>
      </c>
      <c r="B60" s="161" t="s">
        <v>406</v>
      </c>
      <c r="C60" s="161" t="str">
        <f t="shared" si="0"/>
        <v>2000_Nigeria</v>
      </c>
      <c r="D60" s="161">
        <v>20975000000</v>
      </c>
      <c r="E60" s="161">
        <v>99.635033879376039</v>
      </c>
      <c r="F60" s="161">
        <v>8.7053381886674219E-3</v>
      </c>
      <c r="G60" s="161">
        <f t="shared" si="1"/>
        <v>0.99643739217564697</v>
      </c>
      <c r="H60" s="161">
        <f t="shared" si="2"/>
        <v>20900274300.884193</v>
      </c>
      <c r="I60" s="161">
        <v>64.869349999999997</v>
      </c>
      <c r="J60" s="161">
        <v>98.357190000000003</v>
      </c>
      <c r="K60" s="161">
        <v>64.869349999999997</v>
      </c>
    </row>
    <row r="61" spans="1:11">
      <c r="A61" s="161">
        <v>2000</v>
      </c>
      <c r="B61" s="161" t="s">
        <v>429</v>
      </c>
      <c r="C61" s="161" t="str">
        <f t="shared" si="0"/>
        <v>2000_Norway</v>
      </c>
      <c r="D61" s="161">
        <v>60058000000</v>
      </c>
      <c r="E61" s="161">
        <v>63.896071720283622</v>
      </c>
      <c r="F61" s="161">
        <v>6.0802529437267774</v>
      </c>
      <c r="G61" s="161">
        <f t="shared" si="1"/>
        <v>0.69976324664010403</v>
      </c>
      <c r="H61" s="161">
        <f t="shared" si="2"/>
        <v>42026381066.711365</v>
      </c>
      <c r="I61" s="161">
        <v>99.718990000000005</v>
      </c>
      <c r="J61" s="161">
        <v>100.92243000000001</v>
      </c>
      <c r="K61" s="161">
        <v>99.718990000000005</v>
      </c>
    </row>
    <row r="62" spans="1:11">
      <c r="A62" s="161">
        <v>2000</v>
      </c>
      <c r="B62" s="161" t="s">
        <v>442</v>
      </c>
      <c r="C62" s="161" t="str">
        <f t="shared" si="0"/>
        <v>2000_Peru</v>
      </c>
      <c r="D62" s="161">
        <v>7028000000</v>
      </c>
      <c r="E62" s="161">
        <v>7.055122339483118</v>
      </c>
      <c r="F62" s="161">
        <v>39.254334455248376</v>
      </c>
      <c r="G62" s="161">
        <f t="shared" si="1"/>
        <v>0.46309456794731496</v>
      </c>
      <c r="H62" s="161">
        <f t="shared" si="2"/>
        <v>3254628623.5337296</v>
      </c>
      <c r="I62" s="161">
        <v>97.597189999999998</v>
      </c>
      <c r="J62" s="161">
        <v>122.2266</v>
      </c>
      <c r="K62" s="161">
        <v>99.976209999999995</v>
      </c>
    </row>
    <row r="63" spans="1:11">
      <c r="A63" s="161">
        <v>2000</v>
      </c>
      <c r="B63" s="161" t="s">
        <v>481</v>
      </c>
      <c r="C63" s="161" t="str">
        <f t="shared" si="0"/>
        <v>2000_Sierra Leone</v>
      </c>
      <c r="D63" s="161">
        <v>13000000</v>
      </c>
      <c r="E63" s="161" t="s">
        <v>2842</v>
      </c>
      <c r="F63" s="161">
        <v>1.358062842231579</v>
      </c>
      <c r="G63" s="161" t="str">
        <f t="shared" si="1"/>
        <v>..</v>
      </c>
      <c r="H63" s="161" t="str">
        <f t="shared" si="2"/>
        <v>..</v>
      </c>
      <c r="I63" s="161" t="s">
        <v>2842</v>
      </c>
      <c r="J63" s="161">
        <v>68.717680000000001</v>
      </c>
      <c r="K63" s="161" t="s">
        <v>2842</v>
      </c>
    </row>
    <row r="64" spans="1:11">
      <c r="A64" s="161">
        <v>2000</v>
      </c>
      <c r="B64" s="161" t="s">
        <v>492</v>
      </c>
      <c r="C64" s="161" t="str">
        <f t="shared" si="0"/>
        <v>2000_Tanzania</v>
      </c>
      <c r="D64" s="161">
        <v>733700000</v>
      </c>
      <c r="E64" s="161">
        <v>0.12437358075679748</v>
      </c>
      <c r="F64" s="161">
        <v>0.53616622864612995</v>
      </c>
      <c r="G64" s="161">
        <f t="shared" si="1"/>
        <v>6.6053980940292741E-3</v>
      </c>
      <c r="H64" s="161">
        <f t="shared" si="2"/>
        <v>4846380.5815892788</v>
      </c>
      <c r="I64" s="161">
        <v>53.003340000000001</v>
      </c>
      <c r="J64" s="161">
        <v>68.167670000000001</v>
      </c>
      <c r="K64" s="161">
        <v>53.036839999999998</v>
      </c>
    </row>
    <row r="65" spans="1:11">
      <c r="A65" s="161">
        <v>2000</v>
      </c>
      <c r="B65" s="161" t="s">
        <v>2844</v>
      </c>
      <c r="C65" s="161" t="str">
        <f t="shared" si="0"/>
        <v>2000_Timor-Leste</v>
      </c>
      <c r="D65" s="161" t="s">
        <v>2842</v>
      </c>
      <c r="E65" s="161" t="s">
        <v>2842</v>
      </c>
      <c r="F65" s="161" t="s">
        <v>2842</v>
      </c>
      <c r="G65" s="161" t="str">
        <f t="shared" si="1"/>
        <v>..</v>
      </c>
      <c r="H65" s="161" t="str">
        <f t="shared" si="2"/>
        <v>..</v>
      </c>
      <c r="I65" s="161" t="s">
        <v>2842</v>
      </c>
      <c r="J65" s="161" t="s">
        <v>2842</v>
      </c>
      <c r="K65" s="161" t="s">
        <v>2842</v>
      </c>
    </row>
    <row r="66" spans="1:11">
      <c r="A66" s="161">
        <v>2000</v>
      </c>
      <c r="B66" s="161" t="s">
        <v>510</v>
      </c>
      <c r="C66" s="161" t="str">
        <f t="shared" ref="C66:C129" si="3">$A66&amp;"_"&amp;$B66</f>
        <v>2000_Togo</v>
      </c>
      <c r="D66" s="161">
        <v>363000000</v>
      </c>
      <c r="E66" s="161">
        <v>0.64672141116528381</v>
      </c>
      <c r="F66" s="161">
        <v>25.505791612377486</v>
      </c>
      <c r="G66" s="161">
        <f t="shared" si="1"/>
        <v>0.26152513023542773</v>
      </c>
      <c r="H66" s="161">
        <f t="shared" si="2"/>
        <v>94933622.275460258</v>
      </c>
      <c r="I66" s="161">
        <v>83.293329999999997</v>
      </c>
      <c r="J66" s="161">
        <v>112.79295999999999</v>
      </c>
      <c r="K66" s="161">
        <v>84.955290000000005</v>
      </c>
    </row>
    <row r="67" spans="1:11">
      <c r="A67" s="161">
        <v>2000</v>
      </c>
      <c r="B67" s="161" t="s">
        <v>2845</v>
      </c>
      <c r="C67" s="161" t="str">
        <f t="shared" si="3"/>
        <v>2000_Trinidad and Tobago</v>
      </c>
      <c r="D67" s="161">
        <v>4274000000</v>
      </c>
      <c r="E67" s="161">
        <v>65.277915309446257</v>
      </c>
      <c r="F67" s="161">
        <v>0.14666704107229772</v>
      </c>
      <c r="G67" s="161">
        <f t="shared" ref="G67:G130" si="4">IFERROR(($E67+$F67)/100,"..")</f>
        <v>0.65424582350518545</v>
      </c>
      <c r="H67" s="161">
        <f t="shared" ref="H67:H130" si="5">IFERROR($G67*$D67,"..")</f>
        <v>2796246649.6611629</v>
      </c>
      <c r="I67" s="161">
        <v>93.856319999999997</v>
      </c>
      <c r="J67" s="161">
        <v>104.90436</v>
      </c>
      <c r="K67" s="161">
        <v>98.305040000000005</v>
      </c>
    </row>
    <row r="68" spans="1:11">
      <c r="A68" s="161">
        <v>2000</v>
      </c>
      <c r="B68" s="161" t="s">
        <v>2846</v>
      </c>
      <c r="C68" s="161" t="str">
        <f t="shared" si="3"/>
        <v>2000_Yemen, Rep.</v>
      </c>
      <c r="D68" s="161">
        <v>4079000000</v>
      </c>
      <c r="E68" s="161">
        <v>96.897777729363568</v>
      </c>
      <c r="F68" s="161">
        <v>0.14459616822811364</v>
      </c>
      <c r="G68" s="161">
        <f t="shared" si="4"/>
        <v>0.97042373897591683</v>
      </c>
      <c r="H68" s="161">
        <f t="shared" si="5"/>
        <v>3958358431.2827649</v>
      </c>
      <c r="I68" s="161" t="s">
        <v>2842</v>
      </c>
      <c r="J68" s="161" t="s">
        <v>2842</v>
      </c>
      <c r="K68" s="161" t="s">
        <v>2842</v>
      </c>
    </row>
    <row r="69" spans="1:11">
      <c r="A69" s="161">
        <v>2000</v>
      </c>
      <c r="B69" s="161" t="s">
        <v>534</v>
      </c>
      <c r="C69" s="161" t="str">
        <f t="shared" si="3"/>
        <v>2000_Zambia</v>
      </c>
      <c r="D69" s="161">
        <v>892362000</v>
      </c>
      <c r="E69" s="161">
        <v>1.0886785491540187</v>
      </c>
      <c r="F69" s="161">
        <v>74.101206257308476</v>
      </c>
      <c r="G69" s="161">
        <f t="shared" si="4"/>
        <v>0.75189884806462504</v>
      </c>
      <c r="H69" s="161">
        <f t="shared" si="5"/>
        <v>670965959.85664487</v>
      </c>
      <c r="I69" s="161">
        <v>70.673590000000004</v>
      </c>
      <c r="J69" s="161">
        <v>84.288110000000003</v>
      </c>
      <c r="K69" s="161">
        <v>71.389340000000004</v>
      </c>
    </row>
    <row r="70" spans="1:11">
      <c r="A70" s="161">
        <v>2001</v>
      </c>
      <c r="B70" s="161" t="s">
        <v>16</v>
      </c>
      <c r="C70" s="161" t="str">
        <f t="shared" si="3"/>
        <v>2001_Afghanistan</v>
      </c>
      <c r="D70" s="161">
        <v>68000000</v>
      </c>
      <c r="E70" s="161" t="s">
        <v>2842</v>
      </c>
      <c r="F70" s="161" t="s">
        <v>2842</v>
      </c>
      <c r="G70" s="161" t="str">
        <f t="shared" si="4"/>
        <v>..</v>
      </c>
      <c r="H70" s="161" t="str">
        <f t="shared" si="5"/>
        <v>..</v>
      </c>
      <c r="I70" s="161" t="s">
        <v>2842</v>
      </c>
      <c r="J70" s="161">
        <v>21.116710000000001</v>
      </c>
      <c r="K70" s="161" t="s">
        <v>2842</v>
      </c>
    </row>
    <row r="71" spans="1:11">
      <c r="A71" s="161">
        <v>2001</v>
      </c>
      <c r="B71" s="161" t="s">
        <v>33</v>
      </c>
      <c r="C71" s="161" t="str">
        <f t="shared" si="3"/>
        <v>2001_Albania</v>
      </c>
      <c r="D71" s="161">
        <v>307190000</v>
      </c>
      <c r="E71" s="161">
        <v>1.4483597061316942</v>
      </c>
      <c r="F71" s="161">
        <v>2.9129959025037708</v>
      </c>
      <c r="G71" s="161">
        <f t="shared" si="4"/>
        <v>4.361355608635465E-2</v>
      </c>
      <c r="H71" s="161">
        <f t="shared" si="5"/>
        <v>13397648.294167286</v>
      </c>
      <c r="I71" s="161">
        <v>93.495850000000004</v>
      </c>
      <c r="J71" s="161">
        <v>102.56187</v>
      </c>
      <c r="K71" s="161">
        <v>93.495850000000004</v>
      </c>
    </row>
    <row r="72" spans="1:11">
      <c r="A72" s="161">
        <v>2001</v>
      </c>
      <c r="B72" s="161" t="s">
        <v>48</v>
      </c>
      <c r="C72" s="161" t="str">
        <f t="shared" si="3"/>
        <v>2001_Azerbaijan</v>
      </c>
      <c r="D72" s="161">
        <v>2314000000</v>
      </c>
      <c r="E72" s="161">
        <v>91.328228621992096</v>
      </c>
      <c r="F72" s="161">
        <v>0.63192414839080502</v>
      </c>
      <c r="G72" s="161">
        <f t="shared" si="4"/>
        <v>0.91960152770382908</v>
      </c>
      <c r="H72" s="161">
        <f t="shared" si="5"/>
        <v>2127957935.1066606</v>
      </c>
      <c r="I72" s="161">
        <v>85.383030000000005</v>
      </c>
      <c r="J72" s="161">
        <v>98.861000000000004</v>
      </c>
      <c r="K72" s="161">
        <v>85.463399999999993</v>
      </c>
    </row>
    <row r="73" spans="1:11">
      <c r="A73" s="161">
        <v>2001</v>
      </c>
      <c r="B73" s="161" t="s">
        <v>93</v>
      </c>
      <c r="C73" s="161" t="str">
        <f t="shared" si="3"/>
        <v>2001_Burkina Faso</v>
      </c>
      <c r="D73" s="161">
        <v>223000000</v>
      </c>
      <c r="E73" s="161">
        <v>2.3109654576162285E-2</v>
      </c>
      <c r="F73" s="161">
        <v>4.730047606384058E-2</v>
      </c>
      <c r="G73" s="161">
        <f t="shared" si="4"/>
        <v>7.0410130640002867E-4</v>
      </c>
      <c r="H73" s="161">
        <f t="shared" si="5"/>
        <v>157014.59132720641</v>
      </c>
      <c r="I73" s="161">
        <v>37.263440000000003</v>
      </c>
      <c r="J73" s="161">
        <v>46.437860000000001</v>
      </c>
      <c r="K73" s="161">
        <v>37.771880000000003</v>
      </c>
    </row>
    <row r="74" spans="1:11">
      <c r="A74" s="161">
        <v>2001</v>
      </c>
      <c r="B74" s="161" t="s">
        <v>96</v>
      </c>
      <c r="C74" s="161" t="str">
        <f t="shared" si="3"/>
        <v>2001_Cameroon</v>
      </c>
      <c r="D74" s="161">
        <v>1749000000</v>
      </c>
      <c r="E74" s="161">
        <v>51.902561143536353</v>
      </c>
      <c r="F74" s="161">
        <v>5.3743224146093542</v>
      </c>
      <c r="G74" s="161">
        <f t="shared" si="4"/>
        <v>0.57276883558145708</v>
      </c>
      <c r="H74" s="161">
        <f t="shared" si="5"/>
        <v>1001772693.4319685</v>
      </c>
      <c r="I74" s="161" t="s">
        <v>2842</v>
      </c>
      <c r="J74" s="161">
        <v>98.143230000000003</v>
      </c>
      <c r="K74" s="161" t="s">
        <v>2842</v>
      </c>
    </row>
    <row r="75" spans="1:11">
      <c r="A75" s="161">
        <v>2001</v>
      </c>
      <c r="B75" s="161" t="s">
        <v>122</v>
      </c>
      <c r="C75" s="161" t="str">
        <f t="shared" si="3"/>
        <v>2001_Central African Republic</v>
      </c>
      <c r="D75" s="161">
        <v>142000000</v>
      </c>
      <c r="E75" s="161">
        <v>7.5531335120487347E-2</v>
      </c>
      <c r="F75" s="161">
        <v>20.230971149124223</v>
      </c>
      <c r="G75" s="161">
        <f t="shared" si="4"/>
        <v>0.20306502484244709</v>
      </c>
      <c r="H75" s="161">
        <f t="shared" si="5"/>
        <v>28835233.527627487</v>
      </c>
      <c r="I75" s="161" t="s">
        <v>2842</v>
      </c>
      <c r="J75" s="161">
        <v>79.432730000000006</v>
      </c>
      <c r="K75" s="161" t="s">
        <v>2842</v>
      </c>
    </row>
    <row r="76" spans="1:11">
      <c r="A76" s="161">
        <v>2001</v>
      </c>
      <c r="B76" s="161" t="s">
        <v>133</v>
      </c>
      <c r="C76" s="161" t="str">
        <f t="shared" si="3"/>
        <v>2001_Chad</v>
      </c>
      <c r="D76" s="161">
        <v>189000000</v>
      </c>
      <c r="E76" s="161" t="s">
        <v>2842</v>
      </c>
      <c r="F76" s="161" t="s">
        <v>2842</v>
      </c>
      <c r="G76" s="161" t="str">
        <f t="shared" si="4"/>
        <v>..</v>
      </c>
      <c r="H76" s="161" t="str">
        <f t="shared" si="5"/>
        <v>..</v>
      </c>
      <c r="I76" s="161">
        <v>52.847900000000003</v>
      </c>
      <c r="J76" s="161">
        <v>66.484099999999998</v>
      </c>
      <c r="K76" s="161">
        <v>52.91957</v>
      </c>
    </row>
    <row r="77" spans="1:11">
      <c r="A77" s="161">
        <v>2001</v>
      </c>
      <c r="B77" s="161" t="s">
        <v>3544</v>
      </c>
      <c r="C77" s="161" t="str">
        <f t="shared" si="3"/>
        <v>2001_Congo, Dem. Rep.</v>
      </c>
      <c r="D77" s="161">
        <v>880400000</v>
      </c>
      <c r="E77" s="161" t="s">
        <v>2842</v>
      </c>
      <c r="F77" s="161" t="s">
        <v>2842</v>
      </c>
      <c r="G77" s="161" t="str">
        <f t="shared" si="4"/>
        <v>..</v>
      </c>
      <c r="H77" s="161" t="str">
        <f t="shared" si="5"/>
        <v>..</v>
      </c>
      <c r="I77" s="161" t="s">
        <v>2842</v>
      </c>
      <c r="J77" s="161" t="s">
        <v>2842</v>
      </c>
      <c r="K77" s="161" t="s">
        <v>2842</v>
      </c>
    </row>
    <row r="78" spans="1:11">
      <c r="A78" s="161">
        <v>2001</v>
      </c>
      <c r="B78" s="161" t="s">
        <v>3543</v>
      </c>
      <c r="C78" s="161" t="str">
        <f t="shared" si="3"/>
        <v>2001_Congo, Rep.</v>
      </c>
      <c r="D78" s="161">
        <v>2055000000</v>
      </c>
      <c r="E78" s="161" t="s">
        <v>2842</v>
      </c>
      <c r="F78" s="161" t="s">
        <v>2842</v>
      </c>
      <c r="G78" s="161" t="str">
        <f t="shared" si="4"/>
        <v>..</v>
      </c>
      <c r="H78" s="161" t="str">
        <f t="shared" si="5"/>
        <v>..</v>
      </c>
      <c r="I78" s="161" t="s">
        <v>2842</v>
      </c>
      <c r="J78" s="161">
        <v>103.03963</v>
      </c>
      <c r="K78" s="161" t="s">
        <v>2842</v>
      </c>
    </row>
    <row r="79" spans="1:11">
      <c r="A79" s="161">
        <v>2001</v>
      </c>
      <c r="B79" s="161" t="s">
        <v>182</v>
      </c>
      <c r="C79" s="161" t="str">
        <f t="shared" si="3"/>
        <v>2001_Equatorial Guinea</v>
      </c>
      <c r="D79" s="161">
        <v>1735000000</v>
      </c>
      <c r="E79" s="161" t="s">
        <v>2842</v>
      </c>
      <c r="F79" s="161" t="s">
        <v>2842</v>
      </c>
      <c r="G79" s="161" t="str">
        <f t="shared" si="4"/>
        <v>..</v>
      </c>
      <c r="H79" s="161" t="str">
        <f t="shared" si="5"/>
        <v>..</v>
      </c>
      <c r="I79" s="161">
        <v>75.714680000000001</v>
      </c>
      <c r="J79" s="161">
        <v>112.90518</v>
      </c>
      <c r="K79" s="161">
        <v>76.008170000000007</v>
      </c>
    </row>
    <row r="80" spans="1:11">
      <c r="A80" s="161">
        <v>2001</v>
      </c>
      <c r="B80" s="161" t="s">
        <v>185</v>
      </c>
      <c r="C80" s="161" t="str">
        <f t="shared" si="3"/>
        <v>2001_Gabon</v>
      </c>
      <c r="D80" s="161">
        <v>2523890271</v>
      </c>
      <c r="E80" s="161">
        <v>82.950392520660358</v>
      </c>
      <c r="F80" s="161">
        <v>1.5039200589125872</v>
      </c>
      <c r="G80" s="161">
        <f t="shared" si="4"/>
        <v>0.84454312579572943</v>
      </c>
      <c r="H80" s="161">
        <f t="shared" si="5"/>
        <v>2131534178.6357706</v>
      </c>
      <c r="I80" s="161" t="s">
        <v>2842</v>
      </c>
      <c r="J80" s="161">
        <v>137.65638999999999</v>
      </c>
      <c r="K80" s="161" t="s">
        <v>2842</v>
      </c>
    </row>
    <row r="81" spans="1:11">
      <c r="A81" s="161">
        <v>2001</v>
      </c>
      <c r="B81" s="161" t="s">
        <v>294</v>
      </c>
      <c r="C81" s="161" t="str">
        <f t="shared" si="3"/>
        <v>2001_Liberia</v>
      </c>
      <c r="D81" s="161">
        <v>127900000</v>
      </c>
      <c r="E81" s="161" t="s">
        <v>2842</v>
      </c>
      <c r="F81" s="161" t="s">
        <v>2842</v>
      </c>
      <c r="G81" s="161" t="str">
        <f t="shared" si="4"/>
        <v>..</v>
      </c>
      <c r="H81" s="161" t="str">
        <f t="shared" si="5"/>
        <v>..</v>
      </c>
      <c r="I81" s="161" t="s">
        <v>2842</v>
      </c>
      <c r="J81" s="161" t="s">
        <v>2842</v>
      </c>
      <c r="K81" s="161" t="s">
        <v>2842</v>
      </c>
    </row>
    <row r="82" spans="1:11">
      <c r="A82" s="161">
        <v>2001</v>
      </c>
      <c r="B82" s="161" t="s">
        <v>278</v>
      </c>
      <c r="C82" s="161" t="str">
        <f t="shared" si="3"/>
        <v>2001_Kyrgyz Republic</v>
      </c>
      <c r="D82" s="161">
        <v>476000000</v>
      </c>
      <c r="E82" s="161">
        <v>21.65834732411474</v>
      </c>
      <c r="F82" s="161">
        <v>6.0184666787266226</v>
      </c>
      <c r="G82" s="161">
        <f t="shared" si="4"/>
        <v>0.2767681400284136</v>
      </c>
      <c r="H82" s="161">
        <f t="shared" si="5"/>
        <v>131741634.65352488</v>
      </c>
      <c r="I82" s="161">
        <v>86.254930000000002</v>
      </c>
      <c r="J82" s="161">
        <v>95.72587</v>
      </c>
      <c r="K82" s="161">
        <v>93.059219999999996</v>
      </c>
    </row>
    <row r="83" spans="1:11">
      <c r="A83" s="161">
        <v>2001</v>
      </c>
      <c r="B83" s="161" t="s">
        <v>189</v>
      </c>
      <c r="C83" s="161" t="str">
        <f t="shared" si="3"/>
        <v>2001_Ghana</v>
      </c>
      <c r="D83" s="161">
        <v>1716000000</v>
      </c>
      <c r="E83" s="161">
        <v>11.155860277109392</v>
      </c>
      <c r="F83" s="161">
        <v>16.52970393391384</v>
      </c>
      <c r="G83" s="161">
        <f t="shared" si="4"/>
        <v>0.27685564211023234</v>
      </c>
      <c r="H83" s="161">
        <f t="shared" si="5"/>
        <v>475084281.86115867</v>
      </c>
      <c r="I83" s="161">
        <v>59.45767</v>
      </c>
      <c r="J83" s="161">
        <v>81.823520000000002</v>
      </c>
      <c r="K83" s="161">
        <v>60.202179999999998</v>
      </c>
    </row>
    <row r="84" spans="1:11">
      <c r="A84" s="161">
        <v>2001</v>
      </c>
      <c r="B84" s="161" t="s">
        <v>213</v>
      </c>
      <c r="C84" s="161" t="str">
        <f t="shared" si="3"/>
        <v>2001_Guatemala</v>
      </c>
      <c r="D84" s="161">
        <v>2466000000</v>
      </c>
      <c r="E84" s="161">
        <v>5.3909993546214858</v>
      </c>
      <c r="F84" s="161">
        <v>0.95620273434047187</v>
      </c>
      <c r="G84" s="161">
        <f t="shared" si="4"/>
        <v>6.3472020889619576E-2</v>
      </c>
      <c r="H84" s="161">
        <f t="shared" si="5"/>
        <v>156522003.51380187</v>
      </c>
      <c r="I84" s="161">
        <v>85.998810000000006</v>
      </c>
      <c r="J84" s="161">
        <v>104.30618</v>
      </c>
      <c r="K84" s="161">
        <v>85.998810000000006</v>
      </c>
    </row>
    <row r="85" spans="1:11">
      <c r="A85" s="161">
        <v>2001</v>
      </c>
      <c r="B85" s="161" t="s">
        <v>2843</v>
      </c>
      <c r="C85" s="161" t="str">
        <f t="shared" si="3"/>
        <v>2001_Guinea</v>
      </c>
      <c r="D85" s="161">
        <v>731000000</v>
      </c>
      <c r="E85" s="161">
        <v>0.96237042649464155</v>
      </c>
      <c r="F85" s="161">
        <v>68.034698652794617</v>
      </c>
      <c r="G85" s="161">
        <f t="shared" si="4"/>
        <v>0.68997069079289264</v>
      </c>
      <c r="H85" s="161">
        <f t="shared" si="5"/>
        <v>504368574.96960449</v>
      </c>
      <c r="I85" s="161">
        <v>48.367109999999997</v>
      </c>
      <c r="J85" s="161">
        <v>60.994199999999999</v>
      </c>
      <c r="K85" s="161">
        <v>48.702300000000001</v>
      </c>
    </row>
    <row r="86" spans="1:11">
      <c r="A86" s="161">
        <v>2001</v>
      </c>
      <c r="B86" s="161" t="s">
        <v>237</v>
      </c>
      <c r="C86" s="161" t="str">
        <f t="shared" si="3"/>
        <v>2001_Indonesia</v>
      </c>
      <c r="D86" s="161">
        <v>57361000000</v>
      </c>
      <c r="E86" s="161">
        <v>25.520273451417292</v>
      </c>
      <c r="F86" s="161">
        <v>5.4878742110677603</v>
      </c>
      <c r="G86" s="161">
        <f t="shared" si="4"/>
        <v>0.31008147662485053</v>
      </c>
      <c r="H86" s="161">
        <f t="shared" si="5"/>
        <v>17786583580.678051</v>
      </c>
      <c r="I86" s="161">
        <v>93.186080000000004</v>
      </c>
      <c r="J86" s="161">
        <v>111.23454</v>
      </c>
      <c r="K86" s="161">
        <v>97.452060000000003</v>
      </c>
    </row>
    <row r="87" spans="1:11">
      <c r="A87" s="161">
        <v>2001</v>
      </c>
      <c r="B87" s="161" t="s">
        <v>245</v>
      </c>
      <c r="C87" s="161" t="str">
        <f t="shared" si="3"/>
        <v>2001_Iraq</v>
      </c>
      <c r="D87" s="161">
        <v>12872000000</v>
      </c>
      <c r="E87" s="161">
        <v>87.689097276580611</v>
      </c>
      <c r="F87" s="161">
        <v>8.8204259626407117E-3</v>
      </c>
      <c r="G87" s="161">
        <f t="shared" si="4"/>
        <v>0.87697917702543249</v>
      </c>
      <c r="H87" s="161">
        <f t="shared" si="5"/>
        <v>11288475966.671368</v>
      </c>
      <c r="I87" s="161" t="s">
        <v>2842</v>
      </c>
      <c r="J87" s="161" t="s">
        <v>2842</v>
      </c>
      <c r="K87" s="161" t="s">
        <v>2842</v>
      </c>
    </row>
    <row r="88" spans="1:11">
      <c r="A88" s="161">
        <v>2001</v>
      </c>
      <c r="B88" s="161" t="s">
        <v>273</v>
      </c>
      <c r="C88" s="161" t="str">
        <f t="shared" si="3"/>
        <v>2001_Kazakhstan</v>
      </c>
      <c r="D88" s="161">
        <v>8639000000</v>
      </c>
      <c r="E88" s="161">
        <v>56.729761104361565</v>
      </c>
      <c r="F88" s="161">
        <v>18.442698772134012</v>
      </c>
      <c r="G88" s="161">
        <f t="shared" si="4"/>
        <v>0.75172459876495579</v>
      </c>
      <c r="H88" s="161">
        <f t="shared" si="5"/>
        <v>6494148808.7304535</v>
      </c>
      <c r="I88" s="161">
        <v>89.151390000000006</v>
      </c>
      <c r="J88" s="161">
        <v>101.77052999999999</v>
      </c>
      <c r="K88" s="161">
        <v>97.202039999999997</v>
      </c>
    </row>
    <row r="89" spans="1:11">
      <c r="A89" s="161">
        <v>2001</v>
      </c>
      <c r="B89" s="161" t="s">
        <v>309</v>
      </c>
      <c r="C89" s="161" t="str">
        <f t="shared" si="3"/>
        <v>2001_Madagascar</v>
      </c>
      <c r="D89" s="161">
        <v>928000000</v>
      </c>
      <c r="E89" s="161">
        <v>1.1669232598342674</v>
      </c>
      <c r="F89" s="161">
        <v>1.2689926804626452</v>
      </c>
      <c r="G89" s="161">
        <f t="shared" si="4"/>
        <v>2.4359159402969129E-2</v>
      </c>
      <c r="H89" s="161">
        <f t="shared" si="5"/>
        <v>22605299.925955351</v>
      </c>
      <c r="I89" s="161">
        <v>66.388469999999998</v>
      </c>
      <c r="J89" s="161">
        <v>101.16124000000001</v>
      </c>
      <c r="K89" s="161">
        <v>66.748750000000001</v>
      </c>
    </row>
    <row r="90" spans="1:11">
      <c r="A90" s="161">
        <v>2001</v>
      </c>
      <c r="B90" s="161" t="s">
        <v>322</v>
      </c>
      <c r="C90" s="161" t="str">
        <f t="shared" si="3"/>
        <v>2001_Mali</v>
      </c>
      <c r="D90" s="161">
        <v>725000000</v>
      </c>
      <c r="E90" s="161">
        <v>4.2172771369652784</v>
      </c>
      <c r="F90" s="161">
        <v>0.11133942621406365</v>
      </c>
      <c r="G90" s="161">
        <f t="shared" si="4"/>
        <v>4.3286165631793418E-2</v>
      </c>
      <c r="H90" s="161">
        <f t="shared" si="5"/>
        <v>31382470.083050229</v>
      </c>
      <c r="I90" s="161" t="s">
        <v>2842</v>
      </c>
      <c r="J90" s="161">
        <v>67.429389999999998</v>
      </c>
      <c r="K90" s="161" t="s">
        <v>2842</v>
      </c>
    </row>
    <row r="91" spans="1:11">
      <c r="A91" s="161">
        <v>2001</v>
      </c>
      <c r="B91" s="161" t="s">
        <v>338</v>
      </c>
      <c r="C91" s="161" t="str">
        <f t="shared" si="3"/>
        <v>2001_Mauritania</v>
      </c>
      <c r="D91" s="161">
        <v>355249511</v>
      </c>
      <c r="E91" s="161" t="s">
        <v>2842</v>
      </c>
      <c r="F91" s="161">
        <v>58.940131781224515</v>
      </c>
      <c r="G91" s="161" t="str">
        <f t="shared" si="4"/>
        <v>..</v>
      </c>
      <c r="H91" s="161" t="str">
        <f t="shared" si="5"/>
        <v>..</v>
      </c>
      <c r="I91" s="161">
        <v>63.176990000000004</v>
      </c>
      <c r="J91" s="161">
        <v>81.886250000000004</v>
      </c>
      <c r="K91" s="161">
        <v>63.184249999999999</v>
      </c>
    </row>
    <row r="92" spans="1:11">
      <c r="A92" s="161">
        <v>2001</v>
      </c>
      <c r="B92" s="161" t="s">
        <v>357</v>
      </c>
      <c r="C92" s="161" t="str">
        <f t="shared" si="3"/>
        <v>2001_Mongolia</v>
      </c>
      <c r="D92" s="161">
        <v>521000000</v>
      </c>
      <c r="E92" s="161">
        <v>0.85710607479337031</v>
      </c>
      <c r="F92" s="161">
        <v>39.681848475075562</v>
      </c>
      <c r="G92" s="161">
        <f t="shared" si="4"/>
        <v>0.40538954549868933</v>
      </c>
      <c r="H92" s="161">
        <f t="shared" si="5"/>
        <v>211207953.20481715</v>
      </c>
      <c r="I92" s="161">
        <v>91.190870000000004</v>
      </c>
      <c r="J92" s="161">
        <v>101.41696</v>
      </c>
      <c r="K92" s="161">
        <v>94.210669999999993</v>
      </c>
    </row>
    <row r="93" spans="1:11">
      <c r="A93" s="161">
        <v>2001</v>
      </c>
      <c r="B93" s="161" t="s">
        <v>387</v>
      </c>
      <c r="C93" s="161" t="str">
        <f t="shared" si="3"/>
        <v>2001_Niger</v>
      </c>
      <c r="D93" s="161">
        <v>272000000</v>
      </c>
      <c r="E93" s="161">
        <v>2.0820188062005536</v>
      </c>
      <c r="F93" s="161">
        <v>41.162495648851589</v>
      </c>
      <c r="G93" s="161">
        <f t="shared" si="4"/>
        <v>0.43244514455052141</v>
      </c>
      <c r="H93" s="161">
        <f t="shared" si="5"/>
        <v>117625079.31774183</v>
      </c>
      <c r="I93" s="161">
        <v>31.522490000000001</v>
      </c>
      <c r="J93" s="161">
        <v>36.735750000000003</v>
      </c>
      <c r="K93" s="161">
        <v>31.701979999999999</v>
      </c>
    </row>
    <row r="94" spans="1:11">
      <c r="A94" s="161">
        <v>2001</v>
      </c>
      <c r="B94" s="161" t="s">
        <v>406</v>
      </c>
      <c r="C94" s="161" t="str">
        <f t="shared" si="3"/>
        <v>2001_Nigeria</v>
      </c>
      <c r="D94" s="161">
        <v>18045000000</v>
      </c>
      <c r="E94" s="161">
        <v>99.656498550661809</v>
      </c>
      <c r="F94" s="161">
        <v>1.2764551423906029E-2</v>
      </c>
      <c r="G94" s="161">
        <f t="shared" si="4"/>
        <v>0.99669263102085703</v>
      </c>
      <c r="H94" s="161">
        <f t="shared" si="5"/>
        <v>17985318526.771366</v>
      </c>
      <c r="I94" s="161" t="s">
        <v>2842</v>
      </c>
      <c r="J94" s="161">
        <v>96.044579999999996</v>
      </c>
      <c r="K94" s="161" t="s">
        <v>2842</v>
      </c>
    </row>
    <row r="95" spans="1:11">
      <c r="A95" s="161">
        <v>2001</v>
      </c>
      <c r="B95" s="161" t="s">
        <v>429</v>
      </c>
      <c r="C95" s="161" t="str">
        <f t="shared" si="3"/>
        <v>2001_Norway</v>
      </c>
      <c r="D95" s="161">
        <v>59191000000</v>
      </c>
      <c r="E95" s="161">
        <v>61.771151155593898</v>
      </c>
      <c r="F95" s="161">
        <v>6.0044299077938454</v>
      </c>
      <c r="G95" s="161">
        <f t="shared" si="4"/>
        <v>0.67775581063387746</v>
      </c>
      <c r="H95" s="161">
        <f t="shared" si="5"/>
        <v>40117044187.229843</v>
      </c>
      <c r="I95" s="161">
        <v>99.770229999999998</v>
      </c>
      <c r="J95" s="161">
        <v>100.93747999999999</v>
      </c>
      <c r="K95" s="161">
        <v>99.770229999999998</v>
      </c>
    </row>
    <row r="96" spans="1:11">
      <c r="A96" s="161">
        <v>2001</v>
      </c>
      <c r="B96" s="161" t="s">
        <v>442</v>
      </c>
      <c r="C96" s="161" t="str">
        <f t="shared" si="3"/>
        <v>2001_Peru</v>
      </c>
      <c r="D96" s="161">
        <v>7013000000</v>
      </c>
      <c r="E96" s="161">
        <v>7.3156198139931083</v>
      </c>
      <c r="F96" s="161">
        <v>37.011081418758948</v>
      </c>
      <c r="G96" s="161">
        <f t="shared" si="4"/>
        <v>0.44326701232752058</v>
      </c>
      <c r="H96" s="161">
        <f t="shared" si="5"/>
        <v>3108631557.4529018</v>
      </c>
      <c r="I96" s="161">
        <v>97.959149999999994</v>
      </c>
      <c r="J96" s="161">
        <v>121.24159</v>
      </c>
      <c r="K96" s="161">
        <v>99.872119999999995</v>
      </c>
    </row>
    <row r="97" spans="1:11">
      <c r="A97" s="161">
        <v>2001</v>
      </c>
      <c r="B97" s="161" t="s">
        <v>481</v>
      </c>
      <c r="C97" s="161" t="str">
        <f t="shared" si="3"/>
        <v>2001_Sierra Leone</v>
      </c>
      <c r="D97" s="161">
        <v>29000000</v>
      </c>
      <c r="E97" s="161" t="s">
        <v>2842</v>
      </c>
      <c r="F97" s="161" t="s">
        <v>2842</v>
      </c>
      <c r="G97" s="161" t="str">
        <f t="shared" si="4"/>
        <v>..</v>
      </c>
      <c r="H97" s="161" t="str">
        <f t="shared" si="5"/>
        <v>..</v>
      </c>
      <c r="I97" s="161" t="s">
        <v>2842</v>
      </c>
      <c r="J97" s="161">
        <v>84.86233</v>
      </c>
      <c r="K97" s="161" t="s">
        <v>2842</v>
      </c>
    </row>
    <row r="98" spans="1:11">
      <c r="A98" s="161">
        <v>2001</v>
      </c>
      <c r="B98" s="161" t="s">
        <v>492</v>
      </c>
      <c r="C98" s="161" t="str">
        <f t="shared" si="3"/>
        <v>2001_Tanzania</v>
      </c>
      <c r="D98" s="161">
        <v>851300000</v>
      </c>
      <c r="E98" s="161">
        <v>0.16791852742135463</v>
      </c>
      <c r="F98" s="161">
        <v>8.8183342798742856</v>
      </c>
      <c r="G98" s="161">
        <f t="shared" si="4"/>
        <v>8.9862528072956402E-2</v>
      </c>
      <c r="H98" s="161">
        <f t="shared" si="5"/>
        <v>76499970.148507789</v>
      </c>
      <c r="I98" s="161">
        <v>57.791530000000002</v>
      </c>
      <c r="J98" s="161">
        <v>74.325770000000006</v>
      </c>
      <c r="K98" s="161">
        <v>57.827820000000003</v>
      </c>
    </row>
    <row r="99" spans="1:11">
      <c r="A99" s="161">
        <v>2001</v>
      </c>
      <c r="B99" s="161" t="s">
        <v>2844</v>
      </c>
      <c r="C99" s="161" t="str">
        <f t="shared" si="3"/>
        <v>2001_Timor-Leste</v>
      </c>
      <c r="D99" s="161" t="s">
        <v>2842</v>
      </c>
      <c r="E99" s="161" t="s">
        <v>2842</v>
      </c>
      <c r="F99" s="161" t="s">
        <v>2842</v>
      </c>
      <c r="G99" s="161" t="str">
        <f t="shared" si="4"/>
        <v>..</v>
      </c>
      <c r="H99" s="161" t="str">
        <f t="shared" si="5"/>
        <v>..</v>
      </c>
      <c r="I99" s="161" t="s">
        <v>2842</v>
      </c>
      <c r="J99" s="161">
        <v>118.19145</v>
      </c>
      <c r="K99" s="161" t="s">
        <v>2842</v>
      </c>
    </row>
    <row r="100" spans="1:11">
      <c r="A100" s="161">
        <v>2001</v>
      </c>
      <c r="B100" s="161" t="s">
        <v>510</v>
      </c>
      <c r="C100" s="161" t="str">
        <f t="shared" si="3"/>
        <v>2001_Togo</v>
      </c>
      <c r="D100" s="161">
        <v>357000000</v>
      </c>
      <c r="E100" s="161">
        <v>0.40921910221155239</v>
      </c>
      <c r="F100" s="161">
        <v>20.508683596948771</v>
      </c>
      <c r="G100" s="161">
        <f t="shared" si="4"/>
        <v>0.20917902699160323</v>
      </c>
      <c r="H100" s="161">
        <f t="shared" si="5"/>
        <v>74676912.636002362</v>
      </c>
      <c r="I100" s="161">
        <v>85.454719999999995</v>
      </c>
      <c r="J100" s="161">
        <v>114.91088999999999</v>
      </c>
      <c r="K100" s="161">
        <v>87.603009999999998</v>
      </c>
    </row>
    <row r="101" spans="1:11">
      <c r="A101" s="161">
        <v>2001</v>
      </c>
      <c r="B101" s="161" t="s">
        <v>2845</v>
      </c>
      <c r="C101" s="161" t="str">
        <f t="shared" si="3"/>
        <v>2001_Trinidad and Tobago</v>
      </c>
      <c r="D101" s="161">
        <v>4280000000</v>
      </c>
      <c r="E101" s="161">
        <v>48.871108650147619</v>
      </c>
      <c r="F101" s="161">
        <v>0.15070051149963629</v>
      </c>
      <c r="G101" s="161">
        <f t="shared" si="4"/>
        <v>0.49021809161647256</v>
      </c>
      <c r="H101" s="161">
        <f t="shared" si="5"/>
        <v>2098133432.1185026</v>
      </c>
      <c r="I101" s="161">
        <v>93.063000000000002</v>
      </c>
      <c r="J101" s="161">
        <v>101.12341000000001</v>
      </c>
      <c r="K101" s="161">
        <v>97.770759999999996</v>
      </c>
    </row>
    <row r="102" spans="1:11">
      <c r="A102" s="161">
        <v>2001</v>
      </c>
      <c r="B102" s="161" t="s">
        <v>2846</v>
      </c>
      <c r="C102" s="161" t="str">
        <f t="shared" si="3"/>
        <v>2001_Yemen, Rep.</v>
      </c>
      <c r="D102" s="161">
        <v>3374000000</v>
      </c>
      <c r="E102" s="161">
        <v>95.158573296652733</v>
      </c>
      <c r="F102" s="161">
        <v>7.0594500734107113E-2</v>
      </c>
      <c r="G102" s="161">
        <f t="shared" si="4"/>
        <v>0.95229167797386838</v>
      </c>
      <c r="H102" s="161">
        <f t="shared" si="5"/>
        <v>3213032121.4838319</v>
      </c>
      <c r="I102" s="161">
        <v>65.84151</v>
      </c>
      <c r="J102" s="161">
        <v>78.746380000000002</v>
      </c>
      <c r="K102" s="161">
        <v>66.297529999999995</v>
      </c>
    </row>
    <row r="103" spans="1:11">
      <c r="A103" s="161">
        <v>2001</v>
      </c>
      <c r="B103" s="161" t="s">
        <v>534</v>
      </c>
      <c r="C103" s="161" t="str">
        <f t="shared" si="3"/>
        <v>2001_Zambia</v>
      </c>
      <c r="D103" s="161">
        <v>987411000</v>
      </c>
      <c r="E103" s="161">
        <v>1.037113373573874</v>
      </c>
      <c r="F103" s="161">
        <v>70.528230950245032</v>
      </c>
      <c r="G103" s="161">
        <f t="shared" si="4"/>
        <v>0.71565344323818902</v>
      </c>
      <c r="H103" s="161">
        <f t="shared" si="5"/>
        <v>706644082.04126346</v>
      </c>
      <c r="I103" s="161">
        <v>70.466350000000006</v>
      </c>
      <c r="J103" s="161">
        <v>84.120099999999994</v>
      </c>
      <c r="K103" s="161">
        <v>71.131379999999993</v>
      </c>
    </row>
    <row r="104" spans="1:11">
      <c r="A104" s="161">
        <v>2002</v>
      </c>
      <c r="B104" s="161" t="s">
        <v>16</v>
      </c>
      <c r="C104" s="161" t="str">
        <f t="shared" si="3"/>
        <v>2002_Afghanistan</v>
      </c>
      <c r="D104" s="161">
        <v>100000000</v>
      </c>
      <c r="E104" s="161" t="s">
        <v>2842</v>
      </c>
      <c r="F104" s="161" t="s">
        <v>2842</v>
      </c>
      <c r="G104" s="161" t="str">
        <f t="shared" si="4"/>
        <v>..</v>
      </c>
      <c r="H104" s="161" t="str">
        <f t="shared" si="5"/>
        <v>..</v>
      </c>
      <c r="I104" s="161" t="s">
        <v>2842</v>
      </c>
      <c r="J104" s="161">
        <v>69.591579999999993</v>
      </c>
      <c r="K104" s="161" t="s">
        <v>2842</v>
      </c>
    </row>
    <row r="105" spans="1:11">
      <c r="A105" s="161">
        <v>2002</v>
      </c>
      <c r="B105" s="161" t="s">
        <v>33</v>
      </c>
      <c r="C105" s="161" t="str">
        <f t="shared" si="3"/>
        <v>2002_Albania</v>
      </c>
      <c r="D105" s="161">
        <v>339550000</v>
      </c>
      <c r="E105" s="161">
        <v>2.0096429613750204</v>
      </c>
      <c r="F105" s="161">
        <v>3.4325598396860468</v>
      </c>
      <c r="G105" s="161">
        <f t="shared" si="4"/>
        <v>5.4422028010610669E-2</v>
      </c>
      <c r="H105" s="161">
        <f t="shared" si="5"/>
        <v>18478999.611002851</v>
      </c>
      <c r="I105" s="161" t="s">
        <v>2842</v>
      </c>
      <c r="J105" s="161">
        <v>101.60069</v>
      </c>
      <c r="K105" s="161" t="s">
        <v>2842</v>
      </c>
    </row>
    <row r="106" spans="1:11">
      <c r="A106" s="161">
        <v>2002</v>
      </c>
      <c r="B106" s="161" t="s">
        <v>48</v>
      </c>
      <c r="C106" s="161" t="str">
        <f t="shared" si="3"/>
        <v>2002_Azerbaijan</v>
      </c>
      <c r="D106" s="161">
        <v>2167400000</v>
      </c>
      <c r="E106" s="161">
        <v>88.922374787855034</v>
      </c>
      <c r="F106" s="161">
        <v>4.6322535647641029E-2</v>
      </c>
      <c r="G106" s="161">
        <f t="shared" si="4"/>
        <v>0.88968697323502677</v>
      </c>
      <c r="H106" s="161">
        <f t="shared" si="5"/>
        <v>1928307545.789597</v>
      </c>
      <c r="I106" s="161">
        <v>84.825649999999996</v>
      </c>
      <c r="J106" s="161">
        <v>98.349429999999998</v>
      </c>
      <c r="K106" s="161">
        <v>84.910340000000005</v>
      </c>
    </row>
    <row r="107" spans="1:11">
      <c r="A107" s="161">
        <v>2002</v>
      </c>
      <c r="B107" s="161" t="s">
        <v>93</v>
      </c>
      <c r="C107" s="161" t="str">
        <f t="shared" si="3"/>
        <v>2002_Burkina Faso</v>
      </c>
      <c r="D107" s="161">
        <v>246742000</v>
      </c>
      <c r="E107" s="161">
        <v>2.8183703945005253E-3</v>
      </c>
      <c r="F107" s="161">
        <v>5.0947373980284892E-2</v>
      </c>
      <c r="G107" s="161">
        <f t="shared" si="4"/>
        <v>5.376574437478542E-4</v>
      </c>
      <c r="H107" s="161">
        <f t="shared" si="5"/>
        <v>132662.67298523305</v>
      </c>
      <c r="I107" s="161">
        <v>36.717419999999997</v>
      </c>
      <c r="J107" s="161">
        <v>47.05245</v>
      </c>
      <c r="K107" s="161">
        <v>36.717419999999997</v>
      </c>
    </row>
    <row r="108" spans="1:11">
      <c r="A108" s="161">
        <v>2002</v>
      </c>
      <c r="B108" s="161" t="s">
        <v>96</v>
      </c>
      <c r="C108" s="161" t="str">
        <f t="shared" si="3"/>
        <v>2002_Cameroon</v>
      </c>
      <c r="D108" s="161">
        <v>1802000000</v>
      </c>
      <c r="E108" s="161">
        <v>49.187108835474397</v>
      </c>
      <c r="F108" s="161">
        <v>4.3243705748820789</v>
      </c>
      <c r="G108" s="161">
        <f t="shared" si="4"/>
        <v>0.53511479410356477</v>
      </c>
      <c r="H108" s="161">
        <f t="shared" si="5"/>
        <v>964276858.97462368</v>
      </c>
      <c r="I108" s="161" t="s">
        <v>2842</v>
      </c>
      <c r="J108" s="161">
        <v>97.950339999999997</v>
      </c>
      <c r="K108" s="161" t="s">
        <v>2842</v>
      </c>
    </row>
    <row r="109" spans="1:11">
      <c r="A109" s="161">
        <v>2002</v>
      </c>
      <c r="B109" s="161" t="s">
        <v>122</v>
      </c>
      <c r="C109" s="161" t="str">
        <f t="shared" si="3"/>
        <v>2002_Central African Republic</v>
      </c>
      <c r="D109" s="161">
        <v>147000000</v>
      </c>
      <c r="E109" s="161">
        <v>9.5903544179100474E-3</v>
      </c>
      <c r="F109" s="161">
        <v>22.112300907220334</v>
      </c>
      <c r="G109" s="161">
        <f t="shared" si="4"/>
        <v>0.22121891261638243</v>
      </c>
      <c r="H109" s="161">
        <f t="shared" si="5"/>
        <v>32519180.154608216</v>
      </c>
      <c r="I109" s="161" t="s">
        <v>2842</v>
      </c>
      <c r="J109" s="161">
        <v>70.140529999999998</v>
      </c>
      <c r="K109" s="161" t="s">
        <v>2842</v>
      </c>
    </row>
    <row r="110" spans="1:11">
      <c r="A110" s="161">
        <v>2002</v>
      </c>
      <c r="B110" s="161" t="s">
        <v>133</v>
      </c>
      <c r="C110" s="161" t="str">
        <f t="shared" si="3"/>
        <v>2002_Chad</v>
      </c>
      <c r="D110" s="161">
        <v>185000000</v>
      </c>
      <c r="E110" s="161" t="s">
        <v>2842</v>
      </c>
      <c r="F110" s="161" t="s">
        <v>2842</v>
      </c>
      <c r="G110" s="161" t="str">
        <f t="shared" si="4"/>
        <v>..</v>
      </c>
      <c r="H110" s="161" t="str">
        <f t="shared" si="5"/>
        <v>..</v>
      </c>
      <c r="I110" s="161">
        <v>56.250160000000001</v>
      </c>
      <c r="J110" s="161">
        <v>70.221440000000001</v>
      </c>
      <c r="K110" s="161">
        <v>56.426099999999998</v>
      </c>
    </row>
    <row r="111" spans="1:11">
      <c r="A111" s="161">
        <v>2002</v>
      </c>
      <c r="B111" s="161" t="s">
        <v>3544</v>
      </c>
      <c r="C111" s="161" t="str">
        <f t="shared" si="3"/>
        <v>2002_Congo, Dem. Rep.</v>
      </c>
      <c r="D111" s="161">
        <v>1132100000</v>
      </c>
      <c r="E111" s="161" t="s">
        <v>2842</v>
      </c>
      <c r="F111" s="161" t="s">
        <v>2842</v>
      </c>
      <c r="G111" s="161" t="str">
        <f t="shared" si="4"/>
        <v>..</v>
      </c>
      <c r="H111" s="161" t="str">
        <f t="shared" si="5"/>
        <v>..</v>
      </c>
      <c r="I111" s="161" t="s">
        <v>2842</v>
      </c>
      <c r="J111" s="161">
        <v>65.725880000000004</v>
      </c>
      <c r="K111" s="161" t="s">
        <v>2842</v>
      </c>
    </row>
    <row r="112" spans="1:11">
      <c r="A112" s="161">
        <v>2002</v>
      </c>
      <c r="B112" s="161" t="s">
        <v>3543</v>
      </c>
      <c r="C112" s="161" t="str">
        <f t="shared" si="3"/>
        <v>2002_Congo, Rep.</v>
      </c>
      <c r="D112" s="161">
        <v>2280000000</v>
      </c>
      <c r="E112" s="161" t="s">
        <v>2842</v>
      </c>
      <c r="F112" s="161" t="s">
        <v>2842</v>
      </c>
      <c r="G112" s="161" t="str">
        <f t="shared" si="4"/>
        <v>..</v>
      </c>
      <c r="H112" s="161" t="str">
        <f t="shared" si="5"/>
        <v>..</v>
      </c>
      <c r="I112" s="161" t="s">
        <v>2842</v>
      </c>
      <c r="J112" s="161">
        <v>105.50265</v>
      </c>
      <c r="K112" s="161" t="s">
        <v>2842</v>
      </c>
    </row>
    <row r="113" spans="1:11">
      <c r="A113" s="161">
        <v>2002</v>
      </c>
      <c r="B113" s="161" t="s">
        <v>182</v>
      </c>
      <c r="C113" s="161" t="str">
        <f t="shared" si="3"/>
        <v>2002_Equatorial Guinea</v>
      </c>
      <c r="D113" s="161">
        <v>2117000000</v>
      </c>
      <c r="E113" s="161" t="s">
        <v>2842</v>
      </c>
      <c r="F113" s="161" t="s">
        <v>2842</v>
      </c>
      <c r="G113" s="161" t="str">
        <f t="shared" si="4"/>
        <v>..</v>
      </c>
      <c r="H113" s="161" t="str">
        <f t="shared" si="5"/>
        <v>..</v>
      </c>
      <c r="I113" s="161">
        <v>74.030420000000007</v>
      </c>
      <c r="J113" s="161">
        <v>110.3929</v>
      </c>
      <c r="K113" s="161">
        <v>74.047319999999999</v>
      </c>
    </row>
    <row r="114" spans="1:11">
      <c r="A114" s="161">
        <v>2002</v>
      </c>
      <c r="B114" s="161" t="s">
        <v>185</v>
      </c>
      <c r="C114" s="161" t="str">
        <f t="shared" si="3"/>
        <v>2002_Gabon</v>
      </c>
      <c r="D114" s="161">
        <v>2409295425</v>
      </c>
      <c r="E114" s="161">
        <v>83.817935877798661</v>
      </c>
      <c r="F114" s="161">
        <v>1.774458108179382</v>
      </c>
      <c r="G114" s="161">
        <f t="shared" si="4"/>
        <v>0.85592393985978044</v>
      </c>
      <c r="H114" s="161">
        <f t="shared" si="5"/>
        <v>2062173632.4521441</v>
      </c>
      <c r="I114" s="161" t="s">
        <v>2842</v>
      </c>
      <c r="J114" s="161">
        <v>143.20531</v>
      </c>
      <c r="K114" s="161" t="s">
        <v>2842</v>
      </c>
    </row>
    <row r="115" spans="1:11">
      <c r="A115" s="161">
        <v>2002</v>
      </c>
      <c r="B115" s="161" t="s">
        <v>294</v>
      </c>
      <c r="C115" s="161" t="str">
        <f t="shared" si="3"/>
        <v>2002_Liberia</v>
      </c>
      <c r="D115" s="161">
        <v>176100000</v>
      </c>
      <c r="E115" s="161" t="s">
        <v>2842</v>
      </c>
      <c r="F115" s="161" t="s">
        <v>2842</v>
      </c>
      <c r="G115" s="161" t="str">
        <f t="shared" si="4"/>
        <v>..</v>
      </c>
      <c r="H115" s="161" t="str">
        <f t="shared" si="5"/>
        <v>..</v>
      </c>
      <c r="I115" s="161" t="s">
        <v>2842</v>
      </c>
      <c r="J115" s="161" t="s">
        <v>2842</v>
      </c>
      <c r="K115" s="161" t="s">
        <v>2842</v>
      </c>
    </row>
    <row r="116" spans="1:11">
      <c r="A116" s="161">
        <v>2002</v>
      </c>
      <c r="B116" s="161" t="s">
        <v>278</v>
      </c>
      <c r="C116" s="161" t="str">
        <f t="shared" si="3"/>
        <v>2002_Kyrgyz Republic</v>
      </c>
      <c r="D116" s="161">
        <v>485500000</v>
      </c>
      <c r="E116" s="161">
        <v>19.547288639752349</v>
      </c>
      <c r="F116" s="161">
        <v>6.2343364309061231</v>
      </c>
      <c r="G116" s="161">
        <f t="shared" si="4"/>
        <v>0.2578162507065847</v>
      </c>
      <c r="H116" s="161">
        <f t="shared" si="5"/>
        <v>125169789.71804687</v>
      </c>
      <c r="I116" s="161">
        <v>86.242180000000005</v>
      </c>
      <c r="J116" s="161">
        <v>95.70814</v>
      </c>
      <c r="K116" s="161">
        <v>93.186009999999996</v>
      </c>
    </row>
    <row r="117" spans="1:11">
      <c r="A117" s="161">
        <v>2002</v>
      </c>
      <c r="B117" s="161" t="s">
        <v>189</v>
      </c>
      <c r="C117" s="161" t="str">
        <f t="shared" si="3"/>
        <v>2002_Ghana</v>
      </c>
      <c r="D117" s="161">
        <v>1850000000</v>
      </c>
      <c r="E117" s="161" t="s">
        <v>2842</v>
      </c>
      <c r="F117" s="161" t="s">
        <v>2842</v>
      </c>
      <c r="G117" s="161" t="str">
        <f t="shared" si="4"/>
        <v>..</v>
      </c>
      <c r="H117" s="161" t="str">
        <f t="shared" si="5"/>
        <v>..</v>
      </c>
      <c r="I117" s="161">
        <v>61.922220000000003</v>
      </c>
      <c r="J117" s="161">
        <v>83.743260000000006</v>
      </c>
      <c r="K117" s="161">
        <v>62.707900000000002</v>
      </c>
    </row>
    <row r="118" spans="1:11">
      <c r="A118" s="161">
        <v>2002</v>
      </c>
      <c r="B118" s="161" t="s">
        <v>213</v>
      </c>
      <c r="C118" s="161" t="str">
        <f t="shared" si="3"/>
        <v>2002_Guatemala</v>
      </c>
      <c r="D118" s="161">
        <v>4162100000</v>
      </c>
      <c r="E118" s="161">
        <v>8.5567119672581473</v>
      </c>
      <c r="F118" s="161">
        <v>0.6281566919821604</v>
      </c>
      <c r="G118" s="161">
        <f t="shared" si="4"/>
        <v>9.1848686592403084E-2</v>
      </c>
      <c r="H118" s="161">
        <f t="shared" si="5"/>
        <v>382283418.46624088</v>
      </c>
      <c r="I118" s="161">
        <v>88.018789999999996</v>
      </c>
      <c r="J118" s="161">
        <v>107.04911</v>
      </c>
      <c r="K118" s="161">
        <v>89.341160000000002</v>
      </c>
    </row>
    <row r="119" spans="1:11">
      <c r="A119" s="161">
        <v>2002</v>
      </c>
      <c r="B119" s="161" t="s">
        <v>2843</v>
      </c>
      <c r="C119" s="161" t="str">
        <f t="shared" si="3"/>
        <v>2002_Guinea</v>
      </c>
      <c r="D119" s="161">
        <v>709000000</v>
      </c>
      <c r="E119" s="161">
        <v>7.3743007957237344E-2</v>
      </c>
      <c r="F119" s="161">
        <v>71.625973517839043</v>
      </c>
      <c r="G119" s="161">
        <f t="shared" si="4"/>
        <v>0.71699716525796275</v>
      </c>
      <c r="H119" s="161">
        <f t="shared" si="5"/>
        <v>508350990.16789562</v>
      </c>
      <c r="I119" s="161">
        <v>55.835140000000003</v>
      </c>
      <c r="J119" s="161">
        <v>70.002759999999995</v>
      </c>
      <c r="K119" s="161">
        <v>56.191310000000001</v>
      </c>
    </row>
    <row r="120" spans="1:11">
      <c r="A120" s="161">
        <v>2002</v>
      </c>
      <c r="B120" s="161" t="s">
        <v>237</v>
      </c>
      <c r="C120" s="161" t="str">
        <f t="shared" si="3"/>
        <v>2002_Indonesia</v>
      </c>
      <c r="D120" s="161">
        <v>59166000000</v>
      </c>
      <c r="E120" s="161">
        <v>24.419384619409332</v>
      </c>
      <c r="F120" s="161">
        <v>5.2641104703587054</v>
      </c>
      <c r="G120" s="161">
        <f t="shared" si="4"/>
        <v>0.29683495089768036</v>
      </c>
      <c r="H120" s="161">
        <f t="shared" si="5"/>
        <v>17562536704.812157</v>
      </c>
      <c r="I120" s="161">
        <v>92.706850000000003</v>
      </c>
      <c r="J120" s="161">
        <v>111.58146000000001</v>
      </c>
      <c r="K120" s="161">
        <v>96.898880000000005</v>
      </c>
    </row>
    <row r="121" spans="1:11">
      <c r="A121" s="161">
        <v>2002</v>
      </c>
      <c r="B121" s="161" t="s">
        <v>245</v>
      </c>
      <c r="C121" s="161" t="str">
        <f t="shared" si="3"/>
        <v>2002_Iraq</v>
      </c>
      <c r="D121" s="161">
        <v>12219000000</v>
      </c>
      <c r="E121" s="161">
        <v>95.322466305564006</v>
      </c>
      <c r="F121" s="161">
        <v>1.4859979720018721E-2</v>
      </c>
      <c r="G121" s="161">
        <f t="shared" si="4"/>
        <v>0.95337326285284019</v>
      </c>
      <c r="H121" s="161">
        <f t="shared" si="5"/>
        <v>11649267898.798855</v>
      </c>
      <c r="I121" s="161" t="s">
        <v>2842</v>
      </c>
      <c r="J121" s="161" t="s">
        <v>2842</v>
      </c>
      <c r="K121" s="161" t="s">
        <v>2842</v>
      </c>
    </row>
    <row r="122" spans="1:11">
      <c r="A122" s="161">
        <v>2002</v>
      </c>
      <c r="B122" s="161" t="s">
        <v>273</v>
      </c>
      <c r="C122" s="161" t="str">
        <f t="shared" si="3"/>
        <v>2002_Kazakhstan</v>
      </c>
      <c r="D122" s="161">
        <v>9670300000</v>
      </c>
      <c r="E122" s="161">
        <v>59.050228249472205</v>
      </c>
      <c r="F122" s="161">
        <v>16.173852094274768</v>
      </c>
      <c r="G122" s="161">
        <f t="shared" si="4"/>
        <v>0.7522408034374698</v>
      </c>
      <c r="H122" s="161">
        <f t="shared" si="5"/>
        <v>7274394241.4813643</v>
      </c>
      <c r="I122" s="161">
        <v>91.364130000000003</v>
      </c>
      <c r="J122" s="161">
        <v>103.4907</v>
      </c>
      <c r="K122" s="161">
        <v>98.738960000000006</v>
      </c>
    </row>
    <row r="123" spans="1:11">
      <c r="A123" s="161">
        <v>2002</v>
      </c>
      <c r="B123" s="161" t="s">
        <v>309</v>
      </c>
      <c r="C123" s="161" t="str">
        <f t="shared" si="3"/>
        <v>2002_Madagascar</v>
      </c>
      <c r="D123" s="161">
        <v>486000000</v>
      </c>
      <c r="E123" s="161">
        <v>1.9601125086161499</v>
      </c>
      <c r="F123" s="161">
        <v>1.3732973656245726</v>
      </c>
      <c r="G123" s="161">
        <f t="shared" si="4"/>
        <v>3.3334098742407225E-2</v>
      </c>
      <c r="H123" s="161">
        <f t="shared" si="5"/>
        <v>16200371.988809912</v>
      </c>
      <c r="I123" s="161">
        <v>67.26867</v>
      </c>
      <c r="J123" s="161">
        <v>102.18568999999999</v>
      </c>
      <c r="K123" s="161">
        <v>67.679509999999993</v>
      </c>
    </row>
    <row r="124" spans="1:11">
      <c r="A124" s="161">
        <v>2002</v>
      </c>
      <c r="B124" s="161" t="s">
        <v>322</v>
      </c>
      <c r="C124" s="161" t="str">
        <f t="shared" si="3"/>
        <v>2002_Mali</v>
      </c>
      <c r="D124" s="161">
        <v>874000000</v>
      </c>
      <c r="E124" s="161">
        <v>3.5796341212818312</v>
      </c>
      <c r="F124" s="161">
        <v>8.7590090178808241E-2</v>
      </c>
      <c r="G124" s="161">
        <f t="shared" si="4"/>
        <v>3.6672242114606395E-2</v>
      </c>
      <c r="H124" s="161">
        <f t="shared" si="5"/>
        <v>32051539.608165991</v>
      </c>
      <c r="I124" s="161">
        <v>55.85586</v>
      </c>
      <c r="J124" s="161">
        <v>71.608149999999995</v>
      </c>
      <c r="K124" s="161">
        <v>55.863970000000002</v>
      </c>
    </row>
    <row r="125" spans="1:11">
      <c r="A125" s="161">
        <v>2002</v>
      </c>
      <c r="B125" s="161" t="s">
        <v>338</v>
      </c>
      <c r="C125" s="161" t="str">
        <f t="shared" si="3"/>
        <v>2002_Mauritania</v>
      </c>
      <c r="D125" s="161">
        <v>331669534</v>
      </c>
      <c r="E125" s="161" t="s">
        <v>2842</v>
      </c>
      <c r="F125" s="161">
        <v>61.911926741963185</v>
      </c>
      <c r="G125" s="161" t="str">
        <f t="shared" si="4"/>
        <v>..</v>
      </c>
      <c r="H125" s="161" t="str">
        <f t="shared" si="5"/>
        <v>..</v>
      </c>
      <c r="I125" s="161">
        <v>62.280189999999997</v>
      </c>
      <c r="J125" s="161">
        <v>83.193269999999998</v>
      </c>
      <c r="K125" s="161">
        <v>62.524880000000003</v>
      </c>
    </row>
    <row r="126" spans="1:11">
      <c r="A126" s="161">
        <v>2002</v>
      </c>
      <c r="B126" s="161" t="s">
        <v>357</v>
      </c>
      <c r="C126" s="161" t="str">
        <f t="shared" si="3"/>
        <v>2002_Mongolia</v>
      </c>
      <c r="D126" s="161">
        <v>524000000</v>
      </c>
      <c r="E126" s="161">
        <v>0.84965084448526285</v>
      </c>
      <c r="F126" s="161">
        <v>42.754666788066167</v>
      </c>
      <c r="G126" s="161">
        <f t="shared" si="4"/>
        <v>0.43604317632551426</v>
      </c>
      <c r="H126" s="161">
        <f t="shared" si="5"/>
        <v>228486624.39456949</v>
      </c>
      <c r="I126" s="161">
        <v>89.551789999999997</v>
      </c>
      <c r="J126" s="161">
        <v>102.06147</v>
      </c>
      <c r="K126" s="161">
        <v>93.135769999999994</v>
      </c>
    </row>
    <row r="127" spans="1:11">
      <c r="A127" s="161">
        <v>2002</v>
      </c>
      <c r="B127" s="161" t="s">
        <v>387</v>
      </c>
      <c r="C127" s="161" t="str">
        <f t="shared" si="3"/>
        <v>2002_Niger</v>
      </c>
      <c r="D127" s="161">
        <v>279000000</v>
      </c>
      <c r="E127" s="161">
        <v>1.3842380463481201</v>
      </c>
      <c r="F127" s="161">
        <v>45.424552785893283</v>
      </c>
      <c r="G127" s="161">
        <f t="shared" si="4"/>
        <v>0.46808790832241409</v>
      </c>
      <c r="H127" s="161">
        <f t="shared" si="5"/>
        <v>130596526.42195353</v>
      </c>
      <c r="I127" s="161">
        <v>35.090519999999998</v>
      </c>
      <c r="J127" s="161">
        <v>41.048099999999998</v>
      </c>
      <c r="K127" s="161">
        <v>35.418700000000001</v>
      </c>
    </row>
    <row r="128" spans="1:11">
      <c r="A128" s="161">
        <v>2002</v>
      </c>
      <c r="B128" s="161" t="s">
        <v>406</v>
      </c>
      <c r="C128" s="161" t="str">
        <f t="shared" si="3"/>
        <v>2002_Nigeria</v>
      </c>
      <c r="D128" s="161">
        <v>17975000000</v>
      </c>
      <c r="E128" s="161">
        <v>94.037464385227906</v>
      </c>
      <c r="F128" s="161">
        <v>2.8525609677972179E-2</v>
      </c>
      <c r="G128" s="161">
        <f t="shared" si="4"/>
        <v>0.94065989994905874</v>
      </c>
      <c r="H128" s="161">
        <f t="shared" si="5"/>
        <v>16908361701.584332</v>
      </c>
      <c r="I128" s="161" t="s">
        <v>2842</v>
      </c>
      <c r="J128" s="161">
        <v>97.648340000000005</v>
      </c>
      <c r="K128" s="161" t="s">
        <v>2842</v>
      </c>
    </row>
    <row r="129" spans="1:11">
      <c r="A129" s="161">
        <v>2002</v>
      </c>
      <c r="B129" s="161" t="s">
        <v>429</v>
      </c>
      <c r="C129" s="161" t="str">
        <f t="shared" si="3"/>
        <v>2002_Norway</v>
      </c>
      <c r="D129" s="161">
        <v>59662000000</v>
      </c>
      <c r="E129" s="161">
        <v>60.65006438823788</v>
      </c>
      <c r="F129" s="161">
        <v>6.0904221799017098</v>
      </c>
      <c r="G129" s="161">
        <f t="shared" si="4"/>
        <v>0.6674048656813959</v>
      </c>
      <c r="H129" s="161">
        <f t="shared" si="5"/>
        <v>39818709096.28344</v>
      </c>
      <c r="I129" s="161">
        <v>99.741669999999999</v>
      </c>
      <c r="J129" s="161">
        <v>100.27272000000001</v>
      </c>
      <c r="K129" s="161">
        <v>99.741669999999999</v>
      </c>
    </row>
    <row r="130" spans="1:11">
      <c r="A130" s="161">
        <v>2002</v>
      </c>
      <c r="B130" s="161" t="s">
        <v>442</v>
      </c>
      <c r="C130" s="161" t="str">
        <f t="shared" ref="C130:C193" si="6">$A130&amp;"_"&amp;$B130</f>
        <v>2002_Peru</v>
      </c>
      <c r="D130" s="161">
        <v>7713900000</v>
      </c>
      <c r="E130" s="161">
        <v>7.7690949944377001</v>
      </c>
      <c r="F130" s="161">
        <v>39.694900915200051</v>
      </c>
      <c r="G130" s="161">
        <f t="shared" si="4"/>
        <v>0.47463995909637752</v>
      </c>
      <c r="H130" s="161">
        <f t="shared" si="5"/>
        <v>3661325180.4735465</v>
      </c>
      <c r="I130" s="161">
        <v>97.910679999999999</v>
      </c>
      <c r="J130" s="161">
        <v>120.0489</v>
      </c>
      <c r="K130" s="161">
        <v>99.936040000000006</v>
      </c>
    </row>
    <row r="131" spans="1:11">
      <c r="A131" s="161">
        <v>2002</v>
      </c>
      <c r="B131" s="161" t="s">
        <v>481</v>
      </c>
      <c r="C131" s="161" t="str">
        <f t="shared" si="6"/>
        <v>2002_Sierra Leone</v>
      </c>
      <c r="D131" s="161">
        <v>48668700</v>
      </c>
      <c r="E131" s="161" t="s">
        <v>2842</v>
      </c>
      <c r="F131" s="161">
        <v>0.1150017787662817</v>
      </c>
      <c r="G131" s="161" t="str">
        <f t="shared" ref="G131:G194" si="7">IFERROR(($E131+$F131)/100,"..")</f>
        <v>..</v>
      </c>
      <c r="H131" s="161" t="str">
        <f t="shared" ref="H131:H194" si="8">IFERROR($G131*$D131,"..")</f>
        <v>..</v>
      </c>
      <c r="I131" s="161" t="s">
        <v>2842</v>
      </c>
      <c r="J131" s="161" t="s">
        <v>2842</v>
      </c>
      <c r="K131" s="161" t="s">
        <v>2842</v>
      </c>
    </row>
    <row r="132" spans="1:11">
      <c r="A132" s="161">
        <v>2002</v>
      </c>
      <c r="B132" s="161" t="s">
        <v>492</v>
      </c>
      <c r="C132" s="161" t="str">
        <f t="shared" si="6"/>
        <v>2002_Tanzania</v>
      </c>
      <c r="D132" s="161">
        <v>979600000</v>
      </c>
      <c r="E132" s="161">
        <v>0.11572944143660707</v>
      </c>
      <c r="F132" s="161">
        <v>12.460985432921515</v>
      </c>
      <c r="G132" s="161">
        <f t="shared" si="7"/>
        <v>0.12576714874358122</v>
      </c>
      <c r="H132" s="161">
        <f t="shared" si="8"/>
        <v>123201498.90921216</v>
      </c>
      <c r="I132" s="161">
        <v>72.883279999999999</v>
      </c>
      <c r="J132" s="161">
        <v>89.122870000000006</v>
      </c>
      <c r="K132" s="161">
        <v>72.930250000000001</v>
      </c>
    </row>
    <row r="133" spans="1:11">
      <c r="A133" s="161">
        <v>2002</v>
      </c>
      <c r="B133" s="161" t="s">
        <v>2844</v>
      </c>
      <c r="C133" s="161" t="str">
        <f t="shared" si="6"/>
        <v>2002_Timor-Leste</v>
      </c>
      <c r="D133" s="161" t="s">
        <v>2842</v>
      </c>
      <c r="E133" s="161" t="s">
        <v>2842</v>
      </c>
      <c r="F133" s="161" t="s">
        <v>2842</v>
      </c>
      <c r="G133" s="161" t="str">
        <f t="shared" si="7"/>
        <v>..</v>
      </c>
      <c r="H133" s="161" t="str">
        <f t="shared" si="8"/>
        <v>..</v>
      </c>
      <c r="I133" s="161" t="s">
        <v>2842</v>
      </c>
      <c r="J133" s="161">
        <v>113.35875</v>
      </c>
      <c r="K133" s="161" t="s">
        <v>2842</v>
      </c>
    </row>
    <row r="134" spans="1:11">
      <c r="A134" s="161">
        <v>2002</v>
      </c>
      <c r="B134" s="161" t="s">
        <v>510</v>
      </c>
      <c r="C134" s="161" t="str">
        <f t="shared" si="6"/>
        <v>2002_Togo</v>
      </c>
      <c r="D134" s="161">
        <v>427000000</v>
      </c>
      <c r="E134" s="161">
        <v>0.53434363019795539</v>
      </c>
      <c r="F134" s="161">
        <v>16.741694047473349</v>
      </c>
      <c r="G134" s="161">
        <f t="shared" si="7"/>
        <v>0.17276037677671305</v>
      </c>
      <c r="H134" s="161">
        <f t="shared" si="8"/>
        <v>73768680.883656472</v>
      </c>
      <c r="I134" s="161">
        <v>88.275499999999994</v>
      </c>
      <c r="J134" s="161">
        <v>116.97468000000001</v>
      </c>
      <c r="K134" s="161">
        <v>90.953270000000003</v>
      </c>
    </row>
    <row r="135" spans="1:11">
      <c r="A135" s="161">
        <v>2002</v>
      </c>
      <c r="B135" s="161" t="s">
        <v>2845</v>
      </c>
      <c r="C135" s="161" t="str">
        <f t="shared" si="6"/>
        <v>2002_Trinidad and Tobago</v>
      </c>
      <c r="D135" s="161">
        <v>3880000000</v>
      </c>
      <c r="E135" s="161">
        <v>60.083730666808044</v>
      </c>
      <c r="F135" s="161">
        <v>0.20651428623560253</v>
      </c>
      <c r="G135" s="161">
        <f t="shared" si="7"/>
        <v>0.60290244953043648</v>
      </c>
      <c r="H135" s="161">
        <f t="shared" si="8"/>
        <v>2339261504.1780934</v>
      </c>
      <c r="I135" s="161">
        <v>89.878590000000003</v>
      </c>
      <c r="J135" s="161">
        <v>96.516779999999997</v>
      </c>
      <c r="K135" s="161">
        <v>94.543130000000005</v>
      </c>
    </row>
    <row r="136" spans="1:11">
      <c r="A136" s="161">
        <v>2002</v>
      </c>
      <c r="B136" s="161" t="s">
        <v>2846</v>
      </c>
      <c r="C136" s="161" t="str">
        <f t="shared" si="6"/>
        <v>2002_Yemen, Rep.</v>
      </c>
      <c r="D136" s="161">
        <v>3336347422</v>
      </c>
      <c r="E136" s="161">
        <v>93.5426302721811</v>
      </c>
      <c r="F136" s="161">
        <v>6.33613499361661E-2</v>
      </c>
      <c r="G136" s="161">
        <f t="shared" si="7"/>
        <v>0.93605991622117268</v>
      </c>
      <c r="H136" s="161">
        <f t="shared" si="8"/>
        <v>3123021088.3220453</v>
      </c>
      <c r="I136" s="161" t="s">
        <v>2842</v>
      </c>
      <c r="J136" s="161">
        <v>80.591430000000003</v>
      </c>
      <c r="K136" s="161" t="s">
        <v>2842</v>
      </c>
    </row>
    <row r="137" spans="1:11">
      <c r="A137" s="161">
        <v>2002</v>
      </c>
      <c r="B137" s="161" t="s">
        <v>534</v>
      </c>
      <c r="C137" s="161" t="str">
        <f t="shared" si="6"/>
        <v>2002_Zambia</v>
      </c>
      <c r="D137" s="161">
        <v>956349000</v>
      </c>
      <c r="E137" s="161">
        <v>0.83558746749126878</v>
      </c>
      <c r="F137" s="161">
        <v>69.78496673408452</v>
      </c>
      <c r="G137" s="161">
        <f t="shared" si="7"/>
        <v>0.7062055420157578</v>
      </c>
      <c r="H137" s="161">
        <f t="shared" si="8"/>
        <v>675378963.90122795</v>
      </c>
      <c r="I137" s="161">
        <v>72.546329999999998</v>
      </c>
      <c r="J137" s="161">
        <v>87.166409999999999</v>
      </c>
      <c r="K137" s="161">
        <v>74.181290000000004</v>
      </c>
    </row>
    <row r="138" spans="1:11">
      <c r="A138" s="161">
        <v>2003</v>
      </c>
      <c r="B138" s="161" t="s">
        <v>16</v>
      </c>
      <c r="C138" s="161" t="str">
        <f t="shared" si="6"/>
        <v>2003_Afghanistan</v>
      </c>
      <c r="D138" s="161">
        <v>144000000</v>
      </c>
      <c r="E138" s="161" t="s">
        <v>2842</v>
      </c>
      <c r="F138" s="161" t="s">
        <v>2842</v>
      </c>
      <c r="G138" s="161" t="str">
        <f t="shared" si="7"/>
        <v>..</v>
      </c>
      <c r="H138" s="161" t="str">
        <f t="shared" si="8"/>
        <v>..</v>
      </c>
      <c r="I138" s="161" t="s">
        <v>2842</v>
      </c>
      <c r="J138" s="161">
        <v>93.935230000000004</v>
      </c>
      <c r="K138" s="161" t="s">
        <v>2842</v>
      </c>
    </row>
    <row r="139" spans="1:11">
      <c r="A139" s="161">
        <v>2003</v>
      </c>
      <c r="B139" s="161" t="s">
        <v>33</v>
      </c>
      <c r="C139" s="161" t="str">
        <f t="shared" si="6"/>
        <v>2003_Albania</v>
      </c>
      <c r="D139" s="161">
        <v>447950000</v>
      </c>
      <c r="E139" s="161">
        <v>0.93945393108124331</v>
      </c>
      <c r="F139" s="161">
        <v>4.0951872993777885</v>
      </c>
      <c r="G139" s="161">
        <f t="shared" si="7"/>
        <v>5.0346412304590318E-2</v>
      </c>
      <c r="H139" s="161">
        <f t="shared" si="8"/>
        <v>22552675.391841233</v>
      </c>
      <c r="I139" s="161">
        <v>91.249350000000007</v>
      </c>
      <c r="J139" s="161">
        <v>99.515079999999998</v>
      </c>
      <c r="K139" s="161">
        <v>91.249350000000007</v>
      </c>
    </row>
    <row r="140" spans="1:11">
      <c r="A140" s="161">
        <v>2003</v>
      </c>
      <c r="B140" s="161" t="s">
        <v>48</v>
      </c>
      <c r="C140" s="161" t="str">
        <f t="shared" si="6"/>
        <v>2003_Azerbaijan</v>
      </c>
      <c r="D140" s="161">
        <v>2591718144</v>
      </c>
      <c r="E140" s="161">
        <v>86.010670655981272</v>
      </c>
      <c r="F140" s="161">
        <v>1.0329959375088813</v>
      </c>
      <c r="G140" s="161">
        <f t="shared" si="7"/>
        <v>0.87043666593490154</v>
      </c>
      <c r="H140" s="161">
        <f t="shared" si="8"/>
        <v>2255926500.3063512</v>
      </c>
      <c r="I140" s="161">
        <v>83.284540000000007</v>
      </c>
      <c r="J140" s="161">
        <v>96.213239999999999</v>
      </c>
      <c r="K140" s="161">
        <v>83.346299999999999</v>
      </c>
    </row>
    <row r="141" spans="1:11">
      <c r="A141" s="161">
        <v>2003</v>
      </c>
      <c r="B141" s="161" t="s">
        <v>93</v>
      </c>
      <c r="C141" s="161" t="str">
        <f t="shared" si="6"/>
        <v>2003_Burkina Faso</v>
      </c>
      <c r="D141" s="161">
        <v>320544000</v>
      </c>
      <c r="E141" s="161">
        <v>4.1422676347662397E-2</v>
      </c>
      <c r="F141" s="161">
        <v>2.1477473974118172E-2</v>
      </c>
      <c r="G141" s="161">
        <f t="shared" si="7"/>
        <v>6.2900150321780566E-4</v>
      </c>
      <c r="H141" s="161">
        <f t="shared" si="8"/>
        <v>201622.65784744831</v>
      </c>
      <c r="I141" s="161">
        <v>38.644539999999999</v>
      </c>
      <c r="J141" s="161">
        <v>49.301549999999999</v>
      </c>
      <c r="K141" s="161">
        <v>39.041040000000002</v>
      </c>
    </row>
    <row r="142" spans="1:11">
      <c r="A142" s="161">
        <v>2003</v>
      </c>
      <c r="B142" s="161" t="s">
        <v>96</v>
      </c>
      <c r="C142" s="161" t="str">
        <f t="shared" si="6"/>
        <v>2003_Cameroon</v>
      </c>
      <c r="D142" s="161">
        <v>2282560206</v>
      </c>
      <c r="E142" s="161">
        <v>48.812339702052896</v>
      </c>
      <c r="F142" s="161">
        <v>4.158270935894282</v>
      </c>
      <c r="G142" s="161">
        <f t="shared" si="7"/>
        <v>0.5297061063794718</v>
      </c>
      <c r="H142" s="161">
        <f t="shared" si="8"/>
        <v>1209086079.2969851</v>
      </c>
      <c r="I142" s="161" t="s">
        <v>2842</v>
      </c>
      <c r="J142" s="161">
        <v>97.932289999999995</v>
      </c>
      <c r="K142" s="161" t="s">
        <v>2842</v>
      </c>
    </row>
    <row r="143" spans="1:11">
      <c r="A143" s="161">
        <v>2003</v>
      </c>
      <c r="B143" s="161" t="s">
        <v>122</v>
      </c>
      <c r="C143" s="161" t="str">
        <f t="shared" si="6"/>
        <v>2003_Central African Republic</v>
      </c>
      <c r="D143" s="161">
        <v>128000000</v>
      </c>
      <c r="E143" s="161">
        <v>0</v>
      </c>
      <c r="F143" s="161">
        <v>36.563920063302305</v>
      </c>
      <c r="G143" s="161">
        <f t="shared" si="7"/>
        <v>0.36563920063302308</v>
      </c>
      <c r="H143" s="161">
        <f t="shared" si="8"/>
        <v>46801817.68102695</v>
      </c>
      <c r="I143" s="161" t="s">
        <v>2842</v>
      </c>
      <c r="J143" s="161">
        <v>69.627139999999997</v>
      </c>
      <c r="K143" s="161" t="s">
        <v>2842</v>
      </c>
    </row>
    <row r="144" spans="1:11">
      <c r="A144" s="161">
        <v>2003</v>
      </c>
      <c r="B144" s="161" t="s">
        <v>133</v>
      </c>
      <c r="C144" s="161" t="str">
        <f t="shared" si="6"/>
        <v>2003_Chad</v>
      </c>
      <c r="D144" s="161">
        <v>601000000</v>
      </c>
      <c r="E144" s="161" t="s">
        <v>2842</v>
      </c>
      <c r="F144" s="161" t="s">
        <v>2842</v>
      </c>
      <c r="G144" s="161" t="str">
        <f t="shared" si="7"/>
        <v>..</v>
      </c>
      <c r="H144" s="161" t="str">
        <f t="shared" si="8"/>
        <v>..</v>
      </c>
      <c r="I144" s="161">
        <v>57.75562</v>
      </c>
      <c r="J144" s="161">
        <v>72.100960000000001</v>
      </c>
      <c r="K144" s="161">
        <v>57.947319999999998</v>
      </c>
    </row>
    <row r="145" spans="1:11">
      <c r="A145" s="161">
        <v>2003</v>
      </c>
      <c r="B145" s="161" t="s">
        <v>3544</v>
      </c>
      <c r="C145" s="161" t="str">
        <f t="shared" si="6"/>
        <v>2003_Congo, Dem. Rep.</v>
      </c>
      <c r="D145" s="161">
        <v>1377700000</v>
      </c>
      <c r="E145" s="161" t="s">
        <v>2842</v>
      </c>
      <c r="F145" s="161" t="s">
        <v>2842</v>
      </c>
      <c r="G145" s="161" t="str">
        <f t="shared" si="7"/>
        <v>..</v>
      </c>
      <c r="H145" s="161" t="str">
        <f t="shared" si="8"/>
        <v>..</v>
      </c>
      <c r="I145" s="161" t="s">
        <v>2842</v>
      </c>
      <c r="J145" s="161" t="s">
        <v>2842</v>
      </c>
      <c r="K145" s="161" t="s">
        <v>2842</v>
      </c>
    </row>
    <row r="146" spans="1:11">
      <c r="A146" s="161">
        <v>2003</v>
      </c>
      <c r="B146" s="161" t="s">
        <v>3543</v>
      </c>
      <c r="C146" s="161" t="str">
        <f t="shared" si="6"/>
        <v>2003_Congo, Rep.</v>
      </c>
      <c r="D146" s="161">
        <v>2677000000</v>
      </c>
      <c r="E146" s="161" t="s">
        <v>2842</v>
      </c>
      <c r="F146" s="161" t="s">
        <v>2842</v>
      </c>
      <c r="G146" s="161" t="str">
        <f t="shared" si="7"/>
        <v>..</v>
      </c>
      <c r="H146" s="161" t="str">
        <f t="shared" si="8"/>
        <v>..</v>
      </c>
      <c r="I146" s="161" t="s">
        <v>2842</v>
      </c>
      <c r="J146" s="161">
        <v>99.751159999999999</v>
      </c>
      <c r="K146" s="161" t="s">
        <v>2842</v>
      </c>
    </row>
    <row r="147" spans="1:11">
      <c r="A147" s="161">
        <v>2003</v>
      </c>
      <c r="B147" s="161" t="s">
        <v>182</v>
      </c>
      <c r="C147" s="161" t="str">
        <f t="shared" si="6"/>
        <v>2003_Equatorial Guinea</v>
      </c>
      <c r="D147" s="161">
        <v>2801000000</v>
      </c>
      <c r="E147" s="161" t="s">
        <v>2842</v>
      </c>
      <c r="F147" s="161" t="s">
        <v>2842</v>
      </c>
      <c r="G147" s="161" t="str">
        <f t="shared" si="7"/>
        <v>..</v>
      </c>
      <c r="H147" s="161" t="str">
        <f t="shared" si="8"/>
        <v>..</v>
      </c>
      <c r="I147" s="161">
        <v>70.715329999999994</v>
      </c>
      <c r="J147" s="161">
        <v>101.71662999999999</v>
      </c>
      <c r="K147" s="161">
        <v>72.681520000000006</v>
      </c>
    </row>
    <row r="148" spans="1:11">
      <c r="A148" s="161">
        <v>2003</v>
      </c>
      <c r="B148" s="161" t="s">
        <v>185</v>
      </c>
      <c r="C148" s="161" t="str">
        <f t="shared" si="6"/>
        <v>2003_Gabon</v>
      </c>
      <c r="D148" s="161">
        <v>3062095664</v>
      </c>
      <c r="E148" s="161">
        <v>17.594056310573407</v>
      </c>
      <c r="F148" s="161">
        <v>8.0941257958318982</v>
      </c>
      <c r="G148" s="161">
        <f t="shared" si="7"/>
        <v>0.25688182106405305</v>
      </c>
      <c r="H148" s="161">
        <f t="shared" si="8"/>
        <v>786596710.44066072</v>
      </c>
      <c r="I148" s="161" t="s">
        <v>2842</v>
      </c>
      <c r="J148" s="161">
        <v>139.69148000000001</v>
      </c>
      <c r="K148" s="161" t="s">
        <v>2842</v>
      </c>
    </row>
    <row r="149" spans="1:11">
      <c r="A149" s="161">
        <v>2003</v>
      </c>
      <c r="B149" s="161" t="s">
        <v>294</v>
      </c>
      <c r="C149" s="161" t="str">
        <f t="shared" si="6"/>
        <v>2003_Liberia</v>
      </c>
      <c r="D149" s="161">
        <v>108900000</v>
      </c>
      <c r="E149" s="161" t="s">
        <v>2842</v>
      </c>
      <c r="F149" s="161" t="s">
        <v>2842</v>
      </c>
      <c r="G149" s="161" t="str">
        <f t="shared" si="7"/>
        <v>..</v>
      </c>
      <c r="H149" s="161" t="str">
        <f t="shared" si="8"/>
        <v>..</v>
      </c>
      <c r="I149" s="161" t="s">
        <v>2842</v>
      </c>
      <c r="J149" s="161" t="s">
        <v>2842</v>
      </c>
      <c r="K149" s="161" t="s">
        <v>2842</v>
      </c>
    </row>
    <row r="150" spans="1:11">
      <c r="A150" s="161">
        <v>2003</v>
      </c>
      <c r="B150" s="161" t="s">
        <v>278</v>
      </c>
      <c r="C150" s="161" t="str">
        <f t="shared" si="6"/>
        <v>2003_Kyrgyz Republic</v>
      </c>
      <c r="D150" s="161">
        <v>581700000</v>
      </c>
      <c r="E150" s="161">
        <v>20.935584561472204</v>
      </c>
      <c r="F150" s="161">
        <v>5.6264593817354642</v>
      </c>
      <c r="G150" s="161">
        <f t="shared" si="7"/>
        <v>0.26562043943207669</v>
      </c>
      <c r="H150" s="161">
        <f t="shared" si="8"/>
        <v>154511409.61763901</v>
      </c>
      <c r="I150" s="161">
        <v>85.559650000000005</v>
      </c>
      <c r="J150" s="161">
        <v>96.693399999999997</v>
      </c>
      <c r="K150" s="161">
        <v>93.172060000000002</v>
      </c>
    </row>
    <row r="151" spans="1:11">
      <c r="A151" s="161">
        <v>2003</v>
      </c>
      <c r="B151" s="161" t="s">
        <v>189</v>
      </c>
      <c r="C151" s="161" t="str">
        <f t="shared" si="6"/>
        <v>2003_Ghana</v>
      </c>
      <c r="D151" s="161">
        <v>2324296000</v>
      </c>
      <c r="E151" s="161">
        <v>5.686883464634912E-2</v>
      </c>
      <c r="F151" s="161">
        <v>3.887712592102837</v>
      </c>
      <c r="G151" s="161">
        <f t="shared" si="7"/>
        <v>3.9445814267491858E-2</v>
      </c>
      <c r="H151" s="161">
        <f t="shared" si="8"/>
        <v>91683748.318674251</v>
      </c>
      <c r="I151" s="161">
        <v>64.2761</v>
      </c>
      <c r="J151" s="161">
        <v>80.102149999999995</v>
      </c>
      <c r="K151" s="161">
        <v>65.088930000000005</v>
      </c>
    </row>
    <row r="152" spans="1:11">
      <c r="A152" s="161">
        <v>2003</v>
      </c>
      <c r="B152" s="161" t="s">
        <v>213</v>
      </c>
      <c r="C152" s="161" t="str">
        <f t="shared" si="6"/>
        <v>2003_Guatemala</v>
      </c>
      <c r="D152" s="161">
        <v>4459400000</v>
      </c>
      <c r="E152" s="161">
        <v>8.2278900277996136</v>
      </c>
      <c r="F152" s="161">
        <v>0.38510660880910574</v>
      </c>
      <c r="G152" s="161">
        <f t="shared" si="7"/>
        <v>8.6129966366087204E-2</v>
      </c>
      <c r="H152" s="161">
        <f t="shared" si="8"/>
        <v>384087972.01292926</v>
      </c>
      <c r="I152" s="161" t="s">
        <v>2842</v>
      </c>
      <c r="J152" s="161" t="s">
        <v>2842</v>
      </c>
      <c r="K152" s="161" t="s">
        <v>2842</v>
      </c>
    </row>
    <row r="153" spans="1:11">
      <c r="A153" s="161">
        <v>2003</v>
      </c>
      <c r="B153" s="161" t="s">
        <v>2843</v>
      </c>
      <c r="C153" s="161" t="str">
        <f t="shared" si="6"/>
        <v>2003_Guinea</v>
      </c>
      <c r="D153" s="161">
        <v>609000000</v>
      </c>
      <c r="E153" s="161" t="s">
        <v>2842</v>
      </c>
      <c r="F153" s="161" t="s">
        <v>2842</v>
      </c>
      <c r="G153" s="161" t="str">
        <f t="shared" si="7"/>
        <v>..</v>
      </c>
      <c r="H153" s="161" t="str">
        <f t="shared" si="8"/>
        <v>..</v>
      </c>
      <c r="I153" s="161">
        <v>59.409019999999998</v>
      </c>
      <c r="J153" s="161">
        <v>73.952330000000003</v>
      </c>
      <c r="K153" s="161">
        <v>59.8491</v>
      </c>
    </row>
    <row r="154" spans="1:11">
      <c r="A154" s="161">
        <v>2003</v>
      </c>
      <c r="B154" s="161" t="s">
        <v>237</v>
      </c>
      <c r="C154" s="161" t="str">
        <f t="shared" si="6"/>
        <v>2003_Indonesia</v>
      </c>
      <c r="D154" s="161">
        <v>64108000000</v>
      </c>
      <c r="E154" s="161">
        <v>25.771400073339606</v>
      </c>
      <c r="F154" s="161">
        <v>5.7274911163704996</v>
      </c>
      <c r="G154" s="161">
        <f t="shared" si="7"/>
        <v>0.3149889118971011</v>
      </c>
      <c r="H154" s="161">
        <f t="shared" si="8"/>
        <v>20193309163.899357</v>
      </c>
      <c r="I154" s="161">
        <v>92.088570000000004</v>
      </c>
      <c r="J154" s="161">
        <v>111.27537</v>
      </c>
      <c r="K154" s="161">
        <v>96.467619999999997</v>
      </c>
    </row>
    <row r="155" spans="1:11">
      <c r="A155" s="161">
        <v>2003</v>
      </c>
      <c r="B155" s="161" t="s">
        <v>245</v>
      </c>
      <c r="C155" s="161" t="str">
        <f t="shared" si="6"/>
        <v>2003_Iraq</v>
      </c>
      <c r="D155" s="161">
        <v>9711000000</v>
      </c>
      <c r="E155" s="161" t="s">
        <v>2842</v>
      </c>
      <c r="F155" s="161" t="s">
        <v>2842</v>
      </c>
      <c r="G155" s="161" t="str">
        <f t="shared" si="7"/>
        <v>..</v>
      </c>
      <c r="H155" s="161" t="str">
        <f t="shared" si="8"/>
        <v>..</v>
      </c>
      <c r="I155" s="161">
        <v>93.781189999999995</v>
      </c>
      <c r="J155" s="161">
        <v>105.25788</v>
      </c>
      <c r="K155" s="161">
        <v>93.781189999999995</v>
      </c>
    </row>
    <row r="156" spans="1:11">
      <c r="A156" s="161">
        <v>2003</v>
      </c>
      <c r="B156" s="161" t="s">
        <v>273</v>
      </c>
      <c r="C156" s="161" t="str">
        <f t="shared" si="6"/>
        <v>2003_Kazakhstan</v>
      </c>
      <c r="D156" s="161">
        <v>12926700000</v>
      </c>
      <c r="E156" s="161">
        <v>61.841232161395546</v>
      </c>
      <c r="F156" s="161">
        <v>12.8906232733104</v>
      </c>
      <c r="G156" s="161">
        <f t="shared" si="7"/>
        <v>0.74731855434705952</v>
      </c>
      <c r="H156" s="161">
        <f t="shared" si="8"/>
        <v>9660362756.4781342</v>
      </c>
      <c r="I156" s="161">
        <v>91.805090000000007</v>
      </c>
      <c r="J156" s="161">
        <v>104.50801</v>
      </c>
      <c r="K156" s="161">
        <v>98.560230000000004</v>
      </c>
    </row>
    <row r="157" spans="1:11">
      <c r="A157" s="161">
        <v>2003</v>
      </c>
      <c r="B157" s="161" t="s">
        <v>309</v>
      </c>
      <c r="C157" s="161" t="str">
        <f t="shared" si="6"/>
        <v>2003_Madagascar</v>
      </c>
      <c r="D157" s="161">
        <v>856000000</v>
      </c>
      <c r="E157" s="161">
        <v>4.2810128475474016</v>
      </c>
      <c r="F157" s="161">
        <v>1.4122662195744553</v>
      </c>
      <c r="G157" s="161">
        <f t="shared" si="7"/>
        <v>5.6932790671218571E-2</v>
      </c>
      <c r="H157" s="161">
        <f t="shared" si="8"/>
        <v>48734468.814563096</v>
      </c>
      <c r="I157" s="161">
        <v>77.071330000000003</v>
      </c>
      <c r="J157" s="161">
        <v>117.26455</v>
      </c>
      <c r="K157" s="161">
        <v>77.434269999999998</v>
      </c>
    </row>
    <row r="158" spans="1:11">
      <c r="A158" s="161">
        <v>2003</v>
      </c>
      <c r="B158" s="161" t="s">
        <v>322</v>
      </c>
      <c r="C158" s="161" t="str">
        <f t="shared" si="6"/>
        <v>2003_Mali</v>
      </c>
      <c r="D158" s="161">
        <v>928000000</v>
      </c>
      <c r="E158" s="161">
        <v>1.3002190374297466</v>
      </c>
      <c r="F158" s="161">
        <v>7.3988153846613919E-2</v>
      </c>
      <c r="G158" s="161">
        <f t="shared" si="7"/>
        <v>1.3742071912763604E-2</v>
      </c>
      <c r="H158" s="161">
        <f t="shared" si="8"/>
        <v>12752642.735044625</v>
      </c>
      <c r="I158" s="161">
        <v>55.935400000000001</v>
      </c>
      <c r="J158" s="161">
        <v>73.393690000000007</v>
      </c>
      <c r="K158" s="161">
        <v>55.944130000000001</v>
      </c>
    </row>
    <row r="159" spans="1:11">
      <c r="A159" s="161">
        <v>2003</v>
      </c>
      <c r="B159" s="161" t="s">
        <v>338</v>
      </c>
      <c r="C159" s="161" t="str">
        <f t="shared" si="6"/>
        <v>2003_Mauritania</v>
      </c>
      <c r="D159" s="161">
        <v>318328267</v>
      </c>
      <c r="E159" s="161" t="s">
        <v>2842</v>
      </c>
      <c r="F159" s="161">
        <v>57.905225514937527</v>
      </c>
      <c r="G159" s="161" t="str">
        <f t="shared" si="7"/>
        <v>..</v>
      </c>
      <c r="H159" s="161" t="str">
        <f t="shared" si="8"/>
        <v>..</v>
      </c>
      <c r="I159" s="161">
        <v>65.257159999999999</v>
      </c>
      <c r="J159" s="161">
        <v>85.170739999999995</v>
      </c>
      <c r="K159" s="161">
        <v>65.538979999999995</v>
      </c>
    </row>
    <row r="160" spans="1:11">
      <c r="A160" s="161">
        <v>2003</v>
      </c>
      <c r="B160" s="161" t="s">
        <v>357</v>
      </c>
      <c r="C160" s="161" t="str">
        <f t="shared" si="6"/>
        <v>2003_Mongolia</v>
      </c>
      <c r="D160" s="161">
        <v>615900000</v>
      </c>
      <c r="E160" s="161">
        <v>2.9158524888856352</v>
      </c>
      <c r="F160" s="161">
        <v>43.050060265206575</v>
      </c>
      <c r="G160" s="161">
        <f t="shared" si="7"/>
        <v>0.45965912754092209</v>
      </c>
      <c r="H160" s="161">
        <f t="shared" si="8"/>
        <v>283104056.6524539</v>
      </c>
      <c r="I160" s="161">
        <v>82.563879999999997</v>
      </c>
      <c r="J160" s="161">
        <v>105.40457000000001</v>
      </c>
      <c r="K160" s="161">
        <v>85.969229999999996</v>
      </c>
    </row>
    <row r="161" spans="1:11">
      <c r="A161" s="161">
        <v>2003</v>
      </c>
      <c r="B161" s="161" t="s">
        <v>387</v>
      </c>
      <c r="C161" s="161" t="str">
        <f t="shared" si="6"/>
        <v>2003_Niger</v>
      </c>
      <c r="D161" s="161">
        <v>352000000</v>
      </c>
      <c r="E161" s="161">
        <v>1.4547609069161622</v>
      </c>
      <c r="F161" s="161">
        <v>50.257518215531626</v>
      </c>
      <c r="G161" s="161">
        <f t="shared" si="7"/>
        <v>0.51712279122447791</v>
      </c>
      <c r="H161" s="161">
        <f t="shared" si="8"/>
        <v>182027222.51101622</v>
      </c>
      <c r="I161" s="161">
        <v>38.909750000000003</v>
      </c>
      <c r="J161" s="161">
        <v>44.318510000000003</v>
      </c>
      <c r="K161" s="161">
        <v>39.239660000000001</v>
      </c>
    </row>
    <row r="162" spans="1:11">
      <c r="A162" s="161">
        <v>2003</v>
      </c>
      <c r="B162" s="161" t="s">
        <v>406</v>
      </c>
      <c r="C162" s="161" t="str">
        <f t="shared" si="6"/>
        <v>2003_Nigeria</v>
      </c>
      <c r="D162" s="161">
        <v>24031000000</v>
      </c>
      <c r="E162" s="161">
        <v>97.896615554941334</v>
      </c>
      <c r="F162" s="161">
        <v>2.8439888483900722E-3</v>
      </c>
      <c r="G162" s="161">
        <f t="shared" si="7"/>
        <v>0.97899459543789713</v>
      </c>
      <c r="H162" s="161">
        <f t="shared" si="8"/>
        <v>23526219122.968105</v>
      </c>
      <c r="I162" s="161" t="s">
        <v>2842</v>
      </c>
      <c r="J162" s="161" t="s">
        <v>2842</v>
      </c>
      <c r="K162" s="161" t="s">
        <v>2842</v>
      </c>
    </row>
    <row r="163" spans="1:11">
      <c r="A163" s="161">
        <v>2003</v>
      </c>
      <c r="B163" s="161" t="s">
        <v>429</v>
      </c>
      <c r="C163" s="161" t="str">
        <f t="shared" si="6"/>
        <v>2003_Norway</v>
      </c>
      <c r="D163" s="161">
        <v>68321000000</v>
      </c>
      <c r="E163" s="161">
        <v>61.175919803826318</v>
      </c>
      <c r="F163" s="161">
        <v>6.6513940912505713</v>
      </c>
      <c r="G163" s="161">
        <f t="shared" si="7"/>
        <v>0.67827313895076879</v>
      </c>
      <c r="H163" s="161">
        <f t="shared" si="8"/>
        <v>46340299126.255478</v>
      </c>
      <c r="I163" s="161">
        <v>99.855739999999997</v>
      </c>
      <c r="J163" s="161">
        <v>100.0731</v>
      </c>
      <c r="K163" s="161">
        <v>99.855739999999997</v>
      </c>
    </row>
    <row r="164" spans="1:11">
      <c r="A164" s="161">
        <v>2003</v>
      </c>
      <c r="B164" s="161" t="s">
        <v>442</v>
      </c>
      <c r="C164" s="161" t="str">
        <f t="shared" si="6"/>
        <v>2003_Peru</v>
      </c>
      <c r="D164" s="161">
        <v>9090730000</v>
      </c>
      <c r="E164" s="161">
        <v>9.5884442838831507</v>
      </c>
      <c r="F164" s="161">
        <v>39.878427280784763</v>
      </c>
      <c r="G164" s="161">
        <f t="shared" si="7"/>
        <v>0.49466871564667914</v>
      </c>
      <c r="H164" s="161">
        <f t="shared" si="8"/>
        <v>4496899733.3907356</v>
      </c>
      <c r="I164" s="161">
        <v>99.892319999999998</v>
      </c>
      <c r="J164" s="161">
        <v>117.7088</v>
      </c>
      <c r="K164" s="161">
        <v>99.892319999999998</v>
      </c>
    </row>
    <row r="165" spans="1:11">
      <c r="A165" s="161">
        <v>2003</v>
      </c>
      <c r="B165" s="161" t="s">
        <v>481</v>
      </c>
      <c r="C165" s="161" t="str">
        <f t="shared" si="6"/>
        <v>2003_Sierra Leone</v>
      </c>
      <c r="D165" s="161">
        <v>92251000</v>
      </c>
      <c r="E165" s="161" t="s">
        <v>2842</v>
      </c>
      <c r="F165" s="161" t="s">
        <v>2842</v>
      </c>
      <c r="G165" s="161" t="str">
        <f t="shared" si="7"/>
        <v>..</v>
      </c>
      <c r="H165" s="161" t="str">
        <f t="shared" si="8"/>
        <v>..</v>
      </c>
      <c r="I165" s="161" t="s">
        <v>2842</v>
      </c>
      <c r="J165" s="161" t="s">
        <v>2842</v>
      </c>
      <c r="K165" s="161" t="s">
        <v>2842</v>
      </c>
    </row>
    <row r="166" spans="1:11">
      <c r="A166" s="161">
        <v>2003</v>
      </c>
      <c r="B166" s="161" t="s">
        <v>492</v>
      </c>
      <c r="C166" s="161" t="str">
        <f t="shared" si="6"/>
        <v>2003_Tanzania</v>
      </c>
      <c r="D166" s="161">
        <v>1216100000</v>
      </c>
      <c r="E166" s="161">
        <v>9.5802246718611345E-2</v>
      </c>
      <c r="F166" s="161">
        <v>10.147862107913799</v>
      </c>
      <c r="G166" s="161">
        <f t="shared" si="7"/>
        <v>0.10243664354632409</v>
      </c>
      <c r="H166" s="161">
        <f t="shared" si="8"/>
        <v>124573202.21668473</v>
      </c>
      <c r="I166" s="161">
        <v>81.486130000000003</v>
      </c>
      <c r="J166" s="161">
        <v>95.645129999999995</v>
      </c>
      <c r="K166" s="161">
        <v>81.544479999999993</v>
      </c>
    </row>
    <row r="167" spans="1:11">
      <c r="A167" s="161">
        <v>2003</v>
      </c>
      <c r="B167" s="161" t="s">
        <v>2844</v>
      </c>
      <c r="C167" s="161" t="str">
        <f t="shared" si="6"/>
        <v>2003_Timor-Leste</v>
      </c>
      <c r="D167" s="161">
        <v>8000000</v>
      </c>
      <c r="E167" s="161" t="s">
        <v>2842</v>
      </c>
      <c r="F167" s="161" t="s">
        <v>2842</v>
      </c>
      <c r="G167" s="161" t="str">
        <f t="shared" si="7"/>
        <v>..</v>
      </c>
      <c r="H167" s="161" t="str">
        <f t="shared" si="8"/>
        <v>..</v>
      </c>
      <c r="I167" s="161" t="s">
        <v>2842</v>
      </c>
      <c r="J167" s="161">
        <v>107.81766</v>
      </c>
      <c r="K167" s="161" t="s">
        <v>2842</v>
      </c>
    </row>
    <row r="168" spans="1:11">
      <c r="A168" s="161">
        <v>2003</v>
      </c>
      <c r="B168" s="161" t="s">
        <v>510</v>
      </c>
      <c r="C168" s="161" t="str">
        <f t="shared" si="6"/>
        <v>2003_Togo</v>
      </c>
      <c r="D168" s="161">
        <v>598000000</v>
      </c>
      <c r="E168" s="161">
        <v>0.34627717618674803</v>
      </c>
      <c r="F168" s="161">
        <v>9.2413606692598851</v>
      </c>
      <c r="G168" s="161">
        <f t="shared" si="7"/>
        <v>9.5876378454466324E-2</v>
      </c>
      <c r="H168" s="161">
        <f t="shared" si="8"/>
        <v>57334074.315770864</v>
      </c>
      <c r="I168" s="161">
        <v>86.3035</v>
      </c>
      <c r="J168" s="161">
        <v>114.74406999999999</v>
      </c>
      <c r="K168" s="161">
        <v>88.875720000000001</v>
      </c>
    </row>
    <row r="169" spans="1:11">
      <c r="A169" s="161">
        <v>2003</v>
      </c>
      <c r="B169" s="161" t="s">
        <v>2845</v>
      </c>
      <c r="C169" s="161" t="str">
        <f t="shared" si="6"/>
        <v>2003_Trinidad and Tobago</v>
      </c>
      <c r="D169" s="161">
        <v>5177610000</v>
      </c>
      <c r="E169" s="161">
        <v>61.892351296618067</v>
      </c>
      <c r="F169" s="161">
        <v>0.1909211316437894</v>
      </c>
      <c r="G169" s="161">
        <f t="shared" si="7"/>
        <v>0.6208327242826186</v>
      </c>
      <c r="H169" s="161">
        <f t="shared" si="8"/>
        <v>3214429721.5729289</v>
      </c>
      <c r="I169" s="161">
        <v>90.993729999999999</v>
      </c>
      <c r="J169" s="161">
        <v>100.53892</v>
      </c>
      <c r="K169" s="161">
        <v>95.938119999999998</v>
      </c>
    </row>
    <row r="170" spans="1:11">
      <c r="A170" s="161">
        <v>2003</v>
      </c>
      <c r="B170" s="161" t="s">
        <v>2846</v>
      </c>
      <c r="C170" s="161" t="str">
        <f t="shared" si="6"/>
        <v>2003_Yemen, Rep.</v>
      </c>
      <c r="D170" s="161">
        <v>3732857000</v>
      </c>
      <c r="E170" s="161">
        <v>89.542941422421279</v>
      </c>
      <c r="F170" s="161">
        <v>7.439244464014147E-2</v>
      </c>
      <c r="G170" s="161">
        <f t="shared" si="7"/>
        <v>0.89617333867061422</v>
      </c>
      <c r="H170" s="161">
        <f t="shared" si="8"/>
        <v>3345286920.4699731</v>
      </c>
      <c r="I170" s="161">
        <v>71.946420000000003</v>
      </c>
      <c r="J170" s="161">
        <v>83.631619999999998</v>
      </c>
      <c r="K170" s="161">
        <v>72.424160000000001</v>
      </c>
    </row>
    <row r="171" spans="1:11">
      <c r="A171" s="161">
        <v>2003</v>
      </c>
      <c r="B171" s="161" t="s">
        <v>534</v>
      </c>
      <c r="C171" s="161" t="str">
        <f t="shared" si="6"/>
        <v>2003_Zambia</v>
      </c>
      <c r="D171" s="161">
        <v>980445000</v>
      </c>
      <c r="E171" s="161">
        <v>1.3934051913843226</v>
      </c>
      <c r="F171" s="161">
        <v>67.513395523272933</v>
      </c>
      <c r="G171" s="161">
        <f t="shared" si="7"/>
        <v>0.68906800714657246</v>
      </c>
      <c r="H171" s="161">
        <f t="shared" si="8"/>
        <v>675593282.26682127</v>
      </c>
      <c r="I171" s="161" t="s">
        <v>2842</v>
      </c>
      <c r="J171" s="161" t="s">
        <v>2842</v>
      </c>
      <c r="K171" s="161" t="s">
        <v>2842</v>
      </c>
    </row>
    <row r="172" spans="1:11">
      <c r="A172" s="161">
        <v>2004</v>
      </c>
      <c r="B172" s="161" t="s">
        <v>16</v>
      </c>
      <c r="C172" s="161" t="str">
        <f t="shared" si="6"/>
        <v>2004_Afghanistan</v>
      </c>
      <c r="D172" s="161">
        <v>305000000</v>
      </c>
      <c r="E172" s="161" t="s">
        <v>2842</v>
      </c>
      <c r="F172" s="161" t="s">
        <v>2842</v>
      </c>
      <c r="G172" s="161" t="str">
        <f t="shared" si="7"/>
        <v>..</v>
      </c>
      <c r="H172" s="161" t="str">
        <f t="shared" si="8"/>
        <v>..</v>
      </c>
      <c r="I172" s="161" t="s">
        <v>2842</v>
      </c>
      <c r="J172" s="161">
        <v>104.87988</v>
      </c>
      <c r="K172" s="161" t="s">
        <v>2842</v>
      </c>
    </row>
    <row r="173" spans="1:11">
      <c r="A173" s="161">
        <v>2004</v>
      </c>
      <c r="B173" s="161" t="s">
        <v>33</v>
      </c>
      <c r="C173" s="161" t="str">
        <f t="shared" si="6"/>
        <v>2004_Albania</v>
      </c>
      <c r="D173" s="161">
        <v>605400000</v>
      </c>
      <c r="E173" s="161">
        <v>2.6277119080707485</v>
      </c>
      <c r="F173" s="161">
        <v>5.5223065911210156</v>
      </c>
      <c r="G173" s="161">
        <f t="shared" si="7"/>
        <v>8.1500184991917649E-2</v>
      </c>
      <c r="H173" s="161">
        <f t="shared" si="8"/>
        <v>49340211.994106941</v>
      </c>
      <c r="I173" s="161" t="s">
        <v>2842</v>
      </c>
      <c r="J173" s="161" t="s">
        <v>2842</v>
      </c>
      <c r="K173" s="161" t="s">
        <v>2842</v>
      </c>
    </row>
    <row r="174" spans="1:11">
      <c r="A174" s="161">
        <v>2004</v>
      </c>
      <c r="B174" s="161" t="s">
        <v>48</v>
      </c>
      <c r="C174" s="161" t="str">
        <f t="shared" si="6"/>
        <v>2004_Azerbaijan</v>
      </c>
      <c r="D174" s="161">
        <v>3615400000</v>
      </c>
      <c r="E174" s="161">
        <v>82.215961062484965</v>
      </c>
      <c r="F174" s="161">
        <v>1.4202708226380816</v>
      </c>
      <c r="G174" s="161">
        <f t="shared" si="7"/>
        <v>0.83636231885123058</v>
      </c>
      <c r="H174" s="161">
        <f t="shared" si="8"/>
        <v>3023784327.574739</v>
      </c>
      <c r="I174" s="161">
        <v>84.212280000000007</v>
      </c>
      <c r="J174" s="161">
        <v>97.261330000000001</v>
      </c>
      <c r="K174" s="161">
        <v>84.283259999999999</v>
      </c>
    </row>
    <row r="175" spans="1:11">
      <c r="A175" s="161">
        <v>2004</v>
      </c>
      <c r="B175" s="161" t="s">
        <v>93</v>
      </c>
      <c r="C175" s="161" t="str">
        <f t="shared" si="6"/>
        <v>2004_Burkina Faso</v>
      </c>
      <c r="D175" s="161">
        <v>479287000</v>
      </c>
      <c r="E175" s="161">
        <v>4.4905842944844419E-2</v>
      </c>
      <c r="F175" s="161">
        <v>0.15241036785129192</v>
      </c>
      <c r="G175" s="161">
        <f t="shared" si="7"/>
        <v>1.9731621079613635E-3</v>
      </c>
      <c r="H175" s="161">
        <f t="shared" si="8"/>
        <v>945710.94723847799</v>
      </c>
      <c r="I175" s="161">
        <v>41.140929999999997</v>
      </c>
      <c r="J175" s="161">
        <v>53.863930000000003</v>
      </c>
      <c r="K175" s="161">
        <v>41.896529999999998</v>
      </c>
    </row>
    <row r="176" spans="1:11">
      <c r="A176" s="161">
        <v>2004</v>
      </c>
      <c r="B176" s="161" t="s">
        <v>96</v>
      </c>
      <c r="C176" s="161" t="str">
        <f t="shared" si="6"/>
        <v>2004_Cameroon</v>
      </c>
      <c r="D176" s="161">
        <v>2476762000</v>
      </c>
      <c r="E176" s="161">
        <v>46.685036230435919</v>
      </c>
      <c r="F176" s="161">
        <v>5.0618780383916011</v>
      </c>
      <c r="G176" s="161">
        <f t="shared" si="7"/>
        <v>0.51746914268827526</v>
      </c>
      <c r="H176" s="161">
        <f t="shared" si="8"/>
        <v>1281647908.7828979</v>
      </c>
      <c r="I176" s="161" t="s">
        <v>2842</v>
      </c>
      <c r="J176" s="161">
        <v>102.21165999999999</v>
      </c>
      <c r="K176" s="161" t="s">
        <v>2842</v>
      </c>
    </row>
    <row r="177" spans="1:11">
      <c r="A177" s="161">
        <v>2004</v>
      </c>
      <c r="B177" s="161" t="s">
        <v>122</v>
      </c>
      <c r="C177" s="161" t="str">
        <f t="shared" si="6"/>
        <v>2004_Central African Republic</v>
      </c>
      <c r="D177" s="161">
        <v>133829278</v>
      </c>
      <c r="E177" s="161">
        <v>0.18329670096920042</v>
      </c>
      <c r="F177" s="161">
        <v>36.822173893972739</v>
      </c>
      <c r="G177" s="161">
        <f t="shared" si="7"/>
        <v>0.37005470594941942</v>
      </c>
      <c r="H177" s="161">
        <f t="shared" si="8"/>
        <v>49524154.117713101</v>
      </c>
      <c r="I177" s="161" t="s">
        <v>2842</v>
      </c>
      <c r="J177" s="161">
        <v>59.82873</v>
      </c>
      <c r="K177" s="161" t="s">
        <v>2842</v>
      </c>
    </row>
    <row r="178" spans="1:11">
      <c r="A178" s="161">
        <v>2004</v>
      </c>
      <c r="B178" s="161" t="s">
        <v>133</v>
      </c>
      <c r="C178" s="161" t="str">
        <f t="shared" si="6"/>
        <v>2004_Chad</v>
      </c>
      <c r="D178" s="161">
        <v>2191000000</v>
      </c>
      <c r="E178" s="161" t="s">
        <v>2842</v>
      </c>
      <c r="F178" s="161" t="s">
        <v>2842</v>
      </c>
      <c r="G178" s="161" t="str">
        <f t="shared" si="7"/>
        <v>..</v>
      </c>
      <c r="H178" s="161" t="str">
        <f t="shared" si="8"/>
        <v>..</v>
      </c>
      <c r="I178" s="161" t="s">
        <v>2842</v>
      </c>
      <c r="J178" s="161">
        <v>75.513419999999996</v>
      </c>
      <c r="K178" s="161" t="s">
        <v>2842</v>
      </c>
    </row>
    <row r="179" spans="1:11">
      <c r="A179" s="161">
        <v>2004</v>
      </c>
      <c r="B179" s="161" t="s">
        <v>3544</v>
      </c>
      <c r="C179" s="161" t="str">
        <f t="shared" si="6"/>
        <v>2004_Congo, Dem. Rep.</v>
      </c>
      <c r="D179" s="161">
        <v>1917200000</v>
      </c>
      <c r="E179" s="161" t="s">
        <v>2842</v>
      </c>
      <c r="F179" s="161" t="s">
        <v>2842</v>
      </c>
      <c r="G179" s="161" t="str">
        <f t="shared" si="7"/>
        <v>..</v>
      </c>
      <c r="H179" s="161" t="str">
        <f t="shared" si="8"/>
        <v>..</v>
      </c>
      <c r="I179" s="161" t="s">
        <v>2842</v>
      </c>
      <c r="J179" s="161" t="s">
        <v>2842</v>
      </c>
      <c r="K179" s="161" t="s">
        <v>2842</v>
      </c>
    </row>
    <row r="180" spans="1:11">
      <c r="A180" s="161">
        <v>2004</v>
      </c>
      <c r="B180" s="161" t="s">
        <v>3543</v>
      </c>
      <c r="C180" s="161" t="str">
        <f t="shared" si="6"/>
        <v>2004_Congo, Rep.</v>
      </c>
      <c r="D180" s="161">
        <v>3433000000</v>
      </c>
      <c r="E180" s="161" t="s">
        <v>2842</v>
      </c>
      <c r="F180" s="161" t="s">
        <v>2842</v>
      </c>
      <c r="G180" s="161" t="str">
        <f t="shared" si="7"/>
        <v>..</v>
      </c>
      <c r="H180" s="161" t="str">
        <f t="shared" si="8"/>
        <v>..</v>
      </c>
      <c r="I180" s="161" t="s">
        <v>2842</v>
      </c>
      <c r="J180" s="161">
        <v>111.21366999999999</v>
      </c>
      <c r="K180" s="161" t="s">
        <v>2842</v>
      </c>
    </row>
    <row r="181" spans="1:11">
      <c r="A181" s="161">
        <v>2004</v>
      </c>
      <c r="B181" s="161" t="s">
        <v>182</v>
      </c>
      <c r="C181" s="161" t="str">
        <f t="shared" si="6"/>
        <v>2004_Equatorial Guinea</v>
      </c>
      <c r="D181" s="161">
        <v>4598843000</v>
      </c>
      <c r="E181" s="161" t="s">
        <v>2842</v>
      </c>
      <c r="F181" s="161" t="s">
        <v>2842</v>
      </c>
      <c r="G181" s="161" t="str">
        <f t="shared" si="7"/>
        <v>..</v>
      </c>
      <c r="H181" s="161" t="str">
        <f t="shared" si="8"/>
        <v>..</v>
      </c>
      <c r="I181" s="161" t="s">
        <v>2842</v>
      </c>
      <c r="J181" s="161" t="s">
        <v>2842</v>
      </c>
      <c r="K181" s="161" t="s">
        <v>2842</v>
      </c>
    </row>
    <row r="182" spans="1:11">
      <c r="A182" s="161">
        <v>2004</v>
      </c>
      <c r="B182" s="161" t="s">
        <v>185</v>
      </c>
      <c r="C182" s="161" t="str">
        <f t="shared" si="6"/>
        <v>2004_Gabon</v>
      </c>
      <c r="D182" s="161">
        <v>3727628080</v>
      </c>
      <c r="E182" s="161">
        <v>76.183910694555763</v>
      </c>
      <c r="F182" s="161">
        <v>5.5084367041386137</v>
      </c>
      <c r="G182" s="161">
        <f t="shared" si="7"/>
        <v>0.81692347398694376</v>
      </c>
      <c r="H182" s="161">
        <f t="shared" si="8"/>
        <v>3045186880.8448811</v>
      </c>
      <c r="I182" s="161" t="s">
        <v>2842</v>
      </c>
      <c r="J182" s="161" t="s">
        <v>2842</v>
      </c>
      <c r="K182" s="161" t="s">
        <v>2842</v>
      </c>
    </row>
    <row r="183" spans="1:11">
      <c r="A183" s="161">
        <v>2004</v>
      </c>
      <c r="B183" s="161" t="s">
        <v>294</v>
      </c>
      <c r="C183" s="161" t="str">
        <f t="shared" si="6"/>
        <v>2004_Liberia</v>
      </c>
      <c r="D183" s="161">
        <v>103800000</v>
      </c>
      <c r="E183" s="161" t="s">
        <v>2842</v>
      </c>
      <c r="F183" s="161" t="s">
        <v>2842</v>
      </c>
      <c r="G183" s="161" t="str">
        <f t="shared" si="7"/>
        <v>..</v>
      </c>
      <c r="H183" s="161" t="str">
        <f t="shared" si="8"/>
        <v>..</v>
      </c>
      <c r="I183" s="161" t="s">
        <v>2842</v>
      </c>
      <c r="J183" s="161" t="s">
        <v>2842</v>
      </c>
      <c r="K183" s="161" t="s">
        <v>2842</v>
      </c>
    </row>
    <row r="184" spans="1:11">
      <c r="A184" s="161">
        <v>2004</v>
      </c>
      <c r="B184" s="161" t="s">
        <v>278</v>
      </c>
      <c r="C184" s="161" t="str">
        <f t="shared" si="6"/>
        <v>2004_Kyrgyz Republic</v>
      </c>
      <c r="D184" s="161">
        <v>718800000</v>
      </c>
      <c r="E184" s="161">
        <v>18.835434982661194</v>
      </c>
      <c r="F184" s="161">
        <v>7.3114810212594055</v>
      </c>
      <c r="G184" s="161">
        <f t="shared" si="7"/>
        <v>0.26146916003920601</v>
      </c>
      <c r="H184" s="161">
        <f t="shared" si="8"/>
        <v>187944032.23618129</v>
      </c>
      <c r="I184" s="161">
        <v>90.172269999999997</v>
      </c>
      <c r="J184" s="161">
        <v>98.093389999999999</v>
      </c>
      <c r="K184" s="161">
        <v>97.889880000000005</v>
      </c>
    </row>
    <row r="185" spans="1:11">
      <c r="A185" s="161">
        <v>2004</v>
      </c>
      <c r="B185" s="161" t="s">
        <v>189</v>
      </c>
      <c r="C185" s="161" t="str">
        <f t="shared" si="6"/>
        <v>2004_Ghana</v>
      </c>
      <c r="D185" s="161">
        <v>2450000000</v>
      </c>
      <c r="E185" s="161" t="s">
        <v>2842</v>
      </c>
      <c r="F185" s="161" t="s">
        <v>2842</v>
      </c>
      <c r="G185" s="161" t="str">
        <f t="shared" si="7"/>
        <v>..</v>
      </c>
      <c r="H185" s="161" t="str">
        <f t="shared" si="8"/>
        <v>..</v>
      </c>
      <c r="I185" s="161">
        <v>59.617249999999999</v>
      </c>
      <c r="J185" s="161">
        <v>83.806799999999996</v>
      </c>
      <c r="K185" s="161">
        <v>60.50224</v>
      </c>
    </row>
    <row r="186" spans="1:11">
      <c r="A186" s="161">
        <v>2004</v>
      </c>
      <c r="B186" s="161" t="s">
        <v>213</v>
      </c>
      <c r="C186" s="161" t="str">
        <f t="shared" si="6"/>
        <v>2004_Guatemala</v>
      </c>
      <c r="D186" s="161">
        <v>5036400000</v>
      </c>
      <c r="E186" s="161">
        <v>8.2869357157436809</v>
      </c>
      <c r="F186" s="161">
        <v>0.49881368530456244</v>
      </c>
      <c r="G186" s="161">
        <f t="shared" si="7"/>
        <v>8.7857494010482429E-2</v>
      </c>
      <c r="H186" s="161">
        <f t="shared" si="8"/>
        <v>442485482.83439368</v>
      </c>
      <c r="I186" s="161">
        <v>92.415350000000004</v>
      </c>
      <c r="J186" s="161">
        <v>112.44970000000001</v>
      </c>
      <c r="K186" s="161">
        <v>93.858199999999997</v>
      </c>
    </row>
    <row r="187" spans="1:11">
      <c r="A187" s="161">
        <v>2004</v>
      </c>
      <c r="B187" s="161" t="s">
        <v>2843</v>
      </c>
      <c r="C187" s="161" t="str">
        <f t="shared" si="6"/>
        <v>2004_Guinea</v>
      </c>
      <c r="D187" s="161">
        <v>744230000</v>
      </c>
      <c r="E187" s="161">
        <v>0.26828433251140954</v>
      </c>
      <c r="F187" s="161">
        <v>77.618388165773538</v>
      </c>
      <c r="G187" s="161">
        <f t="shared" si="7"/>
        <v>0.77886672498284948</v>
      </c>
      <c r="H187" s="161">
        <f t="shared" si="8"/>
        <v>579655982.73398602</v>
      </c>
      <c r="I187" s="161">
        <v>62.590130000000002</v>
      </c>
      <c r="J187" s="161">
        <v>77.596999999999994</v>
      </c>
      <c r="K187" s="161">
        <v>63.078279999999999</v>
      </c>
    </row>
    <row r="188" spans="1:11">
      <c r="A188" s="161">
        <v>2004</v>
      </c>
      <c r="B188" s="161" t="s">
        <v>237</v>
      </c>
      <c r="C188" s="161" t="str">
        <f t="shared" si="6"/>
        <v>2004_Indonesia</v>
      </c>
      <c r="D188" s="161">
        <v>70766610000</v>
      </c>
      <c r="E188" s="161">
        <v>25.799477522207791</v>
      </c>
      <c r="F188" s="161">
        <v>6.4345005423948471</v>
      </c>
      <c r="G188" s="161">
        <f t="shared" si="7"/>
        <v>0.32233978064602636</v>
      </c>
      <c r="H188" s="161">
        <f t="shared" si="8"/>
        <v>22810893544.462894</v>
      </c>
      <c r="I188" s="161">
        <v>91.206339999999997</v>
      </c>
      <c r="J188" s="161">
        <v>110.71783000000001</v>
      </c>
      <c r="K188" s="161">
        <v>95.743610000000004</v>
      </c>
    </row>
    <row r="189" spans="1:11">
      <c r="A189" s="161">
        <v>2004</v>
      </c>
      <c r="B189" s="161" t="s">
        <v>245</v>
      </c>
      <c r="C189" s="161" t="str">
        <f t="shared" si="6"/>
        <v>2004_Iraq</v>
      </c>
      <c r="D189" s="161">
        <v>17810000000</v>
      </c>
      <c r="E189" s="161">
        <v>96.031832048607228</v>
      </c>
      <c r="F189" s="161">
        <v>2.2713330200377115E-2</v>
      </c>
      <c r="G189" s="161">
        <f t="shared" si="7"/>
        <v>0.96054545378807599</v>
      </c>
      <c r="H189" s="161">
        <f t="shared" si="8"/>
        <v>17107314531.965633</v>
      </c>
      <c r="I189" s="161">
        <v>92.461209999999994</v>
      </c>
      <c r="J189" s="161">
        <v>103.77634</v>
      </c>
      <c r="K189" s="161">
        <v>92.461209999999994</v>
      </c>
    </row>
    <row r="190" spans="1:11">
      <c r="A190" s="161">
        <v>2004</v>
      </c>
      <c r="B190" s="161" t="s">
        <v>273</v>
      </c>
      <c r="C190" s="161" t="str">
        <f t="shared" si="6"/>
        <v>2004_Kazakhstan</v>
      </c>
      <c r="D190" s="161">
        <v>20093100000</v>
      </c>
      <c r="E190" s="161">
        <v>64.843126733242201</v>
      </c>
      <c r="F190" s="161">
        <v>14.03141389487374</v>
      </c>
      <c r="G190" s="161">
        <f t="shared" si="7"/>
        <v>0.78874540628115941</v>
      </c>
      <c r="H190" s="161">
        <f t="shared" si="8"/>
        <v>15848340322.947964</v>
      </c>
      <c r="I190" s="161">
        <v>92.422799999999995</v>
      </c>
      <c r="J190" s="161">
        <v>105.22275</v>
      </c>
      <c r="K190" s="161">
        <v>98.705569999999994</v>
      </c>
    </row>
    <row r="191" spans="1:11">
      <c r="A191" s="161">
        <v>2004</v>
      </c>
      <c r="B191" s="161" t="s">
        <v>309</v>
      </c>
      <c r="C191" s="161" t="str">
        <f t="shared" si="6"/>
        <v>2004_Madagascar</v>
      </c>
      <c r="D191" s="161">
        <v>991613000</v>
      </c>
      <c r="E191" s="161">
        <v>1.7857751871216996</v>
      </c>
      <c r="F191" s="161">
        <v>2.4911953230906692</v>
      </c>
      <c r="G191" s="161">
        <f t="shared" si="7"/>
        <v>4.276970510212369E-2</v>
      </c>
      <c r="H191" s="161">
        <f t="shared" si="8"/>
        <v>42410995.585432179</v>
      </c>
      <c r="I191" s="161" t="s">
        <v>2842</v>
      </c>
      <c r="J191" s="161">
        <v>133.66206</v>
      </c>
      <c r="K191" s="161" t="s">
        <v>2842</v>
      </c>
    </row>
    <row r="192" spans="1:11">
      <c r="A192" s="161">
        <v>2004</v>
      </c>
      <c r="B192" s="161" t="s">
        <v>322</v>
      </c>
      <c r="C192" s="161" t="str">
        <f t="shared" si="6"/>
        <v>2004_Mali</v>
      </c>
      <c r="D192" s="161">
        <v>976433000</v>
      </c>
      <c r="E192" s="161">
        <v>0.76755771634745251</v>
      </c>
      <c r="F192" s="161">
        <v>0.1116942552713721</v>
      </c>
      <c r="G192" s="161">
        <f t="shared" si="7"/>
        <v>8.7925197161882462E-3</v>
      </c>
      <c r="H192" s="161">
        <f t="shared" si="8"/>
        <v>8585306.4040368386</v>
      </c>
      <c r="I192" s="161">
        <v>55.964390000000002</v>
      </c>
      <c r="J192" s="161">
        <v>76.731449999999995</v>
      </c>
      <c r="K192" s="161">
        <v>55.964390000000002</v>
      </c>
    </row>
    <row r="193" spans="1:11">
      <c r="A193" s="161">
        <v>2004</v>
      </c>
      <c r="B193" s="161" t="s">
        <v>338</v>
      </c>
      <c r="C193" s="161" t="str">
        <f t="shared" si="6"/>
        <v>2004_Mauritania</v>
      </c>
      <c r="D193" s="161">
        <v>439609758</v>
      </c>
      <c r="E193" s="161" t="s">
        <v>2842</v>
      </c>
      <c r="F193" s="161">
        <v>59.826749472719243</v>
      </c>
      <c r="G193" s="161" t="str">
        <f t="shared" si="7"/>
        <v>..</v>
      </c>
      <c r="H193" s="161" t="str">
        <f t="shared" si="8"/>
        <v>..</v>
      </c>
      <c r="I193" s="161">
        <v>72.198329999999999</v>
      </c>
      <c r="J193" s="161">
        <v>91.483369999999994</v>
      </c>
      <c r="K193" s="161">
        <v>72.413880000000006</v>
      </c>
    </row>
    <row r="194" spans="1:11">
      <c r="A194" s="161">
        <v>2004</v>
      </c>
      <c r="B194" s="161" t="s">
        <v>357</v>
      </c>
      <c r="C194" s="161" t="str">
        <f t="shared" ref="C194:C257" si="9">$A194&amp;"_"&amp;$B194</f>
        <v>2004_Mongolia</v>
      </c>
      <c r="D194" s="161">
        <v>869700000</v>
      </c>
      <c r="E194" s="161">
        <v>4.0919892394688224</v>
      </c>
      <c r="F194" s="161">
        <v>54.480562619488047</v>
      </c>
      <c r="G194" s="161">
        <f t="shared" si="7"/>
        <v>0.58572551858956867</v>
      </c>
      <c r="H194" s="161">
        <f t="shared" si="8"/>
        <v>509405483.51734787</v>
      </c>
      <c r="I194" s="161">
        <v>87.439580000000007</v>
      </c>
      <c r="J194" s="161">
        <v>108.52431</v>
      </c>
      <c r="K194" s="161">
        <v>92.843459999999993</v>
      </c>
    </row>
    <row r="195" spans="1:11">
      <c r="A195" s="161">
        <v>2004</v>
      </c>
      <c r="B195" s="161" t="s">
        <v>387</v>
      </c>
      <c r="C195" s="161" t="str">
        <f t="shared" si="9"/>
        <v>2004_Niger</v>
      </c>
      <c r="D195" s="161">
        <v>437000000</v>
      </c>
      <c r="E195" s="161">
        <v>2.36683825549001</v>
      </c>
      <c r="F195" s="161">
        <v>35.488665200197687</v>
      </c>
      <c r="G195" s="161">
        <f t="shared" ref="G195:G258" si="10">IFERROR(($E195+$F195)/100,"..")</f>
        <v>0.37855503455687695</v>
      </c>
      <c r="H195" s="161">
        <f t="shared" ref="H195:H258" si="11">IFERROR($G195*$D195,"..")</f>
        <v>165428550.10135522</v>
      </c>
      <c r="I195" s="161">
        <v>42.46452</v>
      </c>
      <c r="J195" s="161">
        <v>48.327030000000001</v>
      </c>
      <c r="K195" s="161">
        <v>42.813299999999998</v>
      </c>
    </row>
    <row r="196" spans="1:11">
      <c r="A196" s="161">
        <v>2004</v>
      </c>
      <c r="B196" s="161" t="s">
        <v>406</v>
      </c>
      <c r="C196" s="161" t="str">
        <f t="shared" si="9"/>
        <v>2004_Nigeria</v>
      </c>
      <c r="D196" s="161">
        <v>38631000000</v>
      </c>
      <c r="E196" s="161" t="s">
        <v>2842</v>
      </c>
      <c r="F196" s="161" t="s">
        <v>2842</v>
      </c>
      <c r="G196" s="161" t="str">
        <f t="shared" si="10"/>
        <v>..</v>
      </c>
      <c r="H196" s="161" t="str">
        <f t="shared" si="11"/>
        <v>..</v>
      </c>
      <c r="I196" s="161">
        <v>66.122029999999995</v>
      </c>
      <c r="J196" s="161">
        <v>100.25655999999999</v>
      </c>
      <c r="K196" s="161">
        <v>66.122029999999995</v>
      </c>
    </row>
    <row r="197" spans="1:11">
      <c r="A197" s="161">
        <v>2004</v>
      </c>
      <c r="B197" s="161" t="s">
        <v>429</v>
      </c>
      <c r="C197" s="161" t="str">
        <f t="shared" si="9"/>
        <v>2004_Norway</v>
      </c>
      <c r="D197" s="161">
        <v>82527000000</v>
      </c>
      <c r="E197" s="161">
        <v>63.612388266996447</v>
      </c>
      <c r="F197" s="161">
        <v>7.0462634352789655</v>
      </c>
      <c r="G197" s="161">
        <f t="shared" si="10"/>
        <v>0.7065865170227541</v>
      </c>
      <c r="H197" s="161">
        <f t="shared" si="11"/>
        <v>58312465490.33683</v>
      </c>
      <c r="I197" s="161">
        <v>99.454359999999994</v>
      </c>
      <c r="J197" s="161">
        <v>99.454359999999994</v>
      </c>
      <c r="K197" s="161">
        <v>99.454589999999996</v>
      </c>
    </row>
    <row r="198" spans="1:11">
      <c r="A198" s="161">
        <v>2004</v>
      </c>
      <c r="B198" s="161" t="s">
        <v>442</v>
      </c>
      <c r="C198" s="161" t="str">
        <f t="shared" si="9"/>
        <v>2004_Peru</v>
      </c>
      <c r="D198" s="161">
        <v>12809000000</v>
      </c>
      <c r="E198" s="161">
        <v>6.7243393961249929</v>
      </c>
      <c r="F198" s="161">
        <v>48.108346449463909</v>
      </c>
      <c r="G198" s="161">
        <f t="shared" si="10"/>
        <v>0.54832685845588902</v>
      </c>
      <c r="H198" s="161">
        <f t="shared" si="11"/>
        <v>7023518729.961482</v>
      </c>
      <c r="I198" s="161">
        <v>97.09084</v>
      </c>
      <c r="J198" s="161">
        <v>116.01758</v>
      </c>
      <c r="K198" s="161">
        <v>99.634069999999994</v>
      </c>
    </row>
    <row r="199" spans="1:11">
      <c r="A199" s="161">
        <v>2004</v>
      </c>
      <c r="B199" s="161" t="s">
        <v>481</v>
      </c>
      <c r="C199" s="161" t="str">
        <f t="shared" si="9"/>
        <v>2004_Sierra Leone</v>
      </c>
      <c r="D199" s="161">
        <v>138590000</v>
      </c>
      <c r="E199" s="161" t="s">
        <v>2842</v>
      </c>
      <c r="F199" s="161" t="s">
        <v>2842</v>
      </c>
      <c r="G199" s="161" t="str">
        <f t="shared" si="10"/>
        <v>..</v>
      </c>
      <c r="H199" s="161" t="str">
        <f t="shared" si="11"/>
        <v>..</v>
      </c>
      <c r="I199" s="161" t="s">
        <v>2842</v>
      </c>
      <c r="J199" s="161" t="s">
        <v>2842</v>
      </c>
      <c r="K199" s="161" t="s">
        <v>2842</v>
      </c>
    </row>
    <row r="200" spans="1:11">
      <c r="A200" s="161">
        <v>2004</v>
      </c>
      <c r="B200" s="161" t="s">
        <v>492</v>
      </c>
      <c r="C200" s="161" t="str">
        <f t="shared" si="9"/>
        <v>2004_Tanzania</v>
      </c>
      <c r="D200" s="161">
        <v>1479100000</v>
      </c>
      <c r="E200" s="161">
        <v>0.20140267545837479</v>
      </c>
      <c r="F200" s="161">
        <v>13.732639338585987</v>
      </c>
      <c r="G200" s="161">
        <f t="shared" si="10"/>
        <v>0.13934042014044362</v>
      </c>
      <c r="H200" s="161">
        <f t="shared" si="11"/>
        <v>206098415.42973015</v>
      </c>
      <c r="I200" s="161">
        <v>85.969499999999996</v>
      </c>
      <c r="J200" s="161">
        <v>100.90755</v>
      </c>
      <c r="K200" s="161">
        <v>86.045659999999998</v>
      </c>
    </row>
    <row r="201" spans="1:11">
      <c r="A201" s="161">
        <v>2004</v>
      </c>
      <c r="B201" s="161" t="s">
        <v>2844</v>
      </c>
      <c r="C201" s="161" t="str">
        <f t="shared" si="9"/>
        <v>2004_Timor-Leste</v>
      </c>
      <c r="D201" s="161">
        <v>7336000</v>
      </c>
      <c r="E201" s="161">
        <v>0</v>
      </c>
      <c r="F201" s="161">
        <v>1.4342625824987837E-4</v>
      </c>
      <c r="G201" s="161">
        <f t="shared" si="10"/>
        <v>1.4342625824987838E-6</v>
      </c>
      <c r="H201" s="161">
        <f t="shared" si="11"/>
        <v>10.521750305211079</v>
      </c>
      <c r="I201" s="161" t="s">
        <v>2842</v>
      </c>
      <c r="J201" s="161">
        <v>101.97862000000001</v>
      </c>
      <c r="K201" s="161" t="s">
        <v>2842</v>
      </c>
    </row>
    <row r="202" spans="1:11">
      <c r="A202" s="161">
        <v>2004</v>
      </c>
      <c r="B202" s="161" t="s">
        <v>510</v>
      </c>
      <c r="C202" s="161" t="str">
        <f t="shared" si="9"/>
        <v>2004_Togo</v>
      </c>
      <c r="D202" s="161">
        <v>601000000</v>
      </c>
      <c r="E202" s="161">
        <v>0.36915382599063046</v>
      </c>
      <c r="F202" s="161">
        <v>12.691670169028335</v>
      </c>
      <c r="G202" s="161">
        <f t="shared" si="10"/>
        <v>0.13060823995018966</v>
      </c>
      <c r="H202" s="161">
        <f t="shared" si="11"/>
        <v>78495552.210063994</v>
      </c>
      <c r="I202" s="161">
        <v>88.751329999999996</v>
      </c>
      <c r="J202" s="161">
        <v>113.92523</v>
      </c>
      <c r="K202" s="161">
        <v>91.725189999999998</v>
      </c>
    </row>
    <row r="203" spans="1:11">
      <c r="A203" s="161">
        <v>2004</v>
      </c>
      <c r="B203" s="161" t="s">
        <v>2845</v>
      </c>
      <c r="C203" s="161" t="str">
        <f t="shared" si="9"/>
        <v>2004_Trinidad and Tobago</v>
      </c>
      <c r="D203" s="161">
        <v>6517202000</v>
      </c>
      <c r="E203" s="161">
        <v>60.206847889551732</v>
      </c>
      <c r="F203" s="161">
        <v>0.2284350512234776</v>
      </c>
      <c r="G203" s="161">
        <f t="shared" si="10"/>
        <v>0.60435282940775215</v>
      </c>
      <c r="H203" s="161">
        <f t="shared" si="11"/>
        <v>3938689468.5218611</v>
      </c>
      <c r="I203" s="161">
        <v>91.684510000000003</v>
      </c>
      <c r="J203" s="161">
        <v>101.73067</v>
      </c>
      <c r="K203" s="161">
        <v>96.600899999999996</v>
      </c>
    </row>
    <row r="204" spans="1:11">
      <c r="A204" s="161">
        <v>2004</v>
      </c>
      <c r="B204" s="161" t="s">
        <v>2846</v>
      </c>
      <c r="C204" s="161" t="str">
        <f t="shared" si="9"/>
        <v>2004_Yemen, Rep.</v>
      </c>
      <c r="D204" s="161">
        <v>4072487000</v>
      </c>
      <c r="E204" s="161">
        <v>93.457992363907977</v>
      </c>
      <c r="F204" s="161">
        <v>0.16609449294689113</v>
      </c>
      <c r="G204" s="161">
        <f t="shared" si="10"/>
        <v>0.93624086856854871</v>
      </c>
      <c r="H204" s="161">
        <f t="shared" si="11"/>
        <v>3812828766.1141233</v>
      </c>
      <c r="I204" s="161">
        <v>74.714569999999995</v>
      </c>
      <c r="J204" s="161">
        <v>86.849360000000004</v>
      </c>
      <c r="K204" s="161">
        <v>75.210719999999995</v>
      </c>
    </row>
    <row r="205" spans="1:11">
      <c r="A205" s="161">
        <v>2004</v>
      </c>
      <c r="B205" s="161" t="s">
        <v>534</v>
      </c>
      <c r="C205" s="161" t="str">
        <f t="shared" si="9"/>
        <v>2004_Zambia</v>
      </c>
      <c r="D205" s="161">
        <v>1575627000</v>
      </c>
      <c r="E205" s="161">
        <v>1.7585077305608674</v>
      </c>
      <c r="F205" s="161">
        <v>63.093803942990171</v>
      </c>
      <c r="G205" s="161">
        <f t="shared" si="10"/>
        <v>0.64852311673551044</v>
      </c>
      <c r="H205" s="161">
        <f t="shared" si="11"/>
        <v>1021830532.8526222</v>
      </c>
      <c r="I205" s="161">
        <v>85.872079999999997</v>
      </c>
      <c r="J205" s="161">
        <v>106.30540000000001</v>
      </c>
      <c r="K205" s="161">
        <v>86.999510000000001</v>
      </c>
    </row>
    <row r="206" spans="1:11">
      <c r="A206" s="161">
        <v>2005</v>
      </c>
      <c r="B206" s="161" t="s">
        <v>16</v>
      </c>
      <c r="C206" s="161" t="str">
        <f t="shared" si="9"/>
        <v>2005_Afghanistan</v>
      </c>
      <c r="D206" s="161">
        <v>384000000</v>
      </c>
      <c r="E206" s="161" t="s">
        <v>2842</v>
      </c>
      <c r="F206" s="161" t="s">
        <v>2842</v>
      </c>
      <c r="G206" s="161" t="str">
        <f t="shared" si="10"/>
        <v>..</v>
      </c>
      <c r="H206" s="161" t="str">
        <f t="shared" si="11"/>
        <v>..</v>
      </c>
      <c r="I206" s="161" t="s">
        <v>2842</v>
      </c>
      <c r="J206" s="161">
        <v>97.744780000000006</v>
      </c>
      <c r="K206" s="161" t="s">
        <v>2842</v>
      </c>
    </row>
    <row r="207" spans="1:11">
      <c r="A207" s="161">
        <v>2005</v>
      </c>
      <c r="B207" s="161" t="s">
        <v>33</v>
      </c>
      <c r="C207" s="161" t="str">
        <f t="shared" si="9"/>
        <v>2005_Albania</v>
      </c>
      <c r="D207" s="161">
        <v>658000000</v>
      </c>
      <c r="E207" s="161">
        <v>8.6627295129964139</v>
      </c>
      <c r="F207" s="161">
        <v>24.14078257645064</v>
      </c>
      <c r="G207" s="161">
        <f t="shared" si="10"/>
        <v>0.32803512089447051</v>
      </c>
      <c r="H207" s="161">
        <f t="shared" si="11"/>
        <v>215847109.5485616</v>
      </c>
      <c r="I207" s="161" t="s">
        <v>2842</v>
      </c>
      <c r="J207" s="161" t="s">
        <v>2842</v>
      </c>
      <c r="K207" s="161" t="s">
        <v>2842</v>
      </c>
    </row>
    <row r="208" spans="1:11">
      <c r="A208" s="161">
        <v>2005</v>
      </c>
      <c r="B208" s="161" t="s">
        <v>48</v>
      </c>
      <c r="C208" s="161" t="str">
        <f t="shared" si="9"/>
        <v>2005_Azerbaijan</v>
      </c>
      <c r="D208" s="161">
        <v>7648962000</v>
      </c>
      <c r="E208" s="161">
        <v>76.764611399448839</v>
      </c>
      <c r="F208" s="161">
        <v>1.3972081509885239</v>
      </c>
      <c r="G208" s="161">
        <f t="shared" si="10"/>
        <v>0.78161819550437361</v>
      </c>
      <c r="H208" s="161">
        <f t="shared" si="11"/>
        <v>5978567875.921525</v>
      </c>
      <c r="I208" s="161">
        <v>83.868620000000007</v>
      </c>
      <c r="J208" s="161">
        <v>95.526970000000006</v>
      </c>
      <c r="K208" s="161">
        <v>83.953540000000004</v>
      </c>
    </row>
    <row r="209" spans="1:11">
      <c r="A209" s="161">
        <v>2005</v>
      </c>
      <c r="B209" s="161" t="s">
        <v>93</v>
      </c>
      <c r="C209" s="161" t="str">
        <f t="shared" si="9"/>
        <v>2005_Burkina Faso</v>
      </c>
      <c r="D209" s="161">
        <v>468000000</v>
      </c>
      <c r="E209" s="161">
        <v>2.0282251117316637E-2</v>
      </c>
      <c r="F209" s="161">
        <v>0.33124568550350225</v>
      </c>
      <c r="G209" s="161">
        <f t="shared" si="10"/>
        <v>3.5152793662081888E-3</v>
      </c>
      <c r="H209" s="161">
        <f t="shared" si="11"/>
        <v>1645150.7433854323</v>
      </c>
      <c r="I209" s="161">
        <v>45.742359999999998</v>
      </c>
      <c r="J209" s="161">
        <v>58.320500000000003</v>
      </c>
      <c r="K209" s="161">
        <v>45.967590000000001</v>
      </c>
    </row>
    <row r="210" spans="1:11">
      <c r="A210" s="161">
        <v>2005</v>
      </c>
      <c r="B210" s="161" t="s">
        <v>96</v>
      </c>
      <c r="C210" s="161" t="str">
        <f t="shared" si="9"/>
        <v>2005_Cameroon</v>
      </c>
      <c r="D210" s="161">
        <v>2861244663.1833601</v>
      </c>
      <c r="E210" s="161">
        <v>49.642677662383946</v>
      </c>
      <c r="F210" s="161">
        <v>5.5420895271802895</v>
      </c>
      <c r="G210" s="161">
        <f t="shared" si="10"/>
        <v>0.55184767189564232</v>
      </c>
      <c r="H210" s="161">
        <f t="shared" si="11"/>
        <v>1578971206.1015685</v>
      </c>
      <c r="I210" s="161" t="s">
        <v>2842</v>
      </c>
      <c r="J210" s="161">
        <v>100.29745</v>
      </c>
      <c r="K210" s="161" t="s">
        <v>2842</v>
      </c>
    </row>
    <row r="211" spans="1:11">
      <c r="A211" s="161">
        <v>2005</v>
      </c>
      <c r="B211" s="161" t="s">
        <v>122</v>
      </c>
      <c r="C211" s="161" t="str">
        <f t="shared" si="9"/>
        <v>2005_Central African Republic</v>
      </c>
      <c r="D211" s="161">
        <v>128000000</v>
      </c>
      <c r="E211" s="161">
        <v>0.39958564259393503</v>
      </c>
      <c r="F211" s="161">
        <v>17.778437532822252</v>
      </c>
      <c r="G211" s="161">
        <f t="shared" si="10"/>
        <v>0.18178023175416186</v>
      </c>
      <c r="H211" s="161">
        <f t="shared" si="11"/>
        <v>23267869.664532717</v>
      </c>
      <c r="I211" s="161">
        <v>49.480690000000003</v>
      </c>
      <c r="J211" s="161">
        <v>66.548270000000002</v>
      </c>
      <c r="K211" s="161">
        <v>49.598500000000001</v>
      </c>
    </row>
    <row r="212" spans="1:11">
      <c r="A212" s="161">
        <v>2005</v>
      </c>
      <c r="B212" s="161" t="s">
        <v>133</v>
      </c>
      <c r="C212" s="161" t="str">
        <f t="shared" si="9"/>
        <v>2005_Chad</v>
      </c>
      <c r="D212" s="161">
        <v>3080945194.7795901</v>
      </c>
      <c r="E212" s="161" t="s">
        <v>2842</v>
      </c>
      <c r="F212" s="161" t="s">
        <v>2842</v>
      </c>
      <c r="G212" s="161" t="str">
        <f t="shared" si="10"/>
        <v>..</v>
      </c>
      <c r="H212" s="161" t="str">
        <f t="shared" si="11"/>
        <v>..</v>
      </c>
      <c r="I212" s="161" t="s">
        <v>2842</v>
      </c>
      <c r="J212" s="161">
        <v>72.064930000000004</v>
      </c>
      <c r="K212" s="161" t="s">
        <v>2842</v>
      </c>
    </row>
    <row r="213" spans="1:11">
      <c r="A213" s="161">
        <v>2005</v>
      </c>
      <c r="B213" s="161" t="s">
        <v>3544</v>
      </c>
      <c r="C213" s="161" t="str">
        <f t="shared" si="9"/>
        <v>2005_Congo, Dem. Rep.</v>
      </c>
      <c r="D213" s="161">
        <v>2402800000</v>
      </c>
      <c r="E213" s="161" t="s">
        <v>2842</v>
      </c>
      <c r="F213" s="161" t="s">
        <v>2842</v>
      </c>
      <c r="G213" s="161" t="str">
        <f t="shared" si="10"/>
        <v>..</v>
      </c>
      <c r="H213" s="161" t="str">
        <f t="shared" si="11"/>
        <v>..</v>
      </c>
      <c r="I213" s="161" t="s">
        <v>2842</v>
      </c>
      <c r="J213" s="161" t="s">
        <v>2842</v>
      </c>
      <c r="K213" s="161" t="s">
        <v>2842</v>
      </c>
    </row>
    <row r="214" spans="1:11">
      <c r="A214" s="161">
        <v>2005</v>
      </c>
      <c r="B214" s="161" t="s">
        <v>3543</v>
      </c>
      <c r="C214" s="161" t="str">
        <f t="shared" si="9"/>
        <v>2005_Congo, Rep.</v>
      </c>
      <c r="D214" s="161">
        <v>4745000000</v>
      </c>
      <c r="E214" s="161" t="s">
        <v>2842</v>
      </c>
      <c r="F214" s="161" t="s">
        <v>2842</v>
      </c>
      <c r="G214" s="161" t="str">
        <f t="shared" si="10"/>
        <v>..</v>
      </c>
      <c r="H214" s="161" t="str">
        <f t="shared" si="11"/>
        <v>..</v>
      </c>
      <c r="I214" s="161">
        <v>52.650959999999998</v>
      </c>
      <c r="J214" s="161">
        <v>110.25129</v>
      </c>
      <c r="K214" s="161">
        <v>52.650959999999998</v>
      </c>
    </row>
    <row r="215" spans="1:11">
      <c r="A215" s="161">
        <v>2005</v>
      </c>
      <c r="B215" s="161" t="s">
        <v>182</v>
      </c>
      <c r="C215" s="161" t="str">
        <f t="shared" si="9"/>
        <v>2005_Equatorial Guinea</v>
      </c>
      <c r="D215" s="161">
        <v>7064000000</v>
      </c>
      <c r="E215" s="161" t="s">
        <v>2842</v>
      </c>
      <c r="F215" s="161" t="s">
        <v>2842</v>
      </c>
      <c r="G215" s="161" t="str">
        <f t="shared" si="10"/>
        <v>..</v>
      </c>
      <c r="H215" s="161" t="str">
        <f t="shared" si="11"/>
        <v>..</v>
      </c>
      <c r="I215" s="161" t="s">
        <v>2842</v>
      </c>
      <c r="J215" s="161">
        <v>100.6773</v>
      </c>
      <c r="K215" s="161" t="s">
        <v>2842</v>
      </c>
    </row>
    <row r="216" spans="1:11">
      <c r="A216" s="161">
        <v>2005</v>
      </c>
      <c r="B216" s="161" t="s">
        <v>185</v>
      </c>
      <c r="C216" s="161" t="str">
        <f t="shared" si="9"/>
        <v>2005_Gabon</v>
      </c>
      <c r="D216" s="161">
        <v>5065009000</v>
      </c>
      <c r="E216" s="161">
        <v>84.043341196115989</v>
      </c>
      <c r="F216" s="161">
        <v>3.5928399012288774</v>
      </c>
      <c r="G216" s="161">
        <f t="shared" si="10"/>
        <v>0.87636181097344856</v>
      </c>
      <c r="H216" s="161">
        <f t="shared" si="11"/>
        <v>4438780459.8368158</v>
      </c>
      <c r="I216" s="161" t="s">
        <v>2842</v>
      </c>
      <c r="J216" s="161" t="s">
        <v>2842</v>
      </c>
      <c r="K216" s="161" t="s">
        <v>2842</v>
      </c>
    </row>
    <row r="217" spans="1:11">
      <c r="A217" s="161">
        <v>2005</v>
      </c>
      <c r="B217" s="161" t="s">
        <v>294</v>
      </c>
      <c r="C217" s="161" t="str">
        <f t="shared" si="9"/>
        <v>2005_Liberia</v>
      </c>
      <c r="D217" s="161">
        <v>131300000</v>
      </c>
      <c r="E217" s="161" t="s">
        <v>2842</v>
      </c>
      <c r="F217" s="161" t="s">
        <v>2842</v>
      </c>
      <c r="G217" s="161" t="str">
        <f t="shared" si="10"/>
        <v>..</v>
      </c>
      <c r="H217" s="161" t="str">
        <f t="shared" si="11"/>
        <v>..</v>
      </c>
      <c r="I217" s="161" t="s">
        <v>2842</v>
      </c>
      <c r="J217" s="161" t="s">
        <v>2842</v>
      </c>
      <c r="K217" s="161" t="s">
        <v>2842</v>
      </c>
    </row>
    <row r="218" spans="1:11">
      <c r="A218" s="161">
        <v>2005</v>
      </c>
      <c r="B218" s="161" t="s">
        <v>278</v>
      </c>
      <c r="C218" s="161" t="str">
        <f t="shared" si="9"/>
        <v>2005_Kyrgyz Republic</v>
      </c>
      <c r="D218" s="161">
        <v>672000000</v>
      </c>
      <c r="E218" s="161">
        <v>7.5309417852739244</v>
      </c>
      <c r="F218" s="161">
        <v>4.0159853224002537</v>
      </c>
      <c r="G218" s="161">
        <f t="shared" si="10"/>
        <v>0.11546927107674179</v>
      </c>
      <c r="H218" s="161">
        <f t="shared" si="11"/>
        <v>77595350.163570479</v>
      </c>
      <c r="I218" s="161">
        <v>87.63588</v>
      </c>
      <c r="J218" s="161">
        <v>98.753510000000006</v>
      </c>
      <c r="K218" s="161">
        <v>95.451449999999994</v>
      </c>
    </row>
    <row r="219" spans="1:11">
      <c r="A219" s="161">
        <v>2005</v>
      </c>
      <c r="B219" s="161" t="s">
        <v>189</v>
      </c>
      <c r="C219" s="161" t="str">
        <f t="shared" si="9"/>
        <v>2005_Ghana</v>
      </c>
      <c r="D219" s="161">
        <v>2802207027.7918401</v>
      </c>
      <c r="E219" s="161">
        <v>3.3759376712786846</v>
      </c>
      <c r="F219" s="161">
        <v>5.0226696014390191</v>
      </c>
      <c r="G219" s="161">
        <f t="shared" si="10"/>
        <v>8.398607272717705E-2</v>
      </c>
      <c r="H219" s="161">
        <f t="shared" si="11"/>
        <v>235346363.23273212</v>
      </c>
      <c r="I219" s="161">
        <v>66.513149999999996</v>
      </c>
      <c r="J219" s="161">
        <v>90.360969999999995</v>
      </c>
      <c r="K219" s="161">
        <v>67.437200000000004</v>
      </c>
    </row>
    <row r="220" spans="1:11">
      <c r="A220" s="161">
        <v>2005</v>
      </c>
      <c r="B220" s="161" t="s">
        <v>213</v>
      </c>
      <c r="C220" s="161" t="str">
        <f t="shared" si="9"/>
        <v>2005_Guatemala</v>
      </c>
      <c r="D220" s="161">
        <v>5380931000</v>
      </c>
      <c r="E220" s="161">
        <v>5.6692608793797934</v>
      </c>
      <c r="F220" s="161">
        <v>0.50364461937535254</v>
      </c>
      <c r="G220" s="161">
        <f t="shared" si="10"/>
        <v>6.1729054987551456E-2</v>
      </c>
      <c r="H220" s="161">
        <f t="shared" si="11"/>
        <v>332159785.58322024</v>
      </c>
      <c r="I220" s="161">
        <v>93.731740000000002</v>
      </c>
      <c r="J220" s="161">
        <v>113.38874</v>
      </c>
      <c r="K220" s="161">
        <v>95.250470000000007</v>
      </c>
    </row>
    <row r="221" spans="1:11">
      <c r="A221" s="161">
        <v>2005</v>
      </c>
      <c r="B221" s="161" t="s">
        <v>2843</v>
      </c>
      <c r="C221" s="161" t="str">
        <f t="shared" si="9"/>
        <v>2005_Guinea</v>
      </c>
      <c r="D221" s="161">
        <v>852690000</v>
      </c>
      <c r="E221" s="161">
        <v>3.9069582544465962E-5</v>
      </c>
      <c r="F221" s="161">
        <v>74.617163900510192</v>
      </c>
      <c r="G221" s="161">
        <f t="shared" si="10"/>
        <v>0.74617202970092733</v>
      </c>
      <c r="H221" s="161">
        <f t="shared" si="11"/>
        <v>636253428.00568378</v>
      </c>
      <c r="I221" s="161">
        <v>64.543750000000003</v>
      </c>
      <c r="J221" s="161">
        <v>80.128429999999994</v>
      </c>
      <c r="K221" s="161">
        <v>65.247399999999999</v>
      </c>
    </row>
    <row r="222" spans="1:11">
      <c r="A222" s="161">
        <v>2005</v>
      </c>
      <c r="B222" s="161" t="s">
        <v>237</v>
      </c>
      <c r="C222" s="161" t="str">
        <f t="shared" si="9"/>
        <v>2005_Indonesia</v>
      </c>
      <c r="D222" s="161">
        <v>86996064000</v>
      </c>
      <c r="E222" s="161">
        <v>27.61447436048579</v>
      </c>
      <c r="F222" s="161">
        <v>8.4673303062170291</v>
      </c>
      <c r="G222" s="161">
        <f t="shared" si="10"/>
        <v>0.36081804666702821</v>
      </c>
      <c r="H222" s="161">
        <f t="shared" si="11"/>
        <v>31389749880.199772</v>
      </c>
      <c r="I222" s="161">
        <v>90.41131</v>
      </c>
      <c r="J222" s="161">
        <v>109.75272</v>
      </c>
      <c r="K222" s="161">
        <v>94.804169999999999</v>
      </c>
    </row>
    <row r="223" spans="1:11">
      <c r="A223" s="161">
        <v>2005</v>
      </c>
      <c r="B223" s="161" t="s">
        <v>245</v>
      </c>
      <c r="C223" s="161" t="str">
        <f t="shared" si="9"/>
        <v>2005_Iraq</v>
      </c>
      <c r="D223" s="161">
        <v>23697000000</v>
      </c>
      <c r="E223" s="161">
        <v>96.445417142363226</v>
      </c>
      <c r="F223" s="161" t="s">
        <v>2842</v>
      </c>
      <c r="G223" s="161" t="str">
        <f t="shared" si="10"/>
        <v>..</v>
      </c>
      <c r="H223" s="161" t="str">
        <f t="shared" si="11"/>
        <v>..</v>
      </c>
      <c r="I223" s="161" t="s">
        <v>2842</v>
      </c>
      <c r="J223" s="161" t="s">
        <v>2842</v>
      </c>
      <c r="K223" s="161" t="s">
        <v>2842</v>
      </c>
    </row>
    <row r="224" spans="1:11">
      <c r="A224" s="161">
        <v>2005</v>
      </c>
      <c r="B224" s="161" t="s">
        <v>273</v>
      </c>
      <c r="C224" s="161" t="str">
        <f t="shared" si="9"/>
        <v>2005_Kazakhstan</v>
      </c>
      <c r="D224" s="161">
        <v>27849000000</v>
      </c>
      <c r="E224" s="161">
        <v>70.617587303973323</v>
      </c>
      <c r="F224" s="161">
        <v>12.841735291307032</v>
      </c>
      <c r="G224" s="161">
        <f t="shared" si="10"/>
        <v>0.8345932259528035</v>
      </c>
      <c r="H224" s="161">
        <f t="shared" si="11"/>
        <v>23242586749.559624</v>
      </c>
      <c r="I224" s="161">
        <v>90.960380000000001</v>
      </c>
      <c r="J224" s="161">
        <v>104.18119</v>
      </c>
      <c r="K224" s="161">
        <v>98.763279999999995</v>
      </c>
    </row>
    <row r="225" spans="1:11">
      <c r="A225" s="161">
        <v>2005</v>
      </c>
      <c r="B225" s="161" t="s">
        <v>309</v>
      </c>
      <c r="C225" s="161" t="str">
        <f t="shared" si="9"/>
        <v>2005_Madagascar</v>
      </c>
      <c r="D225" s="161">
        <v>854641190</v>
      </c>
      <c r="E225" s="161">
        <v>1.0539024721469206</v>
      </c>
      <c r="F225" s="161">
        <v>3.9397869549979823</v>
      </c>
      <c r="G225" s="161">
        <f t="shared" si="10"/>
        <v>4.9936894271449025E-2</v>
      </c>
      <c r="H225" s="161">
        <f t="shared" si="11"/>
        <v>42678126.745055377</v>
      </c>
      <c r="I225" s="161" t="s">
        <v>2842</v>
      </c>
      <c r="J225" s="161">
        <v>138.32208</v>
      </c>
      <c r="K225" s="161" t="s">
        <v>2842</v>
      </c>
    </row>
    <row r="226" spans="1:11">
      <c r="A226" s="161">
        <v>2005</v>
      </c>
      <c r="B226" s="161" t="s">
        <v>322</v>
      </c>
      <c r="C226" s="161" t="str">
        <f t="shared" si="9"/>
        <v>2005_Mali</v>
      </c>
      <c r="D226" s="161">
        <v>1100920000</v>
      </c>
      <c r="E226" s="161">
        <v>1.5733051423479583</v>
      </c>
      <c r="F226" s="161">
        <v>0.11258791550278448</v>
      </c>
      <c r="G226" s="161">
        <f t="shared" si="10"/>
        <v>1.6858930578507427E-2</v>
      </c>
      <c r="H226" s="161">
        <f t="shared" si="11"/>
        <v>18560333.852490395</v>
      </c>
      <c r="I226" s="161">
        <v>61.383360000000003</v>
      </c>
      <c r="J226" s="161">
        <v>80.111789999999999</v>
      </c>
      <c r="K226" s="161">
        <v>61.383360000000003</v>
      </c>
    </row>
    <row r="227" spans="1:11">
      <c r="A227" s="161">
        <v>2005</v>
      </c>
      <c r="B227" s="161" t="s">
        <v>338</v>
      </c>
      <c r="C227" s="161" t="str">
        <f t="shared" si="9"/>
        <v>2005_Mauritania</v>
      </c>
      <c r="D227" s="161">
        <v>625100000</v>
      </c>
      <c r="E227" s="161" t="s">
        <v>2842</v>
      </c>
      <c r="F227" s="161">
        <v>68.58137778171141</v>
      </c>
      <c r="G227" s="161" t="str">
        <f t="shared" si="10"/>
        <v>..</v>
      </c>
      <c r="H227" s="161" t="str">
        <f t="shared" si="11"/>
        <v>..</v>
      </c>
      <c r="I227" s="161">
        <v>70.705749999999995</v>
      </c>
      <c r="J227" s="161">
        <v>91.301910000000007</v>
      </c>
      <c r="K227" s="161">
        <v>71.079509999999999</v>
      </c>
    </row>
    <row r="228" spans="1:11">
      <c r="A228" s="161">
        <v>2005</v>
      </c>
      <c r="B228" s="161" t="s">
        <v>357</v>
      </c>
      <c r="C228" s="161" t="str">
        <f t="shared" si="9"/>
        <v>2005_Mongolia</v>
      </c>
      <c r="D228" s="161">
        <v>1065000000</v>
      </c>
      <c r="E228" s="161">
        <v>5.4865122734299439</v>
      </c>
      <c r="F228" s="161">
        <v>57.865667014090029</v>
      </c>
      <c r="G228" s="161">
        <f t="shared" si="10"/>
        <v>0.63352179287519972</v>
      </c>
      <c r="H228" s="161">
        <f t="shared" si="11"/>
        <v>674700709.41208768</v>
      </c>
      <c r="I228" s="161">
        <v>87.917010000000005</v>
      </c>
      <c r="J228" s="161">
        <v>97.970050000000001</v>
      </c>
      <c r="K228" s="161">
        <v>92.435940000000002</v>
      </c>
    </row>
    <row r="229" spans="1:11">
      <c r="A229" s="161">
        <v>2005</v>
      </c>
      <c r="B229" s="161" t="s">
        <v>387</v>
      </c>
      <c r="C229" s="161" t="str">
        <f t="shared" si="9"/>
        <v>2005_Niger</v>
      </c>
      <c r="D229" s="161">
        <v>489000000</v>
      </c>
      <c r="E229" s="161">
        <v>2.4484431371930961</v>
      </c>
      <c r="F229" s="161">
        <v>36.146903265962536</v>
      </c>
      <c r="G229" s="161">
        <f t="shared" si="10"/>
        <v>0.38595346403155628</v>
      </c>
      <c r="H229" s="161">
        <f t="shared" si="11"/>
        <v>188731243.91143101</v>
      </c>
      <c r="I229" s="161">
        <v>42.756720000000001</v>
      </c>
      <c r="J229" s="161">
        <v>50.037999999999997</v>
      </c>
      <c r="K229" s="161">
        <v>42.756720000000001</v>
      </c>
    </row>
    <row r="230" spans="1:11">
      <c r="A230" s="161">
        <v>2005</v>
      </c>
      <c r="B230" s="161" t="s">
        <v>406</v>
      </c>
      <c r="C230" s="161" t="str">
        <f t="shared" si="9"/>
        <v>2005_Nigeria</v>
      </c>
      <c r="D230" s="161">
        <v>50467000000</v>
      </c>
      <c r="E230" s="161" t="s">
        <v>2842</v>
      </c>
      <c r="F230" s="161" t="s">
        <v>2842</v>
      </c>
      <c r="G230" s="161" t="str">
        <f t="shared" si="10"/>
        <v>..</v>
      </c>
      <c r="H230" s="161" t="str">
        <f t="shared" si="11"/>
        <v>..</v>
      </c>
      <c r="I230" s="161">
        <v>66.563599999999994</v>
      </c>
      <c r="J230" s="161">
        <v>100.92608</v>
      </c>
      <c r="K230" s="161">
        <v>66.563599999999994</v>
      </c>
    </row>
    <row r="231" spans="1:11">
      <c r="A231" s="161">
        <v>2005</v>
      </c>
      <c r="B231" s="161" t="s">
        <v>429</v>
      </c>
      <c r="C231" s="161" t="str">
        <f t="shared" si="9"/>
        <v>2005_Norway</v>
      </c>
      <c r="D231" s="161">
        <v>103759235000</v>
      </c>
      <c r="E231" s="161">
        <v>67.685680760344539</v>
      </c>
      <c r="F231" s="161">
        <v>6.1777162484955745</v>
      </c>
      <c r="G231" s="161">
        <f t="shared" si="10"/>
        <v>0.73863397008840115</v>
      </c>
      <c r="H231" s="161">
        <f t="shared" si="11"/>
        <v>76640095681.385391</v>
      </c>
      <c r="I231" s="161">
        <v>98.602609999999999</v>
      </c>
      <c r="J231" s="161">
        <v>98.602609999999999</v>
      </c>
      <c r="K231" s="161">
        <v>98.602609999999999</v>
      </c>
    </row>
    <row r="232" spans="1:11">
      <c r="A232" s="161">
        <v>2005</v>
      </c>
      <c r="B232" s="161" t="s">
        <v>442</v>
      </c>
      <c r="C232" s="161" t="str">
        <f t="shared" si="9"/>
        <v>2005_Peru</v>
      </c>
      <c r="D232" s="161">
        <v>17367700000</v>
      </c>
      <c r="E232" s="161">
        <v>11.365529722419646</v>
      </c>
      <c r="F232" s="161">
        <v>48.709453836985297</v>
      </c>
      <c r="G232" s="161">
        <f t="shared" si="10"/>
        <v>0.60074983559404938</v>
      </c>
      <c r="H232" s="161">
        <f t="shared" si="11"/>
        <v>10433642919.64677</v>
      </c>
      <c r="I232" s="161">
        <v>96.947689999999994</v>
      </c>
      <c r="J232" s="161">
        <v>114.81982000000001</v>
      </c>
      <c r="K232" s="161">
        <v>99.638220000000004</v>
      </c>
    </row>
    <row r="233" spans="1:11">
      <c r="A233" s="161">
        <v>2005</v>
      </c>
      <c r="B233" s="161" t="s">
        <v>481</v>
      </c>
      <c r="C233" s="161" t="str">
        <f t="shared" si="9"/>
        <v>2005_Sierra Leone</v>
      </c>
      <c r="D233" s="161">
        <v>158498000</v>
      </c>
      <c r="E233" s="161" t="s">
        <v>2842</v>
      </c>
      <c r="F233" s="161" t="s">
        <v>2842</v>
      </c>
      <c r="G233" s="161" t="str">
        <f t="shared" si="10"/>
        <v>..</v>
      </c>
      <c r="H233" s="161" t="str">
        <f t="shared" si="11"/>
        <v>..</v>
      </c>
      <c r="I233" s="161" t="s">
        <v>2842</v>
      </c>
      <c r="J233" s="161" t="s">
        <v>2842</v>
      </c>
      <c r="K233" s="161" t="s">
        <v>2842</v>
      </c>
    </row>
    <row r="234" spans="1:11">
      <c r="A234" s="161">
        <v>2005</v>
      </c>
      <c r="B234" s="161" t="s">
        <v>492</v>
      </c>
      <c r="C234" s="161" t="str">
        <f t="shared" si="9"/>
        <v>2005_Tanzania</v>
      </c>
      <c r="D234" s="161">
        <v>1679100000</v>
      </c>
      <c r="E234" s="161">
        <v>0.19597725832598539</v>
      </c>
      <c r="F234" s="161">
        <v>11.916560784504687</v>
      </c>
      <c r="G234" s="161">
        <f t="shared" si="10"/>
        <v>0.12112538042830673</v>
      </c>
      <c r="H234" s="161">
        <f t="shared" si="11"/>
        <v>203381626.27716982</v>
      </c>
      <c r="I234" s="161">
        <v>90.491060000000004</v>
      </c>
      <c r="J234" s="161">
        <v>104.99321</v>
      </c>
      <c r="K234" s="161">
        <v>90.614779999999996</v>
      </c>
    </row>
    <row r="235" spans="1:11">
      <c r="A235" s="161">
        <v>2005</v>
      </c>
      <c r="B235" s="161" t="s">
        <v>2844</v>
      </c>
      <c r="C235" s="161" t="str">
        <f t="shared" si="9"/>
        <v>2005_Timor-Leste</v>
      </c>
      <c r="D235" s="161">
        <v>8086000</v>
      </c>
      <c r="E235" s="161">
        <v>0</v>
      </c>
      <c r="F235" s="161">
        <v>0</v>
      </c>
      <c r="G235" s="161">
        <f t="shared" si="10"/>
        <v>0</v>
      </c>
      <c r="H235" s="161">
        <f t="shared" si="11"/>
        <v>0</v>
      </c>
      <c r="I235" s="161" t="s">
        <v>2842</v>
      </c>
      <c r="J235" s="161">
        <v>94.226339999999993</v>
      </c>
      <c r="K235" s="161" t="s">
        <v>2842</v>
      </c>
    </row>
    <row r="236" spans="1:11">
      <c r="A236" s="161">
        <v>2005</v>
      </c>
      <c r="B236" s="161" t="s">
        <v>510</v>
      </c>
      <c r="C236" s="161" t="str">
        <f t="shared" si="9"/>
        <v>2005_Togo</v>
      </c>
      <c r="D236" s="161">
        <v>660135000</v>
      </c>
      <c r="E236" s="161">
        <v>1.2485930107862471</v>
      </c>
      <c r="F236" s="161">
        <v>10.268549143828283</v>
      </c>
      <c r="G236" s="161">
        <f t="shared" si="10"/>
        <v>0.11517142154614529</v>
      </c>
      <c r="H236" s="161">
        <f t="shared" si="11"/>
        <v>76028686.36236462</v>
      </c>
      <c r="I236" s="161">
        <v>88.378910000000005</v>
      </c>
      <c r="J236" s="161">
        <v>113.32268000000001</v>
      </c>
      <c r="K236" s="161">
        <v>91.386539999999997</v>
      </c>
    </row>
    <row r="237" spans="1:11">
      <c r="A237" s="161">
        <v>2005</v>
      </c>
      <c r="B237" s="161" t="s">
        <v>2845</v>
      </c>
      <c r="C237" s="161" t="str">
        <f t="shared" si="9"/>
        <v>2005_Trinidad and Tobago</v>
      </c>
      <c r="D237" s="161">
        <v>9941665000</v>
      </c>
      <c r="E237" s="161">
        <v>70.197615453112277</v>
      </c>
      <c r="F237" s="161">
        <v>0.41813130393996634</v>
      </c>
      <c r="G237" s="161">
        <f t="shared" si="10"/>
        <v>0.70615746757052245</v>
      </c>
      <c r="H237" s="161">
        <f t="shared" si="11"/>
        <v>7020380979.8344984</v>
      </c>
      <c r="I237" s="161">
        <v>88.700779999999995</v>
      </c>
      <c r="J237" s="161">
        <v>99.271360000000001</v>
      </c>
      <c r="K237" s="161">
        <v>93.684899999999999</v>
      </c>
    </row>
    <row r="238" spans="1:11">
      <c r="A238" s="161">
        <v>2005</v>
      </c>
      <c r="B238" s="161" t="s">
        <v>2846</v>
      </c>
      <c r="C238" s="161" t="str">
        <f t="shared" si="9"/>
        <v>2005_Yemen, Rep.</v>
      </c>
      <c r="D238" s="161">
        <v>5607666000</v>
      </c>
      <c r="E238" s="161">
        <v>93.804219535108359</v>
      </c>
      <c r="F238" s="161">
        <v>9.3940708017051705E-2</v>
      </c>
      <c r="G238" s="161">
        <f t="shared" si="10"/>
        <v>0.93898160243125417</v>
      </c>
      <c r="H238" s="161">
        <f t="shared" si="11"/>
        <v>5265495206.5792618</v>
      </c>
      <c r="I238" s="161">
        <v>76.863669999999999</v>
      </c>
      <c r="J238" s="161">
        <v>89.287809999999993</v>
      </c>
      <c r="K238" s="161">
        <v>77.101619999999997</v>
      </c>
    </row>
    <row r="239" spans="1:11">
      <c r="A239" s="161">
        <v>2005</v>
      </c>
      <c r="B239" s="161" t="s">
        <v>534</v>
      </c>
      <c r="C239" s="161" t="str">
        <f t="shared" si="9"/>
        <v>2005_Zambia</v>
      </c>
      <c r="D239" s="161">
        <v>1809763000</v>
      </c>
      <c r="E239" s="161">
        <v>0.7199452184225269</v>
      </c>
      <c r="F239" s="161">
        <v>71.712490494839344</v>
      </c>
      <c r="G239" s="161">
        <f t="shared" si="10"/>
        <v>0.72432435713261867</v>
      </c>
      <c r="H239" s="161">
        <f t="shared" si="11"/>
        <v>1310855421.5373993</v>
      </c>
      <c r="I239" s="161">
        <v>93.940969999999993</v>
      </c>
      <c r="J239" s="161">
        <v>117.33454</v>
      </c>
      <c r="K239" s="161">
        <v>95.219229999999996</v>
      </c>
    </row>
    <row r="240" spans="1:11">
      <c r="A240" s="161">
        <v>2006</v>
      </c>
      <c r="B240" s="161" t="s">
        <v>16</v>
      </c>
      <c r="C240" s="161" t="str">
        <f t="shared" si="9"/>
        <v>2006_Afghanistan</v>
      </c>
      <c r="D240" s="161">
        <v>416000000</v>
      </c>
      <c r="E240" s="161" t="s">
        <v>2842</v>
      </c>
      <c r="F240" s="161" t="s">
        <v>2842</v>
      </c>
      <c r="G240" s="161" t="str">
        <f t="shared" si="10"/>
        <v>..</v>
      </c>
      <c r="H240" s="161" t="str">
        <f t="shared" si="11"/>
        <v>..</v>
      </c>
      <c r="I240" s="161" t="s">
        <v>2842</v>
      </c>
      <c r="J240" s="161">
        <v>100.98891</v>
      </c>
      <c r="K240" s="161" t="s">
        <v>2842</v>
      </c>
    </row>
    <row r="241" spans="1:11">
      <c r="A241" s="161">
        <v>2006</v>
      </c>
      <c r="B241" s="161" t="s">
        <v>33</v>
      </c>
      <c r="C241" s="161" t="str">
        <f t="shared" si="9"/>
        <v>2006_Albania</v>
      </c>
      <c r="D241" s="161">
        <v>798000000</v>
      </c>
      <c r="E241" s="161">
        <v>13.687093088073384</v>
      </c>
      <c r="F241" s="161">
        <v>37.864345570795074</v>
      </c>
      <c r="G241" s="161">
        <f t="shared" si="10"/>
        <v>0.51551438658868454</v>
      </c>
      <c r="H241" s="161">
        <f t="shared" si="11"/>
        <v>411380480.49777025</v>
      </c>
      <c r="I241" s="161" t="s">
        <v>2842</v>
      </c>
      <c r="J241" s="161" t="s">
        <v>2842</v>
      </c>
      <c r="K241" s="161" t="s">
        <v>2842</v>
      </c>
    </row>
    <row r="242" spans="1:11">
      <c r="A242" s="161">
        <v>2006</v>
      </c>
      <c r="B242" s="161" t="s">
        <v>48</v>
      </c>
      <c r="C242" s="161" t="str">
        <f t="shared" si="9"/>
        <v>2006_Azerbaijan</v>
      </c>
      <c r="D242" s="161">
        <v>13014633000</v>
      </c>
      <c r="E242" s="161">
        <v>84.591342059838496</v>
      </c>
      <c r="F242" s="161">
        <v>1.3411643783124441</v>
      </c>
      <c r="G242" s="161">
        <f t="shared" si="10"/>
        <v>0.85932506438150935</v>
      </c>
      <c r="H242" s="161">
        <f t="shared" si="11"/>
        <v>11183800340.626717</v>
      </c>
      <c r="I242" s="161">
        <v>83.153769999999994</v>
      </c>
      <c r="J242" s="161">
        <v>94.216660000000005</v>
      </c>
      <c r="K242" s="161">
        <v>83.772009999999995</v>
      </c>
    </row>
    <row r="243" spans="1:11">
      <c r="A243" s="161">
        <v>2006</v>
      </c>
      <c r="B243" s="161" t="s">
        <v>93</v>
      </c>
      <c r="C243" s="161" t="str">
        <f t="shared" si="9"/>
        <v>2006_Burkina Faso</v>
      </c>
      <c r="D243" s="161">
        <v>588000000</v>
      </c>
      <c r="E243" s="161" t="s">
        <v>2842</v>
      </c>
      <c r="F243" s="161" t="s">
        <v>2842</v>
      </c>
      <c r="G243" s="161" t="str">
        <f t="shared" si="10"/>
        <v>..</v>
      </c>
      <c r="H243" s="161" t="str">
        <f t="shared" si="11"/>
        <v>..</v>
      </c>
      <c r="I243" s="161">
        <v>48.747349999999997</v>
      </c>
      <c r="J243" s="161">
        <v>62.065240000000003</v>
      </c>
      <c r="K243" s="161">
        <v>49.623449999999998</v>
      </c>
    </row>
    <row r="244" spans="1:11">
      <c r="A244" s="161">
        <v>2006</v>
      </c>
      <c r="B244" s="161" t="s">
        <v>96</v>
      </c>
      <c r="C244" s="161" t="str">
        <f t="shared" si="9"/>
        <v>2006_Cameroon</v>
      </c>
      <c r="D244" s="161">
        <v>3576420000</v>
      </c>
      <c r="E244" s="161">
        <v>61.610780823979574</v>
      </c>
      <c r="F244" s="161">
        <v>4.9050732140368467</v>
      </c>
      <c r="G244" s="161">
        <f t="shared" si="10"/>
        <v>0.66515854038016409</v>
      </c>
      <c r="H244" s="161">
        <f t="shared" si="11"/>
        <v>2378886306.9864264</v>
      </c>
      <c r="I244" s="161" t="s">
        <v>2842</v>
      </c>
      <c r="J244" s="161">
        <v>99.254760000000005</v>
      </c>
      <c r="K244" s="161" t="s">
        <v>2842</v>
      </c>
    </row>
    <row r="245" spans="1:11">
      <c r="A245" s="161">
        <v>2006</v>
      </c>
      <c r="B245" s="161" t="s">
        <v>122</v>
      </c>
      <c r="C245" s="161" t="str">
        <f t="shared" si="9"/>
        <v>2006_Central African Republic</v>
      </c>
      <c r="D245" s="161">
        <v>157586000</v>
      </c>
      <c r="E245" s="161">
        <v>1.3490206525398066E-2</v>
      </c>
      <c r="F245" s="161">
        <v>15.721248595441887</v>
      </c>
      <c r="G245" s="161">
        <f t="shared" si="10"/>
        <v>0.15734738801967285</v>
      </c>
      <c r="H245" s="161">
        <f t="shared" si="11"/>
        <v>24795745.488468166</v>
      </c>
      <c r="I245" s="161">
        <v>49.812019999999997</v>
      </c>
      <c r="J245" s="161">
        <v>66.245149999999995</v>
      </c>
      <c r="K245" s="161">
        <v>49.943449999999999</v>
      </c>
    </row>
    <row r="246" spans="1:11">
      <c r="A246" s="161">
        <v>2006</v>
      </c>
      <c r="B246" s="161" t="s">
        <v>133</v>
      </c>
      <c r="C246" s="161" t="str">
        <f t="shared" si="9"/>
        <v>2006_Chad</v>
      </c>
      <c r="D246" s="161">
        <v>3351947828.4151502</v>
      </c>
      <c r="E246" s="161" t="s">
        <v>2842</v>
      </c>
      <c r="F246" s="161" t="s">
        <v>2842</v>
      </c>
      <c r="G246" s="161" t="str">
        <f t="shared" si="10"/>
        <v>..</v>
      </c>
      <c r="H246" s="161" t="str">
        <f t="shared" si="11"/>
        <v>..</v>
      </c>
      <c r="I246" s="161" t="s">
        <v>2842</v>
      </c>
      <c r="J246" s="161">
        <v>71.471509999999995</v>
      </c>
      <c r="K246" s="161" t="s">
        <v>2842</v>
      </c>
    </row>
    <row r="247" spans="1:11">
      <c r="A247" s="161">
        <v>2006</v>
      </c>
      <c r="B247" s="161" t="s">
        <v>3544</v>
      </c>
      <c r="C247" s="161" t="str">
        <f t="shared" si="9"/>
        <v>2006_Congo, Dem. Rep.</v>
      </c>
      <c r="D247" s="161">
        <v>2704700000</v>
      </c>
      <c r="E247" s="161" t="s">
        <v>2842</v>
      </c>
      <c r="F247" s="161" t="s">
        <v>2842</v>
      </c>
      <c r="G247" s="161" t="str">
        <f t="shared" si="10"/>
        <v>..</v>
      </c>
      <c r="H247" s="161" t="str">
        <f t="shared" si="11"/>
        <v>..</v>
      </c>
      <c r="I247" s="161" t="s">
        <v>2842</v>
      </c>
      <c r="J247" s="161" t="s">
        <v>2842</v>
      </c>
      <c r="K247" s="161" t="s">
        <v>2842</v>
      </c>
    </row>
    <row r="248" spans="1:11">
      <c r="A248" s="161">
        <v>2006</v>
      </c>
      <c r="B248" s="161" t="s">
        <v>3543</v>
      </c>
      <c r="C248" s="161" t="str">
        <f t="shared" si="9"/>
        <v>2006_Congo, Rep.</v>
      </c>
      <c r="D248" s="161">
        <v>6077569000</v>
      </c>
      <c r="E248" s="161" t="s">
        <v>2842</v>
      </c>
      <c r="F248" s="161" t="s">
        <v>2842</v>
      </c>
      <c r="G248" s="161" t="str">
        <f t="shared" si="10"/>
        <v>..</v>
      </c>
      <c r="H248" s="161" t="str">
        <f t="shared" si="11"/>
        <v>..</v>
      </c>
      <c r="I248" s="161">
        <v>56.08426</v>
      </c>
      <c r="J248" s="161">
        <v>110.32398000000001</v>
      </c>
      <c r="K248" s="161">
        <v>56.08426</v>
      </c>
    </row>
    <row r="249" spans="1:11">
      <c r="A249" s="161">
        <v>2006</v>
      </c>
      <c r="B249" s="161" t="s">
        <v>182</v>
      </c>
      <c r="C249" s="161" t="str">
        <f t="shared" si="9"/>
        <v>2006_Equatorial Guinea</v>
      </c>
      <c r="D249" s="161">
        <v>8207000000</v>
      </c>
      <c r="E249" s="161" t="s">
        <v>2842</v>
      </c>
      <c r="F249" s="161" t="s">
        <v>2842</v>
      </c>
      <c r="G249" s="161" t="str">
        <f t="shared" si="10"/>
        <v>..</v>
      </c>
      <c r="H249" s="161" t="str">
        <f t="shared" si="11"/>
        <v>..</v>
      </c>
      <c r="I249" s="161" t="s">
        <v>2842</v>
      </c>
      <c r="J249" s="161" t="s">
        <v>2842</v>
      </c>
      <c r="K249" s="161" t="s">
        <v>2842</v>
      </c>
    </row>
    <row r="250" spans="1:11">
      <c r="A250" s="161">
        <v>2006</v>
      </c>
      <c r="B250" s="161" t="s">
        <v>185</v>
      </c>
      <c r="C250" s="161" t="str">
        <f t="shared" si="9"/>
        <v>2006_Gabon</v>
      </c>
      <c r="D250" s="161">
        <v>5450000000</v>
      </c>
      <c r="E250" s="161">
        <v>85.611783541457598</v>
      </c>
      <c r="F250" s="161">
        <v>3.1510042373413287</v>
      </c>
      <c r="G250" s="161">
        <f t="shared" si="10"/>
        <v>0.88762787778798924</v>
      </c>
      <c r="H250" s="161">
        <f t="shared" si="11"/>
        <v>4837571933.944541</v>
      </c>
      <c r="I250" s="161" t="s">
        <v>2842</v>
      </c>
      <c r="J250" s="161" t="s">
        <v>2842</v>
      </c>
      <c r="K250" s="161" t="s">
        <v>2842</v>
      </c>
    </row>
    <row r="251" spans="1:11">
      <c r="A251" s="161">
        <v>2006</v>
      </c>
      <c r="B251" s="161" t="s">
        <v>294</v>
      </c>
      <c r="C251" s="161" t="str">
        <f t="shared" si="9"/>
        <v>2006_Liberia</v>
      </c>
      <c r="D251" s="161">
        <v>157800000</v>
      </c>
      <c r="E251" s="161" t="s">
        <v>2842</v>
      </c>
      <c r="F251" s="161" t="s">
        <v>2842</v>
      </c>
      <c r="G251" s="161" t="str">
        <f t="shared" si="10"/>
        <v>..</v>
      </c>
      <c r="H251" s="161" t="str">
        <f t="shared" si="11"/>
        <v>..</v>
      </c>
      <c r="I251" s="161">
        <v>35.094459999999998</v>
      </c>
      <c r="J251" s="161">
        <v>92.524550000000005</v>
      </c>
      <c r="K251" s="161">
        <v>35.109229999999997</v>
      </c>
    </row>
    <row r="252" spans="1:11">
      <c r="A252" s="161">
        <v>2006</v>
      </c>
      <c r="B252" s="161" t="s">
        <v>278</v>
      </c>
      <c r="C252" s="161" t="str">
        <f t="shared" si="9"/>
        <v>2006_Kyrgyz Republic</v>
      </c>
      <c r="D252" s="161">
        <v>891100000</v>
      </c>
      <c r="E252" s="161">
        <v>18.27755755824958</v>
      </c>
      <c r="F252" s="161">
        <v>5.5223928879593744</v>
      </c>
      <c r="G252" s="161">
        <f t="shared" si="10"/>
        <v>0.23799950446208953</v>
      </c>
      <c r="H252" s="161">
        <f t="shared" si="11"/>
        <v>212081358.42616799</v>
      </c>
      <c r="I252" s="161">
        <v>88.452839999999995</v>
      </c>
      <c r="J252" s="161">
        <v>99.639449999999997</v>
      </c>
      <c r="K252" s="161">
        <v>96.313199999999995</v>
      </c>
    </row>
    <row r="253" spans="1:11">
      <c r="A253" s="161">
        <v>2006</v>
      </c>
      <c r="B253" s="161" t="s">
        <v>189</v>
      </c>
      <c r="C253" s="161" t="str">
        <f t="shared" si="9"/>
        <v>2006_Ghana</v>
      </c>
      <c r="D253" s="161">
        <v>3726680000</v>
      </c>
      <c r="E253" s="161">
        <v>0.6540340821494357</v>
      </c>
      <c r="F253" s="161">
        <v>3.1452011716257577</v>
      </c>
      <c r="G253" s="161">
        <f t="shared" si="10"/>
        <v>3.7992352537751933E-2</v>
      </c>
      <c r="H253" s="161">
        <f t="shared" si="11"/>
        <v>141585340.35538939</v>
      </c>
      <c r="I253" s="161">
        <v>66.055340000000001</v>
      </c>
      <c r="J253" s="161">
        <v>95.346890000000002</v>
      </c>
      <c r="K253" s="161">
        <v>67.017709999999994</v>
      </c>
    </row>
    <row r="254" spans="1:11">
      <c r="A254" s="161">
        <v>2006</v>
      </c>
      <c r="B254" s="161" t="s">
        <v>213</v>
      </c>
      <c r="C254" s="161" t="str">
        <f t="shared" si="9"/>
        <v>2006_Guatemala</v>
      </c>
      <c r="D254" s="161">
        <v>6025163000</v>
      </c>
      <c r="E254" s="161">
        <v>8.8059624446774496</v>
      </c>
      <c r="F254" s="161">
        <v>1.0542888606879137</v>
      </c>
      <c r="G254" s="161">
        <f t="shared" si="10"/>
        <v>9.8602513053653626E-2</v>
      </c>
      <c r="H254" s="161">
        <f t="shared" si="11"/>
        <v>594096213.35789084</v>
      </c>
      <c r="I254" s="161">
        <v>94.936059999999998</v>
      </c>
      <c r="J254" s="161">
        <v>114.21607</v>
      </c>
      <c r="K254" s="161">
        <v>96.607669999999999</v>
      </c>
    </row>
    <row r="255" spans="1:11">
      <c r="A255" s="161">
        <v>2006</v>
      </c>
      <c r="B255" s="161" t="s">
        <v>2843</v>
      </c>
      <c r="C255" s="161" t="str">
        <f t="shared" si="9"/>
        <v>2006_Guinea</v>
      </c>
      <c r="D255" s="161">
        <v>1033000000</v>
      </c>
      <c r="E255" s="161">
        <v>0.31223339648571086</v>
      </c>
      <c r="F255" s="161">
        <v>56.681692710409159</v>
      </c>
      <c r="G255" s="161">
        <f t="shared" si="10"/>
        <v>0.56993926106894865</v>
      </c>
      <c r="H255" s="161">
        <f t="shared" si="11"/>
        <v>588747256.68422401</v>
      </c>
      <c r="I255" s="161">
        <v>66.528649999999999</v>
      </c>
      <c r="J255" s="161">
        <v>82.083929999999995</v>
      </c>
      <c r="K255" s="161">
        <v>67.585719999999995</v>
      </c>
    </row>
    <row r="256" spans="1:11">
      <c r="A256" s="161">
        <v>2006</v>
      </c>
      <c r="B256" s="161" t="s">
        <v>237</v>
      </c>
      <c r="C256" s="161" t="str">
        <f t="shared" si="9"/>
        <v>2006_Indonesia</v>
      </c>
      <c r="D256" s="161">
        <v>103527000000</v>
      </c>
      <c r="E256" s="161">
        <v>27.243644407794935</v>
      </c>
      <c r="F256" s="161">
        <v>9.9683062865561727</v>
      </c>
      <c r="G256" s="161">
        <f t="shared" si="10"/>
        <v>0.37211950694351109</v>
      </c>
      <c r="H256" s="161">
        <f t="shared" si="11"/>
        <v>38524416195.340874</v>
      </c>
      <c r="I256" s="161">
        <v>93.366879999999995</v>
      </c>
      <c r="J256" s="161">
        <v>108.09195</v>
      </c>
      <c r="K256" s="161">
        <v>96.222440000000006</v>
      </c>
    </row>
    <row r="257" spans="1:11">
      <c r="A257" s="161">
        <v>2006</v>
      </c>
      <c r="B257" s="161" t="s">
        <v>245</v>
      </c>
      <c r="C257" s="161" t="str">
        <f t="shared" si="9"/>
        <v>2006_Iraq</v>
      </c>
      <c r="D257" s="161">
        <v>29360880000</v>
      </c>
      <c r="E257" s="161">
        <v>99.560563212359099</v>
      </c>
      <c r="F257" s="161">
        <v>7.3420387592707387E-3</v>
      </c>
      <c r="G257" s="161">
        <f t="shared" si="10"/>
        <v>0.99567905251118372</v>
      </c>
      <c r="H257" s="161">
        <f t="shared" si="11"/>
        <v>29234013179.294563</v>
      </c>
      <c r="I257" s="161" t="s">
        <v>2842</v>
      </c>
      <c r="J257" s="161" t="s">
        <v>2842</v>
      </c>
      <c r="K257" s="161" t="s">
        <v>2842</v>
      </c>
    </row>
    <row r="258" spans="1:11">
      <c r="A258" s="161">
        <v>2006</v>
      </c>
      <c r="B258" s="161" t="s">
        <v>273</v>
      </c>
      <c r="C258" s="161" t="str">
        <f t="shared" ref="C258:C321" si="12">$A258&amp;"_"&amp;$B258</f>
        <v>2006_Kazakhstan</v>
      </c>
      <c r="D258" s="161">
        <v>38250000000</v>
      </c>
      <c r="E258" s="161">
        <v>69.434999703264978</v>
      </c>
      <c r="F258" s="161">
        <v>14.619121210175292</v>
      </c>
      <c r="G258" s="161">
        <f t="shared" si="10"/>
        <v>0.84054120913440267</v>
      </c>
      <c r="H258" s="161">
        <f t="shared" si="11"/>
        <v>32150701249.390903</v>
      </c>
      <c r="I258" s="161">
        <v>90.244399999999999</v>
      </c>
      <c r="J258" s="161">
        <v>102.96122</v>
      </c>
      <c r="K258" s="161">
        <v>98.831010000000006</v>
      </c>
    </row>
    <row r="259" spans="1:11">
      <c r="A259" s="161">
        <v>2006</v>
      </c>
      <c r="B259" s="161" t="s">
        <v>309</v>
      </c>
      <c r="C259" s="161" t="str">
        <f t="shared" si="12"/>
        <v>2006_Madagascar</v>
      </c>
      <c r="D259" s="161">
        <v>985256000</v>
      </c>
      <c r="E259" s="161">
        <v>5.5103893730542728</v>
      </c>
      <c r="F259" s="161">
        <v>3.6070680205475125</v>
      </c>
      <c r="G259" s="161">
        <f t="shared" ref="G259:G322" si="13">IFERROR(($E259+$F259)/100,"..")</f>
        <v>9.1174573936017855E-2</v>
      </c>
      <c r="H259" s="161">
        <f t="shared" ref="H259:H322" si="14">IFERROR($G259*$D259,"..")</f>
        <v>89830296.017905205</v>
      </c>
      <c r="I259" s="161" t="s">
        <v>2842</v>
      </c>
      <c r="J259" s="161">
        <v>138.11169000000001</v>
      </c>
      <c r="K259" s="161" t="s">
        <v>2842</v>
      </c>
    </row>
    <row r="260" spans="1:11">
      <c r="A260" s="161">
        <v>2006</v>
      </c>
      <c r="B260" s="161" t="s">
        <v>322</v>
      </c>
      <c r="C260" s="161" t="str">
        <f t="shared" si="12"/>
        <v>2006_Mali</v>
      </c>
      <c r="D260" s="161">
        <v>1550000000</v>
      </c>
      <c r="E260" s="161">
        <v>2.2538128566429685</v>
      </c>
      <c r="F260" s="161">
        <v>0.17290540772593052</v>
      </c>
      <c r="G260" s="161">
        <f t="shared" si="13"/>
        <v>2.4267182643688989E-2</v>
      </c>
      <c r="H260" s="161">
        <f t="shared" si="14"/>
        <v>37614133.097717933</v>
      </c>
      <c r="I260" s="161">
        <v>62.712319999999998</v>
      </c>
      <c r="J260" s="161">
        <v>83.043360000000007</v>
      </c>
      <c r="K260" s="161">
        <v>62.712319999999998</v>
      </c>
    </row>
    <row r="261" spans="1:11">
      <c r="A261" s="161">
        <v>2006</v>
      </c>
      <c r="B261" s="161" t="s">
        <v>338</v>
      </c>
      <c r="C261" s="161" t="str">
        <f t="shared" si="12"/>
        <v>2006_Mauritania</v>
      </c>
      <c r="D261" s="161">
        <v>1366568000</v>
      </c>
      <c r="E261" s="161" t="s">
        <v>2842</v>
      </c>
      <c r="F261" s="161" t="s">
        <v>2842</v>
      </c>
      <c r="G261" s="161" t="str">
        <f t="shared" si="13"/>
        <v>..</v>
      </c>
      <c r="H261" s="161" t="str">
        <f t="shared" si="14"/>
        <v>..</v>
      </c>
      <c r="I261" s="161">
        <v>73.321629999999999</v>
      </c>
      <c r="J261" s="161">
        <v>93.818460000000002</v>
      </c>
      <c r="K261" s="161">
        <v>73.66189</v>
      </c>
    </row>
    <row r="262" spans="1:11">
      <c r="A262" s="161">
        <v>2006</v>
      </c>
      <c r="B262" s="161" t="s">
        <v>357</v>
      </c>
      <c r="C262" s="161" t="str">
        <f t="shared" si="12"/>
        <v>2006_Mongolia</v>
      </c>
      <c r="D262" s="161">
        <v>1542800000</v>
      </c>
      <c r="E262" s="161">
        <v>5.532089878913399</v>
      </c>
      <c r="F262" s="161">
        <v>66.320688396454031</v>
      </c>
      <c r="G262" s="161">
        <f t="shared" si="13"/>
        <v>0.71852778275367424</v>
      </c>
      <c r="H262" s="161">
        <f t="shared" si="14"/>
        <v>1108544663.2323687</v>
      </c>
      <c r="I262" s="161">
        <v>91.667439999999999</v>
      </c>
      <c r="J262" s="161">
        <v>100.79425000000001</v>
      </c>
      <c r="K262" s="161">
        <v>97.485209999999995</v>
      </c>
    </row>
    <row r="263" spans="1:11">
      <c r="A263" s="161">
        <v>2006</v>
      </c>
      <c r="B263" s="161" t="s">
        <v>387</v>
      </c>
      <c r="C263" s="161" t="str">
        <f t="shared" si="12"/>
        <v>2006_Niger</v>
      </c>
      <c r="D263" s="161">
        <v>507946000</v>
      </c>
      <c r="E263" s="161">
        <v>2.1616108208714713</v>
      </c>
      <c r="F263" s="161">
        <v>35.755514108267278</v>
      </c>
      <c r="G263" s="161">
        <f t="shared" si="13"/>
        <v>0.37917124929138751</v>
      </c>
      <c r="H263" s="161">
        <f t="shared" si="14"/>
        <v>192598519.39256313</v>
      </c>
      <c r="I263" s="161">
        <v>43.46163</v>
      </c>
      <c r="J263" s="161">
        <v>50.627679999999998</v>
      </c>
      <c r="K263" s="161">
        <v>44.070430000000002</v>
      </c>
    </row>
    <row r="264" spans="1:11">
      <c r="A264" s="161">
        <v>2006</v>
      </c>
      <c r="B264" s="161" t="s">
        <v>406</v>
      </c>
      <c r="C264" s="161" t="str">
        <f t="shared" si="12"/>
        <v>2006_Nigeria</v>
      </c>
      <c r="D264" s="161">
        <v>58726000000</v>
      </c>
      <c r="E264" s="161">
        <v>98.238856362993999</v>
      </c>
      <c r="F264" s="161">
        <v>5.7461430250690436E-3</v>
      </c>
      <c r="G264" s="161">
        <f t="shared" si="13"/>
        <v>0.98244602506019063</v>
      </c>
      <c r="H264" s="161">
        <f t="shared" si="14"/>
        <v>57695125267.684753</v>
      </c>
      <c r="I264" s="161">
        <v>67.052459999999996</v>
      </c>
      <c r="J264" s="161">
        <v>101.6673</v>
      </c>
      <c r="K264" s="161">
        <v>67.052459999999996</v>
      </c>
    </row>
    <row r="265" spans="1:11">
      <c r="A265" s="161">
        <v>2006</v>
      </c>
      <c r="B265" s="161" t="s">
        <v>429</v>
      </c>
      <c r="C265" s="161" t="str">
        <f t="shared" si="12"/>
        <v>2006_Norway</v>
      </c>
      <c r="D265" s="161">
        <v>122208315000</v>
      </c>
      <c r="E265" s="161">
        <v>67.827162714154568</v>
      </c>
      <c r="F265" s="161">
        <v>7.2810091223439581</v>
      </c>
      <c r="G265" s="161">
        <f t="shared" si="13"/>
        <v>0.75108171836498527</v>
      </c>
      <c r="H265" s="161">
        <f t="shared" si="14"/>
        <v>91788431228.689407</v>
      </c>
      <c r="I265" s="161">
        <v>98.639139999999998</v>
      </c>
      <c r="J265" s="161">
        <v>98.639139999999998</v>
      </c>
      <c r="K265" s="161">
        <v>98.639139999999998</v>
      </c>
    </row>
    <row r="266" spans="1:11">
      <c r="A266" s="161">
        <v>2006</v>
      </c>
      <c r="B266" s="161" t="s">
        <v>442</v>
      </c>
      <c r="C266" s="161" t="str">
        <f t="shared" si="12"/>
        <v>2006_Peru</v>
      </c>
      <c r="D266" s="161">
        <v>23830100000</v>
      </c>
      <c r="E266" s="161">
        <v>9.6244135732327152</v>
      </c>
      <c r="F266" s="161">
        <v>57.068777977610438</v>
      </c>
      <c r="G266" s="161">
        <f t="shared" si="13"/>
        <v>0.66693191550843156</v>
      </c>
      <c r="H266" s="161">
        <f t="shared" si="14"/>
        <v>15893054239.757475</v>
      </c>
      <c r="I266" s="161">
        <v>96.967920000000007</v>
      </c>
      <c r="J266" s="161">
        <v>113.76258</v>
      </c>
      <c r="K266" s="161">
        <v>99.710220000000007</v>
      </c>
    </row>
    <row r="267" spans="1:11">
      <c r="A267" s="161">
        <v>2006</v>
      </c>
      <c r="B267" s="161" t="s">
        <v>481</v>
      </c>
      <c r="C267" s="161" t="str">
        <f t="shared" si="12"/>
        <v>2006_Sierra Leone</v>
      </c>
      <c r="D267" s="161">
        <v>231037000</v>
      </c>
      <c r="E267" s="161" t="s">
        <v>2842</v>
      </c>
      <c r="F267" s="161" t="s">
        <v>2842</v>
      </c>
      <c r="G267" s="161" t="str">
        <f t="shared" si="13"/>
        <v>..</v>
      </c>
      <c r="H267" s="161" t="str">
        <f t="shared" si="14"/>
        <v>..</v>
      </c>
      <c r="I267" s="161" t="s">
        <v>2842</v>
      </c>
      <c r="J267" s="161" t="s">
        <v>2842</v>
      </c>
      <c r="K267" s="161" t="s">
        <v>2842</v>
      </c>
    </row>
    <row r="268" spans="1:11">
      <c r="A268" s="161">
        <v>2006</v>
      </c>
      <c r="B268" s="161" t="s">
        <v>492</v>
      </c>
      <c r="C268" s="161" t="str">
        <f t="shared" si="12"/>
        <v>2006_Tanzania</v>
      </c>
      <c r="D268" s="161">
        <v>1864681000</v>
      </c>
      <c r="E268" s="161">
        <v>0.23206719633610812</v>
      </c>
      <c r="F268" s="161">
        <v>17.315937027011088</v>
      </c>
      <c r="G268" s="161">
        <f t="shared" si="13"/>
        <v>0.17548004223347197</v>
      </c>
      <c r="H268" s="161">
        <f t="shared" si="14"/>
        <v>327214300.63195276</v>
      </c>
      <c r="I268" s="161">
        <v>95.992990000000006</v>
      </c>
      <c r="J268" s="161">
        <v>108.20629</v>
      </c>
      <c r="K268" s="161">
        <v>96.164490000000001</v>
      </c>
    </row>
    <row r="269" spans="1:11">
      <c r="A269" s="161">
        <v>2006</v>
      </c>
      <c r="B269" s="161" t="s">
        <v>2844</v>
      </c>
      <c r="C269" s="161" t="str">
        <f t="shared" si="12"/>
        <v>2006_Timor-Leste</v>
      </c>
      <c r="D269" s="161">
        <v>8444000</v>
      </c>
      <c r="E269" s="161" t="s">
        <v>2842</v>
      </c>
      <c r="F269" s="161" t="s">
        <v>2842</v>
      </c>
      <c r="G269" s="161" t="str">
        <f t="shared" si="13"/>
        <v>..</v>
      </c>
      <c r="H269" s="161" t="str">
        <f t="shared" si="14"/>
        <v>..</v>
      </c>
      <c r="I269" s="161" t="s">
        <v>2842</v>
      </c>
      <c r="J269" s="161" t="s">
        <v>2842</v>
      </c>
      <c r="K269" s="161" t="s">
        <v>2842</v>
      </c>
    </row>
    <row r="270" spans="1:11">
      <c r="A270" s="161">
        <v>2006</v>
      </c>
      <c r="B270" s="161" t="s">
        <v>510</v>
      </c>
      <c r="C270" s="161" t="str">
        <f t="shared" si="12"/>
        <v>2006_Togo</v>
      </c>
      <c r="D270" s="161">
        <v>630343000</v>
      </c>
      <c r="E270" s="161" t="s">
        <v>2842</v>
      </c>
      <c r="F270" s="161" t="s">
        <v>2842</v>
      </c>
      <c r="G270" s="161" t="str">
        <f t="shared" si="13"/>
        <v>..</v>
      </c>
      <c r="H270" s="161" t="str">
        <f t="shared" si="14"/>
        <v>..</v>
      </c>
      <c r="I270" s="161">
        <v>90.360209999999995</v>
      </c>
      <c r="J270" s="161">
        <v>117.56214</v>
      </c>
      <c r="K270" s="161">
        <v>93.302589999999995</v>
      </c>
    </row>
    <row r="271" spans="1:11">
      <c r="A271" s="161">
        <v>2006</v>
      </c>
      <c r="B271" s="161" t="s">
        <v>2845</v>
      </c>
      <c r="C271" s="161" t="str">
        <f t="shared" si="12"/>
        <v>2006_Trinidad and Tobago</v>
      </c>
      <c r="D271" s="161">
        <v>14154700000</v>
      </c>
      <c r="E271" s="161">
        <v>76.455480020040156</v>
      </c>
      <c r="F271" s="161">
        <v>0.31841522077859119</v>
      </c>
      <c r="G271" s="161">
        <f t="shared" si="13"/>
        <v>0.76773895240818746</v>
      </c>
      <c r="H271" s="161">
        <f t="shared" si="14"/>
        <v>10867114549.65217</v>
      </c>
      <c r="I271" s="161" t="s">
        <v>2842</v>
      </c>
      <c r="J271" s="161" t="s">
        <v>2842</v>
      </c>
      <c r="K271" s="161" t="s">
        <v>2842</v>
      </c>
    </row>
    <row r="272" spans="1:11">
      <c r="A272" s="161">
        <v>2006</v>
      </c>
      <c r="B272" s="161" t="s">
        <v>2846</v>
      </c>
      <c r="C272" s="161" t="str">
        <f t="shared" si="12"/>
        <v>2006_Yemen, Rep.</v>
      </c>
      <c r="D272" s="161">
        <v>6654084000</v>
      </c>
      <c r="E272" s="161">
        <v>94.425169244958809</v>
      </c>
      <c r="F272" s="161">
        <v>8.6093841346200892E-2</v>
      </c>
      <c r="G272" s="161">
        <f t="shared" si="13"/>
        <v>0.94511263086305008</v>
      </c>
      <c r="H272" s="161">
        <f t="shared" si="14"/>
        <v>6288858835.2237282</v>
      </c>
      <c r="I272" s="161" t="s">
        <v>2842</v>
      </c>
      <c r="J272" s="161" t="s">
        <v>2842</v>
      </c>
      <c r="K272" s="161" t="s">
        <v>2842</v>
      </c>
    </row>
    <row r="273" spans="1:11">
      <c r="A273" s="161">
        <v>2006</v>
      </c>
      <c r="B273" s="161" t="s">
        <v>534</v>
      </c>
      <c r="C273" s="161" t="str">
        <f t="shared" si="12"/>
        <v>2006_Zambia</v>
      </c>
      <c r="D273" s="161">
        <v>3770370000</v>
      </c>
      <c r="E273" s="161">
        <v>0.60457575431420918</v>
      </c>
      <c r="F273" s="161">
        <v>84.7726796023709</v>
      </c>
      <c r="G273" s="161">
        <f t="shared" si="13"/>
        <v>0.85377255356685111</v>
      </c>
      <c r="H273" s="161">
        <f t="shared" si="14"/>
        <v>3219038422.7918487</v>
      </c>
      <c r="I273" s="161">
        <v>92.862179999999995</v>
      </c>
      <c r="J273" s="161">
        <v>117.99062000000001</v>
      </c>
      <c r="K273" s="161">
        <v>94.394260000000003</v>
      </c>
    </row>
    <row r="274" spans="1:11">
      <c r="A274" s="161">
        <v>2007</v>
      </c>
      <c r="B274" s="161" t="s">
        <v>16</v>
      </c>
      <c r="C274" s="161" t="str">
        <f t="shared" si="12"/>
        <v>2007_Afghanistan</v>
      </c>
      <c r="D274" s="161">
        <v>454000000</v>
      </c>
      <c r="E274" s="161" t="s">
        <v>2842</v>
      </c>
      <c r="F274" s="161" t="s">
        <v>2842</v>
      </c>
      <c r="G274" s="161" t="str">
        <f t="shared" si="13"/>
        <v>..</v>
      </c>
      <c r="H274" s="161" t="str">
        <f t="shared" si="14"/>
        <v>..</v>
      </c>
      <c r="I274" s="161" t="s">
        <v>2842</v>
      </c>
      <c r="J274" s="161">
        <v>97.878960000000006</v>
      </c>
      <c r="K274" s="161" t="s">
        <v>2842</v>
      </c>
    </row>
    <row r="275" spans="1:11">
      <c r="A275" s="161">
        <v>2007</v>
      </c>
      <c r="B275" s="161" t="s">
        <v>33</v>
      </c>
      <c r="C275" s="161" t="str">
        <f t="shared" si="12"/>
        <v>2007_Albania</v>
      </c>
      <c r="D275" s="161">
        <v>1077580000</v>
      </c>
      <c r="E275" s="161">
        <v>7.4530031614773913</v>
      </c>
      <c r="F275" s="161">
        <v>13.55952865686247</v>
      </c>
      <c r="G275" s="161">
        <f t="shared" si="13"/>
        <v>0.21012531818339863</v>
      </c>
      <c r="H275" s="161">
        <f t="shared" si="14"/>
        <v>226426840.3680667</v>
      </c>
      <c r="I275" s="161" t="s">
        <v>2842</v>
      </c>
      <c r="J275" s="161" t="s">
        <v>2842</v>
      </c>
      <c r="K275" s="161" t="s">
        <v>2842</v>
      </c>
    </row>
    <row r="276" spans="1:11">
      <c r="A276" s="161">
        <v>2007</v>
      </c>
      <c r="B276" s="161" t="s">
        <v>48</v>
      </c>
      <c r="C276" s="161" t="str">
        <f t="shared" si="12"/>
        <v>2007_Azerbaijan</v>
      </c>
      <c r="D276" s="161">
        <v>21269317000</v>
      </c>
      <c r="E276" s="161">
        <v>81.398965845163218</v>
      </c>
      <c r="F276" s="161">
        <v>1.7654309097056311</v>
      </c>
      <c r="G276" s="161">
        <f t="shared" si="13"/>
        <v>0.83164396754868841</v>
      </c>
      <c r="H276" s="161">
        <f t="shared" si="14"/>
        <v>17688499176.930767</v>
      </c>
      <c r="I276" s="161">
        <v>83.374799999999993</v>
      </c>
      <c r="J276" s="161">
        <v>94.771199999999993</v>
      </c>
      <c r="K276" s="161">
        <v>83.458410000000001</v>
      </c>
    </row>
    <row r="277" spans="1:11">
      <c r="A277" s="161">
        <v>2007</v>
      </c>
      <c r="B277" s="161" t="s">
        <v>93</v>
      </c>
      <c r="C277" s="161" t="str">
        <f t="shared" si="12"/>
        <v>2007_Burkina Faso</v>
      </c>
      <c r="D277" s="161">
        <v>623000000</v>
      </c>
      <c r="E277" s="161">
        <v>4.5149828791569337E-3</v>
      </c>
      <c r="F277" s="161">
        <v>0.21581496276115342</v>
      </c>
      <c r="G277" s="161">
        <f t="shared" si="13"/>
        <v>2.2032994564031034E-3</v>
      </c>
      <c r="H277" s="161">
        <f t="shared" si="14"/>
        <v>1372655.5613391334</v>
      </c>
      <c r="I277" s="161">
        <v>54.02702</v>
      </c>
      <c r="J277" s="161">
        <v>67.660179999999997</v>
      </c>
      <c r="K277" s="161">
        <v>54.946370000000002</v>
      </c>
    </row>
    <row r="278" spans="1:11">
      <c r="A278" s="161">
        <v>2007</v>
      </c>
      <c r="B278" s="161" t="s">
        <v>96</v>
      </c>
      <c r="C278" s="161" t="str">
        <f t="shared" si="12"/>
        <v>2007_Cameroon</v>
      </c>
      <c r="D278" s="161">
        <v>4230114715</v>
      </c>
      <c r="E278" s="161">
        <v>58.68062171453429</v>
      </c>
      <c r="F278" s="161">
        <v>4.9326897982245388</v>
      </c>
      <c r="G278" s="161">
        <f t="shared" si="13"/>
        <v>0.6361331151275883</v>
      </c>
      <c r="H278" s="161">
        <f t="shared" si="14"/>
        <v>2690916051.0000005</v>
      </c>
      <c r="I278" s="161" t="s">
        <v>2842</v>
      </c>
      <c r="J278" s="161">
        <v>101.22671</v>
      </c>
      <c r="K278" s="161" t="s">
        <v>2842</v>
      </c>
    </row>
    <row r="279" spans="1:11">
      <c r="A279" s="161">
        <v>2007</v>
      </c>
      <c r="B279" s="161" t="s">
        <v>122</v>
      </c>
      <c r="C279" s="161" t="str">
        <f t="shared" si="12"/>
        <v>2007_Central African Republic</v>
      </c>
      <c r="D279" s="161">
        <v>177771471.851807</v>
      </c>
      <c r="E279" s="161" t="s">
        <v>2842</v>
      </c>
      <c r="F279" s="161">
        <v>26.609503455358389</v>
      </c>
      <c r="G279" s="161" t="str">
        <f t="shared" si="13"/>
        <v>..</v>
      </c>
      <c r="H279" s="161" t="str">
        <f t="shared" si="14"/>
        <v>..</v>
      </c>
      <c r="I279" s="161">
        <v>58.44265</v>
      </c>
      <c r="J279" s="161">
        <v>76.724369999999993</v>
      </c>
      <c r="K279" s="161">
        <v>58.44265</v>
      </c>
    </row>
    <row r="280" spans="1:11">
      <c r="A280" s="161">
        <v>2007</v>
      </c>
      <c r="B280" s="161" t="s">
        <v>133</v>
      </c>
      <c r="C280" s="161" t="str">
        <f t="shared" si="12"/>
        <v>2007_Chad</v>
      </c>
      <c r="D280" s="161">
        <v>3666224000</v>
      </c>
      <c r="E280" s="161" t="s">
        <v>2842</v>
      </c>
      <c r="F280" s="161" t="s">
        <v>2842</v>
      </c>
      <c r="G280" s="161" t="str">
        <f t="shared" si="13"/>
        <v>..</v>
      </c>
      <c r="H280" s="161" t="str">
        <f t="shared" si="14"/>
        <v>..</v>
      </c>
      <c r="I280" s="161" t="s">
        <v>2842</v>
      </c>
      <c r="J280" s="161">
        <v>70.440600000000003</v>
      </c>
      <c r="K280" s="161" t="s">
        <v>2842</v>
      </c>
    </row>
    <row r="281" spans="1:11">
      <c r="A281" s="161">
        <v>2007</v>
      </c>
      <c r="B281" s="161" t="s">
        <v>3544</v>
      </c>
      <c r="C281" s="161" t="str">
        <f t="shared" si="12"/>
        <v>2007_Congo, Dem. Rep.</v>
      </c>
      <c r="D281" s="161">
        <v>3100000000</v>
      </c>
      <c r="E281" s="161" t="s">
        <v>2842</v>
      </c>
      <c r="F281" s="161" t="s">
        <v>2842</v>
      </c>
      <c r="G281" s="161" t="str">
        <f t="shared" si="13"/>
        <v>..</v>
      </c>
      <c r="H281" s="161" t="str">
        <f t="shared" si="14"/>
        <v>..</v>
      </c>
      <c r="I281" s="161" t="s">
        <v>2842</v>
      </c>
      <c r="J281" s="161">
        <v>93.107699999999994</v>
      </c>
      <c r="K281" s="161" t="s">
        <v>2842</v>
      </c>
    </row>
    <row r="282" spans="1:11">
      <c r="A282" s="161">
        <v>2007</v>
      </c>
      <c r="B282" s="161" t="s">
        <v>3543</v>
      </c>
      <c r="C282" s="161" t="str">
        <f t="shared" si="12"/>
        <v>2007_Congo, Rep.</v>
      </c>
      <c r="D282" s="161">
        <v>5635000000</v>
      </c>
      <c r="E282" s="161">
        <v>87.024618091305953</v>
      </c>
      <c r="F282" s="161">
        <v>3.6483029104368438E-2</v>
      </c>
      <c r="G282" s="161">
        <f t="shared" si="13"/>
        <v>0.87061101120410322</v>
      </c>
      <c r="H282" s="161">
        <f t="shared" si="14"/>
        <v>4905893048.1351213</v>
      </c>
      <c r="I282" s="161" t="s">
        <v>2842</v>
      </c>
      <c r="J282" s="161">
        <v>107.61471</v>
      </c>
      <c r="K282" s="161" t="s">
        <v>2842</v>
      </c>
    </row>
    <row r="283" spans="1:11">
      <c r="A283" s="161">
        <v>2007</v>
      </c>
      <c r="B283" s="161" t="s">
        <v>182</v>
      </c>
      <c r="C283" s="161" t="str">
        <f t="shared" si="12"/>
        <v>2007_Equatorial Guinea</v>
      </c>
      <c r="D283" s="161">
        <v>10210000000</v>
      </c>
      <c r="E283" s="161" t="s">
        <v>2842</v>
      </c>
      <c r="F283" s="161" t="s">
        <v>2842</v>
      </c>
      <c r="G283" s="161" t="str">
        <f t="shared" si="13"/>
        <v>..</v>
      </c>
      <c r="H283" s="161" t="str">
        <f t="shared" si="14"/>
        <v>..</v>
      </c>
      <c r="I283" s="161" t="s">
        <v>2842</v>
      </c>
      <c r="J283" s="161" t="s">
        <v>2842</v>
      </c>
      <c r="K283" s="161" t="s">
        <v>2842</v>
      </c>
    </row>
    <row r="284" spans="1:11">
      <c r="A284" s="161">
        <v>2007</v>
      </c>
      <c r="B284" s="161" t="s">
        <v>185</v>
      </c>
      <c r="C284" s="161" t="str">
        <f t="shared" si="12"/>
        <v>2007_Gabon</v>
      </c>
      <c r="D284" s="161">
        <v>6309000000</v>
      </c>
      <c r="E284" s="161">
        <v>83.413768687759628</v>
      </c>
      <c r="F284" s="161">
        <v>3.6005953876900159</v>
      </c>
      <c r="G284" s="161">
        <f t="shared" si="13"/>
        <v>0.87014364075449646</v>
      </c>
      <c r="H284" s="161">
        <f t="shared" si="14"/>
        <v>5489736229.5201178</v>
      </c>
      <c r="I284" s="161" t="s">
        <v>2842</v>
      </c>
      <c r="J284" s="161" t="s">
        <v>2842</v>
      </c>
      <c r="K284" s="161" t="s">
        <v>2842</v>
      </c>
    </row>
    <row r="285" spans="1:11">
      <c r="A285" s="161">
        <v>2007</v>
      </c>
      <c r="B285" s="161" t="s">
        <v>294</v>
      </c>
      <c r="C285" s="161" t="str">
        <f t="shared" si="12"/>
        <v>2007_Liberia</v>
      </c>
      <c r="D285" s="161">
        <v>200200000</v>
      </c>
      <c r="E285" s="161" t="s">
        <v>2842</v>
      </c>
      <c r="F285" s="161" t="s">
        <v>2842</v>
      </c>
      <c r="G285" s="161" t="str">
        <f t="shared" si="13"/>
        <v>..</v>
      </c>
      <c r="H285" s="161" t="str">
        <f t="shared" si="14"/>
        <v>..</v>
      </c>
      <c r="I285" s="161" t="s">
        <v>2842</v>
      </c>
      <c r="J285" s="161" t="s">
        <v>2842</v>
      </c>
      <c r="K285" s="161" t="s">
        <v>2842</v>
      </c>
    </row>
    <row r="286" spans="1:11">
      <c r="A286" s="161">
        <v>2007</v>
      </c>
      <c r="B286" s="161" t="s">
        <v>278</v>
      </c>
      <c r="C286" s="161" t="str">
        <f t="shared" si="12"/>
        <v>2007_Kyrgyz Republic</v>
      </c>
      <c r="D286" s="161">
        <v>1321100000</v>
      </c>
      <c r="E286" s="161">
        <v>15.590169319091226</v>
      </c>
      <c r="F286" s="161">
        <v>4.7484053098953254</v>
      </c>
      <c r="G286" s="161">
        <f t="shared" si="13"/>
        <v>0.2033857462898655</v>
      </c>
      <c r="H286" s="161">
        <f t="shared" si="14"/>
        <v>268692909.42354131</v>
      </c>
      <c r="I286" s="161">
        <v>86.764740000000003</v>
      </c>
      <c r="J286" s="161">
        <v>97.89546</v>
      </c>
      <c r="K286" s="161">
        <v>94.921390000000002</v>
      </c>
    </row>
    <row r="287" spans="1:11">
      <c r="A287" s="161">
        <v>2007</v>
      </c>
      <c r="B287" s="161" t="s">
        <v>189</v>
      </c>
      <c r="C287" s="161" t="str">
        <f t="shared" si="12"/>
        <v>2007_Ghana</v>
      </c>
      <c r="D287" s="161">
        <v>4194720000</v>
      </c>
      <c r="E287" s="161">
        <v>1.292176243694606</v>
      </c>
      <c r="F287" s="161">
        <v>4.8924206412209639</v>
      </c>
      <c r="G287" s="161">
        <f t="shared" si="13"/>
        <v>6.1845968849155698E-2</v>
      </c>
      <c r="H287" s="161">
        <f t="shared" si="14"/>
        <v>259426522.45093039</v>
      </c>
      <c r="I287" s="161">
        <v>71.983220000000003</v>
      </c>
      <c r="J287" s="161">
        <v>100.95641999999999</v>
      </c>
      <c r="K287" s="161">
        <v>72.374099999999999</v>
      </c>
    </row>
    <row r="288" spans="1:11">
      <c r="A288" s="161">
        <v>2007</v>
      </c>
      <c r="B288" s="161" t="s">
        <v>213</v>
      </c>
      <c r="C288" s="161" t="str">
        <f t="shared" si="12"/>
        <v>2007_Guatemala</v>
      </c>
      <c r="D288" s="161">
        <v>6897700000</v>
      </c>
      <c r="E288" s="161">
        <v>5.0732908927360185</v>
      </c>
      <c r="F288" s="161">
        <v>3.9509237933129908</v>
      </c>
      <c r="G288" s="161">
        <f t="shared" si="13"/>
        <v>9.0242146860490105E-2</v>
      </c>
      <c r="H288" s="161">
        <f t="shared" si="14"/>
        <v>622463256.39960265</v>
      </c>
      <c r="I288" s="161">
        <v>95.629429999999999</v>
      </c>
      <c r="J288" s="161">
        <v>114.16728000000001</v>
      </c>
      <c r="K288" s="161">
        <v>97.429230000000004</v>
      </c>
    </row>
    <row r="289" spans="1:11">
      <c r="A289" s="161">
        <v>2007</v>
      </c>
      <c r="B289" s="161" t="s">
        <v>2843</v>
      </c>
      <c r="C289" s="161" t="str">
        <f t="shared" si="12"/>
        <v>2007_Guinea</v>
      </c>
      <c r="D289" s="161">
        <v>1203000000</v>
      </c>
      <c r="E289" s="161">
        <v>1.0424846649704897</v>
      </c>
      <c r="F289" s="161">
        <v>82.229446081975865</v>
      </c>
      <c r="G289" s="161">
        <f t="shared" si="13"/>
        <v>0.83271930746946354</v>
      </c>
      <c r="H289" s="161">
        <f t="shared" si="14"/>
        <v>1001761326.8857646</v>
      </c>
      <c r="I289" s="161">
        <v>68.250399999999999</v>
      </c>
      <c r="J289" s="161">
        <v>84.189369999999997</v>
      </c>
      <c r="K289" s="161">
        <v>69.569850000000002</v>
      </c>
    </row>
    <row r="290" spans="1:11">
      <c r="A290" s="161">
        <v>2007</v>
      </c>
      <c r="B290" s="161" t="s">
        <v>237</v>
      </c>
      <c r="C290" s="161" t="str">
        <f t="shared" si="12"/>
        <v>2007_Indonesia</v>
      </c>
      <c r="D290" s="161">
        <v>118013000000</v>
      </c>
      <c r="E290" s="161">
        <v>25.386733244989983</v>
      </c>
      <c r="F290" s="161">
        <v>10.718652863253372</v>
      </c>
      <c r="G290" s="161">
        <f t="shared" si="13"/>
        <v>0.36105386108243354</v>
      </c>
      <c r="H290" s="161">
        <f t="shared" si="14"/>
        <v>42609049307.921227</v>
      </c>
      <c r="I290" s="161">
        <v>95.384209999999996</v>
      </c>
      <c r="J290" s="161">
        <v>111.13317000000001</v>
      </c>
      <c r="K290" s="161">
        <v>98.577740000000006</v>
      </c>
    </row>
    <row r="291" spans="1:11">
      <c r="A291" s="161">
        <v>2007</v>
      </c>
      <c r="B291" s="161" t="s">
        <v>245</v>
      </c>
      <c r="C291" s="161" t="str">
        <f t="shared" si="12"/>
        <v>2007_Iraq</v>
      </c>
      <c r="D291" s="161">
        <v>41267900000</v>
      </c>
      <c r="E291" s="161">
        <v>99.73947679904424</v>
      </c>
      <c r="F291" s="161">
        <v>9.2499053085927591E-5</v>
      </c>
      <c r="G291" s="161">
        <f t="shared" si="13"/>
        <v>0.99739569298097319</v>
      </c>
      <c r="H291" s="161">
        <f t="shared" si="14"/>
        <v>41160425718.369507</v>
      </c>
      <c r="I291" s="161">
        <v>91.753240000000005</v>
      </c>
      <c r="J291" s="161">
        <v>107.46769</v>
      </c>
      <c r="K291" s="161">
        <v>91.753240000000005</v>
      </c>
    </row>
    <row r="292" spans="1:11">
      <c r="A292" s="161">
        <v>2007</v>
      </c>
      <c r="B292" s="161" t="s">
        <v>273</v>
      </c>
      <c r="C292" s="161" t="str">
        <f t="shared" si="12"/>
        <v>2007_Kazakhstan</v>
      </c>
      <c r="D292" s="161">
        <v>47755000000</v>
      </c>
      <c r="E292" s="161">
        <v>66.552311674215915</v>
      </c>
      <c r="F292" s="161">
        <v>14.16449961512739</v>
      </c>
      <c r="G292" s="161">
        <f t="shared" si="13"/>
        <v>0.80716811289343293</v>
      </c>
      <c r="H292" s="161">
        <f t="shared" si="14"/>
        <v>38546313231.225891</v>
      </c>
      <c r="I292" s="161">
        <v>90.012219999999999</v>
      </c>
      <c r="J292" s="161">
        <v>103.33914</v>
      </c>
      <c r="K292" s="161">
        <v>98.769270000000006</v>
      </c>
    </row>
    <row r="293" spans="1:11">
      <c r="A293" s="161">
        <v>2007</v>
      </c>
      <c r="B293" s="161" t="s">
        <v>309</v>
      </c>
      <c r="C293" s="161" t="str">
        <f t="shared" si="12"/>
        <v>2007_Madagascar</v>
      </c>
      <c r="D293" s="161">
        <v>1237684000</v>
      </c>
      <c r="E293" s="161">
        <v>4.7018413033558479</v>
      </c>
      <c r="F293" s="161">
        <v>3.2927374794187081</v>
      </c>
      <c r="G293" s="161">
        <f t="shared" si="13"/>
        <v>7.9945787827745557E-2</v>
      </c>
      <c r="H293" s="161">
        <f t="shared" si="14"/>
        <v>98947622.461795434</v>
      </c>
      <c r="I293" s="161" t="s">
        <v>2842</v>
      </c>
      <c r="J293" s="161">
        <v>139.26820000000001</v>
      </c>
      <c r="K293" s="161" t="s">
        <v>2842</v>
      </c>
    </row>
    <row r="294" spans="1:11">
      <c r="A294" s="161">
        <v>2007</v>
      </c>
      <c r="B294" s="161" t="s">
        <v>322</v>
      </c>
      <c r="C294" s="161" t="str">
        <f t="shared" si="12"/>
        <v>2007_Mali</v>
      </c>
      <c r="D294" s="161">
        <v>1556252000</v>
      </c>
      <c r="E294" s="161">
        <v>1.9170273798220914</v>
      </c>
      <c r="F294" s="161">
        <v>0.77774740046033897</v>
      </c>
      <c r="G294" s="161">
        <f t="shared" si="13"/>
        <v>2.6947747802824305E-2</v>
      </c>
      <c r="H294" s="161">
        <f t="shared" si="14"/>
        <v>41937486.413640931</v>
      </c>
      <c r="I294" s="161">
        <v>64.880319999999998</v>
      </c>
      <c r="J294" s="161">
        <v>85.576909999999998</v>
      </c>
      <c r="K294" s="161">
        <v>64.880319999999998</v>
      </c>
    </row>
    <row r="295" spans="1:11">
      <c r="A295" s="161">
        <v>2007</v>
      </c>
      <c r="B295" s="161" t="s">
        <v>338</v>
      </c>
      <c r="C295" s="161" t="str">
        <f t="shared" si="12"/>
        <v>2007_Mauritania</v>
      </c>
      <c r="D295" s="161">
        <v>1454000000</v>
      </c>
      <c r="E295" s="161">
        <v>25.744300862609066</v>
      </c>
      <c r="F295" s="161">
        <v>55.407723509462045</v>
      </c>
      <c r="G295" s="161">
        <f t="shared" si="13"/>
        <v>0.81152024372071108</v>
      </c>
      <c r="H295" s="161">
        <f t="shared" si="14"/>
        <v>1179950434.3699138</v>
      </c>
      <c r="I295" s="161">
        <v>74.036529999999999</v>
      </c>
      <c r="J295" s="161">
        <v>95.021439999999998</v>
      </c>
      <c r="K295" s="161">
        <v>74.513229999999993</v>
      </c>
    </row>
    <row r="296" spans="1:11">
      <c r="A296" s="161">
        <v>2007</v>
      </c>
      <c r="B296" s="161" t="s">
        <v>357</v>
      </c>
      <c r="C296" s="161" t="str">
        <f t="shared" si="12"/>
        <v>2007_Mongolia</v>
      </c>
      <c r="D296" s="161">
        <v>1889000000</v>
      </c>
      <c r="E296" s="161">
        <v>10.296857863802428</v>
      </c>
      <c r="F296" s="161">
        <v>69.90128898740295</v>
      </c>
      <c r="G296" s="161">
        <f t="shared" si="13"/>
        <v>0.80198146851205376</v>
      </c>
      <c r="H296" s="161">
        <f t="shared" si="14"/>
        <v>1514942994.0192695</v>
      </c>
      <c r="I296" s="161">
        <v>88.969449999999995</v>
      </c>
      <c r="J296" s="161">
        <v>99.992059999999995</v>
      </c>
      <c r="K296" s="161">
        <v>97.713149999999999</v>
      </c>
    </row>
    <row r="297" spans="1:11">
      <c r="A297" s="161">
        <v>2007</v>
      </c>
      <c r="B297" s="161" t="s">
        <v>387</v>
      </c>
      <c r="C297" s="161" t="str">
        <f t="shared" si="12"/>
        <v>2007_Niger</v>
      </c>
      <c r="D297" s="161">
        <v>663286000</v>
      </c>
      <c r="E297" s="161">
        <v>2.5650659667410203</v>
      </c>
      <c r="F297" s="161">
        <v>52.639793878597644</v>
      </c>
      <c r="G297" s="161">
        <f t="shared" si="13"/>
        <v>0.55204859845338661</v>
      </c>
      <c r="H297" s="161">
        <f t="shared" si="14"/>
        <v>366166106.67375296</v>
      </c>
      <c r="I297" s="161">
        <v>44.708730000000003</v>
      </c>
      <c r="J297" s="161">
        <v>53.12782</v>
      </c>
      <c r="K297" s="161">
        <v>45.302909999999997</v>
      </c>
    </row>
    <row r="298" spans="1:11">
      <c r="A298" s="161">
        <v>2007</v>
      </c>
      <c r="B298" s="161" t="s">
        <v>406</v>
      </c>
      <c r="C298" s="161" t="str">
        <f t="shared" si="12"/>
        <v>2007_Nigeria</v>
      </c>
      <c r="D298" s="161">
        <v>66605950000</v>
      </c>
      <c r="E298" s="161">
        <v>93.666363736582653</v>
      </c>
      <c r="F298" s="161">
        <v>0.40477461927081859</v>
      </c>
      <c r="G298" s="161">
        <f t="shared" si="13"/>
        <v>0.94071138355853479</v>
      </c>
      <c r="H298" s="161">
        <f t="shared" si="14"/>
        <v>62656975377.730591</v>
      </c>
      <c r="I298" s="161">
        <v>69.994479999999996</v>
      </c>
      <c r="J298" s="161">
        <v>92.890259999999998</v>
      </c>
      <c r="K298" s="161">
        <v>71.34639</v>
      </c>
    </row>
    <row r="299" spans="1:11">
      <c r="A299" s="161">
        <v>2007</v>
      </c>
      <c r="B299" s="161" t="s">
        <v>429</v>
      </c>
      <c r="C299" s="161" t="str">
        <f t="shared" si="12"/>
        <v>2007_Norway</v>
      </c>
      <c r="D299" s="161">
        <v>136354292000</v>
      </c>
      <c r="E299" s="161">
        <v>64.319568329969229</v>
      </c>
      <c r="F299" s="161">
        <v>8.5009918610180666</v>
      </c>
      <c r="G299" s="161">
        <f t="shared" si="13"/>
        <v>0.72820560190987293</v>
      </c>
      <c r="H299" s="161">
        <f t="shared" si="14"/>
        <v>99293959278.854568</v>
      </c>
      <c r="I299" s="161">
        <v>99.129630000000006</v>
      </c>
      <c r="J299" s="161">
        <v>99.129630000000006</v>
      </c>
      <c r="K299" s="161">
        <v>99.129630000000006</v>
      </c>
    </row>
    <row r="300" spans="1:11">
      <c r="A300" s="161">
        <v>2007</v>
      </c>
      <c r="B300" s="161" t="s">
        <v>442</v>
      </c>
      <c r="C300" s="161" t="str">
        <f t="shared" si="12"/>
        <v>2007_Peru</v>
      </c>
      <c r="D300" s="161">
        <v>28093759983.461601</v>
      </c>
      <c r="E300" s="161">
        <v>10.082499765834079</v>
      </c>
      <c r="F300" s="161">
        <v>58.241151303911664</v>
      </c>
      <c r="G300" s="161">
        <f t="shared" si="13"/>
        <v>0.6832365106974575</v>
      </c>
      <c r="H300" s="161">
        <f t="shared" si="14"/>
        <v>19194682543.472164</v>
      </c>
      <c r="I300" s="161">
        <v>96.798829999999995</v>
      </c>
      <c r="J300" s="161">
        <v>113.18873000000001</v>
      </c>
      <c r="K300" s="161">
        <v>99.705489999999998</v>
      </c>
    </row>
    <row r="301" spans="1:11">
      <c r="A301" s="161">
        <v>2007</v>
      </c>
      <c r="B301" s="161" t="s">
        <v>481</v>
      </c>
      <c r="C301" s="161" t="str">
        <f t="shared" si="12"/>
        <v>2007_Sierra Leone</v>
      </c>
      <c r="D301" s="161">
        <v>245238000</v>
      </c>
      <c r="E301" s="161" t="s">
        <v>2842</v>
      </c>
      <c r="F301" s="161" t="s">
        <v>2842</v>
      </c>
      <c r="G301" s="161" t="str">
        <f t="shared" si="13"/>
        <v>..</v>
      </c>
      <c r="H301" s="161" t="str">
        <f t="shared" si="14"/>
        <v>..</v>
      </c>
      <c r="I301" s="161" t="s">
        <v>2842</v>
      </c>
      <c r="J301" s="161" t="s">
        <v>2842</v>
      </c>
      <c r="K301" s="161" t="s">
        <v>2842</v>
      </c>
    </row>
    <row r="302" spans="1:11">
      <c r="A302" s="161">
        <v>2007</v>
      </c>
      <c r="B302" s="161" t="s">
        <v>492</v>
      </c>
      <c r="C302" s="161" t="str">
        <f t="shared" si="12"/>
        <v>2007_Tanzania</v>
      </c>
      <c r="D302" s="161">
        <v>2139347000</v>
      </c>
      <c r="E302" s="161">
        <v>0.89634699958722619</v>
      </c>
      <c r="F302" s="161">
        <v>17.621151311172529</v>
      </c>
      <c r="G302" s="161">
        <f t="shared" si="13"/>
        <v>0.18517498310759756</v>
      </c>
      <c r="H302" s="161">
        <f t="shared" si="14"/>
        <v>396153544.58628953</v>
      </c>
      <c r="I302" s="161" t="s">
        <v>2842</v>
      </c>
      <c r="J302" s="161">
        <v>110.11848000000001</v>
      </c>
      <c r="K302" s="161" t="s">
        <v>2842</v>
      </c>
    </row>
    <row r="303" spans="1:11">
      <c r="A303" s="161">
        <v>2007</v>
      </c>
      <c r="B303" s="161" t="s">
        <v>2844</v>
      </c>
      <c r="C303" s="161" t="str">
        <f t="shared" si="12"/>
        <v>2007_Timor-Leste</v>
      </c>
      <c r="D303" s="161">
        <v>8367000</v>
      </c>
      <c r="E303" s="161" t="s">
        <v>2842</v>
      </c>
      <c r="F303" s="161" t="s">
        <v>2842</v>
      </c>
      <c r="G303" s="161" t="str">
        <f t="shared" si="13"/>
        <v>..</v>
      </c>
      <c r="H303" s="161" t="str">
        <f t="shared" si="14"/>
        <v>..</v>
      </c>
      <c r="I303" s="161" t="s">
        <v>2842</v>
      </c>
      <c r="J303" s="161" t="s">
        <v>2842</v>
      </c>
      <c r="K303" s="161" t="s">
        <v>2842</v>
      </c>
    </row>
    <row r="304" spans="1:11">
      <c r="A304" s="161">
        <v>2007</v>
      </c>
      <c r="B304" s="161" t="s">
        <v>510</v>
      </c>
      <c r="C304" s="161" t="str">
        <f t="shared" si="12"/>
        <v>2007_Togo</v>
      </c>
      <c r="D304" s="161">
        <v>676894090.35047305</v>
      </c>
      <c r="E304" s="161">
        <v>4.951651352692695E-3</v>
      </c>
      <c r="F304" s="161">
        <v>12.795285287985683</v>
      </c>
      <c r="G304" s="161">
        <f t="shared" si="13"/>
        <v>0.12800236939338375</v>
      </c>
      <c r="H304" s="161">
        <f t="shared" si="14"/>
        <v>86644047.393239722</v>
      </c>
      <c r="I304" s="161">
        <v>89.030690000000007</v>
      </c>
      <c r="J304" s="161">
        <v>111.93116000000001</v>
      </c>
      <c r="K304" s="161">
        <v>91.001170000000002</v>
      </c>
    </row>
    <row r="305" spans="1:11">
      <c r="A305" s="161">
        <v>2007</v>
      </c>
      <c r="B305" s="161" t="s">
        <v>2845</v>
      </c>
      <c r="C305" s="161" t="str">
        <f t="shared" si="12"/>
        <v>2007_Trinidad and Tobago</v>
      </c>
      <c r="D305" s="161">
        <v>13396245000</v>
      </c>
      <c r="E305" s="161">
        <v>66.075852986723689</v>
      </c>
      <c r="F305" s="161">
        <v>2.8437966860740573</v>
      </c>
      <c r="G305" s="161">
        <f t="shared" si="13"/>
        <v>0.68919649672797745</v>
      </c>
      <c r="H305" s="161">
        <f t="shared" si="14"/>
        <v>9232645123.3096848</v>
      </c>
      <c r="I305" s="161">
        <v>93.502709999999993</v>
      </c>
      <c r="J305" s="161">
        <v>104.59357</v>
      </c>
      <c r="K305" s="161">
        <v>96.877020000000002</v>
      </c>
    </row>
    <row r="306" spans="1:11">
      <c r="A306" s="161">
        <v>2007</v>
      </c>
      <c r="B306" s="161" t="s">
        <v>2846</v>
      </c>
      <c r="C306" s="161" t="str">
        <f t="shared" si="12"/>
        <v>2007_Yemen, Rep.</v>
      </c>
      <c r="D306" s="161">
        <v>6298943000</v>
      </c>
      <c r="E306" s="161">
        <v>91.227168836328246</v>
      </c>
      <c r="F306" s="161">
        <v>0.24843205737417645</v>
      </c>
      <c r="G306" s="161">
        <f t="shared" si="13"/>
        <v>0.91475600893702425</v>
      </c>
      <c r="H306" s="161">
        <f t="shared" si="14"/>
        <v>5761995959.2018061</v>
      </c>
      <c r="I306" s="161" t="s">
        <v>2842</v>
      </c>
      <c r="J306" s="161" t="s">
        <v>2842</v>
      </c>
      <c r="K306" s="161" t="s">
        <v>2842</v>
      </c>
    </row>
    <row r="307" spans="1:11">
      <c r="A307" s="161">
        <v>2007</v>
      </c>
      <c r="B307" s="161" t="s">
        <v>534</v>
      </c>
      <c r="C307" s="161" t="str">
        <f t="shared" si="12"/>
        <v>2007_Zambia</v>
      </c>
      <c r="D307" s="161">
        <v>4617454000</v>
      </c>
      <c r="E307" s="161">
        <v>0.50364993542307335</v>
      </c>
      <c r="F307" s="161">
        <v>83.027804181000505</v>
      </c>
      <c r="G307" s="161">
        <f t="shared" si="13"/>
        <v>0.83531454116423576</v>
      </c>
      <c r="H307" s="161">
        <f t="shared" si="14"/>
        <v>3857026469.3569651</v>
      </c>
      <c r="I307" s="161">
        <v>93.747119999999995</v>
      </c>
      <c r="J307" s="161">
        <v>118.57662999999999</v>
      </c>
      <c r="K307" s="161">
        <v>95.079030000000003</v>
      </c>
    </row>
    <row r="308" spans="1:11">
      <c r="A308" s="161">
        <v>2008</v>
      </c>
      <c r="B308" s="161" t="s">
        <v>16</v>
      </c>
      <c r="C308" s="161" t="str">
        <f t="shared" si="12"/>
        <v>2008_Afghanistan</v>
      </c>
      <c r="D308" s="161">
        <v>540066000</v>
      </c>
      <c r="E308" s="161" t="s">
        <v>2842</v>
      </c>
      <c r="F308" s="161" t="s">
        <v>2842</v>
      </c>
      <c r="G308" s="161" t="str">
        <f t="shared" si="13"/>
        <v>..</v>
      </c>
      <c r="H308" s="161" t="str">
        <f t="shared" si="14"/>
        <v>..</v>
      </c>
      <c r="I308" s="161" t="s">
        <v>2842</v>
      </c>
      <c r="J308" s="161">
        <v>99.467140000000001</v>
      </c>
      <c r="K308" s="161" t="s">
        <v>2842</v>
      </c>
    </row>
    <row r="309" spans="1:11">
      <c r="A309" s="161">
        <v>2008</v>
      </c>
      <c r="B309" s="161" t="s">
        <v>33</v>
      </c>
      <c r="C309" s="161" t="str">
        <f t="shared" si="12"/>
        <v>2008_Albania</v>
      </c>
      <c r="D309" s="161">
        <v>1354830000</v>
      </c>
      <c r="E309" s="161">
        <v>21.814272004800021</v>
      </c>
      <c r="F309" s="161">
        <v>32.633140666781372</v>
      </c>
      <c r="G309" s="161">
        <f t="shared" si="13"/>
        <v>0.54447412671581386</v>
      </c>
      <c r="H309" s="161">
        <f t="shared" si="14"/>
        <v>737669881.09838605</v>
      </c>
      <c r="I309" s="161" t="s">
        <v>2842</v>
      </c>
      <c r="J309" s="161" t="s">
        <v>2842</v>
      </c>
      <c r="K309" s="161" t="s">
        <v>2842</v>
      </c>
    </row>
    <row r="310" spans="1:11">
      <c r="A310" s="161">
        <v>2008</v>
      </c>
      <c r="B310" s="161" t="s">
        <v>48</v>
      </c>
      <c r="C310" s="161" t="str">
        <f t="shared" si="12"/>
        <v>2008_Azerbaijan</v>
      </c>
      <c r="D310" s="161">
        <v>30586343000</v>
      </c>
      <c r="E310" s="161">
        <v>97.082784866787364</v>
      </c>
      <c r="F310" s="161">
        <v>0.28822364294431707</v>
      </c>
      <c r="G310" s="161">
        <f t="shared" si="13"/>
        <v>0.97371008509731682</v>
      </c>
      <c r="H310" s="161">
        <f t="shared" si="14"/>
        <v>29782230645.345722</v>
      </c>
      <c r="I310" s="161">
        <v>83.889970000000005</v>
      </c>
      <c r="J310" s="161">
        <v>94.072469999999996</v>
      </c>
      <c r="K310" s="161">
        <v>83.98751</v>
      </c>
    </row>
    <row r="311" spans="1:11">
      <c r="A311" s="161">
        <v>2008</v>
      </c>
      <c r="B311" s="161" t="s">
        <v>93</v>
      </c>
      <c r="C311" s="161" t="str">
        <f t="shared" si="12"/>
        <v>2008_Burkina Faso</v>
      </c>
      <c r="D311" s="161">
        <v>693159000</v>
      </c>
      <c r="E311" s="161">
        <v>3.1538528485251703E-2</v>
      </c>
      <c r="F311" s="161">
        <v>0.35175162497006246</v>
      </c>
      <c r="G311" s="161">
        <f t="shared" si="13"/>
        <v>3.8329015345531414E-3</v>
      </c>
      <c r="H311" s="161">
        <f t="shared" si="14"/>
        <v>2656810.1947893212</v>
      </c>
      <c r="I311" s="161">
        <v>59.972969999999997</v>
      </c>
      <c r="J311" s="161">
        <v>73.227350000000001</v>
      </c>
      <c r="K311" s="161">
        <v>61.005960000000002</v>
      </c>
    </row>
    <row r="312" spans="1:11">
      <c r="A312" s="161">
        <v>2008</v>
      </c>
      <c r="B312" s="161" t="s">
        <v>96</v>
      </c>
      <c r="C312" s="161" t="str">
        <f t="shared" si="12"/>
        <v>2008_Cameroon</v>
      </c>
      <c r="D312" s="161">
        <v>5240985000</v>
      </c>
      <c r="E312" s="161">
        <v>1.2471168310575356</v>
      </c>
      <c r="F312" s="161">
        <v>10.086520567543182</v>
      </c>
      <c r="G312" s="161">
        <f t="shared" si="13"/>
        <v>0.11333637398600718</v>
      </c>
      <c r="H312" s="161">
        <f t="shared" si="14"/>
        <v>593994236.01505387</v>
      </c>
      <c r="I312" s="161">
        <v>80.837940000000003</v>
      </c>
      <c r="J312" s="161">
        <v>101.54029</v>
      </c>
      <c r="K312" s="161">
        <v>82.138900000000007</v>
      </c>
    </row>
    <row r="313" spans="1:11">
      <c r="A313" s="161">
        <v>2008</v>
      </c>
      <c r="B313" s="161" t="s">
        <v>122</v>
      </c>
      <c r="C313" s="161" t="str">
        <f t="shared" si="12"/>
        <v>2008_Central African Republic</v>
      </c>
      <c r="D313" s="161">
        <v>150000000</v>
      </c>
      <c r="E313" s="161">
        <v>2.4434210624423709E-2</v>
      </c>
      <c r="F313" s="161">
        <v>35.761095493632311</v>
      </c>
      <c r="G313" s="161">
        <f t="shared" si="13"/>
        <v>0.3578552970425673</v>
      </c>
      <c r="H313" s="161">
        <f t="shared" si="14"/>
        <v>53678294.556385092</v>
      </c>
      <c r="I313" s="161">
        <v>67.802530000000004</v>
      </c>
      <c r="J313" s="161">
        <v>88.773340000000005</v>
      </c>
      <c r="K313" s="161">
        <v>67.964089999999999</v>
      </c>
    </row>
    <row r="314" spans="1:11">
      <c r="A314" s="161">
        <v>2008</v>
      </c>
      <c r="B314" s="161" t="s">
        <v>133</v>
      </c>
      <c r="C314" s="161" t="str">
        <f t="shared" si="12"/>
        <v>2008_Chad</v>
      </c>
      <c r="D314" s="161">
        <v>4168556000</v>
      </c>
      <c r="E314" s="161" t="s">
        <v>2842</v>
      </c>
      <c r="F314" s="161" t="s">
        <v>2842</v>
      </c>
      <c r="G314" s="161" t="str">
        <f t="shared" si="13"/>
        <v>..</v>
      </c>
      <c r="H314" s="161" t="str">
        <f t="shared" si="14"/>
        <v>..</v>
      </c>
      <c r="I314" s="161" t="s">
        <v>2842</v>
      </c>
      <c r="J314" s="161">
        <v>78.620090000000005</v>
      </c>
      <c r="K314" s="161" t="s">
        <v>2842</v>
      </c>
    </row>
    <row r="315" spans="1:11">
      <c r="A315" s="161">
        <v>2008</v>
      </c>
      <c r="B315" s="161" t="s">
        <v>3544</v>
      </c>
      <c r="C315" s="161" t="str">
        <f t="shared" si="12"/>
        <v>2008_Congo, Dem. Rep.</v>
      </c>
      <c r="D315" s="161">
        <v>4400000000</v>
      </c>
      <c r="E315" s="161" t="s">
        <v>2842</v>
      </c>
      <c r="F315" s="161" t="s">
        <v>2842</v>
      </c>
      <c r="G315" s="161" t="str">
        <f t="shared" si="13"/>
        <v>..</v>
      </c>
      <c r="H315" s="161" t="str">
        <f t="shared" si="14"/>
        <v>..</v>
      </c>
      <c r="I315" s="161" t="s">
        <v>2842</v>
      </c>
      <c r="J315" s="161">
        <v>102.18362999999999</v>
      </c>
      <c r="K315" s="161" t="s">
        <v>2842</v>
      </c>
    </row>
    <row r="316" spans="1:11">
      <c r="A316" s="161">
        <v>2008</v>
      </c>
      <c r="B316" s="161" t="s">
        <v>3543</v>
      </c>
      <c r="C316" s="161" t="str">
        <f t="shared" si="12"/>
        <v>2008_Congo, Rep.</v>
      </c>
      <c r="D316" s="161">
        <v>8324606000</v>
      </c>
      <c r="E316" s="161">
        <v>84.094353595065414</v>
      </c>
      <c r="F316" s="161">
        <v>2.8464758091189347E-2</v>
      </c>
      <c r="G316" s="161">
        <f t="shared" si="13"/>
        <v>0.84122818353156603</v>
      </c>
      <c r="H316" s="161">
        <f t="shared" si="14"/>
        <v>7002893183.9959755</v>
      </c>
      <c r="I316" s="161" t="s">
        <v>2842</v>
      </c>
      <c r="J316" s="161">
        <v>105.22893999999999</v>
      </c>
      <c r="K316" s="161" t="s">
        <v>2842</v>
      </c>
    </row>
    <row r="317" spans="1:11">
      <c r="A317" s="161">
        <v>2008</v>
      </c>
      <c r="B317" s="161" t="s">
        <v>182</v>
      </c>
      <c r="C317" s="161" t="str">
        <f t="shared" si="12"/>
        <v>2008_Equatorial Guinea</v>
      </c>
      <c r="D317" s="161">
        <v>15217784526.747101</v>
      </c>
      <c r="E317" s="161" t="s">
        <v>2842</v>
      </c>
      <c r="F317" s="161" t="s">
        <v>2842</v>
      </c>
      <c r="G317" s="161" t="str">
        <f t="shared" si="13"/>
        <v>..</v>
      </c>
      <c r="H317" s="161" t="str">
        <f t="shared" si="14"/>
        <v>..</v>
      </c>
      <c r="I317" s="161">
        <v>56.137650000000001</v>
      </c>
      <c r="J317" s="161">
        <v>86.005619999999993</v>
      </c>
      <c r="K317" s="161">
        <v>56.137650000000001</v>
      </c>
    </row>
    <row r="318" spans="1:11">
      <c r="A318" s="161">
        <v>2008</v>
      </c>
      <c r="B318" s="161" t="s">
        <v>185</v>
      </c>
      <c r="C318" s="161" t="str">
        <f t="shared" si="12"/>
        <v>2008_Gabon</v>
      </c>
      <c r="D318" s="161">
        <v>9565944000</v>
      </c>
      <c r="E318" s="161">
        <v>89.172254572424663</v>
      </c>
      <c r="F318" s="161">
        <v>2.2111106577179891</v>
      </c>
      <c r="G318" s="161">
        <f t="shared" si="13"/>
        <v>0.91383365230142655</v>
      </c>
      <c r="H318" s="161">
        <f t="shared" si="14"/>
        <v>8741681543.230917</v>
      </c>
      <c r="I318" s="161" t="s">
        <v>2842</v>
      </c>
      <c r="J318" s="161" t="s">
        <v>2842</v>
      </c>
      <c r="K318" s="161" t="s">
        <v>2842</v>
      </c>
    </row>
    <row r="319" spans="1:11">
      <c r="A319" s="161">
        <v>2008</v>
      </c>
      <c r="B319" s="161" t="s">
        <v>294</v>
      </c>
      <c r="C319" s="161" t="str">
        <f t="shared" si="12"/>
        <v>2008_Liberia</v>
      </c>
      <c r="D319" s="161">
        <v>242400000</v>
      </c>
      <c r="E319" s="161" t="s">
        <v>2842</v>
      </c>
      <c r="F319" s="161" t="s">
        <v>2842</v>
      </c>
      <c r="G319" s="161" t="str">
        <f t="shared" si="13"/>
        <v>..</v>
      </c>
      <c r="H319" s="161" t="str">
        <f t="shared" si="14"/>
        <v>..</v>
      </c>
      <c r="I319" s="161">
        <v>42.623980000000003</v>
      </c>
      <c r="J319" s="161">
        <v>93.256010000000003</v>
      </c>
      <c r="K319" s="161">
        <v>42.623980000000003</v>
      </c>
    </row>
    <row r="320" spans="1:11">
      <c r="A320" s="161">
        <v>2008</v>
      </c>
      <c r="B320" s="161" t="s">
        <v>278</v>
      </c>
      <c r="C320" s="161" t="str">
        <f t="shared" si="12"/>
        <v>2008_Kyrgyz Republic</v>
      </c>
      <c r="D320" s="161">
        <v>1855600000</v>
      </c>
      <c r="E320" s="161">
        <v>5.3204888357456772</v>
      </c>
      <c r="F320" s="161">
        <v>4.0905414093592203</v>
      </c>
      <c r="G320" s="161">
        <f t="shared" si="13"/>
        <v>9.4110302451048969E-2</v>
      </c>
      <c r="H320" s="161">
        <f t="shared" si="14"/>
        <v>174631077.22816646</v>
      </c>
      <c r="I320" s="161">
        <v>86.528090000000006</v>
      </c>
      <c r="J320" s="161">
        <v>98.091809999999995</v>
      </c>
      <c r="K320" s="161">
        <v>94.302660000000003</v>
      </c>
    </row>
    <row r="321" spans="1:11">
      <c r="A321" s="161">
        <v>2008</v>
      </c>
      <c r="B321" s="161" t="s">
        <v>189</v>
      </c>
      <c r="C321" s="161" t="str">
        <f t="shared" si="12"/>
        <v>2008_Ghana</v>
      </c>
      <c r="D321" s="161">
        <v>5269726000</v>
      </c>
      <c r="E321" s="161">
        <v>2.4154758715986455</v>
      </c>
      <c r="F321" s="161">
        <v>6.3857087724568329</v>
      </c>
      <c r="G321" s="161">
        <f t="shared" si="13"/>
        <v>8.8011846440554778E-2</v>
      </c>
      <c r="H321" s="161">
        <f t="shared" si="14"/>
        <v>463798315.49579895</v>
      </c>
      <c r="I321" s="161">
        <v>77.450180000000003</v>
      </c>
      <c r="J321" s="161">
        <v>106.70916</v>
      </c>
      <c r="K321" s="161">
        <v>77.891919999999999</v>
      </c>
    </row>
    <row r="322" spans="1:11">
      <c r="A322" s="161">
        <v>2008</v>
      </c>
      <c r="B322" s="161" t="s">
        <v>213</v>
      </c>
      <c r="C322" s="161" t="str">
        <f t="shared" ref="C322:C385" si="15">$A322&amp;"_"&amp;$B322</f>
        <v>2008_Guatemala</v>
      </c>
      <c r="D322" s="161">
        <v>7737400000</v>
      </c>
      <c r="E322" s="161">
        <v>6.9963743595322629</v>
      </c>
      <c r="F322" s="161">
        <v>4.267746884105116</v>
      </c>
      <c r="G322" s="161">
        <f t="shared" si="13"/>
        <v>0.1126412124363738</v>
      </c>
      <c r="H322" s="161">
        <f t="shared" si="14"/>
        <v>871550117.10519862</v>
      </c>
      <c r="I322" s="161">
        <v>95.633570000000006</v>
      </c>
      <c r="J322" s="161">
        <v>114.31032999999999</v>
      </c>
      <c r="K322" s="161">
        <v>97.019149999999996</v>
      </c>
    </row>
    <row r="323" spans="1:11">
      <c r="A323" s="161">
        <v>2008</v>
      </c>
      <c r="B323" s="161" t="s">
        <v>2843</v>
      </c>
      <c r="C323" s="161" t="str">
        <f t="shared" si="15"/>
        <v>2008_Guinea</v>
      </c>
      <c r="D323" s="161">
        <v>1342010000</v>
      </c>
      <c r="E323" s="161">
        <v>1.5125434738994363</v>
      </c>
      <c r="F323" s="161">
        <v>59.208204017979568</v>
      </c>
      <c r="G323" s="161">
        <f t="shared" ref="G323:G386" si="16">IFERROR(($E323+$F323)/100,"..")</f>
        <v>0.60720747491879001</v>
      </c>
      <c r="H323" s="161">
        <f t="shared" ref="H323:H386" si="17">IFERROR($G323*$D323,"..")</f>
        <v>814878503.4157654</v>
      </c>
      <c r="I323" s="161">
        <v>67.558440000000004</v>
      </c>
      <c r="J323" s="161">
        <v>85.14143</v>
      </c>
      <c r="K323" s="161">
        <v>68.499020000000002</v>
      </c>
    </row>
    <row r="324" spans="1:11">
      <c r="A324" s="161">
        <v>2008</v>
      </c>
      <c r="B324" s="161" t="s">
        <v>237</v>
      </c>
      <c r="C324" s="161" t="str">
        <f t="shared" si="15"/>
        <v>2008_Indonesia</v>
      </c>
      <c r="D324" s="161">
        <v>139606000000</v>
      </c>
      <c r="E324" s="161">
        <v>29.100009231672519</v>
      </c>
      <c r="F324" s="161">
        <v>7.9633887427764352</v>
      </c>
      <c r="G324" s="161">
        <f t="shared" si="16"/>
        <v>0.37063397974448953</v>
      </c>
      <c r="H324" s="161">
        <f t="shared" si="17"/>
        <v>51742727376.209206</v>
      </c>
      <c r="I324" s="161">
        <v>94.566779999999994</v>
      </c>
      <c r="J324" s="161">
        <v>109.48108000000001</v>
      </c>
      <c r="K324" s="161">
        <v>97.570790000000002</v>
      </c>
    </row>
    <row r="325" spans="1:11">
      <c r="A325" s="161">
        <v>2008</v>
      </c>
      <c r="B325" s="161" t="s">
        <v>245</v>
      </c>
      <c r="C325" s="161" t="str">
        <f t="shared" si="15"/>
        <v>2008_Iraq</v>
      </c>
      <c r="D325" s="161">
        <v>61273300000</v>
      </c>
      <c r="E325" s="161">
        <v>33.817286766459226</v>
      </c>
      <c r="F325" s="161">
        <v>5.3280066353618785E-4</v>
      </c>
      <c r="G325" s="161">
        <f t="shared" si="16"/>
        <v>0.33817819567122759</v>
      </c>
      <c r="H325" s="161">
        <f t="shared" si="17"/>
        <v>20721294036.821831</v>
      </c>
      <c r="I325" s="161" t="s">
        <v>2842</v>
      </c>
      <c r="J325" s="161" t="s">
        <v>2842</v>
      </c>
      <c r="K325" s="161" t="s">
        <v>2842</v>
      </c>
    </row>
    <row r="326" spans="1:11">
      <c r="A326" s="161">
        <v>2008</v>
      </c>
      <c r="B326" s="161" t="s">
        <v>273</v>
      </c>
      <c r="C326" s="161" t="str">
        <f t="shared" si="15"/>
        <v>2008_Kazakhstan</v>
      </c>
      <c r="D326" s="161">
        <v>71171956000</v>
      </c>
      <c r="E326" s="161">
        <v>69.254421313970411</v>
      </c>
      <c r="F326" s="161">
        <v>11.644881715155101</v>
      </c>
      <c r="G326" s="161">
        <f t="shared" si="16"/>
        <v>0.80899303029125524</v>
      </c>
      <c r="H326" s="161">
        <f t="shared" si="17"/>
        <v>57577616356.195885</v>
      </c>
      <c r="I326" s="161">
        <v>89.856219999999993</v>
      </c>
      <c r="J326" s="161">
        <v>105.99444</v>
      </c>
      <c r="K326" s="161">
        <v>98.526750000000007</v>
      </c>
    </row>
    <row r="327" spans="1:11">
      <c r="A327" s="161">
        <v>2008</v>
      </c>
      <c r="B327" s="161" t="s">
        <v>309</v>
      </c>
      <c r="C327" s="161" t="str">
        <f t="shared" si="15"/>
        <v>2008_Madagascar</v>
      </c>
      <c r="D327" s="161">
        <v>1309745000</v>
      </c>
      <c r="E327" s="161">
        <v>5.8461633423337256</v>
      </c>
      <c r="F327" s="161">
        <v>3.2228993965080681</v>
      </c>
      <c r="G327" s="161">
        <f t="shared" si="16"/>
        <v>9.0690627388417933E-2</v>
      </c>
      <c r="H327" s="161">
        <f t="shared" si="17"/>
        <v>118781595.76884344</v>
      </c>
      <c r="I327" s="161" t="s">
        <v>2842</v>
      </c>
      <c r="J327" s="161">
        <v>142.34524999999999</v>
      </c>
      <c r="K327" s="161" t="s">
        <v>2842</v>
      </c>
    </row>
    <row r="328" spans="1:11">
      <c r="A328" s="161">
        <v>2008</v>
      </c>
      <c r="B328" s="161" t="s">
        <v>322</v>
      </c>
      <c r="C328" s="161" t="str">
        <f t="shared" si="15"/>
        <v>2008_Mali</v>
      </c>
      <c r="D328" s="161">
        <v>2097118000</v>
      </c>
      <c r="E328" s="161">
        <v>5.9883877802238317</v>
      </c>
      <c r="F328" s="161">
        <v>0.78112947349466999</v>
      </c>
      <c r="G328" s="161">
        <f t="shared" si="16"/>
        <v>6.7695172537185017E-2</v>
      </c>
      <c r="H328" s="161">
        <f t="shared" si="17"/>
        <v>141964764.84083638</v>
      </c>
      <c r="I328" s="161" t="s">
        <v>2842</v>
      </c>
      <c r="J328" s="161">
        <v>87.618589999999998</v>
      </c>
      <c r="K328" s="161" t="s">
        <v>2842</v>
      </c>
    </row>
    <row r="329" spans="1:11">
      <c r="A329" s="161">
        <v>2008</v>
      </c>
      <c r="B329" s="161" t="s">
        <v>338</v>
      </c>
      <c r="C329" s="161" t="str">
        <f t="shared" si="15"/>
        <v>2008_Mauritania</v>
      </c>
      <c r="D329" s="161">
        <v>1787600000</v>
      </c>
      <c r="E329" s="161">
        <v>21.671895840386849</v>
      </c>
      <c r="F329" s="161">
        <v>59.94056599644145</v>
      </c>
      <c r="G329" s="161">
        <f t="shared" si="16"/>
        <v>0.81612461836828298</v>
      </c>
      <c r="H329" s="161">
        <f t="shared" si="17"/>
        <v>1458904367.7951427</v>
      </c>
      <c r="I329" s="161">
        <v>70.717759999999998</v>
      </c>
      <c r="J329" s="161">
        <v>90.762209999999996</v>
      </c>
      <c r="K329" s="161">
        <v>71.053460000000001</v>
      </c>
    </row>
    <row r="330" spans="1:11">
      <c r="A330" s="161">
        <v>2008</v>
      </c>
      <c r="B330" s="161" t="s">
        <v>357</v>
      </c>
      <c r="C330" s="161" t="str">
        <f t="shared" si="15"/>
        <v>2008_Mongolia</v>
      </c>
      <c r="D330" s="161">
        <v>2539300000</v>
      </c>
      <c r="E330" s="161" t="s">
        <v>2842</v>
      </c>
      <c r="F330" s="161" t="s">
        <v>2842</v>
      </c>
      <c r="G330" s="161" t="str">
        <f t="shared" si="16"/>
        <v>..</v>
      </c>
      <c r="H330" s="161" t="str">
        <f t="shared" si="17"/>
        <v>..</v>
      </c>
      <c r="I330" s="161">
        <v>88.781049999999993</v>
      </c>
      <c r="J330" s="161">
        <v>103.48009</v>
      </c>
      <c r="K330" s="161">
        <v>99.345010000000002</v>
      </c>
    </row>
    <row r="331" spans="1:11">
      <c r="A331" s="161">
        <v>2008</v>
      </c>
      <c r="B331" s="161" t="s">
        <v>387</v>
      </c>
      <c r="C331" s="161" t="str">
        <f t="shared" si="15"/>
        <v>2008_Niger</v>
      </c>
      <c r="D331" s="161">
        <v>910000000</v>
      </c>
      <c r="E331" s="161">
        <v>1.5854481727810597</v>
      </c>
      <c r="F331" s="161">
        <v>44.834110453711979</v>
      </c>
      <c r="G331" s="161">
        <f t="shared" si="16"/>
        <v>0.46419558626493035</v>
      </c>
      <c r="H331" s="161">
        <f t="shared" si="17"/>
        <v>422417983.50108659</v>
      </c>
      <c r="I331" s="161">
        <v>48.807490000000001</v>
      </c>
      <c r="J331" s="161">
        <v>57.052259999999997</v>
      </c>
      <c r="K331" s="161">
        <v>48.807490000000001</v>
      </c>
    </row>
    <row r="332" spans="1:11">
      <c r="A332" s="161">
        <v>2008</v>
      </c>
      <c r="B332" s="161" t="s">
        <v>406</v>
      </c>
      <c r="C332" s="161" t="str">
        <f t="shared" si="15"/>
        <v>2008_Nigeria</v>
      </c>
      <c r="D332" s="161">
        <v>86273500000</v>
      </c>
      <c r="E332" s="161">
        <v>91.743409298898754</v>
      </c>
      <c r="F332" s="161">
        <v>0.33117170412916669</v>
      </c>
      <c r="G332" s="161">
        <f t="shared" si="16"/>
        <v>0.92074581003027911</v>
      </c>
      <c r="H332" s="161">
        <f t="shared" si="17"/>
        <v>79435963641.647278</v>
      </c>
      <c r="I332" s="161">
        <v>63.119669999999999</v>
      </c>
      <c r="J332" s="161">
        <v>83.766649999999998</v>
      </c>
      <c r="K332" s="161">
        <v>63.119669999999999</v>
      </c>
    </row>
    <row r="333" spans="1:11">
      <c r="A333" s="161">
        <v>2008</v>
      </c>
      <c r="B333" s="161" t="s">
        <v>429</v>
      </c>
      <c r="C333" s="161" t="str">
        <f t="shared" si="15"/>
        <v>2008_Norway</v>
      </c>
      <c r="D333" s="161">
        <v>171764345000</v>
      </c>
      <c r="E333" s="161">
        <v>68.896673422129155</v>
      </c>
      <c r="F333" s="161">
        <v>5.6993247546260504</v>
      </c>
      <c r="G333" s="161">
        <f t="shared" si="16"/>
        <v>0.74595998176755207</v>
      </c>
      <c r="H333" s="161">
        <f t="shared" si="17"/>
        <v>128129327664.51552</v>
      </c>
      <c r="I333" s="161">
        <v>99.227590000000006</v>
      </c>
      <c r="J333" s="161">
        <v>99.227590000000006</v>
      </c>
      <c r="K333" s="161">
        <v>99.227590000000006</v>
      </c>
    </row>
    <row r="334" spans="1:11">
      <c r="A334" s="161">
        <v>2008</v>
      </c>
      <c r="B334" s="161" t="s">
        <v>442</v>
      </c>
      <c r="C334" s="161" t="str">
        <f t="shared" si="15"/>
        <v>2008_Peru</v>
      </c>
      <c r="D334" s="161">
        <v>31018541408.129002</v>
      </c>
      <c r="E334" s="161">
        <v>11.118427987110399</v>
      </c>
      <c r="F334" s="161">
        <v>52.359437325470893</v>
      </c>
      <c r="G334" s="161">
        <f t="shared" si="16"/>
        <v>0.63477865312581294</v>
      </c>
      <c r="H334" s="161">
        <f t="shared" si="17"/>
        <v>19689907936.979385</v>
      </c>
      <c r="I334" s="161">
        <v>94.812470000000005</v>
      </c>
      <c r="J334" s="161">
        <v>109.51946</v>
      </c>
      <c r="K334" s="161">
        <v>97.638440000000003</v>
      </c>
    </row>
    <row r="335" spans="1:11">
      <c r="A335" s="161">
        <v>2008</v>
      </c>
      <c r="B335" s="161" t="s">
        <v>481</v>
      </c>
      <c r="C335" s="161" t="str">
        <f t="shared" si="15"/>
        <v>2008_Sierra Leone</v>
      </c>
      <c r="D335" s="161">
        <v>215667000</v>
      </c>
      <c r="E335" s="161" t="s">
        <v>2842</v>
      </c>
      <c r="F335" s="161" t="s">
        <v>2842</v>
      </c>
      <c r="G335" s="161" t="str">
        <f t="shared" si="16"/>
        <v>..</v>
      </c>
      <c r="H335" s="161" t="str">
        <f t="shared" si="17"/>
        <v>..</v>
      </c>
      <c r="I335" s="161" t="s">
        <v>2842</v>
      </c>
      <c r="J335" s="161" t="s">
        <v>2842</v>
      </c>
      <c r="K335" s="161" t="s">
        <v>2842</v>
      </c>
    </row>
    <row r="336" spans="1:11">
      <c r="A336" s="161">
        <v>2008</v>
      </c>
      <c r="B336" s="161" t="s">
        <v>492</v>
      </c>
      <c r="C336" s="161" t="str">
        <f t="shared" si="15"/>
        <v>2008_Tanzania</v>
      </c>
      <c r="D336" s="161">
        <v>3121079000</v>
      </c>
      <c r="E336" s="161">
        <v>2.9311066715031635</v>
      </c>
      <c r="F336" s="161">
        <v>16.832118450643001</v>
      </c>
      <c r="G336" s="161">
        <f t="shared" si="16"/>
        <v>0.19763225122146164</v>
      </c>
      <c r="H336" s="161">
        <f t="shared" si="17"/>
        <v>616825869.01002824</v>
      </c>
      <c r="I336" s="161">
        <v>97.594059999999999</v>
      </c>
      <c r="J336" s="161">
        <v>110.98029</v>
      </c>
      <c r="K336" s="161">
        <v>97.832610000000003</v>
      </c>
    </row>
    <row r="337" spans="1:11">
      <c r="A337" s="161">
        <v>2008</v>
      </c>
      <c r="B337" s="161" t="s">
        <v>2844</v>
      </c>
      <c r="C337" s="161" t="str">
        <f t="shared" si="15"/>
        <v>2008_Timor-Leste</v>
      </c>
      <c r="D337" s="161">
        <v>12999000</v>
      </c>
      <c r="E337" s="161" t="s">
        <v>2842</v>
      </c>
      <c r="F337" s="161" t="s">
        <v>2842</v>
      </c>
      <c r="G337" s="161" t="str">
        <f t="shared" si="16"/>
        <v>..</v>
      </c>
      <c r="H337" s="161" t="str">
        <f t="shared" si="17"/>
        <v>..</v>
      </c>
      <c r="I337" s="161">
        <v>70.500150000000005</v>
      </c>
      <c r="J337" s="161">
        <v>100.11436999999999</v>
      </c>
      <c r="K337" s="161">
        <v>71.280410000000003</v>
      </c>
    </row>
    <row r="338" spans="1:11">
      <c r="A338" s="161">
        <v>2008</v>
      </c>
      <c r="B338" s="161" t="s">
        <v>510</v>
      </c>
      <c r="C338" s="161" t="str">
        <f t="shared" si="15"/>
        <v>2008_Togo</v>
      </c>
      <c r="D338" s="161">
        <v>852603253.64835095</v>
      </c>
      <c r="E338" s="161">
        <v>7.9386136081844887</v>
      </c>
      <c r="F338" s="161">
        <v>14.798353101639265</v>
      </c>
      <c r="G338" s="161">
        <f t="shared" si="16"/>
        <v>0.22736966709823755</v>
      </c>
      <c r="H338" s="161">
        <f t="shared" si="17"/>
        <v>193856117.94889975</v>
      </c>
      <c r="I338" s="161">
        <v>90.437520000000006</v>
      </c>
      <c r="J338" s="161">
        <v>113.11584999999999</v>
      </c>
      <c r="K338" s="161">
        <v>92.811260000000004</v>
      </c>
    </row>
    <row r="339" spans="1:11">
      <c r="A339" s="161">
        <v>2008</v>
      </c>
      <c r="B339" s="161" t="s">
        <v>2845</v>
      </c>
      <c r="C339" s="161" t="str">
        <f t="shared" si="15"/>
        <v>2008_Trinidad and Tobago</v>
      </c>
      <c r="D339" s="161">
        <v>18650425000</v>
      </c>
      <c r="E339" s="161">
        <v>69.970765763342456</v>
      </c>
      <c r="F339" s="161">
        <v>2.9284082876717452</v>
      </c>
      <c r="G339" s="161">
        <f t="shared" si="16"/>
        <v>0.72899174051014204</v>
      </c>
      <c r="H339" s="161">
        <f t="shared" si="17"/>
        <v>13596005782.003866</v>
      </c>
      <c r="I339" s="161">
        <v>94.328100000000006</v>
      </c>
      <c r="J339" s="161">
        <v>106.27603999999999</v>
      </c>
      <c r="K339" s="161">
        <v>97.925309999999996</v>
      </c>
    </row>
    <row r="340" spans="1:11">
      <c r="A340" s="161">
        <v>2008</v>
      </c>
      <c r="B340" s="161" t="s">
        <v>2846</v>
      </c>
      <c r="C340" s="161" t="str">
        <f t="shared" si="15"/>
        <v>2008_Yemen, Rep.</v>
      </c>
      <c r="D340" s="161">
        <v>7583784000</v>
      </c>
      <c r="E340" s="161">
        <v>92.407229262230288</v>
      </c>
      <c r="F340" s="161">
        <v>0.13396987535063784</v>
      </c>
      <c r="G340" s="161">
        <f t="shared" si="16"/>
        <v>0.92541199137580932</v>
      </c>
      <c r="H340" s="161">
        <f t="shared" si="17"/>
        <v>7018124653.604001</v>
      </c>
      <c r="I340" s="161">
        <v>76.460390000000004</v>
      </c>
      <c r="J340" s="161">
        <v>89.829400000000007</v>
      </c>
      <c r="K340" s="161">
        <v>76.828829999999996</v>
      </c>
    </row>
    <row r="341" spans="1:11">
      <c r="A341" s="161">
        <v>2008</v>
      </c>
      <c r="B341" s="161" t="s">
        <v>534</v>
      </c>
      <c r="C341" s="161" t="str">
        <f t="shared" si="15"/>
        <v>2008_Zambia</v>
      </c>
      <c r="D341" s="161">
        <v>5098688000</v>
      </c>
      <c r="E341" s="161">
        <v>0.70323535515841917</v>
      </c>
      <c r="F341" s="161">
        <v>85.372038695077592</v>
      </c>
      <c r="G341" s="161">
        <f t="shared" si="16"/>
        <v>0.86075274050236006</v>
      </c>
      <c r="H341" s="161">
        <f t="shared" si="17"/>
        <v>4388709668.9664974</v>
      </c>
      <c r="I341" s="161">
        <v>95.400180000000006</v>
      </c>
      <c r="J341" s="161">
        <v>119.33445</v>
      </c>
      <c r="K341" s="161">
        <v>96.953670000000002</v>
      </c>
    </row>
    <row r="342" spans="1:11">
      <c r="A342" s="161">
        <v>2009</v>
      </c>
      <c r="B342" s="161" t="s">
        <v>16</v>
      </c>
      <c r="C342" s="161" t="str">
        <f t="shared" si="15"/>
        <v>2009_Afghanistan</v>
      </c>
      <c r="D342" s="161">
        <v>403441000</v>
      </c>
      <c r="E342" s="161" t="s">
        <v>2842</v>
      </c>
      <c r="F342" s="161">
        <v>0.13797680248695393</v>
      </c>
      <c r="G342" s="161" t="str">
        <f t="shared" si="16"/>
        <v>..</v>
      </c>
      <c r="H342" s="161" t="str">
        <f t="shared" si="17"/>
        <v>..</v>
      </c>
      <c r="I342" s="161" t="s">
        <v>2842</v>
      </c>
      <c r="J342" s="161">
        <v>95.727959999999996</v>
      </c>
      <c r="K342" s="161" t="s">
        <v>2842</v>
      </c>
    </row>
    <row r="343" spans="1:11">
      <c r="A343" s="161">
        <v>2009</v>
      </c>
      <c r="B343" s="161" t="s">
        <v>33</v>
      </c>
      <c r="C343" s="161" t="str">
        <f t="shared" si="15"/>
        <v>2009_Albania</v>
      </c>
      <c r="D343" s="161">
        <v>1090600000</v>
      </c>
      <c r="E343" s="161">
        <v>11.602414457250166</v>
      </c>
      <c r="F343" s="161">
        <v>9.5577464696685741</v>
      </c>
      <c r="G343" s="161">
        <f t="shared" si="16"/>
        <v>0.21160160926918742</v>
      </c>
      <c r="H343" s="161">
        <f t="shared" si="17"/>
        <v>230772715.06897581</v>
      </c>
      <c r="I343" s="161" t="s">
        <v>2842</v>
      </c>
      <c r="J343" s="161" t="s">
        <v>2842</v>
      </c>
      <c r="K343" s="161" t="s">
        <v>2842</v>
      </c>
    </row>
    <row r="344" spans="1:11">
      <c r="A344" s="161">
        <v>2009</v>
      </c>
      <c r="B344" s="161" t="s">
        <v>48</v>
      </c>
      <c r="C344" s="161" t="str">
        <f t="shared" si="15"/>
        <v>2009_Azerbaijan</v>
      </c>
      <c r="D344" s="161">
        <v>21097000000</v>
      </c>
      <c r="E344" s="161">
        <v>92.856862976342853</v>
      </c>
      <c r="F344" s="161">
        <v>0.24994996688852428</v>
      </c>
      <c r="G344" s="161">
        <f t="shared" si="16"/>
        <v>0.93106812943231376</v>
      </c>
      <c r="H344" s="161">
        <f t="shared" si="17"/>
        <v>19642744326.633522</v>
      </c>
      <c r="I344" s="161">
        <v>85.173910000000006</v>
      </c>
      <c r="J344" s="161">
        <v>95.068569999999994</v>
      </c>
      <c r="K344" s="161">
        <v>85.518900000000002</v>
      </c>
    </row>
    <row r="345" spans="1:11">
      <c r="A345" s="161">
        <v>2009</v>
      </c>
      <c r="B345" s="161" t="s">
        <v>93</v>
      </c>
      <c r="C345" s="161" t="str">
        <f t="shared" si="15"/>
        <v>2009_Burkina Faso</v>
      </c>
      <c r="D345" s="161">
        <v>900493000</v>
      </c>
      <c r="E345" s="161">
        <v>2.2492756720620347E-2</v>
      </c>
      <c r="F345" s="161">
        <v>0.64208971329807996</v>
      </c>
      <c r="G345" s="161">
        <f t="shared" si="16"/>
        <v>6.6458247001870028E-3</v>
      </c>
      <c r="H345" s="161">
        <f t="shared" si="17"/>
        <v>5984518.6217454951</v>
      </c>
      <c r="I345" s="161">
        <v>62.846310000000003</v>
      </c>
      <c r="J345" s="161">
        <v>77.680959999999999</v>
      </c>
      <c r="K345" s="161">
        <v>63.94896</v>
      </c>
    </row>
    <row r="346" spans="1:11">
      <c r="A346" s="161">
        <v>2009</v>
      </c>
      <c r="B346" s="161" t="s">
        <v>96</v>
      </c>
      <c r="C346" s="161" t="str">
        <f t="shared" si="15"/>
        <v>2009_Cameroon</v>
      </c>
      <c r="D346" s="161">
        <v>3552181000</v>
      </c>
      <c r="E346" s="161">
        <v>0.9474306730582851</v>
      </c>
      <c r="F346" s="161">
        <v>5.4231933030107875</v>
      </c>
      <c r="G346" s="161">
        <f t="shared" si="16"/>
        <v>6.370623976069073E-2</v>
      </c>
      <c r="H346" s="161">
        <f t="shared" si="17"/>
        <v>226296094.45937017</v>
      </c>
      <c r="I346" s="161">
        <v>83.53246</v>
      </c>
      <c r="J346" s="161">
        <v>103.74218999999999</v>
      </c>
      <c r="K346" s="161">
        <v>84.947630000000004</v>
      </c>
    </row>
    <row r="347" spans="1:11">
      <c r="A347" s="161">
        <v>2009</v>
      </c>
      <c r="B347" s="161" t="s">
        <v>122</v>
      </c>
      <c r="C347" s="161" t="str">
        <f t="shared" si="15"/>
        <v>2009_Central African Republic</v>
      </c>
      <c r="D347" s="161">
        <v>120000000</v>
      </c>
      <c r="E347" s="161" t="s">
        <v>2842</v>
      </c>
      <c r="F347" s="161">
        <v>61.999239361997397</v>
      </c>
      <c r="G347" s="161" t="str">
        <f t="shared" si="16"/>
        <v>..</v>
      </c>
      <c r="H347" s="161" t="str">
        <f t="shared" si="17"/>
        <v>..</v>
      </c>
      <c r="I347" s="161">
        <v>68.328980000000001</v>
      </c>
      <c r="J347" s="161">
        <v>90.788629999999998</v>
      </c>
      <c r="K347" s="161">
        <v>68.580860000000001</v>
      </c>
    </row>
    <row r="348" spans="1:11">
      <c r="A348" s="161">
        <v>2009</v>
      </c>
      <c r="B348" s="161" t="s">
        <v>133</v>
      </c>
      <c r="C348" s="161" t="str">
        <f t="shared" si="15"/>
        <v>2009_Chad</v>
      </c>
      <c r="D348" s="161">
        <v>2800000000</v>
      </c>
      <c r="E348" s="161" t="s">
        <v>2842</v>
      </c>
      <c r="F348" s="161" t="s">
        <v>2842</v>
      </c>
      <c r="G348" s="161" t="str">
        <f t="shared" si="16"/>
        <v>..</v>
      </c>
      <c r="H348" s="161" t="str">
        <f t="shared" si="17"/>
        <v>..</v>
      </c>
      <c r="I348" s="161" t="s">
        <v>2842</v>
      </c>
      <c r="J348" s="161">
        <v>83.156030000000001</v>
      </c>
      <c r="K348" s="161" t="s">
        <v>2842</v>
      </c>
    </row>
    <row r="349" spans="1:11">
      <c r="A349" s="161">
        <v>2009</v>
      </c>
      <c r="B349" s="161" t="s">
        <v>3544</v>
      </c>
      <c r="C349" s="161" t="str">
        <f t="shared" si="15"/>
        <v>2009_Congo, Dem. Rep.</v>
      </c>
      <c r="D349" s="161">
        <v>3500000000</v>
      </c>
      <c r="E349" s="161" t="s">
        <v>2842</v>
      </c>
      <c r="F349" s="161" t="s">
        <v>2842</v>
      </c>
      <c r="G349" s="161" t="str">
        <f t="shared" si="16"/>
        <v>..</v>
      </c>
      <c r="H349" s="161" t="str">
        <f t="shared" si="17"/>
        <v>..</v>
      </c>
      <c r="I349" s="161" t="s">
        <v>2842</v>
      </c>
      <c r="J349" s="161">
        <v>102.10938</v>
      </c>
      <c r="K349" s="161" t="s">
        <v>2842</v>
      </c>
    </row>
    <row r="350" spans="1:11">
      <c r="A350" s="161">
        <v>2009</v>
      </c>
      <c r="B350" s="161" t="s">
        <v>3543</v>
      </c>
      <c r="C350" s="161" t="str">
        <f t="shared" si="15"/>
        <v>2009_Congo, Rep.</v>
      </c>
      <c r="D350" s="161">
        <v>6100000000</v>
      </c>
      <c r="E350" s="161">
        <v>70.659308670359763</v>
      </c>
      <c r="F350" s="161">
        <v>1.8679259694297623E-2</v>
      </c>
      <c r="G350" s="161">
        <f t="shared" si="16"/>
        <v>0.70677987930054054</v>
      </c>
      <c r="H350" s="161">
        <f t="shared" si="17"/>
        <v>4311357263.7332973</v>
      </c>
      <c r="I350" s="161" t="s">
        <v>2842</v>
      </c>
      <c r="J350" s="161">
        <v>109.03785000000001</v>
      </c>
      <c r="K350" s="161" t="s">
        <v>2842</v>
      </c>
    </row>
    <row r="351" spans="1:11">
      <c r="A351" s="161">
        <v>2009</v>
      </c>
      <c r="B351" s="161" t="s">
        <v>182</v>
      </c>
      <c r="C351" s="161" t="str">
        <f t="shared" si="15"/>
        <v>2009_Equatorial Guinea</v>
      </c>
      <c r="D351" s="161">
        <v>9100000000</v>
      </c>
      <c r="E351" s="161" t="s">
        <v>2842</v>
      </c>
      <c r="F351" s="161" t="s">
        <v>2842</v>
      </c>
      <c r="G351" s="161" t="str">
        <f t="shared" si="16"/>
        <v>..</v>
      </c>
      <c r="H351" s="161" t="str">
        <f t="shared" si="17"/>
        <v>..</v>
      </c>
      <c r="I351" s="161">
        <v>56.111840000000001</v>
      </c>
      <c r="J351" s="161">
        <v>85.856409999999997</v>
      </c>
      <c r="K351" s="161">
        <v>56.111840000000001</v>
      </c>
    </row>
    <row r="352" spans="1:11">
      <c r="A352" s="161">
        <v>2009</v>
      </c>
      <c r="B352" s="161" t="s">
        <v>185</v>
      </c>
      <c r="C352" s="161" t="str">
        <f t="shared" si="15"/>
        <v>2009_Gabon</v>
      </c>
      <c r="D352" s="161">
        <v>5355978000</v>
      </c>
      <c r="E352" s="161">
        <v>83.134838314536537</v>
      </c>
      <c r="F352" s="161">
        <v>3.0311257191161931</v>
      </c>
      <c r="G352" s="161">
        <f t="shared" si="16"/>
        <v>0.86165964033652731</v>
      </c>
      <c r="H352" s="161">
        <f t="shared" si="17"/>
        <v>4615030077.130353</v>
      </c>
      <c r="I352" s="161" t="s">
        <v>2842</v>
      </c>
      <c r="J352" s="161" t="s">
        <v>2842</v>
      </c>
      <c r="K352" s="161" t="s">
        <v>2842</v>
      </c>
    </row>
    <row r="353" spans="1:11">
      <c r="A353" s="161">
        <v>2009</v>
      </c>
      <c r="B353" s="161" t="s">
        <v>294</v>
      </c>
      <c r="C353" s="161" t="str">
        <f t="shared" si="15"/>
        <v>2009_Liberia</v>
      </c>
      <c r="D353" s="161">
        <v>148830000</v>
      </c>
      <c r="E353" s="161" t="s">
        <v>2842</v>
      </c>
      <c r="F353" s="161" t="s">
        <v>2842</v>
      </c>
      <c r="G353" s="161" t="str">
        <f t="shared" si="16"/>
        <v>..</v>
      </c>
      <c r="H353" s="161" t="str">
        <f t="shared" si="17"/>
        <v>..</v>
      </c>
      <c r="I353" s="161">
        <v>39.905470000000001</v>
      </c>
      <c r="J353" s="161">
        <v>99.638310000000004</v>
      </c>
      <c r="K353" s="161">
        <v>40.164589999999997</v>
      </c>
    </row>
    <row r="354" spans="1:11">
      <c r="A354" s="161">
        <v>2009</v>
      </c>
      <c r="B354" s="161" t="s">
        <v>278</v>
      </c>
      <c r="C354" s="161" t="str">
        <f t="shared" si="15"/>
        <v>2009_Kyrgyz Republic</v>
      </c>
      <c r="D354" s="161">
        <v>1673000000</v>
      </c>
      <c r="E354" s="161">
        <v>6.1789385956520917</v>
      </c>
      <c r="F354" s="161">
        <v>2.9573890851719056</v>
      </c>
      <c r="G354" s="161">
        <f t="shared" si="16"/>
        <v>9.1363276808239982E-2</v>
      </c>
      <c r="H354" s="161">
        <f t="shared" si="17"/>
        <v>152850762.10018548</v>
      </c>
      <c r="I354" s="161">
        <v>86.253870000000006</v>
      </c>
      <c r="J354" s="161">
        <v>98.266930000000002</v>
      </c>
      <c r="K354" s="161">
        <v>93.910719999999998</v>
      </c>
    </row>
    <row r="355" spans="1:11">
      <c r="A355" s="161">
        <v>2009</v>
      </c>
      <c r="B355" s="161" t="s">
        <v>189</v>
      </c>
      <c r="C355" s="161" t="str">
        <f t="shared" si="15"/>
        <v>2009_Ghana</v>
      </c>
      <c r="D355" s="161">
        <v>5839710000</v>
      </c>
      <c r="E355" s="161">
        <v>4.18311482217727</v>
      </c>
      <c r="F355" s="161">
        <v>4.1726981040200632</v>
      </c>
      <c r="G355" s="161">
        <f t="shared" si="16"/>
        <v>8.3558129261973341E-2</v>
      </c>
      <c r="H355" s="161">
        <f t="shared" si="17"/>
        <v>487955243.03243834</v>
      </c>
      <c r="I355" s="161">
        <v>76.143659999999997</v>
      </c>
      <c r="J355" s="161">
        <v>105.53379</v>
      </c>
      <c r="K355" s="161">
        <v>76.468360000000004</v>
      </c>
    </row>
    <row r="356" spans="1:11">
      <c r="A356" s="161">
        <v>2009</v>
      </c>
      <c r="B356" s="161" t="s">
        <v>213</v>
      </c>
      <c r="C356" s="161" t="str">
        <f t="shared" si="15"/>
        <v>2009_Guatemala</v>
      </c>
      <c r="D356" s="161">
        <v>7213700000</v>
      </c>
      <c r="E356" s="161">
        <v>4.0665078183161381</v>
      </c>
      <c r="F356" s="161">
        <v>5.1469834177485607</v>
      </c>
      <c r="G356" s="161">
        <f t="shared" si="16"/>
        <v>9.2134912360646984E-2</v>
      </c>
      <c r="H356" s="161">
        <f t="shared" si="17"/>
        <v>664633617.29599917</v>
      </c>
      <c r="I356" s="161">
        <v>97.009889999999999</v>
      </c>
      <c r="J356" s="161">
        <v>116.75566999999999</v>
      </c>
      <c r="K356" s="161">
        <v>98.720759999999999</v>
      </c>
    </row>
    <row r="357" spans="1:11">
      <c r="A357" s="161">
        <v>2009</v>
      </c>
      <c r="B357" s="161" t="s">
        <v>2843</v>
      </c>
      <c r="C357" s="161" t="str">
        <f t="shared" si="15"/>
        <v>2009_Guinea</v>
      </c>
      <c r="D357" s="161">
        <v>1049720000</v>
      </c>
      <c r="E357" s="161" t="s">
        <v>2842</v>
      </c>
      <c r="F357" s="161" t="s">
        <v>2842</v>
      </c>
      <c r="G357" s="161" t="str">
        <f t="shared" si="16"/>
        <v>..</v>
      </c>
      <c r="H357" s="161" t="str">
        <f t="shared" si="17"/>
        <v>..</v>
      </c>
      <c r="I357" s="161">
        <v>68.679079999999999</v>
      </c>
      <c r="J357" s="161">
        <v>84.595759999999999</v>
      </c>
      <c r="K357" s="161">
        <v>69.779200000000003</v>
      </c>
    </row>
    <row r="358" spans="1:11">
      <c r="A358" s="161">
        <v>2009</v>
      </c>
      <c r="B358" s="161" t="s">
        <v>237</v>
      </c>
      <c r="C358" s="161" t="str">
        <f t="shared" si="15"/>
        <v>2009_Indonesia</v>
      </c>
      <c r="D358" s="161">
        <v>119646000000</v>
      </c>
      <c r="E358" s="161">
        <v>28.420483786916428</v>
      </c>
      <c r="F358" s="161">
        <v>9.1697031320845888</v>
      </c>
      <c r="G358" s="161">
        <f t="shared" si="16"/>
        <v>0.37590186919001012</v>
      </c>
      <c r="H358" s="161">
        <f t="shared" si="17"/>
        <v>44975155041.107948</v>
      </c>
      <c r="I358" s="161">
        <v>94.921019999999999</v>
      </c>
      <c r="J358" s="161">
        <v>109.89215</v>
      </c>
      <c r="K358" s="161">
        <v>98.035229999999999</v>
      </c>
    </row>
    <row r="359" spans="1:11">
      <c r="A359" s="161">
        <v>2009</v>
      </c>
      <c r="B359" s="161" t="s">
        <v>245</v>
      </c>
      <c r="C359" s="161" t="str">
        <f t="shared" si="15"/>
        <v>2009_Iraq</v>
      </c>
      <c r="D359" s="161">
        <v>41928641000</v>
      </c>
      <c r="E359" s="161">
        <v>98.617355049690687</v>
      </c>
      <c r="F359" s="161">
        <v>4.8157814767120319E-2</v>
      </c>
      <c r="G359" s="161">
        <f t="shared" si="16"/>
        <v>0.98665512864457805</v>
      </c>
      <c r="H359" s="161">
        <f t="shared" si="17"/>
        <v>41369108679.74733</v>
      </c>
      <c r="I359" s="161" t="s">
        <v>2842</v>
      </c>
      <c r="J359" s="161" t="s">
        <v>2842</v>
      </c>
      <c r="K359" s="161" t="s">
        <v>2842</v>
      </c>
    </row>
    <row r="360" spans="1:11">
      <c r="A360" s="161">
        <v>2009</v>
      </c>
      <c r="B360" s="161" t="s">
        <v>273</v>
      </c>
      <c r="C360" s="161" t="str">
        <f t="shared" si="15"/>
        <v>2009_Kazakhstan</v>
      </c>
      <c r="D360" s="161">
        <v>43195762000</v>
      </c>
      <c r="E360" s="161">
        <v>70.58697783170193</v>
      </c>
      <c r="F360" s="161">
        <v>11.206346640673551</v>
      </c>
      <c r="G360" s="161">
        <f t="shared" si="16"/>
        <v>0.81793324472375473</v>
      </c>
      <c r="H360" s="161">
        <f t="shared" si="17"/>
        <v>35331249770.975067</v>
      </c>
      <c r="I360" s="161">
        <v>88.288550000000001</v>
      </c>
      <c r="J360" s="161">
        <v>105.47391</v>
      </c>
      <c r="K360" s="161">
        <v>98.118610000000004</v>
      </c>
    </row>
    <row r="361" spans="1:11">
      <c r="A361" s="161">
        <v>2009</v>
      </c>
      <c r="B361" s="161" t="s">
        <v>309</v>
      </c>
      <c r="C361" s="161" t="str">
        <f t="shared" si="15"/>
        <v>2009_Madagascar</v>
      </c>
      <c r="D361" s="161">
        <v>1051987000</v>
      </c>
      <c r="E361" s="161">
        <v>4.9294174820711705</v>
      </c>
      <c r="F361" s="161">
        <v>3.0184952050304283</v>
      </c>
      <c r="G361" s="161">
        <f t="shared" si="16"/>
        <v>7.9479126871015993E-2</v>
      </c>
      <c r="H361" s="161">
        <f t="shared" si="17"/>
        <v>83611008.239659503</v>
      </c>
      <c r="I361" s="161" t="s">
        <v>2842</v>
      </c>
      <c r="J361" s="161">
        <v>149.95125999999999</v>
      </c>
      <c r="K361" s="161" t="s">
        <v>2842</v>
      </c>
    </row>
    <row r="362" spans="1:11">
      <c r="A362" s="161">
        <v>2009</v>
      </c>
      <c r="B362" s="161" t="s">
        <v>322</v>
      </c>
      <c r="C362" s="161" t="str">
        <f t="shared" si="15"/>
        <v>2009_Mali</v>
      </c>
      <c r="D362" s="161">
        <v>1773665000</v>
      </c>
      <c r="E362" s="161" t="s">
        <v>2842</v>
      </c>
      <c r="F362" s="161" t="s">
        <v>2842</v>
      </c>
      <c r="G362" s="161" t="str">
        <f t="shared" si="16"/>
        <v>..</v>
      </c>
      <c r="H362" s="161" t="str">
        <f t="shared" si="17"/>
        <v>..</v>
      </c>
      <c r="I362" s="161">
        <v>68.723079999999996</v>
      </c>
      <c r="J362" s="161">
        <v>89.250720000000001</v>
      </c>
      <c r="K362" s="161">
        <v>72.530910000000006</v>
      </c>
    </row>
    <row r="363" spans="1:11">
      <c r="A363" s="161">
        <v>2009</v>
      </c>
      <c r="B363" s="161" t="s">
        <v>338</v>
      </c>
      <c r="C363" s="161" t="str">
        <f t="shared" si="15"/>
        <v>2009_Mauritania</v>
      </c>
      <c r="D363" s="161">
        <v>1364100000</v>
      </c>
      <c r="E363" s="161" t="s">
        <v>2842</v>
      </c>
      <c r="F363" s="161">
        <v>67.837255502990288</v>
      </c>
      <c r="G363" s="161" t="str">
        <f t="shared" si="16"/>
        <v>..</v>
      </c>
      <c r="H363" s="161" t="str">
        <f t="shared" si="17"/>
        <v>..</v>
      </c>
      <c r="I363" s="161">
        <v>70.128069999999994</v>
      </c>
      <c r="J363" s="161">
        <v>95.940200000000004</v>
      </c>
      <c r="K363" s="161">
        <v>70.378680000000003</v>
      </c>
    </row>
    <row r="364" spans="1:11">
      <c r="A364" s="161">
        <v>2009</v>
      </c>
      <c r="B364" s="161" t="s">
        <v>357</v>
      </c>
      <c r="C364" s="161" t="str">
        <f t="shared" si="15"/>
        <v>2009_Mongolia</v>
      </c>
      <c r="D364" s="161">
        <v>1902600000</v>
      </c>
      <c r="E364" s="161" t="s">
        <v>2842</v>
      </c>
      <c r="F364" s="161" t="s">
        <v>2842</v>
      </c>
      <c r="G364" s="161" t="str">
        <f t="shared" si="16"/>
        <v>..</v>
      </c>
      <c r="H364" s="161" t="str">
        <f t="shared" si="17"/>
        <v>..</v>
      </c>
      <c r="I364" s="161">
        <v>97.418040000000005</v>
      </c>
      <c r="J364" s="161">
        <v>114.44856</v>
      </c>
      <c r="K364" s="161">
        <v>98.448030000000003</v>
      </c>
    </row>
    <row r="365" spans="1:11">
      <c r="A365" s="161">
        <v>2009</v>
      </c>
      <c r="B365" s="161" t="s">
        <v>387</v>
      </c>
      <c r="C365" s="161" t="str">
        <f t="shared" si="15"/>
        <v>2009_Niger</v>
      </c>
      <c r="D365" s="161">
        <v>1000000000</v>
      </c>
      <c r="E365" s="161">
        <v>1.2380253705736854</v>
      </c>
      <c r="F365" s="161">
        <v>59.765754315408351</v>
      </c>
      <c r="G365" s="161">
        <f t="shared" si="16"/>
        <v>0.6100377968598204</v>
      </c>
      <c r="H365" s="161">
        <f t="shared" si="17"/>
        <v>610037796.85982037</v>
      </c>
      <c r="I365" s="161">
        <v>52.717500000000001</v>
      </c>
      <c r="J365" s="161">
        <v>60.941330000000001</v>
      </c>
      <c r="K365" s="161">
        <v>52.717500000000001</v>
      </c>
    </row>
    <row r="366" spans="1:11">
      <c r="A366" s="161">
        <v>2009</v>
      </c>
      <c r="B366" s="161" t="s">
        <v>406</v>
      </c>
      <c r="C366" s="161" t="str">
        <f t="shared" si="15"/>
        <v>2009_Nigeria</v>
      </c>
      <c r="D366" s="161">
        <v>56741900000</v>
      </c>
      <c r="E366" s="161">
        <v>90.361531347458268</v>
      </c>
      <c r="F366" s="161">
        <v>0.1981325077019177</v>
      </c>
      <c r="G366" s="161">
        <f t="shared" si="16"/>
        <v>0.90559663855160177</v>
      </c>
      <c r="H366" s="161">
        <f t="shared" si="17"/>
        <v>51385273905.031136</v>
      </c>
      <c r="I366" s="161">
        <v>64.076099999999997</v>
      </c>
      <c r="J366" s="161">
        <v>85.035939999999997</v>
      </c>
      <c r="K366" s="161">
        <v>64.076099999999997</v>
      </c>
    </row>
    <row r="367" spans="1:11">
      <c r="A367" s="161">
        <v>2009</v>
      </c>
      <c r="B367" s="161" t="s">
        <v>429</v>
      </c>
      <c r="C367" s="161" t="str">
        <f t="shared" si="15"/>
        <v>2009_Norway</v>
      </c>
      <c r="D367" s="161">
        <v>116778108000</v>
      </c>
      <c r="E367" s="161">
        <v>63.03891077034627</v>
      </c>
      <c r="F367" s="161">
        <v>5.345131594649124</v>
      </c>
      <c r="G367" s="161">
        <f t="shared" si="16"/>
        <v>0.6838404236499539</v>
      </c>
      <c r="H367" s="161">
        <f t="shared" si="17"/>
        <v>79857590847.760071</v>
      </c>
      <c r="I367" s="161">
        <v>99.003860000000003</v>
      </c>
      <c r="J367" s="161">
        <v>99.003860000000003</v>
      </c>
      <c r="K367" s="161">
        <v>99.004090000000005</v>
      </c>
    </row>
    <row r="368" spans="1:11">
      <c r="A368" s="161">
        <v>2009</v>
      </c>
      <c r="B368" s="161" t="s">
        <v>442</v>
      </c>
      <c r="C368" s="161" t="str">
        <f t="shared" si="15"/>
        <v>2009_Peru</v>
      </c>
      <c r="D368" s="161">
        <v>26961721000</v>
      </c>
      <c r="E368" s="161">
        <v>10.348760684949175</v>
      </c>
      <c r="F368" s="161">
        <v>48.971526768069978</v>
      </c>
      <c r="G368" s="161">
        <f t="shared" si="16"/>
        <v>0.5932028745301916</v>
      </c>
      <c r="H368" s="161">
        <f t="shared" si="17"/>
        <v>15993770399.481031</v>
      </c>
      <c r="I368" s="161">
        <v>93.899280000000005</v>
      </c>
      <c r="J368" s="161">
        <v>107.80842</v>
      </c>
      <c r="K368" s="161">
        <v>96.569890000000001</v>
      </c>
    </row>
    <row r="369" spans="1:11">
      <c r="A369" s="161">
        <v>2009</v>
      </c>
      <c r="B369" s="161" t="s">
        <v>481</v>
      </c>
      <c r="C369" s="161" t="str">
        <f t="shared" si="15"/>
        <v>2009_Sierra Leone</v>
      </c>
      <c r="D369" s="161">
        <v>230662000</v>
      </c>
      <c r="E369" s="161" t="s">
        <v>2842</v>
      </c>
      <c r="F369" s="161" t="s">
        <v>2842</v>
      </c>
      <c r="G369" s="161" t="str">
        <f t="shared" si="16"/>
        <v>..</v>
      </c>
      <c r="H369" s="161" t="str">
        <f t="shared" si="17"/>
        <v>..</v>
      </c>
      <c r="I369" s="161" t="s">
        <v>2842</v>
      </c>
      <c r="J369" s="161" t="s">
        <v>2842</v>
      </c>
      <c r="K369" s="161" t="s">
        <v>2842</v>
      </c>
    </row>
    <row r="370" spans="1:11">
      <c r="A370" s="161">
        <v>2009</v>
      </c>
      <c r="B370" s="161" t="s">
        <v>492</v>
      </c>
      <c r="C370" s="161" t="str">
        <f t="shared" si="15"/>
        <v>2009_Tanzania</v>
      </c>
      <c r="D370" s="161">
        <v>2982405000</v>
      </c>
      <c r="E370" s="161">
        <v>0.99318458085175165</v>
      </c>
      <c r="F370" s="161">
        <v>24.57923907127806</v>
      </c>
      <c r="G370" s="161">
        <f t="shared" si="16"/>
        <v>0.25572423652129811</v>
      </c>
      <c r="H370" s="161">
        <f t="shared" si="17"/>
        <v>762673241.62230206</v>
      </c>
      <c r="I370" s="161" t="s">
        <v>2842</v>
      </c>
      <c r="J370" s="161">
        <v>105.29691</v>
      </c>
      <c r="K370" s="161" t="s">
        <v>2842</v>
      </c>
    </row>
    <row r="371" spans="1:11">
      <c r="A371" s="161">
        <v>2009</v>
      </c>
      <c r="B371" s="161" t="s">
        <v>2844</v>
      </c>
      <c r="C371" s="161" t="str">
        <f t="shared" si="15"/>
        <v>2009_Timor-Leste</v>
      </c>
      <c r="D371" s="161">
        <v>8490000</v>
      </c>
      <c r="E371" s="161" t="s">
        <v>2842</v>
      </c>
      <c r="F371" s="161" t="s">
        <v>2842</v>
      </c>
      <c r="G371" s="161" t="str">
        <f t="shared" si="16"/>
        <v>..</v>
      </c>
      <c r="H371" s="161" t="str">
        <f t="shared" si="17"/>
        <v>..</v>
      </c>
      <c r="I371" s="161">
        <v>77.299419999999998</v>
      </c>
      <c r="J371" s="161">
        <v>106.12044</v>
      </c>
      <c r="K371" s="161">
        <v>78.178349999999995</v>
      </c>
    </row>
    <row r="372" spans="1:11">
      <c r="A372" s="161">
        <v>2009</v>
      </c>
      <c r="B372" s="161" t="s">
        <v>510</v>
      </c>
      <c r="C372" s="161" t="str">
        <f t="shared" si="15"/>
        <v>2009_Togo</v>
      </c>
      <c r="D372" s="161">
        <v>903026000</v>
      </c>
      <c r="E372" s="161">
        <v>3.5808572056617818E-2</v>
      </c>
      <c r="F372" s="161">
        <v>30.31017605104055</v>
      </c>
      <c r="G372" s="161">
        <f t="shared" si="16"/>
        <v>0.30345984623097166</v>
      </c>
      <c r="H372" s="161">
        <f t="shared" si="17"/>
        <v>274032131.1025694</v>
      </c>
      <c r="I372" s="161" t="s">
        <v>2842</v>
      </c>
      <c r="J372" s="161">
        <v>128.22667000000001</v>
      </c>
      <c r="K372" s="161" t="s">
        <v>2842</v>
      </c>
    </row>
    <row r="373" spans="1:11">
      <c r="A373" s="161">
        <v>2009</v>
      </c>
      <c r="B373" s="161" t="s">
        <v>2845</v>
      </c>
      <c r="C373" s="161" t="str">
        <f t="shared" si="15"/>
        <v>2009_Trinidad and Tobago</v>
      </c>
      <c r="D373" s="161">
        <v>9125971000</v>
      </c>
      <c r="E373" s="161">
        <v>78.995722494974416</v>
      </c>
      <c r="F373" s="161">
        <v>2.4756377413812816</v>
      </c>
      <c r="G373" s="161">
        <f t="shared" si="16"/>
        <v>0.81471360236355694</v>
      </c>
      <c r="H373" s="161">
        <f t="shared" si="17"/>
        <v>7435052708.4753523</v>
      </c>
      <c r="I373" s="161">
        <v>95.161739999999995</v>
      </c>
      <c r="J373" s="161">
        <v>106.45319000000001</v>
      </c>
      <c r="K373" s="161">
        <v>98.228139999999996</v>
      </c>
    </row>
    <row r="374" spans="1:11">
      <c r="A374" s="161">
        <v>2009</v>
      </c>
      <c r="B374" s="161" t="s">
        <v>2846</v>
      </c>
      <c r="C374" s="161" t="str">
        <f t="shared" si="15"/>
        <v>2009_Yemen, Rep.</v>
      </c>
      <c r="D374" s="161">
        <v>6258955000</v>
      </c>
      <c r="E374" s="161">
        <v>92.206119641434498</v>
      </c>
      <c r="F374" s="161">
        <v>0.14528296977474031</v>
      </c>
      <c r="G374" s="161">
        <f t="shared" si="16"/>
        <v>0.92351402611209243</v>
      </c>
      <c r="H374" s="161">
        <f t="shared" si="17"/>
        <v>5780232731.3044119</v>
      </c>
      <c r="I374" s="161" t="s">
        <v>2842</v>
      </c>
      <c r="J374" s="161" t="s">
        <v>2842</v>
      </c>
      <c r="K374" s="161" t="s">
        <v>2842</v>
      </c>
    </row>
    <row r="375" spans="1:11">
      <c r="A375" s="161">
        <v>2009</v>
      </c>
      <c r="B375" s="161" t="s">
        <v>534</v>
      </c>
      <c r="C375" s="161" t="str">
        <f t="shared" si="15"/>
        <v>2009_Zambia</v>
      </c>
      <c r="D375" s="161">
        <v>4312055000</v>
      </c>
      <c r="E375" s="161">
        <v>0.89038982268492206</v>
      </c>
      <c r="F375" s="161">
        <v>81.126348288925925</v>
      </c>
      <c r="G375" s="161">
        <f t="shared" si="16"/>
        <v>0.82016738111610854</v>
      </c>
      <c r="H375" s="161">
        <f t="shared" si="17"/>
        <v>3536606856.5786214</v>
      </c>
      <c r="I375" s="161">
        <v>90.500649999999993</v>
      </c>
      <c r="J375" s="161">
        <v>112.64157</v>
      </c>
      <c r="K375" s="161">
        <v>92.220600000000005</v>
      </c>
    </row>
    <row r="376" spans="1:11">
      <c r="A376" s="161">
        <v>2010</v>
      </c>
      <c r="B376" s="161" t="s">
        <v>16</v>
      </c>
      <c r="C376" s="161" t="str">
        <f t="shared" si="15"/>
        <v>2010_Afghanistan</v>
      </c>
      <c r="D376" s="161">
        <v>388484000</v>
      </c>
      <c r="E376" s="161" t="s">
        <v>2842</v>
      </c>
      <c r="F376" s="161">
        <v>0.27524454151073829</v>
      </c>
      <c r="G376" s="161" t="str">
        <f t="shared" si="16"/>
        <v>..</v>
      </c>
      <c r="H376" s="161" t="str">
        <f t="shared" si="17"/>
        <v>..</v>
      </c>
      <c r="I376" s="161" t="s">
        <v>2842</v>
      </c>
      <c r="J376" s="161">
        <v>99.398820000000001</v>
      </c>
      <c r="K376" s="161" t="s">
        <v>2842</v>
      </c>
    </row>
    <row r="377" spans="1:11">
      <c r="A377" s="161">
        <v>2010</v>
      </c>
      <c r="B377" s="161" t="s">
        <v>33</v>
      </c>
      <c r="C377" s="161" t="str">
        <f t="shared" si="15"/>
        <v>2010_Albania</v>
      </c>
      <c r="D377" s="161">
        <v>1544613000</v>
      </c>
      <c r="E377" s="161">
        <v>17.973226904185726</v>
      </c>
      <c r="F377" s="161">
        <v>12.829349073574942</v>
      </c>
      <c r="G377" s="161">
        <f t="shared" si="16"/>
        <v>0.30802575977760666</v>
      </c>
      <c r="H377" s="161">
        <f t="shared" si="17"/>
        <v>475780592.88736832</v>
      </c>
      <c r="I377" s="161" t="s">
        <v>2842</v>
      </c>
      <c r="J377" s="161" t="s">
        <v>2842</v>
      </c>
      <c r="K377" s="161" t="s">
        <v>2842</v>
      </c>
    </row>
    <row r="378" spans="1:11">
      <c r="A378" s="161">
        <v>2010</v>
      </c>
      <c r="B378" s="161" t="s">
        <v>48</v>
      </c>
      <c r="C378" s="161" t="str">
        <f t="shared" si="15"/>
        <v>2010_Azerbaijan</v>
      </c>
      <c r="D378" s="161">
        <v>26476026000</v>
      </c>
      <c r="E378" s="161">
        <v>94.509496315524828</v>
      </c>
      <c r="F378" s="161">
        <v>0.11432481839753592</v>
      </c>
      <c r="G378" s="161">
        <f t="shared" si="16"/>
        <v>0.94623821133922359</v>
      </c>
      <c r="H378" s="161">
        <f t="shared" si="17"/>
        <v>25052627485.610779</v>
      </c>
      <c r="I378" s="161">
        <v>84.446449999999999</v>
      </c>
      <c r="J378" s="161">
        <v>93.762299999999996</v>
      </c>
      <c r="K378" s="161">
        <v>84.726050000000001</v>
      </c>
    </row>
    <row r="379" spans="1:11">
      <c r="A379" s="161">
        <v>2010</v>
      </c>
      <c r="B379" s="161" t="s">
        <v>93</v>
      </c>
      <c r="C379" s="161" t="str">
        <f t="shared" si="15"/>
        <v>2010_Burkina Faso</v>
      </c>
      <c r="D379" s="161">
        <v>1591028858.59832</v>
      </c>
      <c r="E379" s="161">
        <v>5.2281947797021527E-2</v>
      </c>
      <c r="F379" s="161">
        <v>1.6453509231042225</v>
      </c>
      <c r="G379" s="161">
        <f t="shared" si="16"/>
        <v>1.6976328709012441E-2</v>
      </c>
      <c r="H379" s="161">
        <f t="shared" si="17"/>
        <v>27009828.889089957</v>
      </c>
      <c r="I379" s="161">
        <v>60.175089999999997</v>
      </c>
      <c r="J379" s="161">
        <v>78.355419999999995</v>
      </c>
      <c r="K379" s="161">
        <v>60.47345</v>
      </c>
    </row>
    <row r="380" spans="1:11">
      <c r="A380" s="161">
        <v>2010</v>
      </c>
      <c r="B380" s="161" t="s">
        <v>96</v>
      </c>
      <c r="C380" s="161" t="str">
        <f t="shared" si="15"/>
        <v>2010_Cameroon</v>
      </c>
      <c r="D380" s="161">
        <v>3878433000</v>
      </c>
      <c r="E380" s="161">
        <v>49.548194647572423</v>
      </c>
      <c r="F380" s="161">
        <v>2.9619411293101177</v>
      </c>
      <c r="G380" s="161">
        <f t="shared" si="16"/>
        <v>0.52510135776882538</v>
      </c>
      <c r="H380" s="161">
        <f t="shared" si="17"/>
        <v>2036570434.3154187</v>
      </c>
      <c r="I380" s="161" t="s">
        <v>2842</v>
      </c>
      <c r="J380" s="161">
        <v>106.03843000000001</v>
      </c>
      <c r="K380" s="161" t="s">
        <v>2842</v>
      </c>
    </row>
    <row r="381" spans="1:11">
      <c r="A381" s="161">
        <v>2010</v>
      </c>
      <c r="B381" s="161" t="s">
        <v>122</v>
      </c>
      <c r="C381" s="161" t="str">
        <f t="shared" si="15"/>
        <v>2010_Central African Republic</v>
      </c>
      <c r="D381" s="161">
        <v>140000000</v>
      </c>
      <c r="E381" s="161" t="s">
        <v>2842</v>
      </c>
      <c r="F381" s="161">
        <v>58.665947085020044</v>
      </c>
      <c r="G381" s="161" t="str">
        <f t="shared" si="16"/>
        <v>..</v>
      </c>
      <c r="H381" s="161" t="str">
        <f t="shared" si="17"/>
        <v>..</v>
      </c>
      <c r="I381" s="161">
        <v>70.774950000000004</v>
      </c>
      <c r="J381" s="161">
        <v>93.712350000000001</v>
      </c>
      <c r="K381" s="161">
        <v>71.136049999999997</v>
      </c>
    </row>
    <row r="382" spans="1:11">
      <c r="A382" s="161">
        <v>2010</v>
      </c>
      <c r="B382" s="161" t="s">
        <v>133</v>
      </c>
      <c r="C382" s="161" t="str">
        <f t="shared" si="15"/>
        <v>2010_Chad</v>
      </c>
      <c r="D382" s="161">
        <v>3600000000</v>
      </c>
      <c r="E382" s="161" t="s">
        <v>2842</v>
      </c>
      <c r="F382" s="161" t="s">
        <v>2842</v>
      </c>
      <c r="G382" s="161" t="str">
        <f t="shared" si="16"/>
        <v>..</v>
      </c>
      <c r="H382" s="161" t="str">
        <f t="shared" si="17"/>
        <v>..</v>
      </c>
      <c r="I382" s="161" t="s">
        <v>2842</v>
      </c>
      <c r="J382" s="161">
        <v>83.398809999999997</v>
      </c>
      <c r="K382" s="161" t="s">
        <v>2842</v>
      </c>
    </row>
    <row r="383" spans="1:11">
      <c r="A383" s="161">
        <v>2010</v>
      </c>
      <c r="B383" s="161" t="s">
        <v>3544</v>
      </c>
      <c r="C383" s="161" t="str">
        <f t="shared" si="15"/>
        <v>2010_Congo, Dem. Rep.</v>
      </c>
      <c r="D383" s="161">
        <v>5300000000</v>
      </c>
      <c r="E383" s="161" t="s">
        <v>2842</v>
      </c>
      <c r="F383" s="161" t="s">
        <v>2842</v>
      </c>
      <c r="G383" s="161" t="str">
        <f t="shared" si="16"/>
        <v>..</v>
      </c>
      <c r="H383" s="161" t="str">
        <f t="shared" si="17"/>
        <v>..</v>
      </c>
      <c r="I383" s="161" t="s">
        <v>2842</v>
      </c>
      <c r="J383" s="161">
        <v>102.68235</v>
      </c>
      <c r="K383" s="161" t="s">
        <v>2842</v>
      </c>
    </row>
    <row r="384" spans="1:11">
      <c r="A384" s="161">
        <v>2010</v>
      </c>
      <c r="B384" s="161" t="s">
        <v>3543</v>
      </c>
      <c r="C384" s="161" t="str">
        <f t="shared" si="15"/>
        <v>2010_Congo, Rep.</v>
      </c>
      <c r="D384" s="161">
        <v>9400000000</v>
      </c>
      <c r="E384" s="161">
        <v>67.72045178905411</v>
      </c>
      <c r="F384" s="161">
        <v>2.1008805979755466E-2</v>
      </c>
      <c r="G384" s="161">
        <f t="shared" si="16"/>
        <v>0.67741460595033876</v>
      </c>
      <c r="H384" s="161">
        <f t="shared" si="17"/>
        <v>6367697295.9331846</v>
      </c>
      <c r="I384" s="161">
        <v>87.832139999999995</v>
      </c>
      <c r="J384" s="161">
        <v>111.16904</v>
      </c>
      <c r="K384" s="161">
        <v>87.832139999999995</v>
      </c>
    </row>
    <row r="385" spans="1:11">
      <c r="A385" s="161">
        <v>2010</v>
      </c>
      <c r="B385" s="161" t="s">
        <v>182</v>
      </c>
      <c r="C385" s="161" t="str">
        <f t="shared" si="15"/>
        <v>2010_Equatorial Guinea</v>
      </c>
      <c r="D385" s="161">
        <v>10000000000</v>
      </c>
      <c r="E385" s="161" t="s">
        <v>2842</v>
      </c>
      <c r="F385" s="161" t="s">
        <v>2842</v>
      </c>
      <c r="G385" s="161" t="str">
        <f t="shared" si="16"/>
        <v>..</v>
      </c>
      <c r="H385" s="161" t="str">
        <f t="shared" si="17"/>
        <v>..</v>
      </c>
      <c r="I385" s="161">
        <v>56.569049999999997</v>
      </c>
      <c r="J385" s="161">
        <v>87.069699999999997</v>
      </c>
      <c r="K385" s="161">
        <v>56.569049999999997</v>
      </c>
    </row>
    <row r="386" spans="1:11">
      <c r="A386" s="161">
        <v>2010</v>
      </c>
      <c r="B386" s="161" t="s">
        <v>185</v>
      </c>
      <c r="C386" s="161" t="str">
        <f t="shared" ref="C386:C449" si="18">$A386&amp;"_"&amp;$B386</f>
        <v>2010_Gabon</v>
      </c>
      <c r="D386" s="161">
        <v>8685979000</v>
      </c>
      <c r="E386" s="161" t="s">
        <v>2842</v>
      </c>
      <c r="F386" s="161" t="s">
        <v>2842</v>
      </c>
      <c r="G386" s="161" t="str">
        <f t="shared" si="16"/>
        <v>..</v>
      </c>
      <c r="H386" s="161" t="str">
        <f t="shared" si="17"/>
        <v>..</v>
      </c>
      <c r="I386" s="161" t="s">
        <v>2842</v>
      </c>
      <c r="J386" s="161" t="s">
        <v>2842</v>
      </c>
      <c r="K386" s="161" t="s">
        <v>2842</v>
      </c>
    </row>
    <row r="387" spans="1:11">
      <c r="A387" s="161">
        <v>2010</v>
      </c>
      <c r="B387" s="161" t="s">
        <v>294</v>
      </c>
      <c r="C387" s="161" t="str">
        <f t="shared" si="18"/>
        <v>2010_Liberia</v>
      </c>
      <c r="D387" s="161">
        <v>222000000</v>
      </c>
      <c r="E387" s="161" t="s">
        <v>2842</v>
      </c>
      <c r="F387" s="161" t="s">
        <v>2842</v>
      </c>
      <c r="G387" s="161" t="str">
        <f t="shared" ref="G387:G450" si="19">IFERROR(($E387+$F387)/100,"..")</f>
        <v>..</v>
      </c>
      <c r="H387" s="161" t="str">
        <f t="shared" ref="H387:H450" si="20">IFERROR($G387*$D387,"..")</f>
        <v>..</v>
      </c>
      <c r="I387" s="161" t="s">
        <v>2842</v>
      </c>
      <c r="J387" s="161" t="s">
        <v>2842</v>
      </c>
      <c r="K387" s="161" t="s">
        <v>2842</v>
      </c>
    </row>
    <row r="388" spans="1:11">
      <c r="A388" s="161">
        <v>2010</v>
      </c>
      <c r="B388" s="161" t="s">
        <v>278</v>
      </c>
      <c r="C388" s="161" t="str">
        <f t="shared" si="18"/>
        <v>2010_Kyrgyz Republic</v>
      </c>
      <c r="D388" s="161">
        <v>1755900000</v>
      </c>
      <c r="E388" s="161">
        <v>15.304930568027512</v>
      </c>
      <c r="F388" s="161">
        <v>4.2312588845280805</v>
      </c>
      <c r="G388" s="161">
        <f t="shared" si="19"/>
        <v>0.19536189452555594</v>
      </c>
      <c r="H388" s="161">
        <f t="shared" si="20"/>
        <v>343035950.59742367</v>
      </c>
      <c r="I388" s="161">
        <v>87.447919999999996</v>
      </c>
      <c r="J388" s="161">
        <v>99.562209999999993</v>
      </c>
      <c r="K388" s="161">
        <v>95.272779999999997</v>
      </c>
    </row>
    <row r="389" spans="1:11">
      <c r="A389" s="161">
        <v>2010</v>
      </c>
      <c r="B389" s="161" t="s">
        <v>189</v>
      </c>
      <c r="C389" s="161" t="str">
        <f t="shared" si="18"/>
        <v>2010_Ghana</v>
      </c>
      <c r="D389" s="161">
        <v>7960090000</v>
      </c>
      <c r="E389" s="161">
        <v>0.32351247622806772</v>
      </c>
      <c r="F389" s="161">
        <v>11.249452013619806</v>
      </c>
      <c r="G389" s="161">
        <f t="shared" si="19"/>
        <v>0.11572964489847873</v>
      </c>
      <c r="H389" s="161">
        <f t="shared" si="20"/>
        <v>921218389.05993152</v>
      </c>
      <c r="I389" s="161" t="s">
        <v>2842</v>
      </c>
      <c r="J389" s="161" t="s">
        <v>2842</v>
      </c>
      <c r="K389" s="161" t="s">
        <v>2842</v>
      </c>
    </row>
    <row r="390" spans="1:11">
      <c r="A390" s="161">
        <v>2010</v>
      </c>
      <c r="B390" s="161" t="s">
        <v>213</v>
      </c>
      <c r="C390" s="161" t="str">
        <f t="shared" si="18"/>
        <v>2010_Guatemala</v>
      </c>
      <c r="D390" s="161">
        <v>8462500000</v>
      </c>
      <c r="E390" s="161">
        <v>4.5439473327134019</v>
      </c>
      <c r="F390" s="161">
        <v>6.4858988023677524</v>
      </c>
      <c r="G390" s="161">
        <f t="shared" si="19"/>
        <v>0.11029846135081155</v>
      </c>
      <c r="H390" s="161">
        <f t="shared" si="20"/>
        <v>933400729.1812427</v>
      </c>
      <c r="I390" s="161">
        <v>96.026589999999999</v>
      </c>
      <c r="J390" s="161">
        <v>116.47942999999999</v>
      </c>
      <c r="K390" s="161">
        <v>98.247460000000004</v>
      </c>
    </row>
    <row r="391" spans="1:11">
      <c r="A391" s="161">
        <v>2010</v>
      </c>
      <c r="B391" s="161" t="s">
        <v>2843</v>
      </c>
      <c r="C391" s="161" t="str">
        <f t="shared" si="18"/>
        <v>2010_Guinea</v>
      </c>
      <c r="D391" s="161">
        <v>1471170000</v>
      </c>
      <c r="E391" s="161" t="s">
        <v>2842</v>
      </c>
      <c r="F391" s="161" t="s">
        <v>2842</v>
      </c>
      <c r="G391" s="161" t="str">
        <f t="shared" si="19"/>
        <v>..</v>
      </c>
      <c r="H391" s="161" t="str">
        <f t="shared" si="20"/>
        <v>..</v>
      </c>
      <c r="I391" s="161">
        <v>70.398319999999998</v>
      </c>
      <c r="J391" s="161">
        <v>86.359740000000002</v>
      </c>
      <c r="K391" s="161">
        <v>72.047970000000007</v>
      </c>
    </row>
    <row r="392" spans="1:11">
      <c r="A392" s="161">
        <v>2010</v>
      </c>
      <c r="B392" s="161" t="s">
        <v>237</v>
      </c>
      <c r="C392" s="161" t="str">
        <f t="shared" si="18"/>
        <v>2010_Indonesia</v>
      </c>
      <c r="D392" s="161">
        <v>158074492000</v>
      </c>
      <c r="E392" s="161">
        <v>29.72691048727701</v>
      </c>
      <c r="F392" s="161">
        <v>9.8664120668307422</v>
      </c>
      <c r="G392" s="161">
        <f t="shared" si="19"/>
        <v>0.39593322554107752</v>
      </c>
      <c r="H392" s="161">
        <f t="shared" si="20"/>
        <v>62586943493.327255</v>
      </c>
      <c r="I392" s="161">
        <v>94.897980000000004</v>
      </c>
      <c r="J392" s="161">
        <v>109.92465</v>
      </c>
      <c r="K392" s="161">
        <v>97.943749999999994</v>
      </c>
    </row>
    <row r="393" spans="1:11">
      <c r="A393" s="161">
        <v>2010</v>
      </c>
      <c r="B393" s="161" t="s">
        <v>245</v>
      </c>
      <c r="C393" s="161" t="str">
        <f t="shared" si="18"/>
        <v>2010_Iraq</v>
      </c>
      <c r="D393" s="161">
        <v>52482600000</v>
      </c>
      <c r="E393" s="161" t="s">
        <v>2842</v>
      </c>
      <c r="F393" s="161" t="s">
        <v>2842</v>
      </c>
      <c r="G393" s="161" t="str">
        <f t="shared" si="19"/>
        <v>..</v>
      </c>
      <c r="H393" s="161" t="str">
        <f t="shared" si="20"/>
        <v>..</v>
      </c>
      <c r="I393" s="161" t="s">
        <v>2842</v>
      </c>
      <c r="J393" s="161" t="s">
        <v>2842</v>
      </c>
      <c r="K393" s="161" t="s">
        <v>2842</v>
      </c>
    </row>
    <row r="394" spans="1:11">
      <c r="A394" s="161">
        <v>2010</v>
      </c>
      <c r="B394" s="161" t="s">
        <v>273</v>
      </c>
      <c r="C394" s="161" t="str">
        <f t="shared" si="18"/>
        <v>2010_Kazakhstan</v>
      </c>
      <c r="D394" s="161">
        <v>59970800000</v>
      </c>
      <c r="E394" s="161">
        <v>72.778140012417822</v>
      </c>
      <c r="F394" s="161">
        <v>11.355974395129378</v>
      </c>
      <c r="G394" s="161">
        <f t="shared" si="19"/>
        <v>0.841341144075472</v>
      </c>
      <c r="H394" s="161">
        <f t="shared" si="20"/>
        <v>50455901483.121315</v>
      </c>
      <c r="I394" s="161">
        <v>87.461110000000005</v>
      </c>
      <c r="J394" s="161">
        <v>104.57380000000001</v>
      </c>
      <c r="K394" s="161">
        <v>97.410539999999997</v>
      </c>
    </row>
    <row r="395" spans="1:11">
      <c r="A395" s="161">
        <v>2010</v>
      </c>
      <c r="B395" s="161" t="s">
        <v>309</v>
      </c>
      <c r="C395" s="161" t="str">
        <f t="shared" si="18"/>
        <v>2010_Madagascar</v>
      </c>
      <c r="D395" s="161">
        <v>1149469933.8765299</v>
      </c>
      <c r="E395" s="161">
        <v>6.6547272529280495</v>
      </c>
      <c r="F395" s="161">
        <v>9.4632305907589167</v>
      </c>
      <c r="G395" s="161">
        <f t="shared" si="19"/>
        <v>0.16117957843686967</v>
      </c>
      <c r="H395" s="161">
        <f t="shared" si="20"/>
        <v>185271079.36807555</v>
      </c>
      <c r="I395" s="161" t="s">
        <v>2842</v>
      </c>
      <c r="J395" s="161">
        <v>144.57731999999999</v>
      </c>
      <c r="K395" s="161" t="s">
        <v>2842</v>
      </c>
    </row>
    <row r="396" spans="1:11">
      <c r="A396" s="161">
        <v>2010</v>
      </c>
      <c r="B396" s="161" t="s">
        <v>322</v>
      </c>
      <c r="C396" s="161" t="str">
        <f t="shared" si="18"/>
        <v>2010_Mali</v>
      </c>
      <c r="D396" s="161">
        <v>1996261000</v>
      </c>
      <c r="E396" s="161">
        <v>0.12720420340661046</v>
      </c>
      <c r="F396" s="161">
        <v>0.66600515521567327</v>
      </c>
      <c r="G396" s="161">
        <f t="shared" si="19"/>
        <v>7.9320935862228371E-3</v>
      </c>
      <c r="H396" s="161">
        <f t="shared" si="20"/>
        <v>15834529.074526787</v>
      </c>
      <c r="I396" s="161">
        <v>69.590549999999993</v>
      </c>
      <c r="J396" s="161">
        <v>90.31071</v>
      </c>
      <c r="K396" s="161">
        <v>73.91301</v>
      </c>
    </row>
    <row r="397" spans="1:11">
      <c r="A397" s="161">
        <v>2010</v>
      </c>
      <c r="B397" s="161" t="s">
        <v>338</v>
      </c>
      <c r="C397" s="161" t="str">
        <f t="shared" si="18"/>
        <v>2010_Mauritania</v>
      </c>
      <c r="D397" s="161">
        <v>2073500000</v>
      </c>
      <c r="E397" s="161">
        <v>1.6546520313058502E-3</v>
      </c>
      <c r="F397" s="161">
        <v>30.432714386352842</v>
      </c>
      <c r="G397" s="161">
        <f t="shared" si="19"/>
        <v>0.30434369038384146</v>
      </c>
      <c r="H397" s="161">
        <f t="shared" si="20"/>
        <v>631056642.01089525</v>
      </c>
      <c r="I397" s="161">
        <v>70.508489999999995</v>
      </c>
      <c r="J397" s="161">
        <v>97.108580000000003</v>
      </c>
      <c r="K397" s="161">
        <v>70.835610000000003</v>
      </c>
    </row>
    <row r="398" spans="1:11">
      <c r="A398" s="161">
        <v>2010</v>
      </c>
      <c r="B398" s="161" t="s">
        <v>357</v>
      </c>
      <c r="C398" s="161" t="str">
        <f t="shared" si="18"/>
        <v>2010_Mongolia</v>
      </c>
      <c r="D398" s="161">
        <v>2899200000</v>
      </c>
      <c r="E398" s="161" t="s">
        <v>2842</v>
      </c>
      <c r="F398" s="161" t="s">
        <v>2842</v>
      </c>
      <c r="G398" s="161" t="str">
        <f t="shared" si="19"/>
        <v>..</v>
      </c>
      <c r="H398" s="161" t="str">
        <f t="shared" si="20"/>
        <v>..</v>
      </c>
      <c r="I398" s="161">
        <v>98.622929999999997</v>
      </c>
      <c r="J398" s="161">
        <v>125.67478</v>
      </c>
      <c r="K398" s="161">
        <v>98.975020000000001</v>
      </c>
    </row>
    <row r="399" spans="1:11">
      <c r="A399" s="161">
        <v>2010</v>
      </c>
      <c r="B399" s="161" t="s">
        <v>387</v>
      </c>
      <c r="C399" s="161" t="str">
        <f t="shared" si="18"/>
        <v>2010_Niger</v>
      </c>
      <c r="D399" s="161">
        <v>1150000000</v>
      </c>
      <c r="E399" s="161">
        <v>1.8521100558332801</v>
      </c>
      <c r="F399" s="161">
        <v>59.555715712948732</v>
      </c>
      <c r="G399" s="161">
        <f t="shared" si="19"/>
        <v>0.61407825768782009</v>
      </c>
      <c r="H399" s="161">
        <f t="shared" si="20"/>
        <v>706189996.34099317</v>
      </c>
      <c r="I399" s="161">
        <v>55.851959999999998</v>
      </c>
      <c r="J399" s="161">
        <v>64.781899999999993</v>
      </c>
      <c r="K399" s="161">
        <v>56.970750000000002</v>
      </c>
    </row>
    <row r="400" spans="1:11">
      <c r="A400" s="161">
        <v>2010</v>
      </c>
      <c r="B400" s="161" t="s">
        <v>406</v>
      </c>
      <c r="C400" s="161" t="str">
        <f t="shared" si="18"/>
        <v>2010_Nigeria</v>
      </c>
      <c r="D400" s="161">
        <v>84000000000</v>
      </c>
      <c r="E400" s="161">
        <v>87.131679092679775</v>
      </c>
      <c r="F400" s="161">
        <v>1.0815014635894848</v>
      </c>
      <c r="G400" s="161">
        <f t="shared" si="19"/>
        <v>0.88213180556269266</v>
      </c>
      <c r="H400" s="161">
        <f t="shared" si="20"/>
        <v>74099071667.26619</v>
      </c>
      <c r="I400" s="161">
        <v>63.901989999999998</v>
      </c>
      <c r="J400" s="161">
        <v>84.804879999999997</v>
      </c>
      <c r="K400" s="161">
        <v>65.740309999999994</v>
      </c>
    </row>
    <row r="401" spans="1:11">
      <c r="A401" s="161">
        <v>2010</v>
      </c>
      <c r="B401" s="161" t="s">
        <v>429</v>
      </c>
      <c r="C401" s="161" t="str">
        <f t="shared" si="18"/>
        <v>2010_Norway</v>
      </c>
      <c r="D401" s="161">
        <v>130656792000</v>
      </c>
      <c r="E401" s="161">
        <v>63.757320323287381</v>
      </c>
      <c r="F401" s="161">
        <v>6.4371146795521961</v>
      </c>
      <c r="G401" s="161">
        <f t="shared" si="19"/>
        <v>0.70194435002839584</v>
      </c>
      <c r="H401" s="161">
        <f t="shared" si="20"/>
        <v>91713796937.235306</v>
      </c>
      <c r="I401" s="161">
        <v>98.877499999999998</v>
      </c>
      <c r="J401" s="161">
        <v>98.877499999999998</v>
      </c>
      <c r="K401" s="161">
        <v>98.877499999999998</v>
      </c>
    </row>
    <row r="402" spans="1:11">
      <c r="A402" s="161">
        <v>2010</v>
      </c>
      <c r="B402" s="161" t="s">
        <v>442</v>
      </c>
      <c r="C402" s="161" t="str">
        <f t="shared" si="18"/>
        <v>2010_Peru</v>
      </c>
      <c r="D402" s="161">
        <v>35803080814.579903</v>
      </c>
      <c r="E402" s="161">
        <v>12.176153497265222</v>
      </c>
      <c r="F402" s="161">
        <v>52.308359479919943</v>
      </c>
      <c r="G402" s="161">
        <f t="shared" si="19"/>
        <v>0.6448451297718516</v>
      </c>
      <c r="H402" s="161">
        <f t="shared" si="20"/>
        <v>23087442294.109867</v>
      </c>
      <c r="I402" s="161">
        <v>94.708259999999996</v>
      </c>
      <c r="J402" s="161">
        <v>107.25082999999999</v>
      </c>
      <c r="K402" s="161">
        <v>97.373459999999994</v>
      </c>
    </row>
    <row r="403" spans="1:11">
      <c r="A403" s="161">
        <v>2010</v>
      </c>
      <c r="B403" s="161" t="s">
        <v>481</v>
      </c>
      <c r="C403" s="161" t="str">
        <f t="shared" si="18"/>
        <v>2010_Sierra Leone</v>
      </c>
      <c r="D403" s="161">
        <v>341226000</v>
      </c>
      <c r="E403" s="161" t="s">
        <v>2842</v>
      </c>
      <c r="F403" s="161" t="s">
        <v>2842</v>
      </c>
      <c r="G403" s="161" t="str">
        <f t="shared" si="19"/>
        <v>..</v>
      </c>
      <c r="H403" s="161" t="str">
        <f t="shared" si="20"/>
        <v>..</v>
      </c>
      <c r="I403" s="161" t="s">
        <v>2842</v>
      </c>
      <c r="J403" s="161" t="s">
        <v>2842</v>
      </c>
      <c r="K403" s="161" t="s">
        <v>2842</v>
      </c>
    </row>
    <row r="404" spans="1:11">
      <c r="A404" s="161">
        <v>2010</v>
      </c>
      <c r="B404" s="161" t="s">
        <v>492</v>
      </c>
      <c r="C404" s="161" t="str">
        <f t="shared" si="18"/>
        <v>2010_Tanzania</v>
      </c>
      <c r="D404" s="161">
        <v>4050546000</v>
      </c>
      <c r="E404" s="161">
        <v>2.5305251775773545</v>
      </c>
      <c r="F404" s="161">
        <v>33.73709085273186</v>
      </c>
      <c r="G404" s="161">
        <f t="shared" si="19"/>
        <v>0.36267616030309213</v>
      </c>
      <c r="H404" s="161">
        <f t="shared" si="20"/>
        <v>1469036470.4110487</v>
      </c>
      <c r="I404" s="161" t="s">
        <v>2842</v>
      </c>
      <c r="J404" s="161">
        <v>101.67852999999999</v>
      </c>
      <c r="K404" s="161" t="s">
        <v>2842</v>
      </c>
    </row>
    <row r="405" spans="1:11">
      <c r="A405" s="161">
        <v>2010</v>
      </c>
      <c r="B405" s="161" t="s">
        <v>2844</v>
      </c>
      <c r="C405" s="161" t="str">
        <f t="shared" si="18"/>
        <v>2010_Timor-Leste</v>
      </c>
      <c r="D405" s="161">
        <v>16395000</v>
      </c>
      <c r="E405" s="161" t="s">
        <v>2842</v>
      </c>
      <c r="F405" s="161" t="s">
        <v>2842</v>
      </c>
      <c r="G405" s="161" t="str">
        <f t="shared" si="19"/>
        <v>..</v>
      </c>
      <c r="H405" s="161" t="str">
        <f t="shared" si="20"/>
        <v>..</v>
      </c>
      <c r="I405" s="161">
        <v>85.014809999999997</v>
      </c>
      <c r="J405" s="161">
        <v>116.52365</v>
      </c>
      <c r="K405" s="161">
        <v>85.597999999999999</v>
      </c>
    </row>
    <row r="406" spans="1:11">
      <c r="A406" s="161">
        <v>2010</v>
      </c>
      <c r="B406" s="161" t="s">
        <v>510</v>
      </c>
      <c r="C406" s="161" t="str">
        <f t="shared" si="18"/>
        <v>2010_Togo</v>
      </c>
      <c r="D406" s="161">
        <v>976221387.22371495</v>
      </c>
      <c r="E406" s="161">
        <v>0.1191852352856097</v>
      </c>
      <c r="F406" s="161">
        <v>10.739652480547816</v>
      </c>
      <c r="G406" s="161">
        <f t="shared" si="19"/>
        <v>0.10858837715833426</v>
      </c>
      <c r="H406" s="161">
        <f t="shared" si="20"/>
        <v>106006296.18588103</v>
      </c>
      <c r="I406" s="161" t="s">
        <v>2842</v>
      </c>
      <c r="J406" s="161">
        <v>131.42106999999999</v>
      </c>
      <c r="K406" s="161" t="s">
        <v>2842</v>
      </c>
    </row>
    <row r="407" spans="1:11">
      <c r="A407" s="161">
        <v>2010</v>
      </c>
      <c r="B407" s="161" t="s">
        <v>2845</v>
      </c>
      <c r="C407" s="161" t="str">
        <f t="shared" si="18"/>
        <v>2010_Trinidad and Tobago</v>
      </c>
      <c r="D407" s="161">
        <v>10981679000</v>
      </c>
      <c r="E407" s="161">
        <v>66.122752108367607</v>
      </c>
      <c r="F407" s="161">
        <v>0.30886055916201577</v>
      </c>
      <c r="G407" s="161">
        <f t="shared" si="19"/>
        <v>0.66431612667529616</v>
      </c>
      <c r="H407" s="161">
        <f t="shared" si="20"/>
        <v>7295306457.6714401</v>
      </c>
      <c r="I407" s="161">
        <v>95.181780000000003</v>
      </c>
      <c r="J407" s="161">
        <v>106.09769</v>
      </c>
      <c r="K407" s="161">
        <v>98.675290000000004</v>
      </c>
    </row>
    <row r="408" spans="1:11">
      <c r="A408" s="161">
        <v>2010</v>
      </c>
      <c r="B408" s="161" t="s">
        <v>2846</v>
      </c>
      <c r="C408" s="161" t="str">
        <f t="shared" si="18"/>
        <v>2010_Yemen, Rep.</v>
      </c>
      <c r="D408" s="161">
        <v>8100000000</v>
      </c>
      <c r="E408" s="161">
        <v>91.204937399530593</v>
      </c>
      <c r="F408" s="161">
        <v>0.16445758643538613</v>
      </c>
      <c r="G408" s="161">
        <f t="shared" si="19"/>
        <v>0.91369394985965979</v>
      </c>
      <c r="H408" s="161">
        <f t="shared" si="20"/>
        <v>7400920993.8632441</v>
      </c>
      <c r="I408" s="161">
        <v>81.754540000000006</v>
      </c>
      <c r="J408" s="161">
        <v>91.995609999999999</v>
      </c>
      <c r="K408" s="161">
        <v>82.390029999999996</v>
      </c>
    </row>
    <row r="409" spans="1:11">
      <c r="A409" s="161">
        <v>2010</v>
      </c>
      <c r="B409" s="161" t="s">
        <v>534</v>
      </c>
      <c r="C409" s="161" t="str">
        <f t="shared" si="18"/>
        <v>2010_Zambia</v>
      </c>
      <c r="D409" s="161">
        <v>7200267000</v>
      </c>
      <c r="E409" s="161">
        <v>0.5108903117379332</v>
      </c>
      <c r="F409" s="161">
        <v>85.973055761374212</v>
      </c>
      <c r="G409" s="161">
        <f t="shared" si="19"/>
        <v>0.8648394607311215</v>
      </c>
      <c r="H409" s="161">
        <f t="shared" si="20"/>
        <v>6227075029.4000902</v>
      </c>
      <c r="I409" s="161">
        <v>88.31129</v>
      </c>
      <c r="J409" s="161">
        <v>111.39673000000001</v>
      </c>
      <c r="K409" s="161">
        <v>89.567220000000006</v>
      </c>
    </row>
    <row r="410" spans="1:11">
      <c r="A410" s="161">
        <v>2011</v>
      </c>
      <c r="B410" s="161" t="s">
        <v>16</v>
      </c>
      <c r="C410" s="161" t="str">
        <f t="shared" si="18"/>
        <v>2011_Afghanistan</v>
      </c>
      <c r="D410" s="161">
        <v>375851000</v>
      </c>
      <c r="E410" s="161" t="s">
        <v>2842</v>
      </c>
      <c r="F410" s="161">
        <v>0.30578638842550704</v>
      </c>
      <c r="G410" s="161" t="str">
        <f t="shared" si="19"/>
        <v>..</v>
      </c>
      <c r="H410" s="161" t="str">
        <f t="shared" si="20"/>
        <v>..</v>
      </c>
      <c r="I410" s="161" t="s">
        <v>2842</v>
      </c>
      <c r="J410" s="161">
        <v>97.401020000000003</v>
      </c>
      <c r="K410" s="161" t="s">
        <v>2842</v>
      </c>
    </row>
    <row r="411" spans="1:11">
      <c r="A411" s="161">
        <v>2011</v>
      </c>
      <c r="B411" s="161" t="s">
        <v>33</v>
      </c>
      <c r="C411" s="161" t="str">
        <f t="shared" si="18"/>
        <v>2011_Albania</v>
      </c>
      <c r="D411" s="161">
        <v>1951044022.5152199</v>
      </c>
      <c r="E411" s="161">
        <v>21.191947057501483</v>
      </c>
      <c r="F411" s="161">
        <v>11.903425629161484</v>
      </c>
      <c r="G411" s="161">
        <f t="shared" si="19"/>
        <v>0.33095372686662972</v>
      </c>
      <c r="H411" s="161">
        <f t="shared" si="20"/>
        <v>645705290.5322727</v>
      </c>
      <c r="I411" s="161" t="s">
        <v>2842</v>
      </c>
      <c r="J411" s="161" t="s">
        <v>2842</v>
      </c>
      <c r="K411" s="161" t="s">
        <v>2842</v>
      </c>
    </row>
    <row r="412" spans="1:11">
      <c r="A412" s="161">
        <v>2011</v>
      </c>
      <c r="B412" s="161" t="s">
        <v>48</v>
      </c>
      <c r="C412" s="161" t="str">
        <f t="shared" si="18"/>
        <v>2011_Azerbaijan</v>
      </c>
      <c r="D412" s="161">
        <v>34494900000</v>
      </c>
      <c r="E412" s="161">
        <v>94.747393957387459</v>
      </c>
      <c r="F412" s="161">
        <v>0.19342780866614301</v>
      </c>
      <c r="G412" s="161">
        <f t="shared" si="19"/>
        <v>0.94940821766053607</v>
      </c>
      <c r="H412" s="161">
        <f t="shared" si="20"/>
        <v>32749741527.378426</v>
      </c>
      <c r="I412" s="161">
        <v>86.612610000000004</v>
      </c>
      <c r="J412" s="161">
        <v>95.573629999999994</v>
      </c>
      <c r="K412" s="161">
        <v>87.268079999999998</v>
      </c>
    </row>
    <row r="413" spans="1:11">
      <c r="A413" s="161">
        <v>2011</v>
      </c>
      <c r="B413" s="161" t="s">
        <v>93</v>
      </c>
      <c r="C413" s="161" t="str">
        <f t="shared" si="18"/>
        <v>2011_Burkina Faso</v>
      </c>
      <c r="D413" s="161">
        <v>2398986152.8484802</v>
      </c>
      <c r="E413" s="161">
        <v>1.8307716955680151E-2</v>
      </c>
      <c r="F413" s="161">
        <v>1.4888587347316704</v>
      </c>
      <c r="G413" s="161">
        <f t="shared" si="19"/>
        <v>1.5071664516873506E-2</v>
      </c>
      <c r="H413" s="161">
        <f t="shared" si="20"/>
        <v>36156714.476357318</v>
      </c>
      <c r="I413" s="161">
        <v>65.402839999999998</v>
      </c>
      <c r="J413" s="161">
        <v>82.238429999999994</v>
      </c>
      <c r="K413" s="161">
        <v>65.402839999999998</v>
      </c>
    </row>
    <row r="414" spans="1:11">
      <c r="A414" s="161">
        <v>2011</v>
      </c>
      <c r="B414" s="161" t="s">
        <v>96</v>
      </c>
      <c r="C414" s="161" t="str">
        <f t="shared" si="18"/>
        <v>2011_Cameroon</v>
      </c>
      <c r="D414" s="161">
        <v>4517028000</v>
      </c>
      <c r="E414" s="161">
        <v>0.55225781111892858</v>
      </c>
      <c r="F414" s="161">
        <v>5.2119204983439023</v>
      </c>
      <c r="G414" s="161">
        <f t="shared" si="19"/>
        <v>5.7641783094628307E-2</v>
      </c>
      <c r="H414" s="161">
        <f t="shared" si="20"/>
        <v>260369548.2083627</v>
      </c>
      <c r="I414" s="161" t="s">
        <v>2842</v>
      </c>
      <c r="J414" s="161">
        <v>105.73299</v>
      </c>
      <c r="K414" s="161" t="s">
        <v>2842</v>
      </c>
    </row>
    <row r="415" spans="1:11">
      <c r="A415" s="161">
        <v>2011</v>
      </c>
      <c r="B415" s="161" t="s">
        <v>122</v>
      </c>
      <c r="C415" s="161" t="str">
        <f t="shared" si="18"/>
        <v>2011_Central African Republic</v>
      </c>
      <c r="D415" s="161">
        <v>190000000</v>
      </c>
      <c r="E415" s="161">
        <v>0.55839764421754357</v>
      </c>
      <c r="F415" s="161">
        <v>62.181443701552638</v>
      </c>
      <c r="G415" s="161">
        <f t="shared" si="19"/>
        <v>0.62739841345770175</v>
      </c>
      <c r="H415" s="161">
        <f t="shared" si="20"/>
        <v>119205698.55696334</v>
      </c>
      <c r="I415" s="161">
        <v>68.728200000000001</v>
      </c>
      <c r="J415" s="161">
        <v>94.408749999999998</v>
      </c>
      <c r="K415" s="161">
        <v>69.100819999999999</v>
      </c>
    </row>
    <row r="416" spans="1:11">
      <c r="A416" s="161">
        <v>2011</v>
      </c>
      <c r="B416" s="161" t="s">
        <v>133</v>
      </c>
      <c r="C416" s="161" t="str">
        <f t="shared" si="18"/>
        <v>2011_Chad</v>
      </c>
      <c r="D416" s="161">
        <v>4800000000</v>
      </c>
      <c r="E416" s="161" t="s">
        <v>2842</v>
      </c>
      <c r="F416" s="161" t="s">
        <v>2842</v>
      </c>
      <c r="G416" s="161" t="str">
        <f t="shared" si="19"/>
        <v>..</v>
      </c>
      <c r="H416" s="161" t="str">
        <f t="shared" si="20"/>
        <v>..</v>
      </c>
      <c r="I416" s="161">
        <v>63.056980000000003</v>
      </c>
      <c r="J416" s="161">
        <v>90.642920000000004</v>
      </c>
      <c r="K416" s="161">
        <v>63.789839999999998</v>
      </c>
    </row>
    <row r="417" spans="1:11">
      <c r="A417" s="161">
        <v>2011</v>
      </c>
      <c r="B417" s="161" t="s">
        <v>3544</v>
      </c>
      <c r="C417" s="161" t="str">
        <f t="shared" si="18"/>
        <v>2011_Congo, Dem. Rep.</v>
      </c>
      <c r="D417" s="161">
        <v>6600000000</v>
      </c>
      <c r="E417" s="161" t="s">
        <v>2842</v>
      </c>
      <c r="F417" s="161" t="s">
        <v>2842</v>
      </c>
      <c r="G417" s="161" t="str">
        <f t="shared" si="19"/>
        <v>..</v>
      </c>
      <c r="H417" s="161" t="str">
        <f t="shared" si="20"/>
        <v>..</v>
      </c>
      <c r="I417" s="161" t="s">
        <v>2842</v>
      </c>
      <c r="J417" s="161">
        <v>105.17725</v>
      </c>
      <c r="K417" s="161" t="s">
        <v>2842</v>
      </c>
    </row>
    <row r="418" spans="1:11">
      <c r="A418" s="161">
        <v>2011</v>
      </c>
      <c r="B418" s="161" t="s">
        <v>3543</v>
      </c>
      <c r="C418" s="161" t="str">
        <f t="shared" si="18"/>
        <v>2011_Congo, Rep.</v>
      </c>
      <c r="D418" s="161">
        <v>11600000000</v>
      </c>
      <c r="E418" s="161">
        <v>77.666166082286964</v>
      </c>
      <c r="F418" s="161">
        <v>1.9389014393560184E-2</v>
      </c>
      <c r="G418" s="161">
        <f t="shared" si="19"/>
        <v>0.77685555096680514</v>
      </c>
      <c r="H418" s="161">
        <f t="shared" si="20"/>
        <v>9011524391.2149391</v>
      </c>
      <c r="I418" s="161" t="s">
        <v>2842</v>
      </c>
      <c r="J418" s="161">
        <v>111.64981</v>
      </c>
      <c r="K418" s="161" t="s">
        <v>2842</v>
      </c>
    </row>
    <row r="419" spans="1:11">
      <c r="A419" s="161">
        <v>2011</v>
      </c>
      <c r="B419" s="161" t="s">
        <v>182</v>
      </c>
      <c r="C419" s="161" t="str">
        <f t="shared" si="18"/>
        <v>2011_Equatorial Guinea</v>
      </c>
      <c r="D419" s="161">
        <v>13500000000</v>
      </c>
      <c r="E419" s="161" t="s">
        <v>2842</v>
      </c>
      <c r="F419" s="161" t="s">
        <v>2842</v>
      </c>
      <c r="G419" s="161" t="str">
        <f t="shared" si="19"/>
        <v>..</v>
      </c>
      <c r="H419" s="161" t="str">
        <f t="shared" si="20"/>
        <v>..</v>
      </c>
      <c r="I419" s="161">
        <v>58.121870000000001</v>
      </c>
      <c r="J419" s="161">
        <v>87.357370000000003</v>
      </c>
      <c r="K419" s="161">
        <v>59.243760000000002</v>
      </c>
    </row>
    <row r="420" spans="1:11">
      <c r="A420" s="161">
        <v>2011</v>
      </c>
      <c r="B420" s="161" t="s">
        <v>185</v>
      </c>
      <c r="C420" s="161" t="str">
        <f t="shared" si="18"/>
        <v>2011_Gabon</v>
      </c>
      <c r="D420" s="161">
        <v>9765530000</v>
      </c>
      <c r="E420" s="161" t="s">
        <v>2842</v>
      </c>
      <c r="F420" s="161" t="s">
        <v>2842</v>
      </c>
      <c r="G420" s="161" t="str">
        <f t="shared" si="19"/>
        <v>..</v>
      </c>
      <c r="H420" s="161" t="str">
        <f t="shared" si="20"/>
        <v>..</v>
      </c>
      <c r="I420" s="161" t="s">
        <v>2842</v>
      </c>
      <c r="J420" s="161">
        <v>164.85844</v>
      </c>
      <c r="K420" s="161" t="s">
        <v>2842</v>
      </c>
    </row>
    <row r="421" spans="1:11">
      <c r="A421" s="161">
        <v>2011</v>
      </c>
      <c r="B421" s="161" t="s">
        <v>294</v>
      </c>
      <c r="C421" s="161" t="str">
        <f t="shared" si="18"/>
        <v>2011_Liberia</v>
      </c>
      <c r="D421" s="161">
        <v>367000000</v>
      </c>
      <c r="E421" s="161" t="s">
        <v>2842</v>
      </c>
      <c r="F421" s="161" t="s">
        <v>2842</v>
      </c>
      <c r="G421" s="161" t="str">
        <f t="shared" si="19"/>
        <v>..</v>
      </c>
      <c r="H421" s="161" t="str">
        <f t="shared" si="20"/>
        <v>..</v>
      </c>
      <c r="I421" s="161">
        <v>40.62077</v>
      </c>
      <c r="J421" s="161">
        <v>102.38471</v>
      </c>
      <c r="K421" s="161">
        <v>40.915999999999997</v>
      </c>
    </row>
    <row r="422" spans="1:11">
      <c r="A422" s="161">
        <v>2011</v>
      </c>
      <c r="B422" s="161" t="s">
        <v>278</v>
      </c>
      <c r="C422" s="161" t="str">
        <f t="shared" si="18"/>
        <v>2011_Kyrgyz Republic</v>
      </c>
      <c r="D422" s="161">
        <v>1978900000</v>
      </c>
      <c r="E422" s="161">
        <v>22.124211092868432</v>
      </c>
      <c r="F422" s="161">
        <v>6.8311223926733753</v>
      </c>
      <c r="G422" s="161">
        <f t="shared" si="19"/>
        <v>0.28955333485541807</v>
      </c>
      <c r="H422" s="161">
        <f t="shared" si="20"/>
        <v>572997094.34538686</v>
      </c>
      <c r="I422" s="161">
        <v>88.387810000000002</v>
      </c>
      <c r="J422" s="161">
        <v>100.9054</v>
      </c>
      <c r="K422" s="161">
        <v>96.062510000000003</v>
      </c>
    </row>
    <row r="423" spans="1:11">
      <c r="A423" s="161">
        <v>2011</v>
      </c>
      <c r="B423" s="161" t="s">
        <v>189</v>
      </c>
      <c r="C423" s="161" t="str">
        <f t="shared" si="18"/>
        <v>2011_Ghana</v>
      </c>
      <c r="D423" s="161">
        <v>12785420000</v>
      </c>
      <c r="E423" s="161">
        <v>54.080735963539986</v>
      </c>
      <c r="F423" s="161">
        <v>1.826408858260858</v>
      </c>
      <c r="G423" s="161">
        <f t="shared" si="19"/>
        <v>0.55907144821800836</v>
      </c>
      <c r="H423" s="161">
        <f t="shared" si="20"/>
        <v>7147963275.4754887</v>
      </c>
      <c r="I423" s="161">
        <v>83.534999999999997</v>
      </c>
      <c r="J423" s="161">
        <v>106.73524</v>
      </c>
      <c r="K423" s="161">
        <v>83.901820000000001</v>
      </c>
    </row>
    <row r="424" spans="1:11">
      <c r="A424" s="161">
        <v>2011</v>
      </c>
      <c r="B424" s="161" t="s">
        <v>213</v>
      </c>
      <c r="C424" s="161" t="str">
        <f t="shared" si="18"/>
        <v>2011_Guatemala</v>
      </c>
      <c r="D424" s="161">
        <v>10400900000</v>
      </c>
      <c r="E424" s="161">
        <v>5.1180591822127512</v>
      </c>
      <c r="F424" s="161">
        <v>9.6258683321720699</v>
      </c>
      <c r="G424" s="161">
        <f t="shared" si="19"/>
        <v>0.14743927514384822</v>
      </c>
      <c r="H424" s="161">
        <f t="shared" si="20"/>
        <v>1533501156.8436511</v>
      </c>
      <c r="I424" s="161">
        <v>92.841080000000005</v>
      </c>
      <c r="J424" s="161">
        <v>113.77163</v>
      </c>
      <c r="K424" s="161">
        <v>95.268600000000006</v>
      </c>
    </row>
    <row r="425" spans="1:11">
      <c r="A425" s="161">
        <v>2011</v>
      </c>
      <c r="B425" s="161" t="s">
        <v>2843</v>
      </c>
      <c r="C425" s="161" t="str">
        <f t="shared" si="18"/>
        <v>2011_Guinea</v>
      </c>
      <c r="D425" s="161">
        <v>1432720000</v>
      </c>
      <c r="E425" s="161" t="s">
        <v>2842</v>
      </c>
      <c r="F425" s="161" t="s">
        <v>2842</v>
      </c>
      <c r="G425" s="161" t="str">
        <f t="shared" si="19"/>
        <v>..</v>
      </c>
      <c r="H425" s="161" t="str">
        <f t="shared" si="20"/>
        <v>..</v>
      </c>
      <c r="I425" s="161">
        <v>74.145799999999994</v>
      </c>
      <c r="J425" s="161">
        <v>89.304370000000006</v>
      </c>
      <c r="K425" s="161">
        <v>76.09545</v>
      </c>
    </row>
    <row r="426" spans="1:11">
      <c r="A426" s="161">
        <v>2011</v>
      </c>
      <c r="B426" s="161" t="s">
        <v>237</v>
      </c>
      <c r="C426" s="161" t="str">
        <f t="shared" si="18"/>
        <v>2011_Indonesia</v>
      </c>
      <c r="D426" s="161">
        <v>200787525000</v>
      </c>
      <c r="E426" s="161">
        <v>34.141076197320373</v>
      </c>
      <c r="F426" s="161">
        <v>7.8470105782911208</v>
      </c>
      <c r="G426" s="161">
        <f t="shared" si="19"/>
        <v>0.41988086775611494</v>
      </c>
      <c r="H426" s="161">
        <f t="shared" si="20"/>
        <v>84306840231.602615</v>
      </c>
      <c r="I426" s="161">
        <v>93.668009999999995</v>
      </c>
      <c r="J426" s="161">
        <v>109.09822</v>
      </c>
      <c r="K426" s="161">
        <v>96.758229999999998</v>
      </c>
    </row>
    <row r="427" spans="1:11">
      <c r="A427" s="161">
        <v>2011</v>
      </c>
      <c r="B427" s="161" t="s">
        <v>245</v>
      </c>
      <c r="C427" s="161" t="str">
        <f t="shared" si="18"/>
        <v>2011_Iraq</v>
      </c>
      <c r="D427" s="161">
        <v>83225900000</v>
      </c>
      <c r="E427" s="161" t="s">
        <v>2842</v>
      </c>
      <c r="F427" s="161" t="s">
        <v>2842</v>
      </c>
      <c r="G427" s="161" t="str">
        <f t="shared" si="19"/>
        <v>..</v>
      </c>
      <c r="H427" s="161" t="str">
        <f t="shared" si="20"/>
        <v>..</v>
      </c>
      <c r="I427" s="161" t="s">
        <v>2842</v>
      </c>
      <c r="J427" s="161" t="s">
        <v>2842</v>
      </c>
      <c r="K427" s="161" t="s">
        <v>2842</v>
      </c>
    </row>
    <row r="428" spans="1:11">
      <c r="A428" s="161">
        <v>2011</v>
      </c>
      <c r="B428" s="161" t="s">
        <v>273</v>
      </c>
      <c r="C428" s="161" t="str">
        <f t="shared" si="18"/>
        <v>2011_Kazakhstan</v>
      </c>
      <c r="D428" s="161">
        <v>84335900000</v>
      </c>
      <c r="E428" s="161">
        <v>72.825704404673701</v>
      </c>
      <c r="F428" s="161">
        <v>12.920270914939946</v>
      </c>
      <c r="G428" s="161">
        <f t="shared" si="19"/>
        <v>0.85745975319613654</v>
      </c>
      <c r="H428" s="161">
        <f t="shared" si="20"/>
        <v>72314639999.574051</v>
      </c>
      <c r="I428" s="161">
        <v>87.087019999999995</v>
      </c>
      <c r="J428" s="161">
        <v>104.72673</v>
      </c>
      <c r="K428" s="161">
        <v>98.239959999999996</v>
      </c>
    </row>
    <row r="429" spans="1:11">
      <c r="A429" s="161">
        <v>2011</v>
      </c>
      <c r="B429" s="161" t="s">
        <v>309</v>
      </c>
      <c r="C429" s="161" t="str">
        <f t="shared" si="18"/>
        <v>2011_Madagascar</v>
      </c>
      <c r="D429" s="161">
        <v>1590000000</v>
      </c>
      <c r="E429" s="161">
        <v>6.8266478671740041</v>
      </c>
      <c r="F429" s="161">
        <v>10.305444747997813</v>
      </c>
      <c r="G429" s="161">
        <f t="shared" si="19"/>
        <v>0.17132092615171818</v>
      </c>
      <c r="H429" s="161">
        <f t="shared" si="20"/>
        <v>272400272.58123189</v>
      </c>
      <c r="I429" s="161" t="s">
        <v>2842</v>
      </c>
      <c r="J429" s="161">
        <v>144.47746000000001</v>
      </c>
      <c r="K429" s="161" t="s">
        <v>2842</v>
      </c>
    </row>
    <row r="430" spans="1:11">
      <c r="A430" s="161">
        <v>2011</v>
      </c>
      <c r="B430" s="161" t="s">
        <v>322</v>
      </c>
      <c r="C430" s="161" t="str">
        <f t="shared" si="18"/>
        <v>2011_Mali</v>
      </c>
      <c r="D430" s="161">
        <v>2374497000</v>
      </c>
      <c r="E430" s="161">
        <v>0.15470569023870703</v>
      </c>
      <c r="F430" s="161">
        <v>3.2141735256905064</v>
      </c>
      <c r="G430" s="161">
        <f t="shared" si="19"/>
        <v>3.368879215929213E-2</v>
      </c>
      <c r="H430" s="161">
        <f t="shared" si="20"/>
        <v>79993935.915862679</v>
      </c>
      <c r="I430" s="161">
        <v>70.632980000000003</v>
      </c>
      <c r="J430" s="161">
        <v>91.663470000000004</v>
      </c>
      <c r="K430" s="161">
        <v>75.413700000000006</v>
      </c>
    </row>
    <row r="431" spans="1:11">
      <c r="A431" s="161">
        <v>2011</v>
      </c>
      <c r="B431" s="161" t="s">
        <v>338</v>
      </c>
      <c r="C431" s="161" t="str">
        <f t="shared" si="18"/>
        <v>2011_Mauritania</v>
      </c>
      <c r="D431" s="161">
        <v>2775760000</v>
      </c>
      <c r="E431" s="161">
        <v>5.0552618621310286</v>
      </c>
      <c r="F431" s="161">
        <v>8.7975887260655643</v>
      </c>
      <c r="G431" s="161">
        <f t="shared" si="19"/>
        <v>0.13852850588196591</v>
      </c>
      <c r="H431" s="161">
        <f t="shared" si="20"/>
        <v>384521885.48692572</v>
      </c>
      <c r="I431" s="161">
        <v>70.719200000000001</v>
      </c>
      <c r="J431" s="161">
        <v>95.869900000000001</v>
      </c>
      <c r="K431" s="161">
        <v>71.509619999999998</v>
      </c>
    </row>
    <row r="432" spans="1:11">
      <c r="A432" s="161">
        <v>2011</v>
      </c>
      <c r="B432" s="161" t="s">
        <v>357</v>
      </c>
      <c r="C432" s="161" t="str">
        <f t="shared" si="18"/>
        <v>2011_Mongolia</v>
      </c>
      <c r="D432" s="161">
        <v>4817500000</v>
      </c>
      <c r="E432" s="161" t="s">
        <v>2842</v>
      </c>
      <c r="F432" s="161" t="s">
        <v>2842</v>
      </c>
      <c r="G432" s="161" t="str">
        <f t="shared" si="19"/>
        <v>..</v>
      </c>
      <c r="H432" s="161" t="str">
        <f t="shared" si="20"/>
        <v>..</v>
      </c>
      <c r="I432" s="161">
        <v>98.959050000000005</v>
      </c>
      <c r="J432" s="161">
        <v>122.06328000000001</v>
      </c>
      <c r="K432" s="161">
        <v>99.173749999999998</v>
      </c>
    </row>
    <row r="433" spans="1:11">
      <c r="A433" s="161">
        <v>2011</v>
      </c>
      <c r="B433" s="161" t="s">
        <v>387</v>
      </c>
      <c r="C433" s="161" t="str">
        <f t="shared" si="18"/>
        <v>2011_Niger</v>
      </c>
      <c r="D433" s="161">
        <v>1250000000</v>
      </c>
      <c r="E433" s="161">
        <v>1.1073910438065337</v>
      </c>
      <c r="F433" s="161">
        <v>68.904577507598091</v>
      </c>
      <c r="G433" s="161">
        <f t="shared" si="19"/>
        <v>0.70011968551404624</v>
      </c>
      <c r="H433" s="161">
        <f t="shared" si="20"/>
        <v>875149606.89255786</v>
      </c>
      <c r="I433" s="161">
        <v>60.79466</v>
      </c>
      <c r="J433" s="161">
        <v>68.873260000000002</v>
      </c>
      <c r="K433" s="161">
        <v>62.002719999999997</v>
      </c>
    </row>
    <row r="434" spans="1:11">
      <c r="A434" s="161">
        <v>2011</v>
      </c>
      <c r="B434" s="161" t="s">
        <v>406</v>
      </c>
      <c r="C434" s="161" t="str">
        <f t="shared" si="18"/>
        <v>2011_Nigeria</v>
      </c>
      <c r="D434" s="161">
        <v>114000000000</v>
      </c>
      <c r="E434" s="161">
        <v>89.126472851510059</v>
      </c>
      <c r="F434" s="161">
        <v>0.31695508963905333</v>
      </c>
      <c r="G434" s="161">
        <f t="shared" si="19"/>
        <v>0.89443427941149112</v>
      </c>
      <c r="H434" s="161">
        <f t="shared" si="20"/>
        <v>101965507852.90999</v>
      </c>
      <c r="I434" s="161" t="s">
        <v>2842</v>
      </c>
      <c r="J434" s="161" t="s">
        <v>2842</v>
      </c>
      <c r="K434" s="161" t="s">
        <v>2842</v>
      </c>
    </row>
    <row r="435" spans="1:11">
      <c r="A435" s="161">
        <v>2011</v>
      </c>
      <c r="B435" s="161" t="s">
        <v>429</v>
      </c>
      <c r="C435" s="161" t="str">
        <f t="shared" si="18"/>
        <v>2011_Norway</v>
      </c>
      <c r="D435" s="161">
        <v>160409821000</v>
      </c>
      <c r="E435" s="161">
        <v>68.163356297417749</v>
      </c>
      <c r="F435" s="161">
        <v>6.0306174009840356</v>
      </c>
      <c r="G435" s="161">
        <f t="shared" si="19"/>
        <v>0.74193973698401794</v>
      </c>
      <c r="H435" s="161">
        <f t="shared" si="20"/>
        <v>119014420402.3934</v>
      </c>
      <c r="I435" s="161">
        <v>99.273039999999995</v>
      </c>
      <c r="J435" s="161">
        <v>99.273039999999995</v>
      </c>
      <c r="K435" s="161">
        <v>99.273039999999995</v>
      </c>
    </row>
    <row r="436" spans="1:11">
      <c r="A436" s="161">
        <v>2011</v>
      </c>
      <c r="B436" s="161" t="s">
        <v>442</v>
      </c>
      <c r="C436" s="161" t="str">
        <f t="shared" si="18"/>
        <v>2011_Peru</v>
      </c>
      <c r="D436" s="161">
        <v>46375961566.119904</v>
      </c>
      <c r="E436" s="161">
        <v>14.057558666350253</v>
      </c>
      <c r="F436" s="161">
        <v>50.142134349135944</v>
      </c>
      <c r="G436" s="161">
        <f t="shared" si="19"/>
        <v>0.64199693015486192</v>
      </c>
      <c r="H436" s="161">
        <f t="shared" si="20"/>
        <v>29773224958.428841</v>
      </c>
      <c r="I436" s="161">
        <v>93.732550000000003</v>
      </c>
      <c r="J436" s="161">
        <v>104.90494</v>
      </c>
      <c r="K436" s="161">
        <v>96.327079999999995</v>
      </c>
    </row>
    <row r="437" spans="1:11">
      <c r="A437" s="161">
        <v>2011</v>
      </c>
      <c r="B437" s="161" t="s">
        <v>481</v>
      </c>
      <c r="C437" s="161" t="str">
        <f t="shared" si="18"/>
        <v>2011_Sierra Leone</v>
      </c>
      <c r="D437" s="161">
        <v>349709397.10989797</v>
      </c>
      <c r="E437" s="161" t="s">
        <v>2842</v>
      </c>
      <c r="F437" s="161" t="s">
        <v>2842</v>
      </c>
      <c r="G437" s="161" t="str">
        <f t="shared" si="19"/>
        <v>..</v>
      </c>
      <c r="H437" s="161" t="str">
        <f t="shared" si="20"/>
        <v>..</v>
      </c>
      <c r="I437" s="161" t="s">
        <v>2842</v>
      </c>
      <c r="J437" s="161">
        <v>128.09161</v>
      </c>
      <c r="K437" s="161" t="s">
        <v>2842</v>
      </c>
    </row>
    <row r="438" spans="1:11">
      <c r="A438" s="161">
        <v>2011</v>
      </c>
      <c r="B438" s="161" t="s">
        <v>492</v>
      </c>
      <c r="C438" s="161" t="str">
        <f t="shared" si="18"/>
        <v>2011_Tanzania</v>
      </c>
      <c r="D438" s="161">
        <v>4734960000</v>
      </c>
      <c r="E438" s="161">
        <v>1.1910457632814231</v>
      </c>
      <c r="F438" s="161">
        <v>35.438385117204248</v>
      </c>
      <c r="G438" s="161">
        <f t="shared" si="19"/>
        <v>0.36629430880485669</v>
      </c>
      <c r="H438" s="161">
        <f t="shared" si="20"/>
        <v>1734388900.4186442</v>
      </c>
      <c r="I438" s="161" t="s">
        <v>2842</v>
      </c>
      <c r="J438" s="161" t="s">
        <v>2842</v>
      </c>
      <c r="K438" s="161" t="s">
        <v>2842</v>
      </c>
    </row>
    <row r="439" spans="1:11">
      <c r="A439" s="161">
        <v>2011</v>
      </c>
      <c r="B439" s="161" t="s">
        <v>2844</v>
      </c>
      <c r="C439" s="161" t="str">
        <f t="shared" si="18"/>
        <v>2011_Timor-Leste</v>
      </c>
      <c r="D439" s="161">
        <v>13202000</v>
      </c>
      <c r="E439" s="161" t="s">
        <v>2842</v>
      </c>
      <c r="F439" s="161" t="s">
        <v>2842</v>
      </c>
      <c r="G439" s="161" t="str">
        <f t="shared" si="19"/>
        <v>..</v>
      </c>
      <c r="H439" s="161" t="str">
        <f t="shared" si="20"/>
        <v>..</v>
      </c>
      <c r="I439" s="161">
        <v>91.119579999999999</v>
      </c>
      <c r="J439" s="161">
        <v>124.95144000000001</v>
      </c>
      <c r="K439" s="161">
        <v>91.673900000000003</v>
      </c>
    </row>
    <row r="440" spans="1:11">
      <c r="A440" s="161">
        <v>2011</v>
      </c>
      <c r="B440" s="161" t="s">
        <v>510</v>
      </c>
      <c r="C440" s="161" t="str">
        <f t="shared" si="18"/>
        <v>2011_Togo</v>
      </c>
      <c r="D440" s="161">
        <v>1178724468.3872099</v>
      </c>
      <c r="E440" s="161">
        <v>0.9214052279637418</v>
      </c>
      <c r="F440" s="161">
        <v>8.3205862046166654</v>
      </c>
      <c r="G440" s="161">
        <f t="shared" si="19"/>
        <v>9.241991432580407E-2</v>
      </c>
      <c r="H440" s="161">
        <f t="shared" si="20"/>
        <v>108937614.38207489</v>
      </c>
      <c r="I440" s="161" t="s">
        <v>2842</v>
      </c>
      <c r="J440" s="161">
        <v>129.54957999999999</v>
      </c>
      <c r="K440" s="161" t="s">
        <v>2842</v>
      </c>
    </row>
    <row r="441" spans="1:11">
      <c r="A441" s="161">
        <v>2011</v>
      </c>
      <c r="B441" s="161" t="s">
        <v>2845</v>
      </c>
      <c r="C441" s="161" t="str">
        <f t="shared" si="18"/>
        <v>2011_Trinidad and Tobago</v>
      </c>
      <c r="D441" s="161">
        <v>14943900000</v>
      </c>
      <c r="E441" s="161" t="s">
        <v>2842</v>
      </c>
      <c r="F441" s="161" t="s">
        <v>2842</v>
      </c>
      <c r="G441" s="161" t="str">
        <f t="shared" si="19"/>
        <v>..</v>
      </c>
      <c r="H441" s="161" t="str">
        <f t="shared" si="20"/>
        <v>..</v>
      </c>
      <c r="I441" s="161" t="s">
        <v>2842</v>
      </c>
      <c r="J441" s="161" t="s">
        <v>2842</v>
      </c>
      <c r="K441" s="161" t="s">
        <v>2842</v>
      </c>
    </row>
    <row r="442" spans="1:11">
      <c r="A442" s="161">
        <v>2011</v>
      </c>
      <c r="B442" s="161" t="s">
        <v>2846</v>
      </c>
      <c r="C442" s="161" t="str">
        <f t="shared" si="18"/>
        <v>2011_Yemen, Rep.</v>
      </c>
      <c r="D442" s="161">
        <v>9700000000</v>
      </c>
      <c r="E442" s="161">
        <v>89.071371028781655</v>
      </c>
      <c r="F442" s="161">
        <v>0.15816976606159988</v>
      </c>
      <c r="G442" s="161">
        <f t="shared" si="19"/>
        <v>0.89229540794843265</v>
      </c>
      <c r="H442" s="161">
        <f t="shared" si="20"/>
        <v>8655265457.0997963</v>
      </c>
      <c r="I442" s="161" t="s">
        <v>2842</v>
      </c>
      <c r="J442" s="161">
        <v>96.712209999999999</v>
      </c>
      <c r="K442" s="161" t="s">
        <v>2842</v>
      </c>
    </row>
    <row r="443" spans="1:11">
      <c r="A443" s="161">
        <v>2011</v>
      </c>
      <c r="B443" s="161" t="s">
        <v>534</v>
      </c>
      <c r="C443" s="161" t="str">
        <f t="shared" si="18"/>
        <v>2011_Zambia</v>
      </c>
      <c r="D443" s="161">
        <v>9000946000</v>
      </c>
      <c r="E443" s="161">
        <v>0.45285922859135225</v>
      </c>
      <c r="F443" s="161">
        <v>80.683632490732876</v>
      </c>
      <c r="G443" s="161">
        <f t="shared" si="19"/>
        <v>0.81136491719324222</v>
      </c>
      <c r="H443" s="161">
        <f t="shared" si="20"/>
        <v>7303051805.9508448</v>
      </c>
      <c r="I443" s="161">
        <v>91.932209999999998</v>
      </c>
      <c r="J443" s="161">
        <v>112.9757</v>
      </c>
      <c r="K443" s="161">
        <v>93.626670000000004</v>
      </c>
    </row>
    <row r="444" spans="1:11">
      <c r="A444" s="161">
        <v>2012</v>
      </c>
      <c r="B444" s="161" t="s">
        <v>16</v>
      </c>
      <c r="C444" s="161" t="str">
        <f t="shared" si="18"/>
        <v>2012_Afghanistan</v>
      </c>
      <c r="D444" s="161">
        <v>428903000</v>
      </c>
      <c r="E444" s="161" t="s">
        <v>2842</v>
      </c>
      <c r="F444" s="161" t="s">
        <v>2842</v>
      </c>
      <c r="G444" s="161" t="str">
        <f t="shared" si="19"/>
        <v>..</v>
      </c>
      <c r="H444" s="161" t="str">
        <f t="shared" si="20"/>
        <v>..</v>
      </c>
      <c r="I444" s="161" t="s">
        <v>2842</v>
      </c>
      <c r="J444" s="161">
        <v>103.94475</v>
      </c>
      <c r="K444" s="161" t="s">
        <v>2842</v>
      </c>
    </row>
    <row r="445" spans="1:11">
      <c r="A445" s="161">
        <v>2012</v>
      </c>
      <c r="B445" s="161" t="s">
        <v>33</v>
      </c>
      <c r="C445" s="161" t="str">
        <f t="shared" si="18"/>
        <v>2012_Albania</v>
      </c>
      <c r="D445" s="161">
        <v>1967989418.1654301</v>
      </c>
      <c r="E445" s="161">
        <v>26.590781265743612</v>
      </c>
      <c r="F445" s="161">
        <v>10.912701687911671</v>
      </c>
      <c r="G445" s="161">
        <f t="shared" si="19"/>
        <v>0.37503482953655282</v>
      </c>
      <c r="H445" s="161">
        <f t="shared" si="20"/>
        <v>738064575.97141182</v>
      </c>
      <c r="I445" s="161" t="s">
        <v>2842</v>
      </c>
      <c r="J445" s="161" t="s">
        <v>2842</v>
      </c>
      <c r="K445" s="161" t="s">
        <v>2842</v>
      </c>
    </row>
    <row r="446" spans="1:11">
      <c r="A446" s="161">
        <v>2012</v>
      </c>
      <c r="B446" s="161" t="s">
        <v>48</v>
      </c>
      <c r="C446" s="161" t="str">
        <f t="shared" si="18"/>
        <v>2012_Azerbaijan</v>
      </c>
      <c r="D446" s="161">
        <v>32374000000</v>
      </c>
      <c r="E446" s="161">
        <v>93.419356784862899</v>
      </c>
      <c r="F446" s="161">
        <v>0.53223522318101901</v>
      </c>
      <c r="G446" s="161">
        <f t="shared" si="19"/>
        <v>0.93951592008043916</v>
      </c>
      <c r="H446" s="161">
        <f t="shared" si="20"/>
        <v>30415888396.684139</v>
      </c>
      <c r="I446" s="161">
        <v>89.094059999999999</v>
      </c>
      <c r="J446" s="161">
        <v>97.943200000000004</v>
      </c>
      <c r="K446" s="161">
        <v>89.278999999999996</v>
      </c>
    </row>
    <row r="447" spans="1:11">
      <c r="A447" s="161">
        <v>2012</v>
      </c>
      <c r="B447" s="161" t="s">
        <v>93</v>
      </c>
      <c r="C447" s="161" t="str">
        <f t="shared" si="18"/>
        <v>2012_Burkina Faso</v>
      </c>
      <c r="D447" s="161">
        <v>2183327000</v>
      </c>
      <c r="E447" s="161" t="s">
        <v>2842</v>
      </c>
      <c r="F447" s="161" t="s">
        <v>2842</v>
      </c>
      <c r="G447" s="161" t="str">
        <f t="shared" si="19"/>
        <v>..</v>
      </c>
      <c r="H447" s="161" t="str">
        <f t="shared" si="20"/>
        <v>..</v>
      </c>
      <c r="I447" s="161">
        <v>66.364249999999998</v>
      </c>
      <c r="J447" s="161">
        <v>84.964950000000002</v>
      </c>
      <c r="K447" s="161">
        <v>66.759569999999997</v>
      </c>
    </row>
    <row r="448" spans="1:11">
      <c r="A448" s="161">
        <v>2012</v>
      </c>
      <c r="B448" s="161" t="s">
        <v>96</v>
      </c>
      <c r="C448" s="161" t="str">
        <f t="shared" si="18"/>
        <v>2012_Cameroon</v>
      </c>
      <c r="D448" s="161">
        <v>4274981000</v>
      </c>
      <c r="E448" s="161">
        <v>55.611473419316113</v>
      </c>
      <c r="F448" s="161">
        <v>1.5954423714054371</v>
      </c>
      <c r="G448" s="161">
        <f t="shared" si="19"/>
        <v>0.57206915790721558</v>
      </c>
      <c r="H448" s="161">
        <f t="shared" si="20"/>
        <v>2445584780.7393465</v>
      </c>
      <c r="I448" s="161">
        <v>91.526619999999994</v>
      </c>
      <c r="J448" s="161">
        <v>110.61503</v>
      </c>
      <c r="K448" s="161">
        <v>91.526619999999994</v>
      </c>
    </row>
    <row r="449" spans="1:11">
      <c r="A449" s="161">
        <v>2012</v>
      </c>
      <c r="B449" s="161" t="s">
        <v>122</v>
      </c>
      <c r="C449" s="161" t="str">
        <f t="shared" si="18"/>
        <v>2012_Central African Republic</v>
      </c>
      <c r="D449" s="161">
        <v>200000000</v>
      </c>
      <c r="E449" s="161" t="s">
        <v>2842</v>
      </c>
      <c r="F449" s="161" t="s">
        <v>2842</v>
      </c>
      <c r="G449" s="161" t="str">
        <f t="shared" si="19"/>
        <v>..</v>
      </c>
      <c r="H449" s="161" t="str">
        <f t="shared" si="20"/>
        <v>..</v>
      </c>
      <c r="I449" s="161">
        <v>71.876840000000001</v>
      </c>
      <c r="J449" s="161">
        <v>95.201930000000004</v>
      </c>
      <c r="K449" s="161">
        <v>72.164320000000004</v>
      </c>
    </row>
    <row r="450" spans="1:11">
      <c r="A450" s="161">
        <v>2012</v>
      </c>
      <c r="B450" s="161" t="s">
        <v>133</v>
      </c>
      <c r="C450" s="161" t="str">
        <f t="shared" ref="C450:C513" si="21">$A450&amp;"_"&amp;$B450</f>
        <v>2012_Chad</v>
      </c>
      <c r="D450" s="161">
        <v>4600000000</v>
      </c>
      <c r="E450" s="161" t="s">
        <v>2842</v>
      </c>
      <c r="F450" s="161" t="s">
        <v>2842</v>
      </c>
      <c r="G450" s="161" t="str">
        <f t="shared" si="19"/>
        <v>..</v>
      </c>
      <c r="H450" s="161" t="str">
        <f t="shared" si="20"/>
        <v>..</v>
      </c>
      <c r="I450" s="161" t="s">
        <v>2842</v>
      </c>
      <c r="J450" s="161">
        <v>95.38691</v>
      </c>
      <c r="K450" s="161" t="s">
        <v>2842</v>
      </c>
    </row>
    <row r="451" spans="1:11">
      <c r="A451" s="161">
        <v>2012</v>
      </c>
      <c r="B451" s="161" t="s">
        <v>3544</v>
      </c>
      <c r="C451" s="161" t="str">
        <f t="shared" si="21"/>
        <v>2012_Congo, Dem. Rep.</v>
      </c>
      <c r="D451" s="161">
        <v>6300000000</v>
      </c>
      <c r="E451" s="161" t="s">
        <v>2842</v>
      </c>
      <c r="F451" s="161" t="s">
        <v>2842</v>
      </c>
      <c r="G451" s="161" t="str">
        <f t="shared" ref="G451:G514" si="22">IFERROR(($E451+$F451)/100,"..")</f>
        <v>..</v>
      </c>
      <c r="H451" s="161" t="str">
        <f t="shared" ref="H451:H514" si="23">IFERROR($G451*$D451,"..")</f>
        <v>..</v>
      </c>
      <c r="I451" s="161" t="s">
        <v>2842</v>
      </c>
      <c r="J451" s="161">
        <v>110.89887</v>
      </c>
      <c r="K451" s="161" t="s">
        <v>2842</v>
      </c>
    </row>
    <row r="452" spans="1:11">
      <c r="A452" s="161">
        <v>2012</v>
      </c>
      <c r="B452" s="161" t="s">
        <v>3543</v>
      </c>
      <c r="C452" s="161" t="str">
        <f t="shared" si="21"/>
        <v>2012_Congo, Rep.</v>
      </c>
      <c r="D452" s="161">
        <v>10600000000</v>
      </c>
      <c r="E452" s="161">
        <v>78.89782786307947</v>
      </c>
      <c r="F452" s="161">
        <v>1.4124045892020652E-2</v>
      </c>
      <c r="G452" s="161">
        <f t="shared" si="22"/>
        <v>0.78911951908971489</v>
      </c>
      <c r="H452" s="161">
        <f t="shared" si="23"/>
        <v>8364666902.3509779</v>
      </c>
      <c r="I452" s="161">
        <v>90.170360000000002</v>
      </c>
      <c r="J452" s="161">
        <v>109.41580999999999</v>
      </c>
      <c r="K452" s="161">
        <v>91.618480000000005</v>
      </c>
    </row>
    <row r="453" spans="1:11">
      <c r="A453" s="161">
        <v>2012</v>
      </c>
      <c r="B453" s="161" t="s">
        <v>182</v>
      </c>
      <c r="C453" s="161" t="str">
        <f t="shared" si="21"/>
        <v>2012_Equatorial Guinea</v>
      </c>
      <c r="D453" s="161">
        <v>15500000000</v>
      </c>
      <c r="E453" s="161" t="s">
        <v>2842</v>
      </c>
      <c r="F453" s="161" t="s">
        <v>2842</v>
      </c>
      <c r="G453" s="161" t="str">
        <f t="shared" si="22"/>
        <v>..</v>
      </c>
      <c r="H453" s="161" t="str">
        <f t="shared" si="23"/>
        <v>..</v>
      </c>
      <c r="I453" s="161">
        <v>60.989629999999998</v>
      </c>
      <c r="J453" s="161">
        <v>90.729749999999996</v>
      </c>
      <c r="K453" s="161">
        <v>62.189450000000001</v>
      </c>
    </row>
    <row r="454" spans="1:11">
      <c r="A454" s="161">
        <v>2012</v>
      </c>
      <c r="B454" s="161" t="s">
        <v>185</v>
      </c>
      <c r="C454" s="161" t="str">
        <f t="shared" si="21"/>
        <v>2012_Gabon</v>
      </c>
      <c r="D454" s="161">
        <v>9660581987.2603798</v>
      </c>
      <c r="E454" s="161" t="s">
        <v>2842</v>
      </c>
      <c r="F454" s="161" t="s">
        <v>2842</v>
      </c>
      <c r="G454" s="161" t="str">
        <f t="shared" si="22"/>
        <v>..</v>
      </c>
      <c r="H454" s="161" t="str">
        <f t="shared" si="23"/>
        <v>..</v>
      </c>
      <c r="I454" s="161" t="s">
        <v>2842</v>
      </c>
      <c r="J454" s="161" t="s">
        <v>2842</v>
      </c>
      <c r="K454" s="161" t="s">
        <v>2842</v>
      </c>
    </row>
    <row r="455" spans="1:11">
      <c r="A455" s="161">
        <v>2012</v>
      </c>
      <c r="B455" s="161" t="s">
        <v>294</v>
      </c>
      <c r="C455" s="161" t="str">
        <f t="shared" si="21"/>
        <v>2012_Liberia</v>
      </c>
      <c r="D455" s="161">
        <v>459400000</v>
      </c>
      <c r="E455" s="161" t="s">
        <v>2842</v>
      </c>
      <c r="F455" s="161" t="s">
        <v>2842</v>
      </c>
      <c r="G455" s="161" t="str">
        <f t="shared" si="22"/>
        <v>..</v>
      </c>
      <c r="H455" s="161" t="str">
        <f t="shared" si="23"/>
        <v>..</v>
      </c>
      <c r="I455" s="161" t="s">
        <v>2842</v>
      </c>
      <c r="J455" s="161" t="s">
        <v>2842</v>
      </c>
      <c r="K455" s="161" t="s">
        <v>2842</v>
      </c>
    </row>
    <row r="456" spans="1:11">
      <c r="A456" s="161">
        <v>2012</v>
      </c>
      <c r="B456" s="161" t="s">
        <v>278</v>
      </c>
      <c r="C456" s="161" t="str">
        <f t="shared" si="21"/>
        <v>2012_Kyrgyz Republic</v>
      </c>
      <c r="D456" s="161">
        <v>1893800000</v>
      </c>
      <c r="E456" s="161">
        <v>20.072114688136129</v>
      </c>
      <c r="F456" s="161">
        <v>9.9545419260808785</v>
      </c>
      <c r="G456" s="161">
        <f t="shared" si="22"/>
        <v>0.30026656614217007</v>
      </c>
      <c r="H456" s="161">
        <f t="shared" si="23"/>
        <v>568644822.96004164</v>
      </c>
      <c r="I456" s="161">
        <v>90.507249999999999</v>
      </c>
      <c r="J456" s="161">
        <v>105.85894</v>
      </c>
      <c r="K456" s="161">
        <v>98.370930000000001</v>
      </c>
    </row>
    <row r="457" spans="1:11">
      <c r="A457" s="161">
        <v>2012</v>
      </c>
      <c r="B457" s="161" t="s">
        <v>189</v>
      </c>
      <c r="C457" s="161" t="str">
        <f t="shared" si="21"/>
        <v>2012_Ghana</v>
      </c>
      <c r="D457" s="161">
        <v>13552350000</v>
      </c>
      <c r="E457" s="161">
        <v>39.150745123959183</v>
      </c>
      <c r="F457" s="161">
        <v>2.0040746486799557</v>
      </c>
      <c r="G457" s="161">
        <f t="shared" si="22"/>
        <v>0.41154819772639134</v>
      </c>
      <c r="H457" s="161">
        <f t="shared" si="23"/>
        <v>5577445217.4572601</v>
      </c>
      <c r="I457" s="161">
        <v>81.792310000000001</v>
      </c>
      <c r="J457" s="161">
        <v>109.91725</v>
      </c>
      <c r="K457" s="161">
        <v>82.343050000000005</v>
      </c>
    </row>
    <row r="458" spans="1:11">
      <c r="A458" s="161">
        <v>2012</v>
      </c>
      <c r="B458" s="161" t="s">
        <v>213</v>
      </c>
      <c r="C458" s="161" t="str">
        <f t="shared" si="21"/>
        <v>2012_Guatemala</v>
      </c>
      <c r="D458" s="161">
        <v>9978700000</v>
      </c>
      <c r="E458" s="161">
        <v>3.9894214696142427</v>
      </c>
      <c r="F458" s="161">
        <v>6.2635930986522927</v>
      </c>
      <c r="G458" s="161">
        <f t="shared" si="22"/>
        <v>0.10253014568266536</v>
      </c>
      <c r="H458" s="161">
        <f t="shared" si="23"/>
        <v>1023117564.7236128</v>
      </c>
      <c r="I458" s="161" t="s">
        <v>2842</v>
      </c>
      <c r="J458" s="161" t="s">
        <v>2842</v>
      </c>
      <c r="K458" s="161" t="s">
        <v>2842</v>
      </c>
    </row>
    <row r="459" spans="1:11">
      <c r="A459" s="161">
        <v>2012</v>
      </c>
      <c r="B459" s="161" t="s">
        <v>2843</v>
      </c>
      <c r="C459" s="161" t="str">
        <f t="shared" si="21"/>
        <v>2012_Guinea</v>
      </c>
      <c r="D459" s="161">
        <v>1300000000</v>
      </c>
      <c r="E459" s="161" t="s">
        <v>2842</v>
      </c>
      <c r="F459" s="161" t="s">
        <v>2842</v>
      </c>
      <c r="G459" s="161" t="str">
        <f t="shared" si="22"/>
        <v>..</v>
      </c>
      <c r="H459" s="161" t="str">
        <f t="shared" si="23"/>
        <v>..</v>
      </c>
      <c r="I459" s="161">
        <v>74.383319999999998</v>
      </c>
      <c r="J459" s="161">
        <v>90.832179999999994</v>
      </c>
      <c r="K459" s="161">
        <v>75.526719999999997</v>
      </c>
    </row>
    <row r="460" spans="1:11">
      <c r="A460" s="161">
        <v>2012</v>
      </c>
      <c r="B460" s="161" t="s">
        <v>237</v>
      </c>
      <c r="C460" s="161" t="str">
        <f t="shared" si="21"/>
        <v>2012_Indonesia</v>
      </c>
      <c r="D460" s="161">
        <v>188496357000</v>
      </c>
      <c r="E460" s="161">
        <v>33.590891359537252</v>
      </c>
      <c r="F460" s="161">
        <v>6.3428077832338694</v>
      </c>
      <c r="G460" s="161">
        <f t="shared" si="22"/>
        <v>0.39933699142771117</v>
      </c>
      <c r="H460" s="161">
        <f t="shared" si="23"/>
        <v>75273568099.463791</v>
      </c>
      <c r="I460" s="161">
        <v>92.218279999999993</v>
      </c>
      <c r="J460" s="161">
        <v>108.52625</v>
      </c>
      <c r="K460" s="161">
        <v>95.290980000000005</v>
      </c>
    </row>
    <row r="461" spans="1:11">
      <c r="A461" s="161">
        <v>2012</v>
      </c>
      <c r="B461" s="161" t="s">
        <v>245</v>
      </c>
      <c r="C461" s="161" t="str">
        <f t="shared" si="21"/>
        <v>2012_Iraq</v>
      </c>
      <c r="D461" s="161">
        <v>94391495930.210007</v>
      </c>
      <c r="E461" s="161" t="s">
        <v>2842</v>
      </c>
      <c r="F461" s="161" t="s">
        <v>2842</v>
      </c>
      <c r="G461" s="161" t="str">
        <f t="shared" si="22"/>
        <v>..</v>
      </c>
      <c r="H461" s="161" t="str">
        <f t="shared" si="23"/>
        <v>..</v>
      </c>
      <c r="I461" s="161" t="s">
        <v>2842</v>
      </c>
      <c r="J461" s="161" t="s">
        <v>2842</v>
      </c>
      <c r="K461" s="161" t="s">
        <v>2842</v>
      </c>
    </row>
    <row r="462" spans="1:11">
      <c r="A462" s="161">
        <v>2012</v>
      </c>
      <c r="B462" s="161" t="s">
        <v>273</v>
      </c>
      <c r="C462" s="161" t="str">
        <f t="shared" si="21"/>
        <v>2012_Kazakhstan</v>
      </c>
      <c r="D462" s="161">
        <v>86448800000</v>
      </c>
      <c r="E462" s="161">
        <v>70.55867900653034</v>
      </c>
      <c r="F462" s="161">
        <v>13.00695889828695</v>
      </c>
      <c r="G462" s="161">
        <f t="shared" si="22"/>
        <v>0.83565637904817291</v>
      </c>
      <c r="H462" s="161">
        <f t="shared" si="23"/>
        <v>72241491181.059692</v>
      </c>
      <c r="I462" s="161">
        <v>85.960800000000006</v>
      </c>
      <c r="J462" s="161">
        <v>104.90346</v>
      </c>
      <c r="K462" s="161">
        <v>98.947940000000003</v>
      </c>
    </row>
    <row r="463" spans="1:11">
      <c r="A463" s="161">
        <v>2012</v>
      </c>
      <c r="B463" s="161" t="s">
        <v>309</v>
      </c>
      <c r="C463" s="161" t="str">
        <f t="shared" si="21"/>
        <v>2012_Madagascar</v>
      </c>
      <c r="D463" s="161">
        <v>1515911274.02913</v>
      </c>
      <c r="E463" s="161">
        <v>6.9599034401024147</v>
      </c>
      <c r="F463" s="161">
        <v>19.469035037507602</v>
      </c>
      <c r="G463" s="161">
        <f t="shared" si="22"/>
        <v>0.2642893847761002</v>
      </c>
      <c r="H463" s="161">
        <f t="shared" si="23"/>
        <v>400639257.98831302</v>
      </c>
      <c r="I463" s="161" t="s">
        <v>2842</v>
      </c>
      <c r="J463" s="161">
        <v>145.18600000000001</v>
      </c>
      <c r="K463" s="161" t="s">
        <v>2842</v>
      </c>
    </row>
    <row r="464" spans="1:11">
      <c r="A464" s="161">
        <v>2012</v>
      </c>
      <c r="B464" s="161" t="s">
        <v>322</v>
      </c>
      <c r="C464" s="161" t="str">
        <f t="shared" si="21"/>
        <v>2012_Mali</v>
      </c>
      <c r="D464" s="161">
        <v>2610387000</v>
      </c>
      <c r="E464" s="161">
        <v>0.29540803496569018</v>
      </c>
      <c r="F464" s="161">
        <v>3.3532935194968272</v>
      </c>
      <c r="G464" s="161">
        <f t="shared" si="22"/>
        <v>3.6487015544625169E-2</v>
      </c>
      <c r="H464" s="161">
        <f t="shared" si="23"/>
        <v>95245231.046487466</v>
      </c>
      <c r="I464" s="161">
        <v>68.727760000000004</v>
      </c>
      <c r="J464" s="161">
        <v>88.479219999999998</v>
      </c>
      <c r="K464" s="161">
        <v>73.326729999999998</v>
      </c>
    </row>
    <row r="465" spans="1:11">
      <c r="A465" s="161">
        <v>2012</v>
      </c>
      <c r="B465" s="161" t="s">
        <v>338</v>
      </c>
      <c r="C465" s="161" t="str">
        <f t="shared" si="21"/>
        <v>2012_Mauritania</v>
      </c>
      <c r="D465" s="161">
        <v>2640960000</v>
      </c>
      <c r="E465" s="161">
        <v>14.963596436117363</v>
      </c>
      <c r="F465" s="161">
        <v>58.275056459883302</v>
      </c>
      <c r="G465" s="161">
        <f t="shared" si="22"/>
        <v>0.73238652896000678</v>
      </c>
      <c r="H465" s="161">
        <f t="shared" si="23"/>
        <v>1934203527.5222194</v>
      </c>
      <c r="I465" s="161">
        <v>69.564340000000001</v>
      </c>
      <c r="J465" s="161">
        <v>96.677660000000003</v>
      </c>
      <c r="K465" s="161">
        <v>70.43038</v>
      </c>
    </row>
    <row r="466" spans="1:11">
      <c r="A466" s="161">
        <v>2012</v>
      </c>
      <c r="B466" s="161" t="s">
        <v>357</v>
      </c>
      <c r="C466" s="161" t="str">
        <f t="shared" si="21"/>
        <v>2012_Mongolia</v>
      </c>
      <c r="D466" s="161">
        <v>4384700000</v>
      </c>
      <c r="E466" s="161" t="s">
        <v>2842</v>
      </c>
      <c r="F466" s="161" t="s">
        <v>2842</v>
      </c>
      <c r="G466" s="161" t="str">
        <f t="shared" si="22"/>
        <v>..</v>
      </c>
      <c r="H466" s="161" t="str">
        <f t="shared" si="23"/>
        <v>..</v>
      </c>
      <c r="I466" s="161">
        <v>97.333870000000005</v>
      </c>
      <c r="J466" s="161">
        <v>116.95764</v>
      </c>
      <c r="K466" s="161">
        <v>97.610560000000007</v>
      </c>
    </row>
    <row r="467" spans="1:11">
      <c r="A467" s="161">
        <v>2012</v>
      </c>
      <c r="B467" s="161" t="s">
        <v>387</v>
      </c>
      <c r="C467" s="161" t="str">
        <f t="shared" si="21"/>
        <v>2012_Niger</v>
      </c>
      <c r="D467" s="161">
        <v>1500000000</v>
      </c>
      <c r="E467" s="161">
        <v>19.357565289967887</v>
      </c>
      <c r="F467" s="161">
        <v>56.213477779659016</v>
      </c>
      <c r="G467" s="161">
        <f t="shared" si="22"/>
        <v>0.75571043069626909</v>
      </c>
      <c r="H467" s="161">
        <f t="shared" si="23"/>
        <v>1133565646.0444036</v>
      </c>
      <c r="I467" s="161">
        <v>62.802590000000002</v>
      </c>
      <c r="J467" s="161">
        <v>71.133709999999994</v>
      </c>
      <c r="K467" s="161">
        <v>63.622169999999997</v>
      </c>
    </row>
    <row r="468" spans="1:11">
      <c r="A468" s="161">
        <v>2012</v>
      </c>
      <c r="B468" s="161" t="s">
        <v>406</v>
      </c>
      <c r="C468" s="161" t="str">
        <f t="shared" si="21"/>
        <v>2012_Nigeria</v>
      </c>
      <c r="D468" s="161">
        <v>115000000000</v>
      </c>
      <c r="E468" s="161">
        <v>84.038927616375162</v>
      </c>
      <c r="F468" s="161">
        <v>0.43351983184963139</v>
      </c>
      <c r="G468" s="161">
        <f t="shared" si="22"/>
        <v>0.84472447448224797</v>
      </c>
      <c r="H468" s="161">
        <f t="shared" si="23"/>
        <v>97143314565.458511</v>
      </c>
      <c r="I468" s="161" t="s">
        <v>2842</v>
      </c>
      <c r="J468" s="161" t="s">
        <v>2842</v>
      </c>
      <c r="K468" s="161" t="s">
        <v>2842</v>
      </c>
    </row>
    <row r="469" spans="1:11">
      <c r="A469" s="161">
        <v>2012</v>
      </c>
      <c r="B469" s="161" t="s">
        <v>429</v>
      </c>
      <c r="C469" s="161" t="str">
        <f t="shared" si="21"/>
        <v>2012_Norway</v>
      </c>
      <c r="D469" s="161">
        <v>160999480000</v>
      </c>
      <c r="E469" s="161">
        <v>69.999448118899039</v>
      </c>
      <c r="F469" s="161">
        <v>5.231468573002692</v>
      </c>
      <c r="G469" s="161">
        <f t="shared" si="22"/>
        <v>0.75230916691901728</v>
      </c>
      <c r="H469" s="161">
        <f t="shared" si="23"/>
        <v>121121384673.19498</v>
      </c>
      <c r="I469" s="161">
        <v>99.436989999999994</v>
      </c>
      <c r="J469" s="161">
        <v>99.436989999999994</v>
      </c>
      <c r="K469" s="161">
        <v>99.436989999999994</v>
      </c>
    </row>
    <row r="470" spans="1:11">
      <c r="A470" s="161">
        <v>2012</v>
      </c>
      <c r="B470" s="161" t="s">
        <v>442</v>
      </c>
      <c r="C470" s="161" t="str">
        <f t="shared" si="21"/>
        <v>2012_Peru</v>
      </c>
      <c r="D470" s="161">
        <v>46366712944.556801</v>
      </c>
      <c r="E470" s="161">
        <v>14.788075911282759</v>
      </c>
      <c r="F470" s="161">
        <v>49.399945021119066</v>
      </c>
      <c r="G470" s="161">
        <f t="shared" si="22"/>
        <v>0.64188020932401824</v>
      </c>
      <c r="H470" s="161">
        <f t="shared" si="23"/>
        <v>29761875410.518784</v>
      </c>
      <c r="I470" s="161" t="s">
        <v>2842</v>
      </c>
      <c r="J470" s="161">
        <v>99.594089999999994</v>
      </c>
      <c r="K470" s="161" t="s">
        <v>2842</v>
      </c>
    </row>
    <row r="471" spans="1:11">
      <c r="A471" s="161">
        <v>2012</v>
      </c>
      <c r="B471" s="161" t="s">
        <v>481</v>
      </c>
      <c r="C471" s="161" t="str">
        <f t="shared" si="21"/>
        <v>2012_Sierra Leone</v>
      </c>
      <c r="D471" s="161">
        <v>1121866169.60794</v>
      </c>
      <c r="E471" s="161" t="s">
        <v>2842</v>
      </c>
      <c r="F471" s="161" t="s">
        <v>2842</v>
      </c>
      <c r="G471" s="161" t="str">
        <f t="shared" si="22"/>
        <v>..</v>
      </c>
      <c r="H471" s="161" t="str">
        <f t="shared" si="23"/>
        <v>..</v>
      </c>
      <c r="I471" s="161" t="s">
        <v>2842</v>
      </c>
      <c r="J471" s="161">
        <v>131.49449000000001</v>
      </c>
      <c r="K471" s="161" t="s">
        <v>2842</v>
      </c>
    </row>
    <row r="472" spans="1:11">
      <c r="A472" s="161">
        <v>2012</v>
      </c>
      <c r="B472" s="161" t="s">
        <v>492</v>
      </c>
      <c r="C472" s="161" t="str">
        <f t="shared" si="21"/>
        <v>2012_Tanzania</v>
      </c>
      <c r="D472" s="161">
        <v>5547229000</v>
      </c>
      <c r="E472" s="161">
        <v>1.8862019534951713</v>
      </c>
      <c r="F472" s="161">
        <v>24.546875417190996</v>
      </c>
      <c r="G472" s="161">
        <f t="shared" si="22"/>
        <v>0.26433077370686164</v>
      </c>
      <c r="H472" s="161">
        <f t="shared" si="23"/>
        <v>1466303333.4991405</v>
      </c>
      <c r="I472" s="161" t="s">
        <v>2842</v>
      </c>
      <c r="J472" s="161">
        <v>93.008110000000002</v>
      </c>
      <c r="K472" s="161" t="s">
        <v>2842</v>
      </c>
    </row>
    <row r="473" spans="1:11">
      <c r="A473" s="161">
        <v>2012</v>
      </c>
      <c r="B473" s="161" t="s">
        <v>2844</v>
      </c>
      <c r="C473" s="161" t="str">
        <f t="shared" si="21"/>
        <v>2012_Timor-Leste</v>
      </c>
      <c r="D473" s="161">
        <v>30793000</v>
      </c>
      <c r="E473" s="161" t="s">
        <v>2842</v>
      </c>
      <c r="F473" s="161" t="s">
        <v>2842</v>
      </c>
      <c r="G473" s="161" t="str">
        <f t="shared" si="22"/>
        <v>..</v>
      </c>
      <c r="H473" s="161" t="str">
        <f t="shared" si="23"/>
        <v>..</v>
      </c>
      <c r="I473" s="161" t="s">
        <v>2842</v>
      </c>
      <c r="J473" s="161" t="s">
        <v>2842</v>
      </c>
      <c r="K473" s="161" t="s">
        <v>2842</v>
      </c>
    </row>
    <row r="474" spans="1:11">
      <c r="A474" s="161">
        <v>2012</v>
      </c>
      <c r="B474" s="161" t="s">
        <v>510</v>
      </c>
      <c r="C474" s="161" t="str">
        <f t="shared" si="21"/>
        <v>2012_Togo</v>
      </c>
      <c r="D474" s="161">
        <v>1200000000</v>
      </c>
      <c r="E474" s="161">
        <v>2.0174398687507376</v>
      </c>
      <c r="F474" s="161">
        <v>14.87553470786531</v>
      </c>
      <c r="G474" s="161">
        <f t="shared" si="22"/>
        <v>0.16892974576616049</v>
      </c>
      <c r="H474" s="161">
        <f t="shared" si="23"/>
        <v>202715694.91939259</v>
      </c>
      <c r="I474" s="161" t="s">
        <v>2842</v>
      </c>
      <c r="J474" s="161">
        <v>132.80479</v>
      </c>
      <c r="K474" s="161" t="s">
        <v>2842</v>
      </c>
    </row>
    <row r="475" spans="1:11">
      <c r="A475" s="161">
        <v>2012</v>
      </c>
      <c r="B475" s="161" t="s">
        <v>2845</v>
      </c>
      <c r="C475" s="161" t="str">
        <f t="shared" si="21"/>
        <v>2012_Trinidad and Tobago</v>
      </c>
      <c r="D475" s="161">
        <v>12983380000</v>
      </c>
      <c r="E475" s="161" t="s">
        <v>2842</v>
      </c>
      <c r="F475" s="161" t="s">
        <v>2842</v>
      </c>
      <c r="G475" s="161" t="str">
        <f t="shared" si="22"/>
        <v>..</v>
      </c>
      <c r="H475" s="161" t="str">
        <f t="shared" si="23"/>
        <v>..</v>
      </c>
      <c r="I475" s="161" t="s">
        <v>2842</v>
      </c>
      <c r="J475" s="161" t="s">
        <v>2842</v>
      </c>
      <c r="K475" s="161" t="s">
        <v>2842</v>
      </c>
    </row>
    <row r="476" spans="1:11">
      <c r="A476" s="161">
        <v>2012</v>
      </c>
      <c r="B476" s="161" t="s">
        <v>2846</v>
      </c>
      <c r="C476" s="161" t="str">
        <f t="shared" si="21"/>
        <v>2012_Yemen, Rep.</v>
      </c>
      <c r="D476" s="161">
        <v>8100000000</v>
      </c>
      <c r="E476" s="161">
        <v>89.48306843805959</v>
      </c>
      <c r="F476" s="161">
        <v>0.10317283999401268</v>
      </c>
      <c r="G476" s="161">
        <f t="shared" si="22"/>
        <v>0.89586241278053602</v>
      </c>
      <c r="H476" s="161">
        <f t="shared" si="23"/>
        <v>7256485543.5223417</v>
      </c>
      <c r="I476" s="161">
        <v>86.274680000000004</v>
      </c>
      <c r="J476" s="161">
        <v>96.876480000000001</v>
      </c>
      <c r="K476" s="161">
        <v>87.116720000000001</v>
      </c>
    </row>
    <row r="477" spans="1:11">
      <c r="A477" s="161">
        <v>2012</v>
      </c>
      <c r="B477" s="161" t="s">
        <v>534</v>
      </c>
      <c r="C477" s="161" t="str">
        <f t="shared" si="21"/>
        <v>2012_Zambia</v>
      </c>
      <c r="D477" s="161">
        <v>9364653000</v>
      </c>
      <c r="E477" s="161">
        <v>1.3147268049144678</v>
      </c>
      <c r="F477" s="161">
        <v>73.451573220618386</v>
      </c>
      <c r="G477" s="161">
        <f t="shared" si="22"/>
        <v>0.74766300025532861</v>
      </c>
      <c r="H477" s="161">
        <f t="shared" si="23"/>
        <v>7001604558.3300638</v>
      </c>
      <c r="I477" s="161">
        <v>93.716269999999994</v>
      </c>
      <c r="J477" s="161">
        <v>113.59713000000001</v>
      </c>
      <c r="K477" s="161">
        <v>97.876090000000005</v>
      </c>
    </row>
    <row r="478" spans="1:11">
      <c r="A478" s="161">
        <v>2013</v>
      </c>
      <c r="B478" s="161" t="s">
        <v>16</v>
      </c>
      <c r="C478" s="161" t="str">
        <f t="shared" si="21"/>
        <v>2013_Afghanistan</v>
      </c>
      <c r="D478" s="161">
        <v>514973109.83323199</v>
      </c>
      <c r="E478" s="161" t="s">
        <v>2842</v>
      </c>
      <c r="F478" s="161" t="s">
        <v>2842</v>
      </c>
      <c r="G478" s="161" t="str">
        <f t="shared" si="22"/>
        <v>..</v>
      </c>
      <c r="H478" s="161" t="str">
        <f t="shared" si="23"/>
        <v>..</v>
      </c>
      <c r="I478" s="161" t="s">
        <v>2842</v>
      </c>
      <c r="J478" s="161" t="s">
        <v>2842</v>
      </c>
      <c r="K478" s="161" t="s">
        <v>2842</v>
      </c>
    </row>
    <row r="479" spans="1:11">
      <c r="A479" s="161">
        <v>2013</v>
      </c>
      <c r="B479" s="161" t="s">
        <v>33</v>
      </c>
      <c r="C479" s="161" t="str">
        <f t="shared" si="21"/>
        <v>2013_Albania</v>
      </c>
      <c r="D479" s="161">
        <v>2331512086.55476</v>
      </c>
      <c r="E479" s="161">
        <v>31.003051823745054</v>
      </c>
      <c r="F479" s="161">
        <v>9.7839927347666773</v>
      </c>
      <c r="G479" s="161">
        <f t="shared" si="22"/>
        <v>0.40787044558511731</v>
      </c>
      <c r="H479" s="161">
        <f t="shared" si="23"/>
        <v>950954873.63017654</v>
      </c>
      <c r="I479" s="161" t="s">
        <v>2842</v>
      </c>
      <c r="J479" s="161" t="s">
        <v>2842</v>
      </c>
      <c r="K479" s="161" t="s">
        <v>2842</v>
      </c>
    </row>
    <row r="480" spans="1:11">
      <c r="A480" s="161">
        <v>2013</v>
      </c>
      <c r="B480" s="161" t="s">
        <v>48</v>
      </c>
      <c r="C480" s="161" t="str">
        <f t="shared" si="21"/>
        <v>2013_Azerbaijan</v>
      </c>
      <c r="D480" s="161">
        <v>31776362000</v>
      </c>
      <c r="E480" s="161">
        <v>92.985038980922425</v>
      </c>
      <c r="F480" s="161">
        <v>0.48767093480952939</v>
      </c>
      <c r="G480" s="161">
        <f t="shared" si="22"/>
        <v>0.93472709915731955</v>
      </c>
      <c r="H480" s="161">
        <f t="shared" si="23"/>
        <v>29702226674.032883</v>
      </c>
      <c r="I480" s="161" t="s">
        <v>2842</v>
      </c>
      <c r="J480" s="161" t="s">
        <v>2842</v>
      </c>
      <c r="K480" s="161" t="s">
        <v>2842</v>
      </c>
    </row>
    <row r="481" spans="1:11">
      <c r="A481" s="161">
        <v>2013</v>
      </c>
      <c r="B481" s="161" t="s">
        <v>93</v>
      </c>
      <c r="C481" s="161" t="str">
        <f t="shared" si="21"/>
        <v>2013_Burkina Faso</v>
      </c>
      <c r="D481" s="161">
        <v>2160000000</v>
      </c>
      <c r="E481" s="161">
        <v>11.610777635431905</v>
      </c>
      <c r="F481" s="161">
        <v>2.6784828319751255</v>
      </c>
      <c r="G481" s="161">
        <f t="shared" si="22"/>
        <v>0.14289260467407031</v>
      </c>
      <c r="H481" s="161">
        <f t="shared" si="23"/>
        <v>308648026.09599185</v>
      </c>
      <c r="I481" s="161" t="s">
        <v>2842</v>
      </c>
      <c r="J481" s="161" t="s">
        <v>2842</v>
      </c>
      <c r="K481" s="161" t="s">
        <v>2842</v>
      </c>
    </row>
    <row r="482" spans="1:11">
      <c r="A482" s="161">
        <v>2013</v>
      </c>
      <c r="B482" s="161" t="s">
        <v>96</v>
      </c>
      <c r="C482" s="161" t="str">
        <f t="shared" si="21"/>
        <v>2013_Cameroon</v>
      </c>
      <c r="D482" s="161">
        <v>4200000000</v>
      </c>
      <c r="E482" s="161" t="s">
        <v>2842</v>
      </c>
      <c r="F482" s="161" t="s">
        <v>2842</v>
      </c>
      <c r="G482" s="161" t="str">
        <f t="shared" si="22"/>
        <v>..</v>
      </c>
      <c r="H482" s="161" t="str">
        <f t="shared" si="23"/>
        <v>..</v>
      </c>
      <c r="I482" s="161" t="s">
        <v>2842</v>
      </c>
      <c r="J482" s="161" t="s">
        <v>2842</v>
      </c>
      <c r="K482" s="161" t="s">
        <v>2842</v>
      </c>
    </row>
    <row r="483" spans="1:11">
      <c r="A483" s="161">
        <v>2013</v>
      </c>
      <c r="B483" s="161" t="s">
        <v>122</v>
      </c>
      <c r="C483" s="161" t="str">
        <f t="shared" si="21"/>
        <v>2013_Central African Republic</v>
      </c>
      <c r="D483" s="161">
        <v>150000000</v>
      </c>
      <c r="E483" s="161" t="s">
        <v>2842</v>
      </c>
      <c r="F483" s="161" t="s">
        <v>2842</v>
      </c>
      <c r="G483" s="161" t="str">
        <f t="shared" si="22"/>
        <v>..</v>
      </c>
      <c r="H483" s="161" t="str">
        <f t="shared" si="23"/>
        <v>..</v>
      </c>
      <c r="I483" s="161" t="s">
        <v>2842</v>
      </c>
      <c r="J483" s="161" t="s">
        <v>2842</v>
      </c>
      <c r="K483" s="161" t="s">
        <v>2842</v>
      </c>
    </row>
    <row r="484" spans="1:11">
      <c r="A484" s="161">
        <v>2013</v>
      </c>
      <c r="B484" s="161" t="s">
        <v>133</v>
      </c>
      <c r="C484" s="161" t="str">
        <f t="shared" si="21"/>
        <v>2013_Chad</v>
      </c>
      <c r="D484" s="161">
        <v>4200000000</v>
      </c>
      <c r="E484" s="161" t="s">
        <v>2842</v>
      </c>
      <c r="F484" s="161" t="s">
        <v>2842</v>
      </c>
      <c r="G484" s="161" t="str">
        <f t="shared" si="22"/>
        <v>..</v>
      </c>
      <c r="H484" s="161" t="str">
        <f t="shared" si="23"/>
        <v>..</v>
      </c>
      <c r="I484" s="161" t="s">
        <v>2842</v>
      </c>
      <c r="J484" s="161" t="s">
        <v>2842</v>
      </c>
      <c r="K484" s="161" t="s">
        <v>2842</v>
      </c>
    </row>
    <row r="485" spans="1:11">
      <c r="A485" s="161">
        <v>2013</v>
      </c>
      <c r="B485" s="161" t="s">
        <v>3544</v>
      </c>
      <c r="C485" s="161" t="str">
        <f t="shared" si="21"/>
        <v>2013_Congo, Dem. Rep.</v>
      </c>
      <c r="D485" s="161">
        <v>6300000000</v>
      </c>
      <c r="E485" s="161" t="s">
        <v>2842</v>
      </c>
      <c r="F485" s="161" t="s">
        <v>2842</v>
      </c>
      <c r="G485" s="161" t="str">
        <f t="shared" si="22"/>
        <v>..</v>
      </c>
      <c r="H485" s="161" t="str">
        <f t="shared" si="23"/>
        <v>..</v>
      </c>
      <c r="I485" s="161" t="s">
        <v>2842</v>
      </c>
      <c r="J485" s="161" t="s">
        <v>2842</v>
      </c>
      <c r="K485" s="161" t="s">
        <v>2842</v>
      </c>
    </row>
    <row r="486" spans="1:11">
      <c r="A486" s="161">
        <v>2013</v>
      </c>
      <c r="B486" s="161" t="s">
        <v>3543</v>
      </c>
      <c r="C486" s="161" t="str">
        <f t="shared" si="21"/>
        <v>2013_Congo, Rep.</v>
      </c>
      <c r="D486" s="161">
        <v>9800000000</v>
      </c>
      <c r="E486" s="161">
        <v>75.709781306026684</v>
      </c>
      <c r="F486" s="161">
        <v>1.4842426807914132E-2</v>
      </c>
      <c r="G486" s="161">
        <f t="shared" si="22"/>
        <v>0.75724623732834606</v>
      </c>
      <c r="H486" s="161">
        <f t="shared" si="23"/>
        <v>7421013125.817791</v>
      </c>
      <c r="I486" s="161" t="s">
        <v>2842</v>
      </c>
      <c r="J486" s="161" t="s">
        <v>2842</v>
      </c>
      <c r="K486" s="161" t="s">
        <v>2842</v>
      </c>
    </row>
    <row r="487" spans="1:11">
      <c r="A487" s="161">
        <v>2013</v>
      </c>
      <c r="B487" s="161" t="s">
        <v>182</v>
      </c>
      <c r="C487" s="161" t="str">
        <f t="shared" si="21"/>
        <v>2013_Equatorial Guinea</v>
      </c>
      <c r="D487" s="161">
        <v>14500000000</v>
      </c>
      <c r="E487" s="161" t="s">
        <v>2842</v>
      </c>
      <c r="F487" s="161" t="s">
        <v>2842</v>
      </c>
      <c r="G487" s="161" t="str">
        <f t="shared" si="22"/>
        <v>..</v>
      </c>
      <c r="H487" s="161" t="str">
        <f t="shared" si="23"/>
        <v>..</v>
      </c>
      <c r="I487" s="161" t="s">
        <v>2842</v>
      </c>
      <c r="J487" s="161" t="s">
        <v>2842</v>
      </c>
      <c r="K487" s="161" t="s">
        <v>2842</v>
      </c>
    </row>
    <row r="488" spans="1:11">
      <c r="A488" s="161">
        <v>2013</v>
      </c>
      <c r="B488" s="161" t="s">
        <v>185</v>
      </c>
      <c r="C488" s="161" t="str">
        <f t="shared" si="21"/>
        <v>2013_Gabon</v>
      </c>
      <c r="D488" s="161">
        <v>9524002940.1387806</v>
      </c>
      <c r="E488" s="161" t="s">
        <v>2842</v>
      </c>
      <c r="F488" s="161" t="s">
        <v>2842</v>
      </c>
      <c r="G488" s="161" t="str">
        <f t="shared" si="22"/>
        <v>..</v>
      </c>
      <c r="H488" s="161" t="str">
        <f t="shared" si="23"/>
        <v>..</v>
      </c>
      <c r="I488" s="161" t="s">
        <v>2842</v>
      </c>
      <c r="J488" s="161" t="s">
        <v>2842</v>
      </c>
      <c r="K488" s="161" t="s">
        <v>2842</v>
      </c>
    </row>
    <row r="489" spans="1:11">
      <c r="A489" s="161">
        <v>2013</v>
      </c>
      <c r="B489" s="161" t="s">
        <v>294</v>
      </c>
      <c r="C489" s="161" t="str">
        <f t="shared" si="21"/>
        <v>2013_Liberia</v>
      </c>
      <c r="D489" s="161" t="s">
        <v>2842</v>
      </c>
      <c r="E489" s="161" t="s">
        <v>2842</v>
      </c>
      <c r="F489" s="161" t="s">
        <v>2842</v>
      </c>
      <c r="G489" s="161" t="str">
        <f t="shared" si="22"/>
        <v>..</v>
      </c>
      <c r="H489" s="161" t="str">
        <f t="shared" si="23"/>
        <v>..</v>
      </c>
      <c r="I489" s="161" t="s">
        <v>2842</v>
      </c>
      <c r="J489" s="161" t="s">
        <v>2842</v>
      </c>
      <c r="K489" s="161" t="s">
        <v>2842</v>
      </c>
    </row>
    <row r="490" spans="1:11">
      <c r="A490" s="161">
        <v>2013</v>
      </c>
      <c r="B490" s="161" t="s">
        <v>278</v>
      </c>
      <c r="C490" s="161" t="str">
        <f t="shared" si="21"/>
        <v>2013_Kyrgyz Republic</v>
      </c>
      <c r="D490" s="161">
        <v>1790500000</v>
      </c>
      <c r="E490" s="161">
        <v>20.607610431182039</v>
      </c>
      <c r="F490" s="161">
        <v>5.3459321047329489</v>
      </c>
      <c r="G490" s="161">
        <f t="shared" si="22"/>
        <v>0.25953542535914986</v>
      </c>
      <c r="H490" s="161">
        <f t="shared" si="23"/>
        <v>464698179.10555786</v>
      </c>
      <c r="I490" s="161" t="s">
        <v>2842</v>
      </c>
      <c r="J490" s="161" t="s">
        <v>2842</v>
      </c>
      <c r="K490" s="161" t="s">
        <v>2842</v>
      </c>
    </row>
    <row r="491" spans="1:11">
      <c r="A491" s="161">
        <v>2013</v>
      </c>
      <c r="B491" s="161" t="s">
        <v>189</v>
      </c>
      <c r="C491" s="161" t="str">
        <f t="shared" si="21"/>
        <v>2013_Ghana</v>
      </c>
      <c r="D491" s="161">
        <v>13751920000</v>
      </c>
      <c r="E491" s="161">
        <v>30.68992945518761</v>
      </c>
      <c r="F491" s="161">
        <v>2.5659194497362718</v>
      </c>
      <c r="G491" s="161">
        <f t="shared" si="22"/>
        <v>0.33255848904923879</v>
      </c>
      <c r="H491" s="161">
        <f t="shared" si="23"/>
        <v>4573317736.7260075</v>
      </c>
      <c r="I491" s="161">
        <v>87.074479999999994</v>
      </c>
      <c r="J491" s="161">
        <v>108.77961999999999</v>
      </c>
      <c r="K491" s="161">
        <v>87.639740000000003</v>
      </c>
    </row>
    <row r="492" spans="1:11">
      <c r="A492" s="161">
        <v>2013</v>
      </c>
      <c r="B492" s="161" t="s">
        <v>213</v>
      </c>
      <c r="C492" s="161" t="str">
        <f t="shared" si="21"/>
        <v>2013_Guatemala</v>
      </c>
      <c r="D492" s="161">
        <v>10030100000</v>
      </c>
      <c r="E492" s="161">
        <v>4.6273662736042382</v>
      </c>
      <c r="F492" s="161">
        <v>5.6898402452024319</v>
      </c>
      <c r="G492" s="161">
        <f t="shared" si="22"/>
        <v>0.10317206518806671</v>
      </c>
      <c r="H492" s="161">
        <f t="shared" si="23"/>
        <v>1034826131.0428278</v>
      </c>
      <c r="I492" s="161" t="s">
        <v>2842</v>
      </c>
      <c r="J492" s="161" t="s">
        <v>2842</v>
      </c>
      <c r="K492" s="161" t="s">
        <v>2842</v>
      </c>
    </row>
    <row r="493" spans="1:11">
      <c r="A493" s="161">
        <v>2013</v>
      </c>
      <c r="B493" s="161" t="s">
        <v>2843</v>
      </c>
      <c r="C493" s="161" t="str">
        <f t="shared" si="21"/>
        <v>2013_Guinea</v>
      </c>
      <c r="D493" s="161">
        <v>1300000000</v>
      </c>
      <c r="E493" s="161" t="s">
        <v>2842</v>
      </c>
      <c r="F493" s="161" t="s">
        <v>2842</v>
      </c>
      <c r="G493" s="161" t="str">
        <f t="shared" si="22"/>
        <v>..</v>
      </c>
      <c r="H493" s="161" t="str">
        <f t="shared" si="23"/>
        <v>..</v>
      </c>
      <c r="I493" s="161" t="s">
        <v>2842</v>
      </c>
      <c r="J493" s="161" t="s">
        <v>2842</v>
      </c>
      <c r="K493" s="161" t="s">
        <v>2842</v>
      </c>
    </row>
    <row r="494" spans="1:11">
      <c r="A494" s="161">
        <v>2013</v>
      </c>
      <c r="B494" s="161" t="s">
        <v>237</v>
      </c>
      <c r="C494" s="161" t="str">
        <f t="shared" si="21"/>
        <v>2013_Indonesia</v>
      </c>
      <c r="D494" s="161">
        <v>183343784000</v>
      </c>
      <c r="E494" s="161">
        <v>31.623959874639223</v>
      </c>
      <c r="F494" s="161">
        <v>7.1024255828139511</v>
      </c>
      <c r="G494" s="161">
        <f t="shared" si="22"/>
        <v>0.38726385457453177</v>
      </c>
      <c r="H494" s="161">
        <f t="shared" si="23"/>
        <v>71002420504.120361</v>
      </c>
      <c r="I494" s="161" t="s">
        <v>2842</v>
      </c>
      <c r="J494" s="161" t="s">
        <v>2842</v>
      </c>
      <c r="K494" s="161" t="s">
        <v>2842</v>
      </c>
    </row>
    <row r="495" spans="1:11">
      <c r="A495" s="161">
        <v>2013</v>
      </c>
      <c r="B495" s="161" t="s">
        <v>245</v>
      </c>
      <c r="C495" s="161" t="str">
        <f t="shared" si="21"/>
        <v>2013_Iraq</v>
      </c>
      <c r="D495" s="161">
        <v>89550000000</v>
      </c>
      <c r="E495" s="161" t="s">
        <v>2842</v>
      </c>
      <c r="F495" s="161" t="s">
        <v>2842</v>
      </c>
      <c r="G495" s="161" t="str">
        <f t="shared" si="22"/>
        <v>..</v>
      </c>
      <c r="H495" s="161" t="str">
        <f t="shared" si="23"/>
        <v>..</v>
      </c>
      <c r="I495" s="161" t="s">
        <v>2842</v>
      </c>
      <c r="J495" s="161" t="s">
        <v>2842</v>
      </c>
      <c r="K495" s="161" t="s">
        <v>2842</v>
      </c>
    </row>
    <row r="496" spans="1:11">
      <c r="A496" s="161">
        <v>2013</v>
      </c>
      <c r="B496" s="161" t="s">
        <v>273</v>
      </c>
      <c r="C496" s="161" t="str">
        <f t="shared" si="21"/>
        <v>2013_Kazakhstan</v>
      </c>
      <c r="D496" s="161">
        <v>82511800000</v>
      </c>
      <c r="E496" s="161">
        <v>76.248739113205005</v>
      </c>
      <c r="F496" s="161">
        <v>10.118014046970108</v>
      </c>
      <c r="G496" s="161">
        <f t="shared" si="22"/>
        <v>0.86366753160175103</v>
      </c>
      <c r="H496" s="161">
        <f t="shared" si="23"/>
        <v>71262762634.017365</v>
      </c>
      <c r="I496" s="161">
        <v>85.635040000000004</v>
      </c>
      <c r="J496" s="161">
        <v>106.25026</v>
      </c>
      <c r="K496" s="161">
        <v>98.741479999999996</v>
      </c>
    </row>
    <row r="497" spans="1:11">
      <c r="A497" s="161">
        <v>2013</v>
      </c>
      <c r="B497" s="161" t="s">
        <v>309</v>
      </c>
      <c r="C497" s="161" t="str">
        <f t="shared" si="21"/>
        <v>2013_Madagascar</v>
      </c>
      <c r="D497" s="161">
        <v>1900000000</v>
      </c>
      <c r="E497" s="161">
        <v>4.760173628679035</v>
      </c>
      <c r="F497" s="161">
        <v>31.864767795755032</v>
      </c>
      <c r="G497" s="161">
        <f t="shared" si="22"/>
        <v>0.36624941424434071</v>
      </c>
      <c r="H497" s="161">
        <f t="shared" si="23"/>
        <v>695873887.06424737</v>
      </c>
      <c r="I497" s="161" t="s">
        <v>2842</v>
      </c>
      <c r="J497" s="161" t="s">
        <v>2842</v>
      </c>
      <c r="K497" s="161" t="s">
        <v>2842</v>
      </c>
    </row>
    <row r="498" spans="1:11">
      <c r="A498" s="161">
        <v>2013</v>
      </c>
      <c r="B498" s="161" t="s">
        <v>322</v>
      </c>
      <c r="C498" s="161" t="str">
        <f t="shared" si="21"/>
        <v>2013_Mali</v>
      </c>
      <c r="D498" s="161">
        <v>2338871734.1403599</v>
      </c>
      <c r="E498" s="161" t="s">
        <v>2842</v>
      </c>
      <c r="F498" s="161" t="s">
        <v>2842</v>
      </c>
      <c r="G498" s="161" t="str">
        <f t="shared" si="22"/>
        <v>..</v>
      </c>
      <c r="H498" s="161" t="str">
        <f t="shared" si="23"/>
        <v>..</v>
      </c>
      <c r="I498" s="161" t="s">
        <v>2842</v>
      </c>
      <c r="J498" s="161" t="s">
        <v>2842</v>
      </c>
      <c r="K498" s="161" t="s">
        <v>2842</v>
      </c>
    </row>
    <row r="499" spans="1:11">
      <c r="A499" s="161">
        <v>2013</v>
      </c>
      <c r="B499" s="161" t="s">
        <v>338</v>
      </c>
      <c r="C499" s="161" t="str">
        <f t="shared" si="21"/>
        <v>2013_Mauritania</v>
      </c>
      <c r="D499" s="161">
        <v>2674000000</v>
      </c>
      <c r="E499" s="161">
        <v>2.9677647200170747</v>
      </c>
      <c r="F499" s="161">
        <v>75.012358883857161</v>
      </c>
      <c r="G499" s="161">
        <f t="shared" si="22"/>
        <v>0.7798012360387423</v>
      </c>
      <c r="H499" s="161">
        <f t="shared" si="23"/>
        <v>2085188505.1675968</v>
      </c>
      <c r="I499" s="161" t="s">
        <v>2842</v>
      </c>
      <c r="J499" s="161" t="s">
        <v>2842</v>
      </c>
      <c r="K499" s="161" t="s">
        <v>2842</v>
      </c>
    </row>
    <row r="500" spans="1:11">
      <c r="A500" s="161">
        <v>2013</v>
      </c>
      <c r="B500" s="161" t="s">
        <v>357</v>
      </c>
      <c r="C500" s="161" t="str">
        <f t="shared" si="21"/>
        <v>2013_Mongolia</v>
      </c>
      <c r="D500" s="161">
        <v>4272700000</v>
      </c>
      <c r="E500" s="161">
        <v>41.673407090452379</v>
      </c>
      <c r="F500" s="161">
        <v>47.040208455236581</v>
      </c>
      <c r="G500" s="161">
        <f t="shared" si="22"/>
        <v>0.88713615545688951</v>
      </c>
      <c r="H500" s="161">
        <f t="shared" si="23"/>
        <v>3790466651.4206519</v>
      </c>
      <c r="I500" s="161" t="s">
        <v>2842</v>
      </c>
      <c r="J500" s="161" t="s">
        <v>2842</v>
      </c>
      <c r="K500" s="161" t="s">
        <v>2842</v>
      </c>
    </row>
    <row r="501" spans="1:11">
      <c r="A501" s="161">
        <v>2013</v>
      </c>
      <c r="B501" s="161" t="s">
        <v>387</v>
      </c>
      <c r="C501" s="161" t="str">
        <f t="shared" si="21"/>
        <v>2013_Niger</v>
      </c>
      <c r="D501" s="161">
        <v>1550000000</v>
      </c>
      <c r="E501" s="161">
        <v>31.494213773349745</v>
      </c>
      <c r="F501" s="161">
        <v>51.457619469494553</v>
      </c>
      <c r="G501" s="161">
        <f t="shared" si="22"/>
        <v>0.82951833242844297</v>
      </c>
      <c r="H501" s="161">
        <f t="shared" si="23"/>
        <v>1285753415.2640867</v>
      </c>
      <c r="I501" s="161" t="s">
        <v>2842</v>
      </c>
      <c r="J501" s="161" t="s">
        <v>2842</v>
      </c>
      <c r="K501" s="161" t="s">
        <v>2842</v>
      </c>
    </row>
    <row r="502" spans="1:11">
      <c r="A502" s="161">
        <v>2013</v>
      </c>
      <c r="B502" s="161" t="s">
        <v>406</v>
      </c>
      <c r="C502" s="161" t="str">
        <f t="shared" si="21"/>
        <v>2013_Nigeria</v>
      </c>
      <c r="D502" s="161">
        <v>103000000000</v>
      </c>
      <c r="E502" s="161">
        <v>87.620664636391353</v>
      </c>
      <c r="F502" s="161">
        <v>0.62851297826006458</v>
      </c>
      <c r="G502" s="161">
        <f t="shared" si="22"/>
        <v>0.8824917761465142</v>
      </c>
      <c r="H502" s="161">
        <f t="shared" si="23"/>
        <v>90896652943.090958</v>
      </c>
      <c r="I502" s="161" t="s">
        <v>2842</v>
      </c>
      <c r="J502" s="161" t="s">
        <v>2842</v>
      </c>
      <c r="K502" s="161" t="s">
        <v>2842</v>
      </c>
    </row>
    <row r="503" spans="1:11">
      <c r="A503" s="161">
        <v>2013</v>
      </c>
      <c r="B503" s="161" t="s">
        <v>429</v>
      </c>
      <c r="C503" s="161" t="str">
        <f t="shared" si="21"/>
        <v>2013_Norway</v>
      </c>
      <c r="D503" s="161">
        <v>154339039027.548</v>
      </c>
      <c r="E503" s="161">
        <v>67.442284363129943</v>
      </c>
      <c r="F503" s="161">
        <v>4.8489629760046098</v>
      </c>
      <c r="G503" s="161">
        <f t="shared" si="22"/>
        <v>0.72291247339134557</v>
      </c>
      <c r="H503" s="161">
        <f t="shared" si="23"/>
        <v>111573616444.24814</v>
      </c>
      <c r="I503" s="161" t="s">
        <v>2842</v>
      </c>
      <c r="J503" s="161" t="s">
        <v>2842</v>
      </c>
      <c r="K503" s="161" t="s">
        <v>2842</v>
      </c>
    </row>
    <row r="504" spans="1:11">
      <c r="A504" s="161">
        <v>2013</v>
      </c>
      <c r="B504" s="161" t="s">
        <v>442</v>
      </c>
      <c r="C504" s="161" t="str">
        <f t="shared" si="21"/>
        <v>2013_Peru</v>
      </c>
      <c r="D504" s="161">
        <v>42176795290.7285</v>
      </c>
      <c r="E504" s="161">
        <v>16.114238281432023</v>
      </c>
      <c r="F504" s="161">
        <v>48.176230619491236</v>
      </c>
      <c r="G504" s="161">
        <f t="shared" si="22"/>
        <v>0.64290468900923259</v>
      </c>
      <c r="H504" s="161">
        <f t="shared" si="23"/>
        <v>27115659459.791874</v>
      </c>
      <c r="I504" s="161" t="s">
        <v>2842</v>
      </c>
      <c r="J504" s="161" t="s">
        <v>2842</v>
      </c>
      <c r="K504" s="161" t="s">
        <v>2842</v>
      </c>
    </row>
    <row r="505" spans="1:11">
      <c r="A505" s="161">
        <v>2013</v>
      </c>
      <c r="B505" s="161" t="s">
        <v>481</v>
      </c>
      <c r="C505" s="161" t="str">
        <f t="shared" si="21"/>
        <v>2013_Sierra Leone</v>
      </c>
      <c r="D505" s="161">
        <v>1916972993.3664701</v>
      </c>
      <c r="E505" s="161" t="s">
        <v>2842</v>
      </c>
      <c r="F505" s="161" t="s">
        <v>2842</v>
      </c>
      <c r="G505" s="161" t="str">
        <f t="shared" si="22"/>
        <v>..</v>
      </c>
      <c r="H505" s="161" t="str">
        <f t="shared" si="23"/>
        <v>..</v>
      </c>
      <c r="I505" s="161" t="s">
        <v>2842</v>
      </c>
      <c r="J505" s="161" t="s">
        <v>2842</v>
      </c>
      <c r="K505" s="161" t="s">
        <v>2842</v>
      </c>
    </row>
    <row r="506" spans="1:11">
      <c r="A506" s="161">
        <v>2013</v>
      </c>
      <c r="B506" s="161" t="s">
        <v>492</v>
      </c>
      <c r="C506" s="161" t="str">
        <f t="shared" si="21"/>
        <v>2013_Tanzania</v>
      </c>
      <c r="D506" s="161">
        <v>5050000000</v>
      </c>
      <c r="E506" s="161">
        <v>3.4783410442010219</v>
      </c>
      <c r="F506" s="161">
        <v>15.536147146932361</v>
      </c>
      <c r="G506" s="161">
        <f t="shared" si="22"/>
        <v>0.1901448819113338</v>
      </c>
      <c r="H506" s="161">
        <f t="shared" si="23"/>
        <v>960231653.65223575</v>
      </c>
      <c r="I506" s="161" t="s">
        <v>2842</v>
      </c>
      <c r="J506" s="161" t="s">
        <v>2842</v>
      </c>
      <c r="K506" s="161" t="s">
        <v>2842</v>
      </c>
    </row>
    <row r="507" spans="1:11">
      <c r="A507" s="161">
        <v>2013</v>
      </c>
      <c r="B507" s="161" t="s">
        <v>2844</v>
      </c>
      <c r="C507" s="161" t="str">
        <f t="shared" si="21"/>
        <v>2013_Timor-Leste</v>
      </c>
      <c r="D507" s="161">
        <v>16044536</v>
      </c>
      <c r="E507" s="161" t="s">
        <v>2842</v>
      </c>
      <c r="F507" s="161">
        <v>4.1038073173071309E-2</v>
      </c>
      <c r="G507" s="161" t="str">
        <f t="shared" si="22"/>
        <v>..</v>
      </c>
      <c r="H507" s="161" t="str">
        <f t="shared" si="23"/>
        <v>..</v>
      </c>
      <c r="I507" s="161" t="s">
        <v>2842</v>
      </c>
      <c r="J507" s="161" t="s">
        <v>2842</v>
      </c>
      <c r="K507" s="161" t="s">
        <v>2842</v>
      </c>
    </row>
    <row r="508" spans="1:11">
      <c r="A508" s="161">
        <v>2013</v>
      </c>
      <c r="B508" s="161" t="s">
        <v>510</v>
      </c>
      <c r="C508" s="161" t="str">
        <f t="shared" si="21"/>
        <v>2013_Togo</v>
      </c>
      <c r="D508" s="161">
        <v>1350000000</v>
      </c>
      <c r="E508" s="161">
        <v>1.2217602491623947</v>
      </c>
      <c r="F508" s="161">
        <v>2.6671902110483603</v>
      </c>
      <c r="G508" s="161">
        <f t="shared" si="22"/>
        <v>3.888950460210755E-2</v>
      </c>
      <c r="H508" s="161">
        <f t="shared" si="23"/>
        <v>52500831.212845191</v>
      </c>
      <c r="I508" s="161" t="s">
        <v>2842</v>
      </c>
      <c r="J508" s="161" t="s">
        <v>2842</v>
      </c>
      <c r="K508" s="161" t="s">
        <v>2842</v>
      </c>
    </row>
    <row r="509" spans="1:11">
      <c r="A509" s="161">
        <v>2013</v>
      </c>
      <c r="B509" s="161" t="s">
        <v>2845</v>
      </c>
      <c r="C509" s="161" t="str">
        <f t="shared" si="21"/>
        <v>2013_Trinidad and Tobago</v>
      </c>
      <c r="D509" s="161">
        <v>12769610000</v>
      </c>
      <c r="E509" s="161" t="s">
        <v>2842</v>
      </c>
      <c r="F509" s="161" t="s">
        <v>2842</v>
      </c>
      <c r="G509" s="161" t="str">
        <f t="shared" si="22"/>
        <v>..</v>
      </c>
      <c r="H509" s="161" t="str">
        <f t="shared" si="23"/>
        <v>..</v>
      </c>
      <c r="I509" s="161" t="s">
        <v>2842</v>
      </c>
      <c r="J509" s="161" t="s">
        <v>2842</v>
      </c>
      <c r="K509" s="161" t="s">
        <v>2842</v>
      </c>
    </row>
    <row r="510" spans="1:11">
      <c r="A510" s="161">
        <v>2013</v>
      </c>
      <c r="B510" s="161" t="s">
        <v>2846</v>
      </c>
      <c r="C510" s="161" t="str">
        <f t="shared" si="21"/>
        <v>2013_Yemen, Rep.</v>
      </c>
      <c r="D510" s="161">
        <v>9200000000</v>
      </c>
      <c r="E510" s="161">
        <v>75.939018113076614</v>
      </c>
      <c r="F510" s="161">
        <v>8.7468580919910277E-2</v>
      </c>
      <c r="G510" s="161">
        <f t="shared" si="22"/>
        <v>0.7602648669399652</v>
      </c>
      <c r="H510" s="161">
        <f t="shared" si="23"/>
        <v>6994436775.8476801</v>
      </c>
      <c r="I510" s="161" t="s">
        <v>2842</v>
      </c>
      <c r="J510" s="161" t="s">
        <v>2842</v>
      </c>
      <c r="K510" s="161" t="s">
        <v>2842</v>
      </c>
    </row>
    <row r="511" spans="1:11">
      <c r="A511" s="161">
        <v>2013</v>
      </c>
      <c r="B511" s="161" t="s">
        <v>534</v>
      </c>
      <c r="C511" s="161" t="str">
        <f t="shared" si="21"/>
        <v>2013_Zambia</v>
      </c>
      <c r="D511" s="161">
        <v>10594069000</v>
      </c>
      <c r="E511" s="161">
        <v>1.9128761306196131</v>
      </c>
      <c r="F511" s="161">
        <v>69.508291761328493</v>
      </c>
      <c r="G511" s="161">
        <f t="shared" si="22"/>
        <v>0.71421167891948101</v>
      </c>
      <c r="H511" s="161">
        <f t="shared" si="23"/>
        <v>7566407807.0788269</v>
      </c>
      <c r="I511" s="161" t="s">
        <v>2842</v>
      </c>
      <c r="J511" s="161" t="s">
        <v>2842</v>
      </c>
      <c r="K511" s="161" t="s">
        <v>2842</v>
      </c>
    </row>
    <row r="512" spans="1:11">
      <c r="A512" s="161">
        <v>2014</v>
      </c>
      <c r="B512" s="161" t="s">
        <v>16</v>
      </c>
      <c r="C512" s="161" t="str">
        <f t="shared" si="21"/>
        <v>2014_Afghanistan</v>
      </c>
      <c r="D512" s="161" t="s">
        <v>2842</v>
      </c>
      <c r="E512" s="161" t="s">
        <v>2842</v>
      </c>
      <c r="F512" s="161" t="s">
        <v>2842</v>
      </c>
      <c r="G512" s="161" t="str">
        <f t="shared" si="22"/>
        <v>..</v>
      </c>
      <c r="H512" s="161" t="str">
        <f t="shared" si="23"/>
        <v>..</v>
      </c>
      <c r="I512" s="161" t="s">
        <v>2842</v>
      </c>
      <c r="J512" s="161" t="s">
        <v>2842</v>
      </c>
      <c r="K512" s="161" t="s">
        <v>2842</v>
      </c>
    </row>
    <row r="513" spans="1:11">
      <c r="A513" s="161">
        <v>2014</v>
      </c>
      <c r="B513" s="161" t="s">
        <v>33</v>
      </c>
      <c r="C513" s="161" t="str">
        <f t="shared" si="21"/>
        <v>2014_Albania</v>
      </c>
      <c r="D513" s="161" t="s">
        <v>2842</v>
      </c>
      <c r="E513" s="161" t="s">
        <v>2842</v>
      </c>
      <c r="F513" s="161" t="s">
        <v>2842</v>
      </c>
      <c r="G513" s="161" t="str">
        <f t="shared" si="22"/>
        <v>..</v>
      </c>
      <c r="H513" s="161" t="str">
        <f t="shared" si="23"/>
        <v>..</v>
      </c>
      <c r="I513" s="161" t="s">
        <v>2842</v>
      </c>
      <c r="J513" s="161" t="s">
        <v>2842</v>
      </c>
      <c r="K513" s="161" t="s">
        <v>2842</v>
      </c>
    </row>
    <row r="514" spans="1:11">
      <c r="A514" s="161">
        <v>2014</v>
      </c>
      <c r="B514" s="161" t="s">
        <v>48</v>
      </c>
      <c r="C514" s="161" t="str">
        <f t="shared" ref="C514:C545" si="24">$A514&amp;"_"&amp;$B514</f>
        <v>2014_Azerbaijan</v>
      </c>
      <c r="D514" s="161" t="s">
        <v>2842</v>
      </c>
      <c r="E514" s="161" t="s">
        <v>2842</v>
      </c>
      <c r="F514" s="161" t="s">
        <v>2842</v>
      </c>
      <c r="G514" s="161" t="str">
        <f t="shared" si="22"/>
        <v>..</v>
      </c>
      <c r="H514" s="161" t="str">
        <f t="shared" si="23"/>
        <v>..</v>
      </c>
      <c r="I514" s="161" t="s">
        <v>2842</v>
      </c>
      <c r="J514" s="161" t="s">
        <v>2842</v>
      </c>
      <c r="K514" s="161" t="s">
        <v>2842</v>
      </c>
    </row>
    <row r="515" spans="1:11">
      <c r="A515" s="161">
        <v>2014</v>
      </c>
      <c r="B515" s="161" t="s">
        <v>93</v>
      </c>
      <c r="C515" s="161" t="str">
        <f t="shared" si="24"/>
        <v>2014_Burkina Faso</v>
      </c>
      <c r="D515" s="161" t="s">
        <v>2842</v>
      </c>
      <c r="E515" s="161" t="s">
        <v>2842</v>
      </c>
      <c r="F515" s="161" t="s">
        <v>2842</v>
      </c>
      <c r="G515" s="161" t="str">
        <f t="shared" ref="G515:G545" si="25">IFERROR(($E515+$F515)/100,"..")</f>
        <v>..</v>
      </c>
      <c r="H515" s="161" t="str">
        <f t="shared" ref="H515:H545" si="26">IFERROR($G515*$D515,"..")</f>
        <v>..</v>
      </c>
      <c r="I515" s="161" t="s">
        <v>2842</v>
      </c>
      <c r="J515" s="161" t="s">
        <v>2842</v>
      </c>
      <c r="K515" s="161" t="s">
        <v>2842</v>
      </c>
    </row>
    <row r="516" spans="1:11">
      <c r="A516" s="161">
        <v>2014</v>
      </c>
      <c r="B516" s="161" t="s">
        <v>96</v>
      </c>
      <c r="C516" s="161" t="str">
        <f t="shared" si="24"/>
        <v>2014_Cameroon</v>
      </c>
      <c r="D516" s="161" t="s">
        <v>2842</v>
      </c>
      <c r="E516" s="161" t="s">
        <v>2842</v>
      </c>
      <c r="F516" s="161" t="s">
        <v>2842</v>
      </c>
      <c r="G516" s="161" t="str">
        <f t="shared" si="25"/>
        <v>..</v>
      </c>
      <c r="H516" s="161" t="str">
        <f t="shared" si="26"/>
        <v>..</v>
      </c>
      <c r="I516" s="161" t="s">
        <v>2842</v>
      </c>
      <c r="J516" s="161" t="s">
        <v>2842</v>
      </c>
      <c r="K516" s="161" t="s">
        <v>2842</v>
      </c>
    </row>
    <row r="517" spans="1:11">
      <c r="A517" s="161">
        <v>2014</v>
      </c>
      <c r="B517" s="161" t="s">
        <v>122</v>
      </c>
      <c r="C517" s="161" t="str">
        <f t="shared" si="24"/>
        <v>2014_Central African Republic</v>
      </c>
      <c r="D517" s="161" t="s">
        <v>2842</v>
      </c>
      <c r="E517" s="161" t="s">
        <v>2842</v>
      </c>
      <c r="F517" s="161" t="s">
        <v>2842</v>
      </c>
      <c r="G517" s="161" t="str">
        <f t="shared" si="25"/>
        <v>..</v>
      </c>
      <c r="H517" s="161" t="str">
        <f t="shared" si="26"/>
        <v>..</v>
      </c>
      <c r="I517" s="161" t="s">
        <v>2842</v>
      </c>
      <c r="J517" s="161" t="s">
        <v>2842</v>
      </c>
      <c r="K517" s="161" t="s">
        <v>2842</v>
      </c>
    </row>
    <row r="518" spans="1:11">
      <c r="A518" s="161">
        <v>2014</v>
      </c>
      <c r="B518" s="161" t="s">
        <v>133</v>
      </c>
      <c r="C518" s="161" t="str">
        <f t="shared" si="24"/>
        <v>2014_Chad</v>
      </c>
      <c r="D518" s="161" t="s">
        <v>2842</v>
      </c>
      <c r="E518" s="161" t="s">
        <v>2842</v>
      </c>
      <c r="F518" s="161" t="s">
        <v>2842</v>
      </c>
      <c r="G518" s="161" t="str">
        <f t="shared" si="25"/>
        <v>..</v>
      </c>
      <c r="H518" s="161" t="str">
        <f t="shared" si="26"/>
        <v>..</v>
      </c>
      <c r="I518" s="161" t="s">
        <v>2842</v>
      </c>
      <c r="J518" s="161" t="s">
        <v>2842</v>
      </c>
      <c r="K518" s="161" t="s">
        <v>2842</v>
      </c>
    </row>
    <row r="519" spans="1:11">
      <c r="A519" s="161">
        <v>2014</v>
      </c>
      <c r="B519" s="161" t="s">
        <v>3544</v>
      </c>
      <c r="C519" s="161" t="str">
        <f t="shared" si="24"/>
        <v>2014_Congo, Dem. Rep.</v>
      </c>
      <c r="D519" s="161" t="s">
        <v>2842</v>
      </c>
      <c r="E519" s="161" t="s">
        <v>2842</v>
      </c>
      <c r="F519" s="161" t="s">
        <v>2842</v>
      </c>
      <c r="G519" s="161" t="str">
        <f t="shared" si="25"/>
        <v>..</v>
      </c>
      <c r="H519" s="161" t="str">
        <f t="shared" si="26"/>
        <v>..</v>
      </c>
      <c r="I519" s="161" t="s">
        <v>2842</v>
      </c>
      <c r="J519" s="161" t="s">
        <v>2842</v>
      </c>
      <c r="K519" s="161" t="s">
        <v>2842</v>
      </c>
    </row>
    <row r="520" spans="1:11">
      <c r="A520" s="161">
        <v>2014</v>
      </c>
      <c r="B520" s="161" t="s">
        <v>3543</v>
      </c>
      <c r="C520" s="161" t="str">
        <f t="shared" si="24"/>
        <v>2014_Congo, Rep.</v>
      </c>
      <c r="D520" s="161" t="s">
        <v>2842</v>
      </c>
      <c r="E520" s="161" t="s">
        <v>2842</v>
      </c>
      <c r="F520" s="161" t="s">
        <v>2842</v>
      </c>
      <c r="G520" s="161" t="str">
        <f t="shared" si="25"/>
        <v>..</v>
      </c>
      <c r="H520" s="161" t="str">
        <f t="shared" si="26"/>
        <v>..</v>
      </c>
      <c r="I520" s="161" t="s">
        <v>2842</v>
      </c>
      <c r="J520" s="161" t="s">
        <v>2842</v>
      </c>
      <c r="K520" s="161" t="s">
        <v>2842</v>
      </c>
    </row>
    <row r="521" spans="1:11">
      <c r="A521" s="161">
        <v>2014</v>
      </c>
      <c r="B521" s="161" t="s">
        <v>182</v>
      </c>
      <c r="C521" s="161" t="str">
        <f t="shared" si="24"/>
        <v>2014_Equatorial Guinea</v>
      </c>
      <c r="D521" s="161" t="s">
        <v>2842</v>
      </c>
      <c r="E521" s="161" t="s">
        <v>2842</v>
      </c>
      <c r="F521" s="161" t="s">
        <v>2842</v>
      </c>
      <c r="G521" s="161" t="str">
        <f t="shared" si="25"/>
        <v>..</v>
      </c>
      <c r="H521" s="161" t="str">
        <f t="shared" si="26"/>
        <v>..</v>
      </c>
      <c r="I521" s="161" t="s">
        <v>2842</v>
      </c>
      <c r="J521" s="161" t="s">
        <v>2842</v>
      </c>
      <c r="K521" s="161" t="s">
        <v>2842</v>
      </c>
    </row>
    <row r="522" spans="1:11">
      <c r="A522" s="161">
        <v>2014</v>
      </c>
      <c r="B522" s="161" t="s">
        <v>185</v>
      </c>
      <c r="C522" s="161" t="str">
        <f t="shared" si="24"/>
        <v>2014_Gabon</v>
      </c>
      <c r="D522" s="161" t="s">
        <v>2842</v>
      </c>
      <c r="E522" s="161" t="s">
        <v>2842</v>
      </c>
      <c r="F522" s="161" t="s">
        <v>2842</v>
      </c>
      <c r="G522" s="161" t="str">
        <f t="shared" si="25"/>
        <v>..</v>
      </c>
      <c r="H522" s="161" t="str">
        <f t="shared" si="26"/>
        <v>..</v>
      </c>
      <c r="I522" s="161" t="s">
        <v>2842</v>
      </c>
      <c r="J522" s="161" t="s">
        <v>2842</v>
      </c>
      <c r="K522" s="161" t="s">
        <v>2842</v>
      </c>
    </row>
    <row r="523" spans="1:11">
      <c r="A523" s="161">
        <v>2014</v>
      </c>
      <c r="B523" s="161" t="s">
        <v>294</v>
      </c>
      <c r="C523" s="161" t="str">
        <f t="shared" si="24"/>
        <v>2014_Liberia</v>
      </c>
      <c r="D523" s="161" t="s">
        <v>2842</v>
      </c>
      <c r="E523" s="161" t="s">
        <v>2842</v>
      </c>
      <c r="F523" s="161" t="s">
        <v>2842</v>
      </c>
      <c r="G523" s="161" t="str">
        <f t="shared" si="25"/>
        <v>..</v>
      </c>
      <c r="H523" s="161" t="str">
        <f t="shared" si="26"/>
        <v>..</v>
      </c>
      <c r="I523" s="161" t="s">
        <v>2842</v>
      </c>
      <c r="J523" s="161" t="s">
        <v>2842</v>
      </c>
      <c r="K523" s="161" t="s">
        <v>2842</v>
      </c>
    </row>
    <row r="524" spans="1:11">
      <c r="A524" s="161">
        <v>2014</v>
      </c>
      <c r="B524" s="161" t="s">
        <v>278</v>
      </c>
      <c r="C524" s="161" t="str">
        <f t="shared" si="24"/>
        <v>2014_Kyrgyz Republic</v>
      </c>
      <c r="D524" s="161" t="s">
        <v>2842</v>
      </c>
      <c r="E524" s="161" t="s">
        <v>2842</v>
      </c>
      <c r="F524" s="161" t="s">
        <v>2842</v>
      </c>
      <c r="G524" s="161" t="str">
        <f t="shared" si="25"/>
        <v>..</v>
      </c>
      <c r="H524" s="161" t="str">
        <f t="shared" si="26"/>
        <v>..</v>
      </c>
      <c r="I524" s="161" t="s">
        <v>2842</v>
      </c>
      <c r="J524" s="161" t="s">
        <v>2842</v>
      </c>
      <c r="K524" s="161" t="s">
        <v>2842</v>
      </c>
    </row>
    <row r="525" spans="1:11">
      <c r="A525" s="161">
        <v>2014</v>
      </c>
      <c r="B525" s="161" t="s">
        <v>189</v>
      </c>
      <c r="C525" s="161" t="str">
        <f t="shared" si="24"/>
        <v>2014_Ghana</v>
      </c>
      <c r="D525" s="161" t="s">
        <v>2842</v>
      </c>
      <c r="E525" s="161" t="s">
        <v>2842</v>
      </c>
      <c r="F525" s="161" t="s">
        <v>2842</v>
      </c>
      <c r="G525" s="161" t="str">
        <f t="shared" si="25"/>
        <v>..</v>
      </c>
      <c r="H525" s="161" t="str">
        <f t="shared" si="26"/>
        <v>..</v>
      </c>
      <c r="I525" s="161" t="s">
        <v>2842</v>
      </c>
      <c r="J525" s="161" t="s">
        <v>2842</v>
      </c>
      <c r="K525" s="161" t="s">
        <v>2842</v>
      </c>
    </row>
    <row r="526" spans="1:11">
      <c r="A526" s="161">
        <v>2014</v>
      </c>
      <c r="B526" s="161" t="s">
        <v>213</v>
      </c>
      <c r="C526" s="161" t="str">
        <f t="shared" si="24"/>
        <v>2014_Guatemala</v>
      </c>
      <c r="D526" s="161" t="s">
        <v>2842</v>
      </c>
      <c r="E526" s="161" t="s">
        <v>2842</v>
      </c>
      <c r="F526" s="161" t="s">
        <v>2842</v>
      </c>
      <c r="G526" s="161" t="str">
        <f t="shared" si="25"/>
        <v>..</v>
      </c>
      <c r="H526" s="161" t="str">
        <f t="shared" si="26"/>
        <v>..</v>
      </c>
      <c r="I526" s="161" t="s">
        <v>2842</v>
      </c>
      <c r="J526" s="161" t="s">
        <v>2842</v>
      </c>
      <c r="K526" s="161" t="s">
        <v>2842</v>
      </c>
    </row>
    <row r="527" spans="1:11">
      <c r="A527" s="161">
        <v>2014</v>
      </c>
      <c r="B527" s="161" t="s">
        <v>2843</v>
      </c>
      <c r="C527" s="161" t="str">
        <f t="shared" si="24"/>
        <v>2014_Guinea</v>
      </c>
      <c r="D527" s="161" t="s">
        <v>2842</v>
      </c>
      <c r="E527" s="161" t="s">
        <v>2842</v>
      </c>
      <c r="F527" s="161" t="s">
        <v>2842</v>
      </c>
      <c r="G527" s="161" t="str">
        <f t="shared" si="25"/>
        <v>..</v>
      </c>
      <c r="H527" s="161" t="str">
        <f t="shared" si="26"/>
        <v>..</v>
      </c>
      <c r="I527" s="161" t="s">
        <v>2842</v>
      </c>
      <c r="J527" s="161" t="s">
        <v>2842</v>
      </c>
      <c r="K527" s="161" t="s">
        <v>2842</v>
      </c>
    </row>
    <row r="528" spans="1:11">
      <c r="A528" s="161">
        <v>2014</v>
      </c>
      <c r="B528" s="161" t="s">
        <v>237</v>
      </c>
      <c r="C528" s="161" t="str">
        <f t="shared" si="24"/>
        <v>2014_Indonesia</v>
      </c>
      <c r="D528" s="161" t="s">
        <v>2842</v>
      </c>
      <c r="E528" s="161" t="s">
        <v>2842</v>
      </c>
      <c r="F528" s="161" t="s">
        <v>2842</v>
      </c>
      <c r="G528" s="161" t="str">
        <f t="shared" si="25"/>
        <v>..</v>
      </c>
      <c r="H528" s="161" t="str">
        <f t="shared" si="26"/>
        <v>..</v>
      </c>
      <c r="I528" s="161" t="s">
        <v>2842</v>
      </c>
      <c r="J528" s="161" t="s">
        <v>2842</v>
      </c>
      <c r="K528" s="161" t="s">
        <v>2842</v>
      </c>
    </row>
    <row r="529" spans="1:11">
      <c r="A529" s="161">
        <v>2014</v>
      </c>
      <c r="B529" s="161" t="s">
        <v>245</v>
      </c>
      <c r="C529" s="161" t="str">
        <f t="shared" si="24"/>
        <v>2014_Iraq</v>
      </c>
      <c r="D529" s="161" t="s">
        <v>2842</v>
      </c>
      <c r="E529" s="161" t="s">
        <v>2842</v>
      </c>
      <c r="F529" s="161" t="s">
        <v>2842</v>
      </c>
      <c r="G529" s="161" t="str">
        <f t="shared" si="25"/>
        <v>..</v>
      </c>
      <c r="H529" s="161" t="str">
        <f t="shared" si="26"/>
        <v>..</v>
      </c>
      <c r="I529" s="161" t="s">
        <v>2842</v>
      </c>
      <c r="J529" s="161" t="s">
        <v>2842</v>
      </c>
      <c r="K529" s="161" t="s">
        <v>2842</v>
      </c>
    </row>
    <row r="530" spans="1:11">
      <c r="A530" s="161">
        <v>2014</v>
      </c>
      <c r="B530" s="161" t="s">
        <v>273</v>
      </c>
      <c r="C530" s="161" t="str">
        <f t="shared" si="24"/>
        <v>2014_Kazakhstan</v>
      </c>
      <c r="D530" s="161" t="s">
        <v>2842</v>
      </c>
      <c r="E530" s="161" t="s">
        <v>2842</v>
      </c>
      <c r="F530" s="161" t="s">
        <v>2842</v>
      </c>
      <c r="G530" s="161" t="str">
        <f t="shared" si="25"/>
        <v>..</v>
      </c>
      <c r="H530" s="161" t="str">
        <f t="shared" si="26"/>
        <v>..</v>
      </c>
      <c r="I530" s="161" t="s">
        <v>2842</v>
      </c>
      <c r="J530" s="161" t="s">
        <v>2842</v>
      </c>
      <c r="K530" s="161" t="s">
        <v>2842</v>
      </c>
    </row>
    <row r="531" spans="1:11">
      <c r="A531" s="161">
        <v>2014</v>
      </c>
      <c r="B531" s="161" t="s">
        <v>309</v>
      </c>
      <c r="C531" s="161" t="str">
        <f t="shared" si="24"/>
        <v>2014_Madagascar</v>
      </c>
      <c r="D531" s="161" t="s">
        <v>2842</v>
      </c>
      <c r="E531" s="161" t="s">
        <v>2842</v>
      </c>
      <c r="F531" s="161" t="s">
        <v>2842</v>
      </c>
      <c r="G531" s="161" t="str">
        <f t="shared" si="25"/>
        <v>..</v>
      </c>
      <c r="H531" s="161" t="str">
        <f t="shared" si="26"/>
        <v>..</v>
      </c>
      <c r="I531" s="161" t="s">
        <v>2842</v>
      </c>
      <c r="J531" s="161" t="s">
        <v>2842</v>
      </c>
      <c r="K531" s="161" t="s">
        <v>2842</v>
      </c>
    </row>
    <row r="532" spans="1:11">
      <c r="A532" s="161">
        <v>2014</v>
      </c>
      <c r="B532" s="161" t="s">
        <v>322</v>
      </c>
      <c r="C532" s="161" t="str">
        <f t="shared" si="24"/>
        <v>2014_Mali</v>
      </c>
      <c r="D532" s="161" t="s">
        <v>2842</v>
      </c>
      <c r="E532" s="161" t="s">
        <v>2842</v>
      </c>
      <c r="F532" s="161" t="s">
        <v>2842</v>
      </c>
      <c r="G532" s="161" t="str">
        <f t="shared" si="25"/>
        <v>..</v>
      </c>
      <c r="H532" s="161" t="str">
        <f t="shared" si="26"/>
        <v>..</v>
      </c>
      <c r="I532" s="161" t="s">
        <v>2842</v>
      </c>
      <c r="J532" s="161" t="s">
        <v>2842</v>
      </c>
      <c r="K532" s="161" t="s">
        <v>2842</v>
      </c>
    </row>
    <row r="533" spans="1:11">
      <c r="A533" s="161">
        <v>2014</v>
      </c>
      <c r="B533" s="161" t="s">
        <v>338</v>
      </c>
      <c r="C533" s="161" t="str">
        <f t="shared" si="24"/>
        <v>2014_Mauritania</v>
      </c>
      <c r="D533" s="161" t="s">
        <v>2842</v>
      </c>
      <c r="E533" s="161" t="s">
        <v>2842</v>
      </c>
      <c r="F533" s="161" t="s">
        <v>2842</v>
      </c>
      <c r="G533" s="161" t="str">
        <f t="shared" si="25"/>
        <v>..</v>
      </c>
      <c r="H533" s="161" t="str">
        <f t="shared" si="26"/>
        <v>..</v>
      </c>
      <c r="I533" s="161" t="s">
        <v>2842</v>
      </c>
      <c r="J533" s="161" t="s">
        <v>2842</v>
      </c>
      <c r="K533" s="161" t="s">
        <v>2842</v>
      </c>
    </row>
    <row r="534" spans="1:11">
      <c r="A534" s="161">
        <v>2014</v>
      </c>
      <c r="B534" s="161" t="s">
        <v>357</v>
      </c>
      <c r="C534" s="161" t="str">
        <f t="shared" si="24"/>
        <v>2014_Mongolia</v>
      </c>
      <c r="D534" s="161" t="s">
        <v>2842</v>
      </c>
      <c r="E534" s="161" t="s">
        <v>2842</v>
      </c>
      <c r="F534" s="161" t="s">
        <v>2842</v>
      </c>
      <c r="G534" s="161" t="str">
        <f t="shared" si="25"/>
        <v>..</v>
      </c>
      <c r="H534" s="161" t="str">
        <f t="shared" si="26"/>
        <v>..</v>
      </c>
      <c r="I534" s="161" t="s">
        <v>2842</v>
      </c>
      <c r="J534" s="161" t="s">
        <v>2842</v>
      </c>
      <c r="K534" s="161" t="s">
        <v>2842</v>
      </c>
    </row>
    <row r="535" spans="1:11">
      <c r="A535" s="161">
        <v>2014</v>
      </c>
      <c r="B535" s="161" t="s">
        <v>387</v>
      </c>
      <c r="C535" s="161" t="str">
        <f t="shared" si="24"/>
        <v>2014_Niger</v>
      </c>
      <c r="D535" s="161" t="s">
        <v>2842</v>
      </c>
      <c r="E535" s="161" t="s">
        <v>2842</v>
      </c>
      <c r="F535" s="161" t="s">
        <v>2842</v>
      </c>
      <c r="G535" s="161" t="str">
        <f t="shared" si="25"/>
        <v>..</v>
      </c>
      <c r="H535" s="161" t="str">
        <f t="shared" si="26"/>
        <v>..</v>
      </c>
      <c r="I535" s="161" t="s">
        <v>2842</v>
      </c>
      <c r="J535" s="161" t="s">
        <v>2842</v>
      </c>
      <c r="K535" s="161" t="s">
        <v>2842</v>
      </c>
    </row>
    <row r="536" spans="1:11">
      <c r="A536" s="161">
        <v>2014</v>
      </c>
      <c r="B536" s="161" t="s">
        <v>406</v>
      </c>
      <c r="C536" s="161" t="str">
        <f t="shared" si="24"/>
        <v>2014_Nigeria</v>
      </c>
      <c r="D536" s="161" t="s">
        <v>2842</v>
      </c>
      <c r="E536" s="161" t="s">
        <v>2842</v>
      </c>
      <c r="F536" s="161" t="s">
        <v>2842</v>
      </c>
      <c r="G536" s="161" t="str">
        <f t="shared" si="25"/>
        <v>..</v>
      </c>
      <c r="H536" s="161" t="str">
        <f t="shared" si="26"/>
        <v>..</v>
      </c>
      <c r="I536" s="161" t="s">
        <v>2842</v>
      </c>
      <c r="J536" s="161" t="s">
        <v>2842</v>
      </c>
      <c r="K536" s="161" t="s">
        <v>2842</v>
      </c>
    </row>
    <row r="537" spans="1:11">
      <c r="A537" s="161">
        <v>2014</v>
      </c>
      <c r="B537" s="161" t="s">
        <v>429</v>
      </c>
      <c r="C537" s="161" t="str">
        <f t="shared" si="24"/>
        <v>2014_Norway</v>
      </c>
      <c r="D537" s="161" t="s">
        <v>2842</v>
      </c>
      <c r="E537" s="161" t="s">
        <v>2842</v>
      </c>
      <c r="F537" s="161" t="s">
        <v>2842</v>
      </c>
      <c r="G537" s="161" t="str">
        <f t="shared" si="25"/>
        <v>..</v>
      </c>
      <c r="H537" s="161" t="str">
        <f t="shared" si="26"/>
        <v>..</v>
      </c>
      <c r="I537" s="161" t="s">
        <v>2842</v>
      </c>
      <c r="J537" s="161" t="s">
        <v>2842</v>
      </c>
      <c r="K537" s="161" t="s">
        <v>2842</v>
      </c>
    </row>
    <row r="538" spans="1:11">
      <c r="A538" s="161">
        <v>2014</v>
      </c>
      <c r="B538" s="161" t="s">
        <v>442</v>
      </c>
      <c r="C538" s="161" t="str">
        <f t="shared" si="24"/>
        <v>2014_Peru</v>
      </c>
      <c r="D538" s="161" t="s">
        <v>2842</v>
      </c>
      <c r="E538" s="161" t="s">
        <v>2842</v>
      </c>
      <c r="F538" s="161" t="s">
        <v>2842</v>
      </c>
      <c r="G538" s="161" t="str">
        <f t="shared" si="25"/>
        <v>..</v>
      </c>
      <c r="H538" s="161" t="str">
        <f t="shared" si="26"/>
        <v>..</v>
      </c>
      <c r="I538" s="161" t="s">
        <v>2842</v>
      </c>
      <c r="J538" s="161" t="s">
        <v>2842</v>
      </c>
      <c r="K538" s="161" t="s">
        <v>2842</v>
      </c>
    </row>
    <row r="539" spans="1:11">
      <c r="A539" s="161">
        <v>2014</v>
      </c>
      <c r="B539" s="161" t="s">
        <v>481</v>
      </c>
      <c r="C539" s="161" t="str">
        <f t="shared" si="24"/>
        <v>2014_Sierra Leone</v>
      </c>
      <c r="D539" s="161" t="s">
        <v>2842</v>
      </c>
      <c r="E539" s="161" t="s">
        <v>2842</v>
      </c>
      <c r="F539" s="161" t="s">
        <v>2842</v>
      </c>
      <c r="G539" s="161" t="str">
        <f t="shared" si="25"/>
        <v>..</v>
      </c>
      <c r="H539" s="161" t="str">
        <f t="shared" si="26"/>
        <v>..</v>
      </c>
      <c r="I539" s="161" t="s">
        <v>2842</v>
      </c>
      <c r="J539" s="161" t="s">
        <v>2842</v>
      </c>
      <c r="K539" s="161" t="s">
        <v>2842</v>
      </c>
    </row>
    <row r="540" spans="1:11">
      <c r="A540" s="161">
        <v>2014</v>
      </c>
      <c r="B540" s="161" t="s">
        <v>492</v>
      </c>
      <c r="C540" s="161" t="str">
        <f t="shared" si="24"/>
        <v>2014_Tanzania</v>
      </c>
      <c r="D540" s="161" t="s">
        <v>2842</v>
      </c>
      <c r="E540" s="161" t="s">
        <v>2842</v>
      </c>
      <c r="F540" s="161" t="s">
        <v>2842</v>
      </c>
      <c r="G540" s="161" t="str">
        <f t="shared" si="25"/>
        <v>..</v>
      </c>
      <c r="H540" s="161" t="str">
        <f t="shared" si="26"/>
        <v>..</v>
      </c>
      <c r="I540" s="161" t="s">
        <v>2842</v>
      </c>
      <c r="J540" s="161" t="s">
        <v>2842</v>
      </c>
      <c r="K540" s="161" t="s">
        <v>2842</v>
      </c>
    </row>
    <row r="541" spans="1:11">
      <c r="A541" s="161">
        <v>2014</v>
      </c>
      <c r="B541" s="161" t="s">
        <v>2844</v>
      </c>
      <c r="C541" s="161" t="str">
        <f t="shared" si="24"/>
        <v>2014_Timor-Leste</v>
      </c>
      <c r="D541" s="161" t="s">
        <v>2842</v>
      </c>
      <c r="E541" s="161" t="s">
        <v>2842</v>
      </c>
      <c r="F541" s="161" t="s">
        <v>2842</v>
      </c>
      <c r="G541" s="161" t="str">
        <f t="shared" si="25"/>
        <v>..</v>
      </c>
      <c r="H541" s="161" t="str">
        <f t="shared" si="26"/>
        <v>..</v>
      </c>
      <c r="I541" s="161" t="s">
        <v>2842</v>
      </c>
      <c r="J541" s="161" t="s">
        <v>2842</v>
      </c>
      <c r="K541" s="161" t="s">
        <v>2842</v>
      </c>
    </row>
    <row r="542" spans="1:11">
      <c r="A542" s="161">
        <v>2014</v>
      </c>
      <c r="B542" s="161" t="s">
        <v>510</v>
      </c>
      <c r="C542" s="161" t="str">
        <f t="shared" si="24"/>
        <v>2014_Togo</v>
      </c>
      <c r="D542" s="161" t="s">
        <v>2842</v>
      </c>
      <c r="E542" s="161" t="s">
        <v>2842</v>
      </c>
      <c r="F542" s="161" t="s">
        <v>2842</v>
      </c>
      <c r="G542" s="161" t="str">
        <f t="shared" si="25"/>
        <v>..</v>
      </c>
      <c r="H542" s="161" t="str">
        <f t="shared" si="26"/>
        <v>..</v>
      </c>
      <c r="I542" s="161" t="s">
        <v>2842</v>
      </c>
      <c r="J542" s="161" t="s">
        <v>2842</v>
      </c>
      <c r="K542" s="161" t="s">
        <v>2842</v>
      </c>
    </row>
    <row r="543" spans="1:11">
      <c r="A543" s="161">
        <v>2014</v>
      </c>
      <c r="B543" s="161" t="s">
        <v>2845</v>
      </c>
      <c r="C543" s="161" t="str">
        <f t="shared" si="24"/>
        <v>2014_Trinidad and Tobago</v>
      </c>
      <c r="D543" s="161" t="s">
        <v>2842</v>
      </c>
      <c r="E543" s="161" t="s">
        <v>2842</v>
      </c>
      <c r="F543" s="161" t="s">
        <v>2842</v>
      </c>
      <c r="G543" s="161" t="str">
        <f t="shared" si="25"/>
        <v>..</v>
      </c>
      <c r="H543" s="161" t="str">
        <f t="shared" si="26"/>
        <v>..</v>
      </c>
      <c r="I543" s="161" t="s">
        <v>2842</v>
      </c>
      <c r="J543" s="161" t="s">
        <v>2842</v>
      </c>
      <c r="K543" s="161" t="s">
        <v>2842</v>
      </c>
    </row>
    <row r="544" spans="1:11">
      <c r="A544" s="161">
        <v>2014</v>
      </c>
      <c r="B544" s="161" t="s">
        <v>2846</v>
      </c>
      <c r="C544" s="161" t="str">
        <f t="shared" si="24"/>
        <v>2014_Yemen, Rep.</v>
      </c>
      <c r="D544" s="161" t="s">
        <v>2842</v>
      </c>
      <c r="E544" s="161" t="s">
        <v>2842</v>
      </c>
      <c r="F544" s="161" t="s">
        <v>2842</v>
      </c>
      <c r="G544" s="161" t="str">
        <f t="shared" si="25"/>
        <v>..</v>
      </c>
      <c r="H544" s="161" t="str">
        <f t="shared" si="26"/>
        <v>..</v>
      </c>
      <c r="I544" s="161" t="s">
        <v>2842</v>
      </c>
      <c r="J544" s="161" t="s">
        <v>2842</v>
      </c>
      <c r="K544" s="161" t="s">
        <v>2842</v>
      </c>
    </row>
    <row r="545" spans="1:11">
      <c r="A545" s="161">
        <v>2014</v>
      </c>
      <c r="B545" s="161" t="s">
        <v>534</v>
      </c>
      <c r="C545" s="161" t="str">
        <f t="shared" si="24"/>
        <v>2014_Zambia</v>
      </c>
      <c r="D545" s="161" t="s">
        <v>2842</v>
      </c>
      <c r="E545" s="161" t="s">
        <v>2842</v>
      </c>
      <c r="F545" s="161" t="s">
        <v>2842</v>
      </c>
      <c r="G545" s="161" t="str">
        <f t="shared" si="25"/>
        <v>..</v>
      </c>
      <c r="H545" s="161" t="str">
        <f t="shared" si="26"/>
        <v>..</v>
      </c>
      <c r="I545" s="161" t="s">
        <v>2842</v>
      </c>
      <c r="J545" s="161" t="s">
        <v>2842</v>
      </c>
      <c r="K545" s="161" t="s">
        <v>2842</v>
      </c>
    </row>
    <row r="549" spans="1:11">
      <c r="A549" s="161" t="s">
        <v>2847</v>
      </c>
    </row>
    <row r="550" spans="1:11">
      <c r="A550" s="161" t="s">
        <v>2848</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9"/>
  <sheetViews>
    <sheetView zoomScale="90" zoomScaleNormal="90" zoomScalePageLayoutView="90" workbookViewId="0">
      <selection activeCell="F6" sqref="F6"/>
    </sheetView>
  </sheetViews>
  <sheetFormatPr defaultColWidth="8.85546875" defaultRowHeight="15"/>
  <cols>
    <col min="2" max="2" width="30.42578125" bestFit="1" customWidth="1"/>
    <col min="3" max="3" width="30.42578125" customWidth="1"/>
  </cols>
  <sheetData>
    <row r="1" spans="1:22">
      <c r="A1" s="150" t="s">
        <v>2861</v>
      </c>
      <c r="B1" s="150"/>
      <c r="C1" s="150"/>
      <c r="D1" s="150" t="s">
        <v>2862</v>
      </c>
      <c r="E1" s="150"/>
      <c r="F1" s="150"/>
      <c r="G1" s="150"/>
      <c r="H1" s="150"/>
      <c r="I1" s="150"/>
      <c r="J1" s="150"/>
      <c r="K1" s="150"/>
      <c r="L1" s="150"/>
      <c r="M1" s="150"/>
      <c r="N1" s="150" t="s">
        <v>2863</v>
      </c>
      <c r="O1" s="150"/>
      <c r="P1" s="150"/>
      <c r="Q1" s="150"/>
      <c r="R1" s="150"/>
      <c r="S1" s="150"/>
      <c r="T1" s="150"/>
      <c r="U1" s="150"/>
      <c r="V1" s="150"/>
    </row>
    <row r="2" spans="1:22">
      <c r="A2" s="150" t="s">
        <v>2864</v>
      </c>
      <c r="B2" s="150"/>
      <c r="C2" s="150"/>
      <c r="D2" s="150" t="s">
        <v>2865</v>
      </c>
      <c r="E2" s="150"/>
      <c r="F2" s="150"/>
      <c r="G2" s="150"/>
      <c r="H2" s="150" t="s">
        <v>2866</v>
      </c>
      <c r="I2" s="150"/>
      <c r="J2" s="150"/>
      <c r="K2" s="150" t="s">
        <v>2867</v>
      </c>
      <c r="L2" s="150"/>
      <c r="M2" s="150"/>
      <c r="N2" s="150" t="s">
        <v>2865</v>
      </c>
      <c r="O2" s="150"/>
      <c r="P2" s="150"/>
      <c r="Q2" s="150" t="s">
        <v>2866</v>
      </c>
      <c r="R2" s="150"/>
      <c r="S2" s="150"/>
      <c r="T2" s="150" t="s">
        <v>2867</v>
      </c>
      <c r="U2" s="150"/>
      <c r="V2" s="150"/>
    </row>
    <row r="3" spans="1:22">
      <c r="A3" s="150" t="s">
        <v>2868</v>
      </c>
      <c r="B3" s="150"/>
      <c r="C3" s="150"/>
      <c r="D3" s="150" t="s">
        <v>2869</v>
      </c>
      <c r="E3" s="149" t="s">
        <v>2870</v>
      </c>
      <c r="F3" s="149" t="s">
        <v>3553</v>
      </c>
      <c r="G3" s="150" t="s">
        <v>2871</v>
      </c>
      <c r="H3" s="150" t="s">
        <v>2869</v>
      </c>
      <c r="I3" s="150" t="s">
        <v>2870</v>
      </c>
      <c r="J3" s="150" t="s">
        <v>2871</v>
      </c>
      <c r="K3" s="150" t="s">
        <v>2869</v>
      </c>
      <c r="L3" s="150" t="s">
        <v>2870</v>
      </c>
      <c r="M3" s="150" t="s">
        <v>2871</v>
      </c>
      <c r="N3" s="150" t="s">
        <v>2869</v>
      </c>
      <c r="O3" s="150" t="s">
        <v>2870</v>
      </c>
      <c r="P3" s="150" t="s">
        <v>2871</v>
      </c>
      <c r="Q3" s="150" t="s">
        <v>2869</v>
      </c>
      <c r="R3" s="150" t="s">
        <v>2870</v>
      </c>
      <c r="S3" s="150" t="s">
        <v>2871</v>
      </c>
      <c r="T3" s="150" t="s">
        <v>2869</v>
      </c>
      <c r="U3" s="150" t="s">
        <v>2870</v>
      </c>
      <c r="V3" s="150" t="s">
        <v>2871</v>
      </c>
    </row>
    <row r="4" spans="1:22">
      <c r="A4" s="150" t="s">
        <v>2872</v>
      </c>
      <c r="B4" s="150" t="s">
        <v>2873</v>
      </c>
      <c r="C4" s="150" t="s">
        <v>2850</v>
      </c>
      <c r="D4" s="150"/>
      <c r="E4" s="150"/>
      <c r="F4" s="150"/>
      <c r="G4" s="150"/>
      <c r="H4" s="150"/>
      <c r="I4" s="150"/>
      <c r="J4" s="150"/>
      <c r="K4" s="150"/>
      <c r="L4" s="150"/>
      <c r="M4" s="150"/>
      <c r="N4" s="150"/>
      <c r="O4" s="150"/>
      <c r="P4" s="150"/>
      <c r="Q4" s="150"/>
      <c r="R4" s="150"/>
      <c r="S4" s="150"/>
      <c r="T4" s="150"/>
      <c r="U4" s="150"/>
      <c r="V4" s="150"/>
    </row>
    <row r="5" spans="1:22">
      <c r="A5" s="150" t="s">
        <v>2874</v>
      </c>
      <c r="B5" s="150" t="s">
        <v>16</v>
      </c>
      <c r="C5" s="150" t="str">
        <f>$A5&amp;"_"&amp;$B5</f>
        <v>1999_Afghanistan</v>
      </c>
      <c r="D5" s="150" t="s">
        <v>561</v>
      </c>
      <c r="E5" s="150" t="s">
        <v>2842</v>
      </c>
      <c r="F5" s="150" t="str">
        <f>IFERROR($E5*1000000,"..")</f>
        <v>..</v>
      </c>
      <c r="G5" s="150" t="s">
        <v>561</v>
      </c>
      <c r="H5" s="150" t="s">
        <v>561</v>
      </c>
      <c r="I5" s="150" t="s">
        <v>561</v>
      </c>
      <c r="J5" s="150" t="s">
        <v>561</v>
      </c>
      <c r="K5" s="150" t="s">
        <v>561</v>
      </c>
      <c r="L5" s="150" t="s">
        <v>561</v>
      </c>
      <c r="M5" s="150" t="s">
        <v>561</v>
      </c>
      <c r="N5" s="150" t="s">
        <v>561</v>
      </c>
      <c r="O5" s="150" t="s">
        <v>561</v>
      </c>
      <c r="P5" s="150" t="s">
        <v>561</v>
      </c>
      <c r="Q5" s="150" t="s">
        <v>561</v>
      </c>
      <c r="R5" s="150" t="s">
        <v>561</v>
      </c>
      <c r="S5" s="150" t="s">
        <v>561</v>
      </c>
      <c r="T5" s="150" t="s">
        <v>2842</v>
      </c>
      <c r="U5" s="150" t="s">
        <v>2842</v>
      </c>
      <c r="V5" s="150" t="s">
        <v>2842</v>
      </c>
    </row>
    <row r="6" spans="1:22">
      <c r="A6" s="150" t="s">
        <v>2874</v>
      </c>
      <c r="B6" s="150" t="s">
        <v>33</v>
      </c>
      <c r="C6" s="150" t="str">
        <f t="shared" ref="C6:C69" si="0">$A6&amp;"_"&amp;$B6</f>
        <v>1999_Albania</v>
      </c>
      <c r="D6" s="150">
        <v>269.39999999999998</v>
      </c>
      <c r="E6" s="150">
        <v>544.4</v>
      </c>
      <c r="F6" s="150">
        <f t="shared" ref="F6:F69" si="1">IFERROR($E6*1000000,"..")</f>
        <v>544400000</v>
      </c>
      <c r="G6" s="150">
        <v>275</v>
      </c>
      <c r="H6" s="150">
        <v>163.1</v>
      </c>
      <c r="I6" s="150">
        <v>1101.0999999999999</v>
      </c>
      <c r="J6" s="150">
        <v>938</v>
      </c>
      <c r="K6" s="150">
        <v>106.3</v>
      </c>
      <c r="L6" s="150">
        <v>-556.70000000000005</v>
      </c>
      <c r="M6" s="150">
        <v>-663</v>
      </c>
      <c r="N6" s="150">
        <v>49.485672299800001</v>
      </c>
      <c r="O6" s="150">
        <v>100</v>
      </c>
      <c r="P6" s="150">
        <v>50.514327700199999</v>
      </c>
      <c r="Q6" s="150">
        <v>14.812460267000001</v>
      </c>
      <c r="R6" s="150">
        <v>100</v>
      </c>
      <c r="S6" s="150">
        <v>85.187539732999994</v>
      </c>
      <c r="T6" s="150" t="s">
        <v>2842</v>
      </c>
      <c r="U6" s="150" t="s">
        <v>2842</v>
      </c>
      <c r="V6" s="150" t="s">
        <v>2842</v>
      </c>
    </row>
    <row r="7" spans="1:22">
      <c r="A7" s="150" t="s">
        <v>2874</v>
      </c>
      <c r="B7" s="150" t="s">
        <v>48</v>
      </c>
      <c r="C7" s="150" t="str">
        <f t="shared" si="0"/>
        <v>1999_Azerbaijan</v>
      </c>
      <c r="D7" s="150">
        <v>256.79000000000002</v>
      </c>
      <c r="E7" s="150">
        <v>1282.02</v>
      </c>
      <c r="F7" s="150">
        <f t="shared" si="1"/>
        <v>1282020000</v>
      </c>
      <c r="G7" s="150">
        <v>1025.23</v>
      </c>
      <c r="H7" s="150">
        <v>485.11599999999999</v>
      </c>
      <c r="I7" s="150">
        <v>1918.5060000000001</v>
      </c>
      <c r="J7" s="150">
        <v>1433.39</v>
      </c>
      <c r="K7" s="150">
        <v>-228.32599999999999</v>
      </c>
      <c r="L7" s="150">
        <v>-636.48599999999999</v>
      </c>
      <c r="M7" s="150">
        <v>-408.16</v>
      </c>
      <c r="N7" s="150">
        <v>20.030108734700001</v>
      </c>
      <c r="O7" s="150">
        <v>100</v>
      </c>
      <c r="P7" s="150">
        <v>79.969891265300006</v>
      </c>
      <c r="Q7" s="150">
        <v>25.286134106399999</v>
      </c>
      <c r="R7" s="150">
        <v>100</v>
      </c>
      <c r="S7" s="150">
        <v>74.713865893600001</v>
      </c>
      <c r="T7" s="150" t="s">
        <v>2842</v>
      </c>
      <c r="U7" s="150" t="s">
        <v>2842</v>
      </c>
      <c r="V7" s="150" t="s">
        <v>2842</v>
      </c>
    </row>
    <row r="8" spans="1:22">
      <c r="A8" s="150" t="s">
        <v>2874</v>
      </c>
      <c r="B8" s="150" t="s">
        <v>93</v>
      </c>
      <c r="C8" s="150" t="str">
        <f t="shared" si="0"/>
        <v>1999_Burkina Faso</v>
      </c>
      <c r="D8" s="150" t="s">
        <v>561</v>
      </c>
      <c r="E8" s="150" t="s">
        <v>2842</v>
      </c>
      <c r="F8" s="150" t="str">
        <f t="shared" si="1"/>
        <v>..</v>
      </c>
      <c r="G8" s="150">
        <v>253.69498100000001</v>
      </c>
      <c r="H8" s="150" t="s">
        <v>561</v>
      </c>
      <c r="I8" s="150" t="s">
        <v>561</v>
      </c>
      <c r="J8" s="150">
        <v>580.40279399999997</v>
      </c>
      <c r="K8" s="150" t="s">
        <v>561</v>
      </c>
      <c r="L8" s="150" t="s">
        <v>561</v>
      </c>
      <c r="M8" s="150">
        <v>-326.70781299999999</v>
      </c>
      <c r="N8" s="150" t="s">
        <v>561</v>
      </c>
      <c r="O8" s="150" t="s">
        <v>561</v>
      </c>
      <c r="P8" s="150">
        <v>84.3865850591</v>
      </c>
      <c r="Q8" s="150" t="s">
        <v>561</v>
      </c>
      <c r="R8" s="150" t="s">
        <v>561</v>
      </c>
      <c r="S8" s="150">
        <v>77.314437276600003</v>
      </c>
      <c r="T8" s="150" t="s">
        <v>2842</v>
      </c>
      <c r="U8" s="150" t="s">
        <v>2842</v>
      </c>
      <c r="V8" s="150" t="s">
        <v>2842</v>
      </c>
    </row>
    <row r="9" spans="1:22">
      <c r="A9" s="150" t="s">
        <v>2874</v>
      </c>
      <c r="B9" s="150" t="s">
        <v>2890</v>
      </c>
      <c r="C9" s="150" t="str">
        <f t="shared" si="0"/>
        <v>1999_ Cameroon</v>
      </c>
      <c r="D9" s="150">
        <v>433.74200000000002</v>
      </c>
      <c r="E9" s="150">
        <v>2178.8719999999998</v>
      </c>
      <c r="F9" s="150">
        <f t="shared" si="1"/>
        <v>2178872000</v>
      </c>
      <c r="G9" s="150">
        <v>1745.13</v>
      </c>
      <c r="H9" s="150">
        <v>715.34100000000001</v>
      </c>
      <c r="I9" s="150">
        <v>2049.2809999999999</v>
      </c>
      <c r="J9" s="150">
        <v>1333.94</v>
      </c>
      <c r="K9" s="150">
        <v>-281.59899999999999</v>
      </c>
      <c r="L9" s="150">
        <v>129.59100000000001</v>
      </c>
      <c r="M9" s="150">
        <v>411.19</v>
      </c>
      <c r="N9" s="150">
        <v>19.9067223775</v>
      </c>
      <c r="O9" s="150">
        <v>100</v>
      </c>
      <c r="P9" s="150">
        <v>80.093277622499997</v>
      </c>
      <c r="Q9" s="150">
        <v>34.906925892499999</v>
      </c>
      <c r="R9" s="150">
        <v>100</v>
      </c>
      <c r="S9" s="150">
        <v>65.093074107500001</v>
      </c>
      <c r="T9" s="150" t="s">
        <v>2842</v>
      </c>
      <c r="U9" s="150" t="s">
        <v>2842</v>
      </c>
      <c r="V9" s="150" t="s">
        <v>2842</v>
      </c>
    </row>
    <row r="10" spans="1:22">
      <c r="A10" s="150" t="s">
        <v>2874</v>
      </c>
      <c r="B10" s="150" t="s">
        <v>122</v>
      </c>
      <c r="C10" s="150" t="str">
        <f t="shared" si="0"/>
        <v>1999_Central African Republic</v>
      </c>
      <c r="D10" s="150">
        <v>44.125457400000002</v>
      </c>
      <c r="E10" s="150">
        <v>190.52166740000001</v>
      </c>
      <c r="F10" s="150">
        <f t="shared" si="1"/>
        <v>190521667.40000001</v>
      </c>
      <c r="G10" s="150">
        <v>146.39621</v>
      </c>
      <c r="H10" s="150">
        <v>108.62775479</v>
      </c>
      <c r="I10" s="150">
        <v>239.68042779000001</v>
      </c>
      <c r="J10" s="150">
        <v>131.052673</v>
      </c>
      <c r="K10" s="150">
        <v>-64.502297389999995</v>
      </c>
      <c r="L10" s="150">
        <v>-49.158760389999998</v>
      </c>
      <c r="M10" s="150">
        <v>15.343537</v>
      </c>
      <c r="N10" s="150">
        <v>23.160335515700002</v>
      </c>
      <c r="O10" s="150">
        <v>100</v>
      </c>
      <c r="P10" s="150">
        <v>76.839664484300002</v>
      </c>
      <c r="Q10" s="150">
        <v>45.321912928700002</v>
      </c>
      <c r="R10" s="150">
        <v>100</v>
      </c>
      <c r="S10" s="150">
        <v>54.678087071299998</v>
      </c>
      <c r="T10" s="150" t="s">
        <v>2842</v>
      </c>
      <c r="U10" s="150" t="s">
        <v>2842</v>
      </c>
      <c r="V10" s="150" t="s">
        <v>2842</v>
      </c>
    </row>
    <row r="11" spans="1:22">
      <c r="A11" s="150" t="s">
        <v>2874</v>
      </c>
      <c r="B11" s="150" t="s">
        <v>2891</v>
      </c>
      <c r="C11" s="150" t="str">
        <f t="shared" si="0"/>
        <v>1999_ Chad</v>
      </c>
      <c r="D11" s="150">
        <v>53.370234480000001</v>
      </c>
      <c r="E11" s="150">
        <v>296.40295048000002</v>
      </c>
      <c r="F11" s="150">
        <f t="shared" si="1"/>
        <v>296402950.48000002</v>
      </c>
      <c r="G11" s="150">
        <v>243.03271599999999</v>
      </c>
      <c r="H11" s="150">
        <v>230.33170429</v>
      </c>
      <c r="I11" s="150">
        <v>494.03848328999999</v>
      </c>
      <c r="J11" s="150">
        <v>263.70677899999998</v>
      </c>
      <c r="K11" s="150">
        <v>-176.96146981000001</v>
      </c>
      <c r="L11" s="150">
        <v>-197.63553281</v>
      </c>
      <c r="M11" s="150">
        <v>-20.674063</v>
      </c>
      <c r="N11" s="150">
        <v>18.005972745400001</v>
      </c>
      <c r="O11" s="150">
        <v>100</v>
      </c>
      <c r="P11" s="150">
        <v>81.994027254599999</v>
      </c>
      <c r="Q11" s="150">
        <v>46.6222191349</v>
      </c>
      <c r="R11" s="150">
        <v>100</v>
      </c>
      <c r="S11" s="150">
        <v>53.3777808651</v>
      </c>
      <c r="T11" s="150" t="s">
        <v>2842</v>
      </c>
      <c r="U11" s="150" t="s">
        <v>2842</v>
      </c>
      <c r="V11" s="150" t="s">
        <v>2842</v>
      </c>
    </row>
    <row r="12" spans="1:22">
      <c r="A12" s="150" t="s">
        <v>2874</v>
      </c>
      <c r="B12" s="150" t="s">
        <v>458</v>
      </c>
      <c r="C12" s="150" t="str">
        <f t="shared" si="0"/>
        <v>1999_Republic of the Congo</v>
      </c>
      <c r="D12" s="150">
        <v>146.03100000000001</v>
      </c>
      <c r="E12" s="150">
        <v>1706.1210000000001</v>
      </c>
      <c r="F12" s="150">
        <f t="shared" si="1"/>
        <v>1706121000</v>
      </c>
      <c r="G12" s="150">
        <v>1560.09</v>
      </c>
      <c r="H12" s="150">
        <v>868.6</v>
      </c>
      <c r="I12" s="150">
        <v>1391.251</v>
      </c>
      <c r="J12" s="150">
        <v>522.65099999999995</v>
      </c>
      <c r="K12" s="150">
        <v>-722.56899999999996</v>
      </c>
      <c r="L12" s="150">
        <v>314.87</v>
      </c>
      <c r="M12" s="150">
        <v>1037.4390000000001</v>
      </c>
      <c r="N12" s="150">
        <v>8.5592405227999997</v>
      </c>
      <c r="O12" s="150">
        <v>100</v>
      </c>
      <c r="P12" s="150">
        <v>91.440759477200004</v>
      </c>
      <c r="Q12" s="150">
        <v>62.433018916100004</v>
      </c>
      <c r="R12" s="150">
        <v>100</v>
      </c>
      <c r="S12" s="150">
        <v>37.566981083899996</v>
      </c>
      <c r="T12" s="150" t="s">
        <v>2842</v>
      </c>
      <c r="U12" s="150" t="s">
        <v>2842</v>
      </c>
      <c r="V12" s="150" t="s">
        <v>2842</v>
      </c>
    </row>
    <row r="13" spans="1:22">
      <c r="A13" s="150" t="s">
        <v>2874</v>
      </c>
      <c r="B13" s="150" t="s">
        <v>165</v>
      </c>
      <c r="C13" s="150" t="str">
        <f t="shared" si="0"/>
        <v>1999_Democratic Republic of Congo</v>
      </c>
      <c r="D13" s="150">
        <v>46.7</v>
      </c>
      <c r="E13" s="150">
        <v>1020.7</v>
      </c>
      <c r="F13" s="150">
        <f t="shared" si="1"/>
        <v>1020700000</v>
      </c>
      <c r="G13" s="150">
        <v>974</v>
      </c>
      <c r="H13" s="150">
        <v>300</v>
      </c>
      <c r="I13" s="150">
        <v>758</v>
      </c>
      <c r="J13" s="150">
        <v>458</v>
      </c>
      <c r="K13" s="150">
        <v>-253.3</v>
      </c>
      <c r="L13" s="150">
        <v>262.7</v>
      </c>
      <c r="M13" s="150">
        <v>516</v>
      </c>
      <c r="N13" s="150">
        <v>4.5752914666000004</v>
      </c>
      <c r="O13" s="150">
        <v>100</v>
      </c>
      <c r="P13" s="150">
        <v>95.424708533399993</v>
      </c>
      <c r="Q13" s="150">
        <v>39.577836411600003</v>
      </c>
      <c r="R13" s="150">
        <v>100</v>
      </c>
      <c r="S13" s="150">
        <v>60.422163588399997</v>
      </c>
      <c r="T13" s="150" t="s">
        <v>2842</v>
      </c>
      <c r="U13" s="150" t="s">
        <v>2842</v>
      </c>
      <c r="V13" s="150" t="s">
        <v>2842</v>
      </c>
    </row>
    <row r="14" spans="1:22">
      <c r="A14" s="150" t="s">
        <v>2874</v>
      </c>
      <c r="B14" s="150" t="s">
        <v>2892</v>
      </c>
      <c r="C14" s="150" t="str">
        <f t="shared" si="0"/>
        <v>1999_ Equatorial Guinea</v>
      </c>
      <c r="D14" s="150">
        <v>14.148147</v>
      </c>
      <c r="E14" s="150">
        <v>764.25006399999995</v>
      </c>
      <c r="F14" s="150">
        <f t="shared" si="1"/>
        <v>764250064</v>
      </c>
      <c r="G14" s="150">
        <v>750.10191699999996</v>
      </c>
      <c r="H14" s="150">
        <v>424.18616900000001</v>
      </c>
      <c r="I14" s="150">
        <v>846.39734699999997</v>
      </c>
      <c r="J14" s="150">
        <v>422.21117800000002</v>
      </c>
      <c r="K14" s="150">
        <v>-410.03802200000001</v>
      </c>
      <c r="L14" s="150">
        <v>-82.147283000000002</v>
      </c>
      <c r="M14" s="150">
        <v>327.890739</v>
      </c>
      <c r="N14" s="150">
        <v>1.8512457724</v>
      </c>
      <c r="O14" s="150">
        <v>100</v>
      </c>
      <c r="P14" s="150">
        <v>98.148754227599994</v>
      </c>
      <c r="Q14" s="150">
        <v>50.116670438900002</v>
      </c>
      <c r="R14" s="150">
        <v>100</v>
      </c>
      <c r="S14" s="150">
        <v>49.883329561099998</v>
      </c>
      <c r="T14" s="150" t="s">
        <v>2842</v>
      </c>
      <c r="U14" s="150" t="s">
        <v>2842</v>
      </c>
      <c r="V14" s="150" t="s">
        <v>2842</v>
      </c>
    </row>
    <row r="15" spans="1:22">
      <c r="A15" s="150" t="s">
        <v>2874</v>
      </c>
      <c r="B15" s="150" t="s">
        <v>2893</v>
      </c>
      <c r="C15" s="150" t="str">
        <f t="shared" si="0"/>
        <v>1999_ Gabon</v>
      </c>
      <c r="D15" s="150">
        <v>280.89999999999998</v>
      </c>
      <c r="E15" s="150">
        <v>2779.717881</v>
      </c>
      <c r="F15" s="150">
        <f t="shared" si="1"/>
        <v>2779717881</v>
      </c>
      <c r="G15" s="150">
        <v>2498.8178809999999</v>
      </c>
      <c r="H15" s="150">
        <v>866.95399999999995</v>
      </c>
      <c r="I15" s="150">
        <v>1777.4829999999999</v>
      </c>
      <c r="J15" s="150">
        <v>910.529</v>
      </c>
      <c r="K15" s="150">
        <v>-586.05399999999997</v>
      </c>
      <c r="L15" s="150">
        <v>1002.234881</v>
      </c>
      <c r="M15" s="150">
        <v>1588.2888809999999</v>
      </c>
      <c r="N15" s="150">
        <v>10.105342053599999</v>
      </c>
      <c r="O15" s="150">
        <v>100</v>
      </c>
      <c r="P15" s="150">
        <v>89.894657946400002</v>
      </c>
      <c r="Q15" s="150">
        <v>48.774249880299998</v>
      </c>
      <c r="R15" s="150">
        <v>100</v>
      </c>
      <c r="S15" s="150">
        <v>51.225750119700002</v>
      </c>
      <c r="T15" s="150" t="s">
        <v>2842</v>
      </c>
      <c r="U15" s="150" t="s">
        <v>2842</v>
      </c>
      <c r="V15" s="150" t="s">
        <v>2842</v>
      </c>
    </row>
    <row r="16" spans="1:22">
      <c r="A16" s="150" t="s">
        <v>2874</v>
      </c>
      <c r="B16" s="150" t="s">
        <v>189</v>
      </c>
      <c r="C16" s="150" t="str">
        <f t="shared" si="0"/>
        <v>1999_Ghana</v>
      </c>
      <c r="D16" s="150">
        <v>467.8</v>
      </c>
      <c r="E16" s="150">
        <v>2473.3000000000002</v>
      </c>
      <c r="F16" s="150">
        <f t="shared" si="1"/>
        <v>2473300000</v>
      </c>
      <c r="G16" s="150">
        <v>2005.5</v>
      </c>
      <c r="H16" s="150">
        <v>646</v>
      </c>
      <c r="I16" s="150">
        <v>3925.9</v>
      </c>
      <c r="J16" s="150">
        <v>3279.9</v>
      </c>
      <c r="K16" s="150">
        <v>-178.2</v>
      </c>
      <c r="L16" s="150">
        <v>-1452.6</v>
      </c>
      <c r="M16" s="150">
        <v>-1274.4000000000001</v>
      </c>
      <c r="N16" s="150">
        <v>18.914001536400001</v>
      </c>
      <c r="O16" s="150">
        <v>100</v>
      </c>
      <c r="P16" s="150">
        <v>81.085998463600006</v>
      </c>
      <c r="Q16" s="150">
        <v>16.454825645100001</v>
      </c>
      <c r="R16" s="150">
        <v>100</v>
      </c>
      <c r="S16" s="150">
        <v>83.545174354899999</v>
      </c>
      <c r="T16" s="150" t="s">
        <v>2842</v>
      </c>
      <c r="U16" s="150" t="s">
        <v>2842</v>
      </c>
      <c r="V16" s="150" t="s">
        <v>2842</v>
      </c>
    </row>
    <row r="17" spans="1:22">
      <c r="A17" s="150" t="s">
        <v>2874</v>
      </c>
      <c r="B17" s="150" t="s">
        <v>213</v>
      </c>
      <c r="C17" s="150" t="str">
        <f t="shared" si="0"/>
        <v>1999_Guatemala</v>
      </c>
      <c r="D17" s="150">
        <v>699.5</v>
      </c>
      <c r="E17" s="150">
        <v>3480.1</v>
      </c>
      <c r="F17" s="150">
        <f t="shared" si="1"/>
        <v>3480100000</v>
      </c>
      <c r="G17" s="150">
        <v>2780.6</v>
      </c>
      <c r="H17" s="150">
        <v>790.7</v>
      </c>
      <c r="I17" s="150">
        <v>5016.3999999999996</v>
      </c>
      <c r="J17" s="150">
        <v>4225.7</v>
      </c>
      <c r="K17" s="150">
        <v>-91.2</v>
      </c>
      <c r="L17" s="150">
        <v>-1536.3</v>
      </c>
      <c r="M17" s="150">
        <v>-1445.1</v>
      </c>
      <c r="N17" s="150">
        <v>20.0999971265</v>
      </c>
      <c r="O17" s="150">
        <v>100</v>
      </c>
      <c r="P17" s="150">
        <v>79.9000028735</v>
      </c>
      <c r="Q17" s="150">
        <v>15.7622996571</v>
      </c>
      <c r="R17" s="150">
        <v>100</v>
      </c>
      <c r="S17" s="150">
        <v>84.237700342899998</v>
      </c>
      <c r="T17" s="150" t="s">
        <v>2842</v>
      </c>
      <c r="U17" s="150" t="s">
        <v>2842</v>
      </c>
      <c r="V17" s="150" t="s">
        <v>2842</v>
      </c>
    </row>
    <row r="18" spans="1:22">
      <c r="A18" s="150" t="s">
        <v>2874</v>
      </c>
      <c r="B18" s="150" t="s">
        <v>2894</v>
      </c>
      <c r="C18" s="150" t="str">
        <f t="shared" si="0"/>
        <v>1999_ Guinea</v>
      </c>
      <c r="D18" s="150">
        <v>113.18</v>
      </c>
      <c r="E18" s="150">
        <v>748.85</v>
      </c>
      <c r="F18" s="150">
        <f t="shared" si="1"/>
        <v>748850000</v>
      </c>
      <c r="G18" s="150">
        <v>635.66999999999996</v>
      </c>
      <c r="H18" s="150">
        <v>364.38799999999998</v>
      </c>
      <c r="I18" s="150">
        <v>946.09</v>
      </c>
      <c r="J18" s="150">
        <v>581.702</v>
      </c>
      <c r="K18" s="150">
        <v>-251.208</v>
      </c>
      <c r="L18" s="150">
        <v>-197.24</v>
      </c>
      <c r="M18" s="150">
        <v>53.968000000000004</v>
      </c>
      <c r="N18" s="150">
        <v>15.1138412232</v>
      </c>
      <c r="O18" s="150">
        <v>100</v>
      </c>
      <c r="P18" s="150">
        <v>84.886158776800002</v>
      </c>
      <c r="Q18" s="150">
        <v>38.515151835399998</v>
      </c>
      <c r="R18" s="150">
        <v>100</v>
      </c>
      <c r="S18" s="150">
        <v>61.484848164600002</v>
      </c>
      <c r="T18" s="150" t="s">
        <v>2842</v>
      </c>
      <c r="U18" s="150" t="s">
        <v>2842</v>
      </c>
      <c r="V18" s="150" t="s">
        <v>2842</v>
      </c>
    </row>
    <row r="19" spans="1:22">
      <c r="A19" s="150" t="s">
        <v>2874</v>
      </c>
      <c r="B19" s="150" t="s">
        <v>237</v>
      </c>
      <c r="C19" s="150" t="str">
        <f t="shared" si="0"/>
        <v>1999_Indonesia</v>
      </c>
      <c r="D19" s="150" t="s">
        <v>2875</v>
      </c>
      <c r="E19" s="150" t="s">
        <v>2842</v>
      </c>
      <c r="F19" s="150" t="str">
        <f t="shared" si="1"/>
        <v>..</v>
      </c>
      <c r="G19" s="150" t="s">
        <v>2875</v>
      </c>
      <c r="H19" s="150" t="s">
        <v>2875</v>
      </c>
      <c r="I19" s="150" t="s">
        <v>2875</v>
      </c>
      <c r="J19" s="150" t="s">
        <v>2875</v>
      </c>
      <c r="K19" s="150" t="s">
        <v>2875</v>
      </c>
      <c r="L19" s="150" t="s">
        <v>2875</v>
      </c>
      <c r="M19" s="150" t="s">
        <v>2875</v>
      </c>
      <c r="N19" s="150" t="s">
        <v>2875</v>
      </c>
      <c r="O19" s="150" t="s">
        <v>2875</v>
      </c>
      <c r="P19" s="150" t="s">
        <v>2875</v>
      </c>
      <c r="Q19" s="150" t="s">
        <v>2875</v>
      </c>
      <c r="R19" s="150" t="s">
        <v>2875</v>
      </c>
      <c r="S19" s="150" t="s">
        <v>2875</v>
      </c>
      <c r="T19" s="150" t="s">
        <v>2875</v>
      </c>
      <c r="U19" s="150" t="s">
        <v>2875</v>
      </c>
      <c r="V19" s="150" t="s">
        <v>2875</v>
      </c>
    </row>
    <row r="20" spans="1:22">
      <c r="A20" s="150" t="s">
        <v>2874</v>
      </c>
      <c r="B20" s="150" t="s">
        <v>245</v>
      </c>
      <c r="C20" s="150" t="str">
        <f t="shared" si="0"/>
        <v>1999_Iraq</v>
      </c>
      <c r="D20" s="150" t="s">
        <v>561</v>
      </c>
      <c r="E20" s="150" t="s">
        <v>2842</v>
      </c>
      <c r="F20" s="150" t="str">
        <f t="shared" si="1"/>
        <v>..</v>
      </c>
      <c r="G20" s="150">
        <v>13067</v>
      </c>
      <c r="H20" s="150" t="s">
        <v>561</v>
      </c>
      <c r="I20" s="150" t="s">
        <v>561</v>
      </c>
      <c r="J20" s="150">
        <v>9097.4</v>
      </c>
      <c r="K20" s="150" t="s">
        <v>561</v>
      </c>
      <c r="L20" s="150" t="s">
        <v>561</v>
      </c>
      <c r="M20" s="150">
        <v>3969.6</v>
      </c>
      <c r="N20" s="150" t="s">
        <v>561</v>
      </c>
      <c r="O20" s="150" t="s">
        <v>561</v>
      </c>
      <c r="P20" s="150">
        <v>98.927971170299998</v>
      </c>
      <c r="Q20" s="150" t="s">
        <v>561</v>
      </c>
      <c r="R20" s="150" t="s">
        <v>561</v>
      </c>
      <c r="S20" s="150">
        <v>85.9104387406</v>
      </c>
      <c r="T20" s="150" t="s">
        <v>2842</v>
      </c>
      <c r="U20" s="150" t="s">
        <v>2842</v>
      </c>
      <c r="V20" s="150" t="s">
        <v>2842</v>
      </c>
    </row>
    <row r="21" spans="1:22">
      <c r="A21" s="150" t="s">
        <v>2874</v>
      </c>
      <c r="B21" s="150" t="s">
        <v>273</v>
      </c>
      <c r="C21" s="150" t="str">
        <f t="shared" si="0"/>
        <v>1999_Kazakhstan</v>
      </c>
      <c r="D21" s="150" t="s">
        <v>561</v>
      </c>
      <c r="E21" s="150" t="s">
        <v>2842</v>
      </c>
      <c r="F21" s="150" t="str">
        <f t="shared" si="1"/>
        <v>..</v>
      </c>
      <c r="G21" s="150">
        <v>5988.7</v>
      </c>
      <c r="H21" s="150" t="s">
        <v>561</v>
      </c>
      <c r="I21" s="150" t="s">
        <v>561</v>
      </c>
      <c r="J21" s="150">
        <v>5645</v>
      </c>
      <c r="K21" s="150" t="s">
        <v>561</v>
      </c>
      <c r="L21" s="150" t="s">
        <v>561</v>
      </c>
      <c r="M21" s="150">
        <v>343.7</v>
      </c>
      <c r="N21" s="150" t="s">
        <v>561</v>
      </c>
      <c r="O21" s="150" t="s">
        <v>561</v>
      </c>
      <c r="P21" s="150">
        <v>85.597765945700004</v>
      </c>
      <c r="Q21" s="150" t="s">
        <v>561</v>
      </c>
      <c r="R21" s="150" t="s">
        <v>561</v>
      </c>
      <c r="S21" s="150">
        <v>83.500770134000007</v>
      </c>
      <c r="T21" s="150" t="s">
        <v>2842</v>
      </c>
      <c r="U21" s="150" t="s">
        <v>2842</v>
      </c>
      <c r="V21" s="150" t="s">
        <v>2842</v>
      </c>
    </row>
    <row r="22" spans="1:22">
      <c r="A22" s="150" t="s">
        <v>2874</v>
      </c>
      <c r="B22" s="150" t="s">
        <v>2895</v>
      </c>
      <c r="C22" s="150" t="str">
        <f t="shared" si="0"/>
        <v>1999_Kyrgyzstan</v>
      </c>
      <c r="D22" s="150">
        <v>64.948999999999998</v>
      </c>
      <c r="E22" s="150">
        <v>527.50199999999995</v>
      </c>
      <c r="F22" s="150">
        <f t="shared" si="1"/>
        <v>527501999.99999994</v>
      </c>
      <c r="G22" s="150">
        <v>462.553</v>
      </c>
      <c r="H22" s="150">
        <v>155.10599999999999</v>
      </c>
      <c r="I22" s="150">
        <v>705.69299999999998</v>
      </c>
      <c r="J22" s="150">
        <v>550.58699999999999</v>
      </c>
      <c r="K22" s="150">
        <v>-90.156999999999996</v>
      </c>
      <c r="L22" s="150">
        <v>-178.191</v>
      </c>
      <c r="M22" s="150">
        <v>-88.034000000000006</v>
      </c>
      <c r="N22" s="150">
        <v>12.312559952399999</v>
      </c>
      <c r="O22" s="150">
        <v>100</v>
      </c>
      <c r="P22" s="150">
        <v>87.687440047600006</v>
      </c>
      <c r="Q22" s="150">
        <v>21.9792459327</v>
      </c>
      <c r="R22" s="150">
        <v>100</v>
      </c>
      <c r="S22" s="150">
        <v>78.020754067300004</v>
      </c>
      <c r="T22" s="150" t="s">
        <v>2842</v>
      </c>
      <c r="U22" s="150" t="s">
        <v>2842</v>
      </c>
      <c r="V22" s="150" t="s">
        <v>2842</v>
      </c>
    </row>
    <row r="23" spans="1:22">
      <c r="A23" s="150" t="s">
        <v>2874</v>
      </c>
      <c r="B23" s="150" t="s">
        <v>294</v>
      </c>
      <c r="C23" s="150" t="str">
        <f t="shared" si="0"/>
        <v>1999_Liberia</v>
      </c>
      <c r="D23" s="150" t="s">
        <v>561</v>
      </c>
      <c r="E23" s="150" t="s">
        <v>2842</v>
      </c>
      <c r="F23" s="150" t="str">
        <f t="shared" si="1"/>
        <v>..</v>
      </c>
      <c r="G23" s="150" t="s">
        <v>561</v>
      </c>
      <c r="H23" s="150" t="s">
        <v>561</v>
      </c>
      <c r="I23" s="150" t="s">
        <v>561</v>
      </c>
      <c r="J23" s="150">
        <v>421.7</v>
      </c>
      <c r="K23" s="150" t="s">
        <v>561</v>
      </c>
      <c r="L23" s="150" t="s">
        <v>561</v>
      </c>
      <c r="M23" s="150" t="s">
        <v>561</v>
      </c>
      <c r="N23" s="150" t="s">
        <v>561</v>
      </c>
      <c r="O23" s="150" t="s">
        <v>561</v>
      </c>
      <c r="P23" s="150" t="s">
        <v>561</v>
      </c>
      <c r="Q23" s="150" t="s">
        <v>561</v>
      </c>
      <c r="R23" s="150" t="s">
        <v>561</v>
      </c>
      <c r="S23" s="150">
        <v>76.377094366099996</v>
      </c>
      <c r="T23" s="150" t="s">
        <v>2842</v>
      </c>
      <c r="U23" s="150" t="s">
        <v>2842</v>
      </c>
      <c r="V23" s="150" t="s">
        <v>2842</v>
      </c>
    </row>
    <row r="24" spans="1:22">
      <c r="A24" s="150" t="s">
        <v>2874</v>
      </c>
      <c r="B24" s="150" t="s">
        <v>309</v>
      </c>
      <c r="C24" s="150" t="str">
        <f t="shared" si="0"/>
        <v>1999_Madagascar</v>
      </c>
      <c r="D24" s="150">
        <v>326.09500000000003</v>
      </c>
      <c r="E24" s="150">
        <v>910.09299999999996</v>
      </c>
      <c r="F24" s="150">
        <f t="shared" si="1"/>
        <v>910093000</v>
      </c>
      <c r="G24" s="150">
        <v>583.99800000000005</v>
      </c>
      <c r="H24" s="150">
        <v>456.18099999999998</v>
      </c>
      <c r="I24" s="150">
        <v>1198.6489999999999</v>
      </c>
      <c r="J24" s="150">
        <v>742.46799999999996</v>
      </c>
      <c r="K24" s="150">
        <v>-130.08600000000001</v>
      </c>
      <c r="L24" s="150">
        <v>-288.55599999999998</v>
      </c>
      <c r="M24" s="150">
        <v>-158.47</v>
      </c>
      <c r="N24" s="150">
        <v>35.830953539900001</v>
      </c>
      <c r="O24" s="150">
        <v>100</v>
      </c>
      <c r="P24" s="150">
        <v>64.169046460100006</v>
      </c>
      <c r="Q24" s="150">
        <v>38.057930219799999</v>
      </c>
      <c r="R24" s="150">
        <v>100</v>
      </c>
      <c r="S24" s="150">
        <v>61.942069780200001</v>
      </c>
      <c r="T24" s="150" t="s">
        <v>2842</v>
      </c>
      <c r="U24" s="150" t="s">
        <v>2842</v>
      </c>
      <c r="V24" s="150" t="s">
        <v>2842</v>
      </c>
    </row>
    <row r="25" spans="1:22">
      <c r="A25" s="150" t="s">
        <v>2874</v>
      </c>
      <c r="B25" s="150" t="s">
        <v>322</v>
      </c>
      <c r="C25" s="150" t="str">
        <f t="shared" si="0"/>
        <v>1999_Mali</v>
      </c>
      <c r="D25" s="150">
        <v>109.992</v>
      </c>
      <c r="E25" s="150">
        <v>681.00599999999997</v>
      </c>
      <c r="F25" s="150">
        <f t="shared" si="1"/>
        <v>681006000</v>
      </c>
      <c r="G25" s="150">
        <v>571.01400000000001</v>
      </c>
      <c r="H25" s="150">
        <v>371.99200000000002</v>
      </c>
      <c r="I25" s="150">
        <v>977.51700000000005</v>
      </c>
      <c r="J25" s="150">
        <v>605.52499999999998</v>
      </c>
      <c r="K25" s="150">
        <v>-262</v>
      </c>
      <c r="L25" s="150">
        <v>-296.51100000000002</v>
      </c>
      <c r="M25" s="150">
        <v>-34.511000000000003</v>
      </c>
      <c r="N25" s="150">
        <v>16.151399547099999</v>
      </c>
      <c r="O25" s="150">
        <v>100</v>
      </c>
      <c r="P25" s="150">
        <v>83.848600452900001</v>
      </c>
      <c r="Q25" s="150">
        <v>38.054785748</v>
      </c>
      <c r="R25" s="150">
        <v>100</v>
      </c>
      <c r="S25" s="150">
        <v>61.945214252</v>
      </c>
      <c r="T25" s="150" t="s">
        <v>2842</v>
      </c>
      <c r="U25" s="150" t="s">
        <v>2842</v>
      </c>
      <c r="V25" s="150" t="s">
        <v>2842</v>
      </c>
    </row>
    <row r="26" spans="1:22">
      <c r="A26" s="150" t="s">
        <v>2874</v>
      </c>
      <c r="B26" s="150" t="s">
        <v>338</v>
      </c>
      <c r="C26" s="150" t="str">
        <f t="shared" si="0"/>
        <v>1999_Mauritania</v>
      </c>
      <c r="D26" s="150">
        <v>37.262894459999998</v>
      </c>
      <c r="E26" s="150">
        <v>395.06289446</v>
      </c>
      <c r="F26" s="150">
        <f t="shared" si="1"/>
        <v>395062894.45999998</v>
      </c>
      <c r="G26" s="150">
        <v>357.8</v>
      </c>
      <c r="H26" s="150">
        <v>155.3978438</v>
      </c>
      <c r="I26" s="150">
        <v>540.79784380000001</v>
      </c>
      <c r="J26" s="150">
        <v>385.4</v>
      </c>
      <c r="K26" s="150">
        <v>-118.13494934000001</v>
      </c>
      <c r="L26" s="150">
        <v>-145.73494934000001</v>
      </c>
      <c r="M26" s="150">
        <v>-27.6</v>
      </c>
      <c r="N26" s="150">
        <v>9.4321423203000005</v>
      </c>
      <c r="O26" s="150">
        <v>100</v>
      </c>
      <c r="P26" s="150">
        <v>90.567857679699998</v>
      </c>
      <c r="Q26" s="150">
        <v>28.734922962700001</v>
      </c>
      <c r="R26" s="150">
        <v>100</v>
      </c>
      <c r="S26" s="150">
        <v>71.265077037300003</v>
      </c>
      <c r="T26" s="150" t="s">
        <v>2842</v>
      </c>
      <c r="U26" s="150" t="s">
        <v>2842</v>
      </c>
      <c r="V26" s="150" t="s">
        <v>2842</v>
      </c>
    </row>
    <row r="27" spans="1:22">
      <c r="A27" s="150" t="s">
        <v>2874</v>
      </c>
      <c r="B27" s="150" t="s">
        <v>357</v>
      </c>
      <c r="C27" s="150" t="str">
        <f t="shared" si="0"/>
        <v>1999_Mongolia</v>
      </c>
      <c r="D27" s="150">
        <v>75.8</v>
      </c>
      <c r="E27" s="150">
        <v>530.1</v>
      </c>
      <c r="F27" s="150">
        <f t="shared" si="1"/>
        <v>530100000</v>
      </c>
      <c r="G27" s="150">
        <v>454.3</v>
      </c>
      <c r="H27" s="150">
        <v>145.69999999999999</v>
      </c>
      <c r="I27" s="150">
        <v>656.4</v>
      </c>
      <c r="J27" s="150">
        <v>510.7</v>
      </c>
      <c r="K27" s="150">
        <v>-69.900000000000006</v>
      </c>
      <c r="L27" s="150">
        <v>-126.3</v>
      </c>
      <c r="M27" s="150">
        <v>-56.4</v>
      </c>
      <c r="N27" s="150">
        <v>14.2991888323</v>
      </c>
      <c r="O27" s="150">
        <v>100</v>
      </c>
      <c r="P27" s="150">
        <v>85.700811167699996</v>
      </c>
      <c r="Q27" s="150">
        <v>22.1968312005</v>
      </c>
      <c r="R27" s="150">
        <v>100</v>
      </c>
      <c r="S27" s="150">
        <v>77.8031687995</v>
      </c>
      <c r="T27" s="150" t="s">
        <v>2842</v>
      </c>
      <c r="U27" s="150" t="s">
        <v>2842</v>
      </c>
      <c r="V27" s="150" t="s">
        <v>2842</v>
      </c>
    </row>
    <row r="28" spans="1:22">
      <c r="A28" s="150" t="s">
        <v>2874</v>
      </c>
      <c r="B28" s="150" t="s">
        <v>378</v>
      </c>
      <c r="C28" s="150" t="str">
        <f t="shared" si="0"/>
        <v>1999_Mozambique</v>
      </c>
      <c r="D28" s="150">
        <v>295.2</v>
      </c>
      <c r="E28" s="150">
        <v>579</v>
      </c>
      <c r="F28" s="150">
        <f t="shared" si="1"/>
        <v>579000000</v>
      </c>
      <c r="G28" s="150">
        <v>283.8</v>
      </c>
      <c r="H28" s="150">
        <v>405.7</v>
      </c>
      <c r="I28" s="150">
        <v>1495.7</v>
      </c>
      <c r="J28" s="150">
        <v>1090</v>
      </c>
      <c r="K28" s="150">
        <v>-110.5</v>
      </c>
      <c r="L28" s="150">
        <v>-916.7</v>
      </c>
      <c r="M28" s="150">
        <v>-806.2</v>
      </c>
      <c r="N28" s="150">
        <v>50.9844559585</v>
      </c>
      <c r="O28" s="150">
        <v>100</v>
      </c>
      <c r="P28" s="150">
        <v>49.0155440415</v>
      </c>
      <c r="Q28" s="150">
        <v>27.124423346899999</v>
      </c>
      <c r="R28" s="150">
        <v>100</v>
      </c>
      <c r="S28" s="150">
        <v>72.875576653099998</v>
      </c>
      <c r="T28" s="150" t="s">
        <v>2842</v>
      </c>
      <c r="U28" s="150" t="s">
        <v>2842</v>
      </c>
      <c r="V28" s="150" t="s">
        <v>2842</v>
      </c>
    </row>
    <row r="29" spans="1:22">
      <c r="A29" s="150" t="s">
        <v>2874</v>
      </c>
      <c r="B29" s="150" t="s">
        <v>387</v>
      </c>
      <c r="C29" s="150" t="str">
        <f t="shared" si="0"/>
        <v>1999_Niger</v>
      </c>
      <c r="D29" s="150">
        <v>34.103000000000002</v>
      </c>
      <c r="E29" s="150">
        <v>320.89400000000001</v>
      </c>
      <c r="F29" s="150">
        <f t="shared" si="1"/>
        <v>320894000</v>
      </c>
      <c r="G29" s="150">
        <v>286.791</v>
      </c>
      <c r="H29" s="150">
        <v>139.62299999999999</v>
      </c>
      <c r="I29" s="150">
        <v>475.029</v>
      </c>
      <c r="J29" s="150">
        <v>335.40600000000001</v>
      </c>
      <c r="K29" s="150">
        <v>-105.52</v>
      </c>
      <c r="L29" s="150">
        <v>-154.13499999999999</v>
      </c>
      <c r="M29" s="150">
        <v>-48.615000000000002</v>
      </c>
      <c r="N29" s="150">
        <v>10.6274969305</v>
      </c>
      <c r="O29" s="150">
        <v>100</v>
      </c>
      <c r="P29" s="150">
        <v>89.372503069499999</v>
      </c>
      <c r="Q29" s="150">
        <v>29.3925212987</v>
      </c>
      <c r="R29" s="150">
        <v>100</v>
      </c>
      <c r="S29" s="150">
        <v>70.607478701299996</v>
      </c>
      <c r="T29" s="150" t="s">
        <v>2842</v>
      </c>
      <c r="U29" s="150" t="s">
        <v>2842</v>
      </c>
      <c r="V29" s="150" t="s">
        <v>2842</v>
      </c>
    </row>
    <row r="30" spans="1:22">
      <c r="A30" s="150" t="s">
        <v>2874</v>
      </c>
      <c r="B30" s="150" t="s">
        <v>406</v>
      </c>
      <c r="C30" s="150" t="str">
        <f t="shared" si="0"/>
        <v>1999_Nigeria</v>
      </c>
      <c r="D30" s="150">
        <v>979.61800000000005</v>
      </c>
      <c r="E30" s="150">
        <v>13855.918</v>
      </c>
      <c r="F30" s="150">
        <f t="shared" si="1"/>
        <v>13855918000</v>
      </c>
      <c r="G30" s="150">
        <v>12876.3</v>
      </c>
      <c r="H30" s="150">
        <v>3475.87</v>
      </c>
      <c r="I30" s="150">
        <v>12063.85</v>
      </c>
      <c r="J30" s="150">
        <v>8587.98</v>
      </c>
      <c r="K30" s="150">
        <v>-2496.252</v>
      </c>
      <c r="L30" s="150">
        <v>1792.068</v>
      </c>
      <c r="M30" s="150">
        <v>4288.32</v>
      </c>
      <c r="N30" s="150">
        <v>7.0700331800000003</v>
      </c>
      <c r="O30" s="150">
        <v>100</v>
      </c>
      <c r="P30" s="150">
        <v>92.929966820000004</v>
      </c>
      <c r="Q30" s="150">
        <v>28.812278004100001</v>
      </c>
      <c r="R30" s="150">
        <v>100</v>
      </c>
      <c r="S30" s="150">
        <v>71.187721995900006</v>
      </c>
      <c r="T30" s="150" t="s">
        <v>2842</v>
      </c>
      <c r="U30" s="150" t="s">
        <v>2842</v>
      </c>
      <c r="V30" s="150" t="s">
        <v>2842</v>
      </c>
    </row>
    <row r="31" spans="1:22">
      <c r="A31" s="150" t="s">
        <v>2874</v>
      </c>
      <c r="B31" s="150" t="s">
        <v>429</v>
      </c>
      <c r="C31" s="150" t="str">
        <f t="shared" si="0"/>
        <v>1999_Norway</v>
      </c>
      <c r="D31" s="150">
        <v>16351.4</v>
      </c>
      <c r="E31" s="150">
        <v>62487.8</v>
      </c>
      <c r="F31" s="150">
        <f t="shared" si="1"/>
        <v>62487800000</v>
      </c>
      <c r="G31" s="150">
        <v>46136.4</v>
      </c>
      <c r="H31" s="150">
        <v>15363.7</v>
      </c>
      <c r="I31" s="150">
        <v>50859.6</v>
      </c>
      <c r="J31" s="150">
        <v>35495.9</v>
      </c>
      <c r="K31" s="150">
        <v>987.7</v>
      </c>
      <c r="L31" s="150">
        <v>11628.2</v>
      </c>
      <c r="M31" s="150">
        <v>10640.5</v>
      </c>
      <c r="N31" s="150">
        <v>26.167347866299998</v>
      </c>
      <c r="O31" s="150">
        <v>100</v>
      </c>
      <c r="P31" s="150">
        <v>73.832652133699995</v>
      </c>
      <c r="Q31" s="150">
        <v>30.208062981200001</v>
      </c>
      <c r="R31" s="150">
        <v>100</v>
      </c>
      <c r="S31" s="150">
        <v>69.791937018799999</v>
      </c>
      <c r="T31" s="150" t="s">
        <v>2842</v>
      </c>
      <c r="U31" s="150" t="s">
        <v>2842</v>
      </c>
      <c r="V31" s="150" t="s">
        <v>2842</v>
      </c>
    </row>
    <row r="32" spans="1:22">
      <c r="A32" s="150" t="s">
        <v>2874</v>
      </c>
      <c r="B32" s="150" t="s">
        <v>442</v>
      </c>
      <c r="C32" s="150" t="str">
        <f t="shared" si="0"/>
        <v>1999_Peru</v>
      </c>
      <c r="D32" s="150">
        <v>1624.38</v>
      </c>
      <c r="E32" s="150">
        <v>7711.9</v>
      </c>
      <c r="F32" s="150">
        <f t="shared" si="1"/>
        <v>7711900000</v>
      </c>
      <c r="G32" s="150">
        <v>6087.52</v>
      </c>
      <c r="H32" s="150">
        <v>2212.04</v>
      </c>
      <c r="I32" s="150">
        <v>8922.52</v>
      </c>
      <c r="J32" s="150">
        <v>6710.48</v>
      </c>
      <c r="K32" s="150">
        <v>-587.66</v>
      </c>
      <c r="L32" s="150">
        <v>-1210.6199999999999</v>
      </c>
      <c r="M32" s="150">
        <v>-622.96</v>
      </c>
      <c r="N32" s="150">
        <v>21.063291795800001</v>
      </c>
      <c r="O32" s="150">
        <v>100</v>
      </c>
      <c r="P32" s="150">
        <v>78.936708204200002</v>
      </c>
      <c r="Q32" s="150">
        <v>24.791650789199998</v>
      </c>
      <c r="R32" s="150">
        <v>100</v>
      </c>
      <c r="S32" s="150">
        <v>75.208349210799994</v>
      </c>
      <c r="T32" s="150" t="s">
        <v>2842</v>
      </c>
      <c r="U32" s="150" t="s">
        <v>2842</v>
      </c>
      <c r="V32" s="150" t="s">
        <v>2842</v>
      </c>
    </row>
    <row r="33" spans="1:22">
      <c r="A33" s="150" t="s">
        <v>2874</v>
      </c>
      <c r="B33" s="150" t="s">
        <v>481</v>
      </c>
      <c r="C33" s="150" t="str">
        <f t="shared" si="0"/>
        <v>1999_Sierra Leone</v>
      </c>
      <c r="D33" s="150">
        <v>22.341999999999999</v>
      </c>
      <c r="E33" s="150">
        <v>28.632000000000001</v>
      </c>
      <c r="F33" s="150">
        <f t="shared" si="1"/>
        <v>28632000</v>
      </c>
      <c r="G33" s="150">
        <v>6.29</v>
      </c>
      <c r="H33" s="150">
        <v>100.91200000000001</v>
      </c>
      <c r="I33" s="150">
        <v>187.708</v>
      </c>
      <c r="J33" s="150">
        <v>86.796000000000006</v>
      </c>
      <c r="K33" s="150">
        <v>-78.569999999999993</v>
      </c>
      <c r="L33" s="150">
        <v>-159.07599999999999</v>
      </c>
      <c r="M33" s="150">
        <v>-80.506</v>
      </c>
      <c r="N33" s="150">
        <v>78.031573065100005</v>
      </c>
      <c r="O33" s="150">
        <v>100</v>
      </c>
      <c r="P33" s="150">
        <v>21.968426934899998</v>
      </c>
      <c r="Q33" s="150">
        <v>53.760095467399999</v>
      </c>
      <c r="R33" s="150">
        <v>100</v>
      </c>
      <c r="S33" s="150">
        <v>46.239904532600001</v>
      </c>
      <c r="T33" s="150" t="s">
        <v>2842</v>
      </c>
      <c r="U33" s="150" t="s">
        <v>2842</v>
      </c>
      <c r="V33" s="150" t="s">
        <v>2842</v>
      </c>
    </row>
    <row r="34" spans="1:22">
      <c r="A34" s="150" t="s">
        <v>2874</v>
      </c>
      <c r="B34" s="150" t="s">
        <v>2844</v>
      </c>
      <c r="C34" s="150" t="str">
        <f t="shared" si="0"/>
        <v>1999_Timor-Leste</v>
      </c>
      <c r="D34" s="150" t="s">
        <v>2875</v>
      </c>
      <c r="E34" s="150" t="s">
        <v>2842</v>
      </c>
      <c r="F34" s="150" t="str">
        <f t="shared" si="1"/>
        <v>..</v>
      </c>
      <c r="G34" s="150" t="s">
        <v>2875</v>
      </c>
      <c r="H34" s="150" t="s">
        <v>2875</v>
      </c>
      <c r="I34" s="150" t="s">
        <v>2875</v>
      </c>
      <c r="J34" s="150" t="s">
        <v>2875</v>
      </c>
      <c r="K34" s="150" t="s">
        <v>2875</v>
      </c>
      <c r="L34" s="150" t="s">
        <v>2875</v>
      </c>
      <c r="M34" s="150" t="s">
        <v>2875</v>
      </c>
      <c r="N34" s="150" t="s">
        <v>2875</v>
      </c>
      <c r="O34" s="150" t="s">
        <v>2875</v>
      </c>
      <c r="P34" s="150" t="s">
        <v>2875</v>
      </c>
      <c r="Q34" s="150" t="s">
        <v>2875</v>
      </c>
      <c r="R34" s="150" t="s">
        <v>2875</v>
      </c>
      <c r="S34" s="150" t="s">
        <v>2875</v>
      </c>
      <c r="T34" s="150" t="s">
        <v>2875</v>
      </c>
      <c r="U34" s="150" t="s">
        <v>2875</v>
      </c>
      <c r="V34" s="150" t="s">
        <v>2875</v>
      </c>
    </row>
    <row r="35" spans="1:22">
      <c r="A35" s="150" t="s">
        <v>2874</v>
      </c>
      <c r="B35" s="150" t="s">
        <v>510</v>
      </c>
      <c r="C35" s="150" t="str">
        <f t="shared" si="0"/>
        <v>1999_Togo</v>
      </c>
      <c r="D35" s="150">
        <v>68.421000000000006</v>
      </c>
      <c r="E35" s="150">
        <v>459.89600000000002</v>
      </c>
      <c r="F35" s="150">
        <f t="shared" si="1"/>
        <v>459896000</v>
      </c>
      <c r="G35" s="150">
        <v>391.47500000000002</v>
      </c>
      <c r="H35" s="150">
        <v>130.583</v>
      </c>
      <c r="I35" s="150">
        <v>620.01</v>
      </c>
      <c r="J35" s="150">
        <v>489.42700000000002</v>
      </c>
      <c r="K35" s="150">
        <v>-62.161999999999999</v>
      </c>
      <c r="L35" s="150">
        <v>-160.114</v>
      </c>
      <c r="M35" s="150">
        <v>-97.951999999999998</v>
      </c>
      <c r="N35" s="150">
        <v>14.8774940421</v>
      </c>
      <c r="O35" s="150">
        <v>100</v>
      </c>
      <c r="P35" s="150">
        <v>85.122505957900003</v>
      </c>
      <c r="Q35" s="150">
        <v>21.061434493</v>
      </c>
      <c r="R35" s="150">
        <v>100</v>
      </c>
      <c r="S35" s="150">
        <v>78.938565507000007</v>
      </c>
      <c r="T35" s="150" t="s">
        <v>2842</v>
      </c>
      <c r="U35" s="150" t="s">
        <v>2842</v>
      </c>
      <c r="V35" s="150" t="s">
        <v>2842</v>
      </c>
    </row>
    <row r="36" spans="1:22">
      <c r="A36" s="150" t="s">
        <v>2874</v>
      </c>
      <c r="B36" s="150" t="s">
        <v>2845</v>
      </c>
      <c r="C36" s="150" t="str">
        <f t="shared" si="0"/>
        <v>1999_Trinidad and Tobago</v>
      </c>
      <c r="D36" s="150">
        <v>603.20000000000005</v>
      </c>
      <c r="E36" s="150">
        <v>3419</v>
      </c>
      <c r="F36" s="150">
        <f t="shared" si="1"/>
        <v>3419000000</v>
      </c>
      <c r="G36" s="150">
        <v>2815.8</v>
      </c>
      <c r="H36" s="150">
        <v>274</v>
      </c>
      <c r="I36" s="150">
        <v>3026.2</v>
      </c>
      <c r="J36" s="150">
        <v>2752.2</v>
      </c>
      <c r="K36" s="150">
        <v>329.2</v>
      </c>
      <c r="L36" s="150">
        <v>392.8</v>
      </c>
      <c r="M36" s="150">
        <v>63.6</v>
      </c>
      <c r="N36" s="150">
        <v>17.642585551300002</v>
      </c>
      <c r="O36" s="150">
        <v>100</v>
      </c>
      <c r="P36" s="150">
        <v>82.357414448699998</v>
      </c>
      <c r="Q36" s="150">
        <v>9.0542594672999996</v>
      </c>
      <c r="R36" s="150">
        <v>100</v>
      </c>
      <c r="S36" s="150">
        <v>90.9457405327</v>
      </c>
      <c r="T36" s="150" t="s">
        <v>2842</v>
      </c>
      <c r="U36" s="150" t="s">
        <v>2842</v>
      </c>
      <c r="V36" s="150" t="s">
        <v>2842</v>
      </c>
    </row>
    <row r="37" spans="1:22">
      <c r="A37" s="150" t="s">
        <v>2874</v>
      </c>
      <c r="B37" s="150" t="s">
        <v>492</v>
      </c>
      <c r="C37" s="150" t="str">
        <f t="shared" si="0"/>
        <v>1999_Tanzania</v>
      </c>
      <c r="D37" s="150">
        <v>600.30100000000004</v>
      </c>
      <c r="E37" s="150">
        <v>1201.8009999999999</v>
      </c>
      <c r="F37" s="150">
        <f t="shared" si="1"/>
        <v>1201801000</v>
      </c>
      <c r="G37" s="150">
        <v>601.5</v>
      </c>
      <c r="H37" s="150">
        <v>795.00099999999998</v>
      </c>
      <c r="I37" s="150">
        <v>2210.4009999999998</v>
      </c>
      <c r="J37" s="150">
        <v>1415.4</v>
      </c>
      <c r="K37" s="150">
        <v>-194.7</v>
      </c>
      <c r="L37" s="150">
        <v>-1008.6</v>
      </c>
      <c r="M37" s="150">
        <v>-813.9</v>
      </c>
      <c r="N37" s="150">
        <v>49.950116533399999</v>
      </c>
      <c r="O37" s="150">
        <v>100</v>
      </c>
      <c r="P37" s="150">
        <v>50.049883466600001</v>
      </c>
      <c r="Q37" s="150">
        <v>35.966369903</v>
      </c>
      <c r="R37" s="150">
        <v>100</v>
      </c>
      <c r="S37" s="150">
        <v>64.033630097</v>
      </c>
      <c r="T37" s="150" t="s">
        <v>2842</v>
      </c>
      <c r="U37" s="150" t="s">
        <v>2842</v>
      </c>
      <c r="V37" s="150" t="s">
        <v>2842</v>
      </c>
    </row>
    <row r="38" spans="1:22">
      <c r="A38" s="150" t="s">
        <v>2874</v>
      </c>
      <c r="B38" s="150" t="s">
        <v>522</v>
      </c>
      <c r="C38" s="150" t="str">
        <f t="shared" si="0"/>
        <v>1999_Yemen</v>
      </c>
      <c r="D38" s="150">
        <v>183.2</v>
      </c>
      <c r="E38" s="150">
        <v>2661.5</v>
      </c>
      <c r="F38" s="150">
        <f t="shared" si="1"/>
        <v>2661500000</v>
      </c>
      <c r="G38" s="150">
        <v>2478.3000000000002</v>
      </c>
      <c r="H38" s="150">
        <v>718.65499999999997</v>
      </c>
      <c r="I38" s="150">
        <v>2839.125</v>
      </c>
      <c r="J38" s="150">
        <v>2120.4699999999998</v>
      </c>
      <c r="K38" s="150">
        <v>-535.45500000000004</v>
      </c>
      <c r="L38" s="150">
        <v>-177.625</v>
      </c>
      <c r="M38" s="150">
        <v>357.83</v>
      </c>
      <c r="N38" s="150">
        <v>6.8833364644000001</v>
      </c>
      <c r="O38" s="150">
        <v>100</v>
      </c>
      <c r="P38" s="150">
        <v>93.116663535599997</v>
      </c>
      <c r="Q38" s="150">
        <v>25.312552282799999</v>
      </c>
      <c r="R38" s="150">
        <v>100</v>
      </c>
      <c r="S38" s="150">
        <v>74.687447717200001</v>
      </c>
      <c r="T38" s="150" t="s">
        <v>2842</v>
      </c>
      <c r="U38" s="150" t="s">
        <v>2842</v>
      </c>
      <c r="V38" s="150" t="s">
        <v>2842</v>
      </c>
    </row>
    <row r="39" spans="1:22">
      <c r="A39" s="150" t="s">
        <v>2874</v>
      </c>
      <c r="B39" s="150" t="s">
        <v>534</v>
      </c>
      <c r="C39" s="150" t="str">
        <f t="shared" si="0"/>
        <v>1999_Zambia</v>
      </c>
      <c r="D39" s="150">
        <v>106.6</v>
      </c>
      <c r="E39" s="150">
        <v>878.6</v>
      </c>
      <c r="F39" s="150">
        <f t="shared" si="1"/>
        <v>878600000</v>
      </c>
      <c r="G39" s="150">
        <v>772</v>
      </c>
      <c r="H39" s="150">
        <v>305.8</v>
      </c>
      <c r="I39" s="150">
        <v>1175.8</v>
      </c>
      <c r="J39" s="150">
        <v>870</v>
      </c>
      <c r="K39" s="150">
        <v>-199.2</v>
      </c>
      <c r="L39" s="150">
        <v>-297.2</v>
      </c>
      <c r="M39" s="150">
        <v>-98</v>
      </c>
      <c r="N39" s="150">
        <v>12.132938766200001</v>
      </c>
      <c r="O39" s="150">
        <v>100</v>
      </c>
      <c r="P39" s="150">
        <v>87.867061233800001</v>
      </c>
      <c r="Q39" s="150">
        <v>26.0078244599</v>
      </c>
      <c r="R39" s="150">
        <v>100</v>
      </c>
      <c r="S39" s="150">
        <v>73.992175540100007</v>
      </c>
      <c r="T39" s="150" t="s">
        <v>2842</v>
      </c>
      <c r="U39" s="150" t="s">
        <v>2842</v>
      </c>
      <c r="V39" s="150" t="s">
        <v>2842</v>
      </c>
    </row>
    <row r="40" spans="1:22">
      <c r="A40" s="150" t="s">
        <v>2876</v>
      </c>
      <c r="B40" s="150" t="s">
        <v>16</v>
      </c>
      <c r="C40" s="150" t="str">
        <f t="shared" si="0"/>
        <v>2000_Afghanistan</v>
      </c>
      <c r="D40" s="150" t="s">
        <v>561</v>
      </c>
      <c r="E40" s="150" t="s">
        <v>2842</v>
      </c>
      <c r="F40" s="150" t="str">
        <f t="shared" si="1"/>
        <v>..</v>
      </c>
      <c r="G40" s="150" t="s">
        <v>561</v>
      </c>
      <c r="H40" s="150" t="s">
        <v>561</v>
      </c>
      <c r="I40" s="150" t="s">
        <v>561</v>
      </c>
      <c r="J40" s="150" t="s">
        <v>561</v>
      </c>
      <c r="K40" s="150" t="s">
        <v>561</v>
      </c>
      <c r="L40" s="150" t="s">
        <v>561</v>
      </c>
      <c r="M40" s="150" t="s">
        <v>561</v>
      </c>
      <c r="N40" s="150" t="s">
        <v>561</v>
      </c>
      <c r="O40" s="150" t="s">
        <v>561</v>
      </c>
      <c r="P40" s="150" t="s">
        <v>561</v>
      </c>
      <c r="Q40" s="150" t="s">
        <v>561</v>
      </c>
      <c r="R40" s="150" t="s">
        <v>561</v>
      </c>
      <c r="S40" s="150" t="s">
        <v>561</v>
      </c>
      <c r="T40" s="150" t="s">
        <v>2842</v>
      </c>
      <c r="U40" s="150" t="s">
        <v>2842</v>
      </c>
      <c r="V40" s="150" t="s">
        <v>2842</v>
      </c>
    </row>
    <row r="41" spans="1:22">
      <c r="A41" s="150" t="s">
        <v>2876</v>
      </c>
      <c r="B41" s="150" t="s">
        <v>33</v>
      </c>
      <c r="C41" s="150" t="str">
        <f t="shared" si="0"/>
        <v>2000_Albania</v>
      </c>
      <c r="D41" s="150">
        <v>447.8</v>
      </c>
      <c r="E41" s="150">
        <v>703.5</v>
      </c>
      <c r="F41" s="150">
        <f t="shared" si="1"/>
        <v>703500000</v>
      </c>
      <c r="G41" s="150">
        <v>255.7</v>
      </c>
      <c r="H41" s="150">
        <v>429.3</v>
      </c>
      <c r="I41" s="150">
        <v>1499.3</v>
      </c>
      <c r="J41" s="150">
        <v>1070</v>
      </c>
      <c r="K41" s="150">
        <v>18.5</v>
      </c>
      <c r="L41" s="150">
        <v>-795.8</v>
      </c>
      <c r="M41" s="150">
        <v>-814.3</v>
      </c>
      <c r="N41" s="150">
        <v>63.653162757600001</v>
      </c>
      <c r="O41" s="150">
        <v>100</v>
      </c>
      <c r="P41" s="150">
        <v>36.346837242399999</v>
      </c>
      <c r="Q41" s="150">
        <v>28.633362235700002</v>
      </c>
      <c r="R41" s="150">
        <v>100</v>
      </c>
      <c r="S41" s="150">
        <v>71.366637764299995</v>
      </c>
      <c r="T41" s="150" t="s">
        <v>2842</v>
      </c>
      <c r="U41" s="150" t="s">
        <v>2842</v>
      </c>
      <c r="V41" s="150" t="s">
        <v>2842</v>
      </c>
    </row>
    <row r="42" spans="1:22">
      <c r="A42" s="150" t="s">
        <v>2876</v>
      </c>
      <c r="B42" s="150" t="s">
        <v>48</v>
      </c>
      <c r="C42" s="150" t="str">
        <f t="shared" si="0"/>
        <v>2000_Azerbaijan</v>
      </c>
      <c r="D42" s="150">
        <v>259.76799999999997</v>
      </c>
      <c r="E42" s="150">
        <v>2118.098</v>
      </c>
      <c r="F42" s="150">
        <f t="shared" si="1"/>
        <v>2118098000</v>
      </c>
      <c r="G42" s="150">
        <v>1858.33</v>
      </c>
      <c r="H42" s="150">
        <v>484.50900000000001</v>
      </c>
      <c r="I42" s="150">
        <v>2023.509</v>
      </c>
      <c r="J42" s="150">
        <v>1539</v>
      </c>
      <c r="K42" s="150">
        <v>-224.74100000000001</v>
      </c>
      <c r="L42" s="150">
        <v>94.588999999999999</v>
      </c>
      <c r="M42" s="150">
        <v>319.33</v>
      </c>
      <c r="N42" s="150">
        <v>12.264210626700001</v>
      </c>
      <c r="O42" s="150">
        <v>100</v>
      </c>
      <c r="P42" s="150">
        <v>87.735789373299994</v>
      </c>
      <c r="Q42" s="150">
        <v>23.9440002491</v>
      </c>
      <c r="R42" s="150">
        <v>100</v>
      </c>
      <c r="S42" s="150">
        <v>76.0559997509</v>
      </c>
      <c r="T42" s="150" t="s">
        <v>2842</v>
      </c>
      <c r="U42" s="150" t="s">
        <v>2842</v>
      </c>
      <c r="V42" s="150" t="s">
        <v>2842</v>
      </c>
    </row>
    <row r="43" spans="1:22">
      <c r="A43" s="150" t="s">
        <v>2876</v>
      </c>
      <c r="B43" s="150" t="s">
        <v>93</v>
      </c>
      <c r="C43" s="150" t="str">
        <f t="shared" si="0"/>
        <v>2000_Burkina Faso</v>
      </c>
      <c r="D43" s="150">
        <v>31.367999999999999</v>
      </c>
      <c r="E43" s="150">
        <v>236.99299999999999</v>
      </c>
      <c r="F43" s="150">
        <f t="shared" si="1"/>
        <v>236993000</v>
      </c>
      <c r="G43" s="150">
        <v>205.625</v>
      </c>
      <c r="H43" s="150">
        <v>139.87299999999999</v>
      </c>
      <c r="I43" s="150">
        <v>657.58699999999999</v>
      </c>
      <c r="J43" s="150">
        <v>517.71400000000006</v>
      </c>
      <c r="K43" s="150">
        <v>-108.505</v>
      </c>
      <c r="L43" s="150">
        <v>-420.59399999999999</v>
      </c>
      <c r="M43" s="150">
        <v>-312.089</v>
      </c>
      <c r="N43" s="150">
        <v>13.2358339698</v>
      </c>
      <c r="O43" s="150">
        <v>100</v>
      </c>
      <c r="P43" s="150">
        <v>86.764166030200002</v>
      </c>
      <c r="Q43" s="150">
        <v>21.270645557200002</v>
      </c>
      <c r="R43" s="150">
        <v>100</v>
      </c>
      <c r="S43" s="150">
        <v>78.729354442800002</v>
      </c>
      <c r="T43" s="150" t="s">
        <v>2842</v>
      </c>
      <c r="U43" s="150" t="s">
        <v>2842</v>
      </c>
      <c r="V43" s="150" t="s">
        <v>2842</v>
      </c>
    </row>
    <row r="44" spans="1:22">
      <c r="A44" s="150" t="s">
        <v>2876</v>
      </c>
      <c r="B44" s="150" t="s">
        <v>2890</v>
      </c>
      <c r="C44" s="150" t="str">
        <f t="shared" si="0"/>
        <v>2000_ Cameroon</v>
      </c>
      <c r="D44" s="150">
        <v>681.85900000000004</v>
      </c>
      <c r="E44" s="150">
        <v>2667.6990000000001</v>
      </c>
      <c r="F44" s="150">
        <f t="shared" si="1"/>
        <v>2667699000</v>
      </c>
      <c r="G44" s="150">
        <v>1985.84</v>
      </c>
      <c r="H44" s="150">
        <v>1017.49</v>
      </c>
      <c r="I44" s="150">
        <v>2501.4299999999998</v>
      </c>
      <c r="J44" s="150">
        <v>1483.94</v>
      </c>
      <c r="K44" s="150">
        <v>-335.63099999999997</v>
      </c>
      <c r="L44" s="150">
        <v>166.26900000000001</v>
      </c>
      <c r="M44" s="150">
        <v>501.9</v>
      </c>
      <c r="N44" s="150">
        <v>25.5598176556</v>
      </c>
      <c r="O44" s="150">
        <v>100</v>
      </c>
      <c r="P44" s="150">
        <v>74.4401823444</v>
      </c>
      <c r="Q44" s="150">
        <v>40.6763331374</v>
      </c>
      <c r="R44" s="150">
        <v>100</v>
      </c>
      <c r="S44" s="150">
        <v>59.3236668626</v>
      </c>
      <c r="T44" s="150" t="s">
        <v>2842</v>
      </c>
      <c r="U44" s="150" t="s">
        <v>2842</v>
      </c>
      <c r="V44" s="150" t="s">
        <v>2842</v>
      </c>
    </row>
    <row r="45" spans="1:22">
      <c r="A45" s="150" t="s">
        <v>2876</v>
      </c>
      <c r="B45" s="150" t="s">
        <v>122</v>
      </c>
      <c r="C45" s="150" t="str">
        <f t="shared" si="0"/>
        <v>2000_Central African Republic</v>
      </c>
      <c r="D45" s="150">
        <v>30.592323329999999</v>
      </c>
      <c r="E45" s="150">
        <v>191.29156033000001</v>
      </c>
      <c r="F45" s="150">
        <f t="shared" si="1"/>
        <v>191291560.33000001</v>
      </c>
      <c r="G45" s="150">
        <v>160.69923700000001</v>
      </c>
      <c r="H45" s="150">
        <v>114.28615571</v>
      </c>
      <c r="I45" s="150">
        <v>231.27043570999999</v>
      </c>
      <c r="J45" s="150">
        <v>116.98428</v>
      </c>
      <c r="K45" s="150">
        <v>-83.693832380000003</v>
      </c>
      <c r="L45" s="150">
        <v>-39.978875379999998</v>
      </c>
      <c r="M45" s="150">
        <v>43.714956999999998</v>
      </c>
      <c r="N45" s="150">
        <v>15.9925107397</v>
      </c>
      <c r="O45" s="150">
        <v>100</v>
      </c>
      <c r="P45" s="150">
        <v>84.007489260300005</v>
      </c>
      <c r="Q45" s="150">
        <v>49.416673324100003</v>
      </c>
      <c r="R45" s="150">
        <v>100</v>
      </c>
      <c r="S45" s="150">
        <v>50.583326675899997</v>
      </c>
      <c r="T45" s="150" t="s">
        <v>2842</v>
      </c>
      <c r="U45" s="150" t="s">
        <v>2842</v>
      </c>
      <c r="V45" s="150" t="s">
        <v>2842</v>
      </c>
    </row>
    <row r="46" spans="1:22">
      <c r="A46" s="150" t="s">
        <v>2876</v>
      </c>
      <c r="B46" s="150" t="s">
        <v>2891</v>
      </c>
      <c r="C46" s="150" t="str">
        <f t="shared" si="0"/>
        <v>2000_ Chad</v>
      </c>
      <c r="D46" s="150">
        <v>51.31071833</v>
      </c>
      <c r="E46" s="150">
        <v>234.17221932999999</v>
      </c>
      <c r="F46" s="150">
        <f t="shared" si="1"/>
        <v>234172219.32999998</v>
      </c>
      <c r="G46" s="150">
        <v>182.861501</v>
      </c>
      <c r="H46" s="150">
        <v>241.32274121</v>
      </c>
      <c r="I46" s="150">
        <v>480.71704620999998</v>
      </c>
      <c r="J46" s="150">
        <v>239.394305</v>
      </c>
      <c r="K46" s="150">
        <v>-190.01202287999999</v>
      </c>
      <c r="L46" s="150">
        <v>-246.54482687999999</v>
      </c>
      <c r="M46" s="150">
        <v>-56.532803999999999</v>
      </c>
      <c r="N46" s="150">
        <v>21.911530956499998</v>
      </c>
      <c r="O46" s="150">
        <v>100</v>
      </c>
      <c r="P46" s="150">
        <v>78.088469043499998</v>
      </c>
      <c r="Q46" s="150">
        <v>50.2005791375</v>
      </c>
      <c r="R46" s="150">
        <v>100</v>
      </c>
      <c r="S46" s="150">
        <v>49.7994208625</v>
      </c>
      <c r="T46" s="150" t="s">
        <v>2842</v>
      </c>
      <c r="U46" s="150" t="s">
        <v>2842</v>
      </c>
      <c r="V46" s="150" t="s">
        <v>2842</v>
      </c>
    </row>
    <row r="47" spans="1:22">
      <c r="A47" s="150" t="s">
        <v>2876</v>
      </c>
      <c r="B47" s="150" t="s">
        <v>458</v>
      </c>
      <c r="C47" s="150" t="str">
        <f t="shared" si="0"/>
        <v>2000_Republic of the Congo</v>
      </c>
      <c r="D47" s="150">
        <v>136.512</v>
      </c>
      <c r="E47" s="150">
        <v>2628.3020000000001</v>
      </c>
      <c r="F47" s="150">
        <f t="shared" si="1"/>
        <v>2628302000</v>
      </c>
      <c r="G47" s="150">
        <v>2491.79</v>
      </c>
      <c r="H47" s="150">
        <v>738.33399999999995</v>
      </c>
      <c r="I47" s="150">
        <v>1193.6099999999999</v>
      </c>
      <c r="J47" s="150">
        <v>455.27600000000001</v>
      </c>
      <c r="K47" s="150">
        <v>-601.822</v>
      </c>
      <c r="L47" s="150">
        <v>1434.692</v>
      </c>
      <c r="M47" s="150">
        <v>2036.5139999999999</v>
      </c>
      <c r="N47" s="150">
        <v>5.1939236815000003</v>
      </c>
      <c r="O47" s="150">
        <v>100</v>
      </c>
      <c r="P47" s="150">
        <v>94.806076318500004</v>
      </c>
      <c r="Q47" s="150">
        <v>61.857223046100003</v>
      </c>
      <c r="R47" s="150">
        <v>100</v>
      </c>
      <c r="S47" s="150">
        <v>38.142776953899997</v>
      </c>
      <c r="T47" s="150" t="s">
        <v>2842</v>
      </c>
      <c r="U47" s="150" t="s">
        <v>2842</v>
      </c>
      <c r="V47" s="150" t="s">
        <v>2842</v>
      </c>
    </row>
    <row r="48" spans="1:22">
      <c r="A48" s="150" t="s">
        <v>2876</v>
      </c>
      <c r="B48" s="150" t="s">
        <v>165</v>
      </c>
      <c r="C48" s="150" t="str">
        <f t="shared" si="0"/>
        <v>2000_Democratic Republic of Congo</v>
      </c>
      <c r="D48" s="150">
        <v>62.108157650000003</v>
      </c>
      <c r="E48" s="150">
        <v>868.74427130000004</v>
      </c>
      <c r="F48" s="150">
        <f t="shared" si="1"/>
        <v>868744271.30000007</v>
      </c>
      <c r="G48" s="150">
        <v>806.63611364999997</v>
      </c>
      <c r="H48" s="150">
        <v>214.94042163</v>
      </c>
      <c r="I48" s="150">
        <v>897.74518789000001</v>
      </c>
      <c r="J48" s="150">
        <v>682.80476625999995</v>
      </c>
      <c r="K48" s="150">
        <v>-152.83226397999999</v>
      </c>
      <c r="L48" s="150">
        <v>-29.000916589999999</v>
      </c>
      <c r="M48" s="150">
        <v>123.83134739</v>
      </c>
      <c r="N48" s="150">
        <v>7.1491875919999996</v>
      </c>
      <c r="O48" s="150">
        <v>100</v>
      </c>
      <c r="P48" s="150">
        <v>92.850812407999996</v>
      </c>
      <c r="Q48" s="150">
        <v>23.942252715999999</v>
      </c>
      <c r="R48" s="150">
        <v>100</v>
      </c>
      <c r="S48" s="150">
        <v>76.057747284000001</v>
      </c>
      <c r="T48" s="150" t="s">
        <v>2842</v>
      </c>
      <c r="U48" s="150" t="s">
        <v>2842</v>
      </c>
      <c r="V48" s="150" t="s">
        <v>2842</v>
      </c>
    </row>
    <row r="49" spans="1:22">
      <c r="A49" s="150" t="s">
        <v>2876</v>
      </c>
      <c r="B49" s="150" t="s">
        <v>2892</v>
      </c>
      <c r="C49" s="150" t="str">
        <f t="shared" si="0"/>
        <v>2000_ Equatorial Guinea</v>
      </c>
      <c r="D49" s="150">
        <v>9.3753159999999998</v>
      </c>
      <c r="E49" s="150">
        <v>1257.511489</v>
      </c>
      <c r="F49" s="150">
        <f t="shared" si="1"/>
        <v>1257511489</v>
      </c>
      <c r="G49" s="150">
        <v>1248.1361730000001</v>
      </c>
      <c r="H49" s="150">
        <v>551.63938099999996</v>
      </c>
      <c r="I49" s="150">
        <v>1011.036889</v>
      </c>
      <c r="J49" s="150">
        <v>459.39750800000002</v>
      </c>
      <c r="K49" s="150">
        <v>-542.26406499999996</v>
      </c>
      <c r="L49" s="150">
        <v>246.47460000000001</v>
      </c>
      <c r="M49" s="150">
        <v>788.73866499999997</v>
      </c>
      <c r="N49" s="150">
        <v>0.74554515659999998</v>
      </c>
      <c r="O49" s="150">
        <v>100</v>
      </c>
      <c r="P49" s="150">
        <v>99.254454843399998</v>
      </c>
      <c r="Q49" s="150">
        <v>54.561746163899997</v>
      </c>
      <c r="R49" s="150">
        <v>100</v>
      </c>
      <c r="S49" s="150">
        <v>45.438253836100003</v>
      </c>
      <c r="T49" s="150" t="s">
        <v>2842</v>
      </c>
      <c r="U49" s="150" t="s">
        <v>2842</v>
      </c>
      <c r="V49" s="150" t="s">
        <v>2842</v>
      </c>
    </row>
    <row r="50" spans="1:22">
      <c r="A50" s="150" t="s">
        <v>2876</v>
      </c>
      <c r="B50" s="150" t="s">
        <v>2893</v>
      </c>
      <c r="C50" s="150" t="str">
        <f t="shared" si="0"/>
        <v>2000_ Gabon</v>
      </c>
      <c r="D50" s="150">
        <v>177.83</v>
      </c>
      <c r="E50" s="150">
        <v>3498.46</v>
      </c>
      <c r="F50" s="150">
        <f t="shared" si="1"/>
        <v>3498460000</v>
      </c>
      <c r="G50" s="150">
        <v>3320.63</v>
      </c>
      <c r="H50" s="150">
        <v>857.59900000000005</v>
      </c>
      <c r="I50" s="150">
        <v>1655.6590000000001</v>
      </c>
      <c r="J50" s="150">
        <v>798.06</v>
      </c>
      <c r="K50" s="150">
        <v>-679.76900000000001</v>
      </c>
      <c r="L50" s="150">
        <v>1842.8009999999999</v>
      </c>
      <c r="M50" s="150">
        <v>2522.5700000000002</v>
      </c>
      <c r="N50" s="150">
        <v>5.0830937041000004</v>
      </c>
      <c r="O50" s="150">
        <v>100</v>
      </c>
      <c r="P50" s="150">
        <v>94.916906295900006</v>
      </c>
      <c r="Q50" s="150">
        <v>51.798045370499999</v>
      </c>
      <c r="R50" s="150">
        <v>100</v>
      </c>
      <c r="S50" s="150">
        <v>48.201954629500001</v>
      </c>
      <c r="T50" s="150" t="s">
        <v>2842</v>
      </c>
      <c r="U50" s="150" t="s">
        <v>2842</v>
      </c>
      <c r="V50" s="150" t="s">
        <v>2842</v>
      </c>
    </row>
    <row r="51" spans="1:22">
      <c r="A51" s="150" t="s">
        <v>2876</v>
      </c>
      <c r="B51" s="150" t="s">
        <v>189</v>
      </c>
      <c r="C51" s="150" t="str">
        <f t="shared" si="0"/>
        <v>2000_Ghana</v>
      </c>
      <c r="D51" s="150">
        <v>504.27300000000002</v>
      </c>
      <c r="E51" s="150">
        <v>2440.5929999999998</v>
      </c>
      <c r="F51" s="150">
        <f t="shared" si="1"/>
        <v>2440593000</v>
      </c>
      <c r="G51" s="150">
        <v>1936.32</v>
      </c>
      <c r="H51" s="150">
        <v>583.66300000000001</v>
      </c>
      <c r="I51" s="150">
        <v>3350.223</v>
      </c>
      <c r="J51" s="150">
        <v>2766.56</v>
      </c>
      <c r="K51" s="150">
        <v>-79.39</v>
      </c>
      <c r="L51" s="150">
        <v>-909.63</v>
      </c>
      <c r="M51" s="150">
        <v>-830.24</v>
      </c>
      <c r="N51" s="150">
        <v>20.661904709200002</v>
      </c>
      <c r="O51" s="150">
        <v>100</v>
      </c>
      <c r="P51" s="150">
        <v>79.338095290799998</v>
      </c>
      <c r="Q51" s="150">
        <v>17.421616411799999</v>
      </c>
      <c r="R51" s="150">
        <v>100</v>
      </c>
      <c r="S51" s="150">
        <v>82.578383588199998</v>
      </c>
      <c r="T51" s="150" t="s">
        <v>2842</v>
      </c>
      <c r="U51" s="150" t="s">
        <v>2842</v>
      </c>
      <c r="V51" s="150" t="s">
        <v>2842</v>
      </c>
    </row>
    <row r="52" spans="1:22">
      <c r="A52" s="150" t="s">
        <v>2876</v>
      </c>
      <c r="B52" s="150" t="s">
        <v>213</v>
      </c>
      <c r="C52" s="150" t="str">
        <f t="shared" si="0"/>
        <v>2000_Guatemala</v>
      </c>
      <c r="D52" s="150">
        <v>777</v>
      </c>
      <c r="E52" s="150">
        <v>3862.1</v>
      </c>
      <c r="F52" s="150">
        <f t="shared" si="1"/>
        <v>3862100000</v>
      </c>
      <c r="G52" s="150">
        <v>3085.1</v>
      </c>
      <c r="H52" s="150">
        <v>825.4</v>
      </c>
      <c r="I52" s="150">
        <v>5567.4</v>
      </c>
      <c r="J52" s="150">
        <v>4742</v>
      </c>
      <c r="K52" s="150">
        <v>-48.4</v>
      </c>
      <c r="L52" s="150">
        <v>-1705.3</v>
      </c>
      <c r="M52" s="150">
        <v>-1656.9</v>
      </c>
      <c r="N52" s="150">
        <v>20.118588332800002</v>
      </c>
      <c r="O52" s="150">
        <v>100</v>
      </c>
      <c r="P52" s="150">
        <v>79.881411667199998</v>
      </c>
      <c r="Q52" s="150">
        <v>14.825591838199999</v>
      </c>
      <c r="R52" s="150">
        <v>100</v>
      </c>
      <c r="S52" s="150">
        <v>85.174408161800002</v>
      </c>
      <c r="T52" s="150" t="s">
        <v>2842</v>
      </c>
      <c r="U52" s="150" t="s">
        <v>2842</v>
      </c>
      <c r="V52" s="150" t="s">
        <v>2842</v>
      </c>
    </row>
    <row r="53" spans="1:22">
      <c r="A53" s="150" t="s">
        <v>2876</v>
      </c>
      <c r="B53" s="150" t="s">
        <v>2894</v>
      </c>
      <c r="C53" s="150" t="str">
        <f t="shared" si="0"/>
        <v>2000_ Guinea</v>
      </c>
      <c r="D53" s="150">
        <v>67.963999999999999</v>
      </c>
      <c r="E53" s="150">
        <v>734.30399999999997</v>
      </c>
      <c r="F53" s="150">
        <f t="shared" si="1"/>
        <v>734304000</v>
      </c>
      <c r="G53" s="150">
        <v>666.34</v>
      </c>
      <c r="H53" s="150">
        <v>284.91000000000003</v>
      </c>
      <c r="I53" s="150">
        <v>871.97</v>
      </c>
      <c r="J53" s="150">
        <v>587.05999999999995</v>
      </c>
      <c r="K53" s="150">
        <v>-216.946</v>
      </c>
      <c r="L53" s="150">
        <v>-137.666</v>
      </c>
      <c r="M53" s="150">
        <v>79.28</v>
      </c>
      <c r="N53" s="150">
        <v>9.2555671764999996</v>
      </c>
      <c r="O53" s="150">
        <v>100</v>
      </c>
      <c r="P53" s="150">
        <v>90.744432823500006</v>
      </c>
      <c r="Q53" s="150">
        <v>32.6742892531</v>
      </c>
      <c r="R53" s="150">
        <v>100</v>
      </c>
      <c r="S53" s="150">
        <v>67.3257107469</v>
      </c>
      <c r="T53" s="150" t="s">
        <v>2842</v>
      </c>
      <c r="U53" s="150" t="s">
        <v>2842</v>
      </c>
      <c r="V53" s="150" t="s">
        <v>2842</v>
      </c>
    </row>
    <row r="54" spans="1:22">
      <c r="A54" s="150" t="s">
        <v>2876</v>
      </c>
      <c r="B54" s="150" t="s">
        <v>237</v>
      </c>
      <c r="C54" s="150" t="str">
        <f t="shared" si="0"/>
        <v>2000_Indonesia</v>
      </c>
      <c r="D54" s="150" t="s">
        <v>2875</v>
      </c>
      <c r="E54" s="150" t="s">
        <v>2842</v>
      </c>
      <c r="F54" s="150" t="str">
        <f t="shared" si="1"/>
        <v>..</v>
      </c>
      <c r="G54" s="150" t="s">
        <v>2875</v>
      </c>
      <c r="H54" s="150" t="s">
        <v>2875</v>
      </c>
      <c r="I54" s="150" t="s">
        <v>2875</v>
      </c>
      <c r="J54" s="150" t="s">
        <v>2875</v>
      </c>
      <c r="K54" s="150" t="s">
        <v>2875</v>
      </c>
      <c r="L54" s="150" t="s">
        <v>2875</v>
      </c>
      <c r="M54" s="150" t="s">
        <v>2875</v>
      </c>
      <c r="N54" s="150" t="s">
        <v>2875</v>
      </c>
      <c r="O54" s="150" t="s">
        <v>2875</v>
      </c>
      <c r="P54" s="150" t="s">
        <v>2875</v>
      </c>
      <c r="Q54" s="150" t="s">
        <v>2875</v>
      </c>
      <c r="R54" s="150" t="s">
        <v>2875</v>
      </c>
      <c r="S54" s="150" t="s">
        <v>2875</v>
      </c>
      <c r="T54" s="150" t="s">
        <v>2875</v>
      </c>
      <c r="U54" s="150" t="s">
        <v>2875</v>
      </c>
      <c r="V54" s="150" t="s">
        <v>2875</v>
      </c>
    </row>
    <row r="55" spans="1:22">
      <c r="A55" s="150" t="s">
        <v>2876</v>
      </c>
      <c r="B55" s="150" t="s">
        <v>245</v>
      </c>
      <c r="C55" s="150" t="str">
        <f t="shared" si="0"/>
        <v>2000_Iraq</v>
      </c>
      <c r="D55" s="150" t="s">
        <v>561</v>
      </c>
      <c r="E55" s="150" t="s">
        <v>2842</v>
      </c>
      <c r="F55" s="150" t="str">
        <f t="shared" si="1"/>
        <v>..</v>
      </c>
      <c r="G55" s="150">
        <v>18742.599999999999</v>
      </c>
      <c r="H55" s="150" t="s">
        <v>561</v>
      </c>
      <c r="I55" s="150" t="s">
        <v>561</v>
      </c>
      <c r="J55" s="150">
        <v>11008.6</v>
      </c>
      <c r="K55" s="150" t="s">
        <v>561</v>
      </c>
      <c r="L55" s="150" t="s">
        <v>561</v>
      </c>
      <c r="M55" s="150">
        <v>7734</v>
      </c>
      <c r="N55" s="150" t="s">
        <v>561</v>
      </c>
      <c r="O55" s="150" t="s">
        <v>561</v>
      </c>
      <c r="P55" s="150">
        <v>99.233351334800005</v>
      </c>
      <c r="Q55" s="150" t="s">
        <v>561</v>
      </c>
      <c r="R55" s="150" t="s">
        <v>561</v>
      </c>
      <c r="S55" s="150">
        <v>85.439319502999993</v>
      </c>
      <c r="T55" s="150" t="s">
        <v>2842</v>
      </c>
      <c r="U55" s="150" t="s">
        <v>2842</v>
      </c>
      <c r="V55" s="150" t="s">
        <v>2842</v>
      </c>
    </row>
    <row r="56" spans="1:22">
      <c r="A56" s="150" t="s">
        <v>2876</v>
      </c>
      <c r="B56" s="150" t="s">
        <v>273</v>
      </c>
      <c r="C56" s="150" t="str">
        <f t="shared" si="0"/>
        <v>2000_Kazakhstan</v>
      </c>
      <c r="D56" s="150">
        <v>1053</v>
      </c>
      <c r="E56" s="150">
        <v>10341.1</v>
      </c>
      <c r="F56" s="150">
        <f t="shared" si="1"/>
        <v>10341100000</v>
      </c>
      <c r="G56" s="150">
        <v>9288.1</v>
      </c>
      <c r="H56" s="150">
        <v>1850.03</v>
      </c>
      <c r="I56" s="150">
        <v>8969.76</v>
      </c>
      <c r="J56" s="150">
        <v>7119.73</v>
      </c>
      <c r="K56" s="150">
        <v>-797.03</v>
      </c>
      <c r="L56" s="150">
        <v>1371.34</v>
      </c>
      <c r="M56" s="150">
        <v>2168.37</v>
      </c>
      <c r="N56" s="150">
        <v>10.182669155099999</v>
      </c>
      <c r="O56" s="150">
        <v>100</v>
      </c>
      <c r="P56" s="150">
        <v>89.817330844899999</v>
      </c>
      <c r="Q56" s="150">
        <v>20.625189525700002</v>
      </c>
      <c r="R56" s="150">
        <v>100</v>
      </c>
      <c r="S56" s="150">
        <v>79.374810474300006</v>
      </c>
      <c r="T56" s="150" t="s">
        <v>2842</v>
      </c>
      <c r="U56" s="150" t="s">
        <v>2842</v>
      </c>
      <c r="V56" s="150" t="s">
        <v>2842</v>
      </c>
    </row>
    <row r="57" spans="1:22">
      <c r="A57" s="150" t="s">
        <v>2876</v>
      </c>
      <c r="B57" s="150" t="s">
        <v>2895</v>
      </c>
      <c r="C57" s="150" t="str">
        <f t="shared" si="0"/>
        <v>2000_Kyrgyzstan</v>
      </c>
      <c r="D57" s="150">
        <v>62.037999999999997</v>
      </c>
      <c r="E57" s="150">
        <v>572.96</v>
      </c>
      <c r="F57" s="150">
        <f t="shared" si="1"/>
        <v>572960000</v>
      </c>
      <c r="G57" s="150">
        <v>510.92200000000003</v>
      </c>
      <c r="H57" s="150">
        <v>148.17599999999999</v>
      </c>
      <c r="I57" s="150">
        <v>654.39200000000005</v>
      </c>
      <c r="J57" s="150">
        <v>506.21600000000001</v>
      </c>
      <c r="K57" s="150">
        <v>-86.138000000000005</v>
      </c>
      <c r="L57" s="150">
        <v>-81.432000000000002</v>
      </c>
      <c r="M57" s="150">
        <v>4.7060000000000004</v>
      </c>
      <c r="N57" s="150">
        <v>10.8276319464</v>
      </c>
      <c r="O57" s="150">
        <v>100</v>
      </c>
      <c r="P57" s="150">
        <v>89.172368053599996</v>
      </c>
      <c r="Q57" s="150">
        <v>22.643308597899999</v>
      </c>
      <c r="R57" s="150">
        <v>100</v>
      </c>
      <c r="S57" s="150">
        <v>77.356691402099997</v>
      </c>
      <c r="T57" s="150" t="s">
        <v>2842</v>
      </c>
      <c r="U57" s="150" t="s">
        <v>2842</v>
      </c>
      <c r="V57" s="150" t="s">
        <v>2842</v>
      </c>
    </row>
    <row r="58" spans="1:22">
      <c r="A58" s="150" t="s">
        <v>2876</v>
      </c>
      <c r="B58" s="150" t="s">
        <v>294</v>
      </c>
      <c r="C58" s="150" t="str">
        <f t="shared" si="0"/>
        <v>2000_Liberia</v>
      </c>
      <c r="D58" s="150" t="s">
        <v>561</v>
      </c>
      <c r="E58" s="150" t="s">
        <v>2842</v>
      </c>
      <c r="F58" s="150" t="str">
        <f t="shared" si="1"/>
        <v>..</v>
      </c>
      <c r="G58" s="150" t="s">
        <v>561</v>
      </c>
      <c r="H58" s="150" t="s">
        <v>561</v>
      </c>
      <c r="I58" s="150" t="s">
        <v>561</v>
      </c>
      <c r="J58" s="150">
        <v>146</v>
      </c>
      <c r="K58" s="150" t="s">
        <v>561</v>
      </c>
      <c r="L58" s="150" t="s">
        <v>561</v>
      </c>
      <c r="M58" s="150" t="s">
        <v>561</v>
      </c>
      <c r="N58" s="150" t="s">
        <v>561</v>
      </c>
      <c r="O58" s="150" t="s">
        <v>561</v>
      </c>
      <c r="P58" s="150" t="s">
        <v>561</v>
      </c>
      <c r="Q58" s="150" t="s">
        <v>561</v>
      </c>
      <c r="R58" s="150" t="s">
        <v>561</v>
      </c>
      <c r="S58" s="150">
        <v>52.816477434100001</v>
      </c>
      <c r="T58" s="150" t="s">
        <v>2842</v>
      </c>
      <c r="U58" s="150" t="s">
        <v>2842</v>
      </c>
      <c r="V58" s="150" t="s">
        <v>2842</v>
      </c>
    </row>
    <row r="59" spans="1:22">
      <c r="A59" s="150" t="s">
        <v>2876</v>
      </c>
      <c r="B59" s="150" t="s">
        <v>309</v>
      </c>
      <c r="C59" s="150" t="str">
        <f t="shared" si="0"/>
        <v>2000_Madagascar</v>
      </c>
      <c r="D59" s="150">
        <v>364.09399999999999</v>
      </c>
      <c r="E59" s="150">
        <v>1187.836</v>
      </c>
      <c r="F59" s="150">
        <f t="shared" si="1"/>
        <v>1187836000</v>
      </c>
      <c r="G59" s="150">
        <v>823.74199999999996</v>
      </c>
      <c r="H59" s="150">
        <v>522.06100000000004</v>
      </c>
      <c r="I59" s="150">
        <v>1519.5119999999999</v>
      </c>
      <c r="J59" s="150">
        <v>997.45100000000002</v>
      </c>
      <c r="K59" s="150">
        <v>-157.96700000000001</v>
      </c>
      <c r="L59" s="150">
        <v>-331.67599999999999</v>
      </c>
      <c r="M59" s="150">
        <v>-173.709</v>
      </c>
      <c r="N59" s="150">
        <v>30.651874501199998</v>
      </c>
      <c r="O59" s="150">
        <v>100</v>
      </c>
      <c r="P59" s="150">
        <v>69.348125498800002</v>
      </c>
      <c r="Q59" s="150">
        <v>34.357148874099998</v>
      </c>
      <c r="R59" s="150">
        <v>100</v>
      </c>
      <c r="S59" s="150">
        <v>65.642851125899995</v>
      </c>
      <c r="T59" s="150" t="s">
        <v>2842</v>
      </c>
      <c r="U59" s="150" t="s">
        <v>2842</v>
      </c>
      <c r="V59" s="150" t="s">
        <v>2842</v>
      </c>
    </row>
    <row r="60" spans="1:22">
      <c r="A60" s="150" t="s">
        <v>2876</v>
      </c>
      <c r="B60" s="150" t="s">
        <v>322</v>
      </c>
      <c r="C60" s="150" t="str">
        <f t="shared" si="0"/>
        <v>2000_Mali</v>
      </c>
      <c r="D60" s="150">
        <v>99.043000000000006</v>
      </c>
      <c r="E60" s="150">
        <v>644.18799999999999</v>
      </c>
      <c r="F60" s="150">
        <f t="shared" si="1"/>
        <v>644188000</v>
      </c>
      <c r="G60" s="150">
        <v>545.14499999999998</v>
      </c>
      <c r="H60" s="150">
        <v>334.87200000000001</v>
      </c>
      <c r="I60" s="150">
        <v>926.94100000000003</v>
      </c>
      <c r="J60" s="150">
        <v>592.06899999999996</v>
      </c>
      <c r="K60" s="150">
        <v>-235.82900000000001</v>
      </c>
      <c r="L60" s="150">
        <v>-282.75299999999999</v>
      </c>
      <c r="M60" s="150">
        <v>-46.923999999999999</v>
      </c>
      <c r="N60" s="150">
        <v>15.374859513100001</v>
      </c>
      <c r="O60" s="150">
        <v>100</v>
      </c>
      <c r="P60" s="150">
        <v>84.625140486899994</v>
      </c>
      <c r="Q60" s="150">
        <v>36.126571162600001</v>
      </c>
      <c r="R60" s="150">
        <v>100</v>
      </c>
      <c r="S60" s="150">
        <v>63.873428837399999</v>
      </c>
      <c r="T60" s="150" t="s">
        <v>2842</v>
      </c>
      <c r="U60" s="150" t="s">
        <v>2842</v>
      </c>
      <c r="V60" s="150" t="s">
        <v>2842</v>
      </c>
    </row>
    <row r="61" spans="1:22">
      <c r="A61" s="150" t="s">
        <v>2876</v>
      </c>
      <c r="B61" s="150" t="s">
        <v>338</v>
      </c>
      <c r="C61" s="150" t="str">
        <f t="shared" si="0"/>
        <v>2000_Mauritania</v>
      </c>
      <c r="D61" s="150">
        <v>46.907028539999999</v>
      </c>
      <c r="E61" s="150">
        <v>401.40702854</v>
      </c>
      <c r="F61" s="150">
        <f t="shared" si="1"/>
        <v>401407028.54000002</v>
      </c>
      <c r="G61" s="150">
        <v>354.5</v>
      </c>
      <c r="H61" s="150">
        <v>148.91878764000001</v>
      </c>
      <c r="I61" s="150">
        <v>603.11878764000005</v>
      </c>
      <c r="J61" s="150">
        <v>454.2</v>
      </c>
      <c r="K61" s="150">
        <v>-102.01175910000001</v>
      </c>
      <c r="L61" s="150">
        <v>-201.71175909999999</v>
      </c>
      <c r="M61" s="150">
        <v>-99.7</v>
      </c>
      <c r="N61" s="150">
        <v>11.685652020199999</v>
      </c>
      <c r="O61" s="150">
        <v>100</v>
      </c>
      <c r="P61" s="150">
        <v>88.314347979800004</v>
      </c>
      <c r="Q61" s="150">
        <v>24.691452279699998</v>
      </c>
      <c r="R61" s="150">
        <v>100</v>
      </c>
      <c r="S61" s="150">
        <v>75.308547720299998</v>
      </c>
      <c r="T61" s="150" t="s">
        <v>2842</v>
      </c>
      <c r="U61" s="150" t="s">
        <v>2842</v>
      </c>
      <c r="V61" s="150" t="s">
        <v>2842</v>
      </c>
    </row>
    <row r="62" spans="1:22">
      <c r="A62" s="150" t="s">
        <v>2876</v>
      </c>
      <c r="B62" s="150" t="s">
        <v>357</v>
      </c>
      <c r="C62" s="150" t="str">
        <f t="shared" si="0"/>
        <v>2000_Mongolia</v>
      </c>
      <c r="D62" s="150">
        <v>77.7</v>
      </c>
      <c r="E62" s="150">
        <v>613.5</v>
      </c>
      <c r="F62" s="150">
        <f t="shared" si="1"/>
        <v>613500000</v>
      </c>
      <c r="G62" s="150">
        <v>535.79999999999995</v>
      </c>
      <c r="H62" s="150">
        <v>162.80000000000001</v>
      </c>
      <c r="I62" s="150">
        <v>771.2</v>
      </c>
      <c r="J62" s="150">
        <v>608.4</v>
      </c>
      <c r="K62" s="150">
        <v>-85.1</v>
      </c>
      <c r="L62" s="150">
        <v>-157.69999999999999</v>
      </c>
      <c r="M62" s="150">
        <v>-72.599999999999994</v>
      </c>
      <c r="N62" s="150">
        <v>12.6650366748</v>
      </c>
      <c r="O62" s="150">
        <v>100</v>
      </c>
      <c r="P62" s="150">
        <v>87.334963325199993</v>
      </c>
      <c r="Q62" s="150">
        <v>21.109958506200002</v>
      </c>
      <c r="R62" s="150">
        <v>100</v>
      </c>
      <c r="S62" s="150">
        <v>78.890041493799998</v>
      </c>
      <c r="T62" s="150" t="s">
        <v>2842</v>
      </c>
      <c r="U62" s="150" t="s">
        <v>2842</v>
      </c>
      <c r="V62" s="150" t="s">
        <v>2842</v>
      </c>
    </row>
    <row r="63" spans="1:22">
      <c r="A63" s="150" t="s">
        <v>2876</v>
      </c>
      <c r="B63" s="150" t="s">
        <v>378</v>
      </c>
      <c r="C63" s="150" t="str">
        <f t="shared" si="0"/>
        <v>2000_Mozambique</v>
      </c>
      <c r="D63" s="150">
        <v>325.39999999999998</v>
      </c>
      <c r="E63" s="150">
        <v>689.4</v>
      </c>
      <c r="F63" s="150">
        <f t="shared" si="1"/>
        <v>689400000</v>
      </c>
      <c r="G63" s="150">
        <v>364</v>
      </c>
      <c r="H63" s="150">
        <v>445.8</v>
      </c>
      <c r="I63" s="150">
        <v>1491.8</v>
      </c>
      <c r="J63" s="150">
        <v>1046</v>
      </c>
      <c r="K63" s="150">
        <v>-120.4</v>
      </c>
      <c r="L63" s="150">
        <v>-802.4</v>
      </c>
      <c r="M63" s="150">
        <v>-682</v>
      </c>
      <c r="N63" s="150">
        <v>47.200464171699998</v>
      </c>
      <c r="O63" s="150">
        <v>100</v>
      </c>
      <c r="P63" s="150">
        <v>52.799535828300002</v>
      </c>
      <c r="Q63" s="150">
        <v>29.883362381000001</v>
      </c>
      <c r="R63" s="150">
        <v>100</v>
      </c>
      <c r="S63" s="150">
        <v>70.116637619000002</v>
      </c>
      <c r="T63" s="150" t="s">
        <v>2842</v>
      </c>
      <c r="U63" s="150" t="s">
        <v>2842</v>
      </c>
      <c r="V63" s="150" t="s">
        <v>2842</v>
      </c>
    </row>
    <row r="64" spans="1:22">
      <c r="A64" s="150" t="s">
        <v>2876</v>
      </c>
      <c r="B64" s="150" t="s">
        <v>387</v>
      </c>
      <c r="C64" s="150" t="str">
        <f t="shared" si="0"/>
        <v>2000_Niger</v>
      </c>
      <c r="D64" s="150">
        <v>37.521999999999998</v>
      </c>
      <c r="E64" s="150">
        <v>320.61399999999998</v>
      </c>
      <c r="F64" s="150">
        <f t="shared" si="1"/>
        <v>320614000</v>
      </c>
      <c r="G64" s="150">
        <v>283.09199999999998</v>
      </c>
      <c r="H64" s="150">
        <v>131.88800000000001</v>
      </c>
      <c r="I64" s="150">
        <v>455.54500000000002</v>
      </c>
      <c r="J64" s="150">
        <v>323.65699999999998</v>
      </c>
      <c r="K64" s="150">
        <v>-94.366</v>
      </c>
      <c r="L64" s="150">
        <v>-134.93100000000001</v>
      </c>
      <c r="M64" s="150">
        <v>-40.564999999999998</v>
      </c>
      <c r="N64" s="150">
        <v>11.7031695434</v>
      </c>
      <c r="O64" s="150">
        <v>100</v>
      </c>
      <c r="P64" s="150">
        <v>88.296830456600006</v>
      </c>
      <c r="Q64" s="150">
        <v>28.951695222200001</v>
      </c>
      <c r="R64" s="150">
        <v>100</v>
      </c>
      <c r="S64" s="150">
        <v>71.048304777799999</v>
      </c>
      <c r="T64" s="150" t="s">
        <v>2842</v>
      </c>
      <c r="U64" s="150" t="s">
        <v>2842</v>
      </c>
      <c r="V64" s="150" t="s">
        <v>2842</v>
      </c>
    </row>
    <row r="65" spans="1:22">
      <c r="A65" s="150" t="s">
        <v>2876</v>
      </c>
      <c r="B65" s="150" t="s">
        <v>406</v>
      </c>
      <c r="C65" s="150" t="str">
        <f t="shared" si="0"/>
        <v>2000_Nigeria</v>
      </c>
      <c r="D65" s="150">
        <v>1832.9</v>
      </c>
      <c r="E65" s="150">
        <v>20964.900000000001</v>
      </c>
      <c r="F65" s="150">
        <f t="shared" si="1"/>
        <v>20964900000</v>
      </c>
      <c r="G65" s="150">
        <v>19132</v>
      </c>
      <c r="H65" s="150">
        <v>3300.18</v>
      </c>
      <c r="I65" s="150">
        <v>12017.19</v>
      </c>
      <c r="J65" s="150">
        <v>8717.01</v>
      </c>
      <c r="K65" s="150">
        <v>-1467.28</v>
      </c>
      <c r="L65" s="150">
        <v>8947.7099999999991</v>
      </c>
      <c r="M65" s="150">
        <v>10414.99</v>
      </c>
      <c r="N65" s="150">
        <v>8.7427080500999992</v>
      </c>
      <c r="O65" s="150">
        <v>100</v>
      </c>
      <c r="P65" s="150">
        <v>91.257291949899994</v>
      </c>
      <c r="Q65" s="150">
        <v>27.462160455100001</v>
      </c>
      <c r="R65" s="150">
        <v>100</v>
      </c>
      <c r="S65" s="150">
        <v>72.537839544899995</v>
      </c>
      <c r="T65" s="150" t="s">
        <v>2842</v>
      </c>
      <c r="U65" s="150" t="s">
        <v>2842</v>
      </c>
      <c r="V65" s="150" t="s">
        <v>2842</v>
      </c>
    </row>
    <row r="66" spans="1:22">
      <c r="A66" s="150" t="s">
        <v>2876</v>
      </c>
      <c r="B66" s="150" t="s">
        <v>429</v>
      </c>
      <c r="C66" s="150" t="str">
        <f t="shared" si="0"/>
        <v>2000_Norway</v>
      </c>
      <c r="D66" s="150">
        <v>17717.7</v>
      </c>
      <c r="E66" s="150">
        <v>78110.600000000006</v>
      </c>
      <c r="F66" s="150">
        <f t="shared" si="1"/>
        <v>78110600000</v>
      </c>
      <c r="G66" s="150">
        <v>60392.9</v>
      </c>
      <c r="H66" s="150">
        <v>14991.4</v>
      </c>
      <c r="I66" s="150">
        <v>49475.9</v>
      </c>
      <c r="J66" s="150">
        <v>34484.5</v>
      </c>
      <c r="K66" s="150">
        <v>2726.3</v>
      </c>
      <c r="L66" s="150">
        <v>28634.7</v>
      </c>
      <c r="M66" s="150">
        <v>25908.400000000001</v>
      </c>
      <c r="N66" s="150">
        <v>22.6828369005</v>
      </c>
      <c r="O66" s="150">
        <v>100</v>
      </c>
      <c r="P66" s="150">
        <v>77.317163099499993</v>
      </c>
      <c r="Q66" s="150">
        <v>30.300408885900001</v>
      </c>
      <c r="R66" s="150">
        <v>100</v>
      </c>
      <c r="S66" s="150">
        <v>69.699591114100002</v>
      </c>
      <c r="T66" s="150" t="s">
        <v>2842</v>
      </c>
      <c r="U66" s="150" t="s">
        <v>2842</v>
      </c>
      <c r="V66" s="150" t="s">
        <v>2842</v>
      </c>
    </row>
    <row r="67" spans="1:22">
      <c r="A67" s="150" t="s">
        <v>2876</v>
      </c>
      <c r="B67" s="150" t="s">
        <v>442</v>
      </c>
      <c r="C67" s="150" t="str">
        <f t="shared" si="0"/>
        <v>2000_Peru</v>
      </c>
      <c r="D67" s="150">
        <v>1555.48</v>
      </c>
      <c r="E67" s="150">
        <v>8510.39</v>
      </c>
      <c r="F67" s="150">
        <f t="shared" si="1"/>
        <v>8510389999.999999</v>
      </c>
      <c r="G67" s="150">
        <v>6954.91</v>
      </c>
      <c r="H67" s="150">
        <v>2290.33</v>
      </c>
      <c r="I67" s="150">
        <v>9647.9</v>
      </c>
      <c r="J67" s="150">
        <v>7357.57</v>
      </c>
      <c r="K67" s="150">
        <v>-734.85</v>
      </c>
      <c r="L67" s="150">
        <v>-1137.51</v>
      </c>
      <c r="M67" s="150">
        <v>-402.66</v>
      </c>
      <c r="N67" s="150">
        <v>18.277423243800001</v>
      </c>
      <c r="O67" s="150">
        <v>100</v>
      </c>
      <c r="P67" s="150">
        <v>81.722576756199999</v>
      </c>
      <c r="Q67" s="150">
        <v>23.739155671199999</v>
      </c>
      <c r="R67" s="150">
        <v>100</v>
      </c>
      <c r="S67" s="150">
        <v>76.260844328800005</v>
      </c>
      <c r="T67" s="150" t="s">
        <v>2842</v>
      </c>
      <c r="U67" s="150" t="s">
        <v>2842</v>
      </c>
      <c r="V67" s="150" t="s">
        <v>2842</v>
      </c>
    </row>
    <row r="68" spans="1:22">
      <c r="A68" s="150" t="s">
        <v>2876</v>
      </c>
      <c r="B68" s="150" t="s">
        <v>481</v>
      </c>
      <c r="C68" s="150" t="str">
        <f t="shared" si="0"/>
        <v>2000_Sierra Leone</v>
      </c>
      <c r="D68" s="150">
        <v>42.249000000000002</v>
      </c>
      <c r="E68" s="150">
        <v>55.045000000000002</v>
      </c>
      <c r="F68" s="150">
        <f t="shared" si="1"/>
        <v>55045000</v>
      </c>
      <c r="G68" s="150">
        <v>12.795999999999999</v>
      </c>
      <c r="H68" s="150">
        <v>112.846</v>
      </c>
      <c r="I68" s="150">
        <v>249.76499999999999</v>
      </c>
      <c r="J68" s="150">
        <v>136.91900000000001</v>
      </c>
      <c r="K68" s="150">
        <v>-70.596999999999994</v>
      </c>
      <c r="L68" s="150">
        <v>-194.72</v>
      </c>
      <c r="M68" s="150">
        <v>-124.123</v>
      </c>
      <c r="N68" s="150">
        <v>76.753565264800002</v>
      </c>
      <c r="O68" s="150">
        <v>100</v>
      </c>
      <c r="P68" s="150">
        <v>23.246434735200001</v>
      </c>
      <c r="Q68" s="150">
        <v>45.180870017799997</v>
      </c>
      <c r="R68" s="150">
        <v>100</v>
      </c>
      <c r="S68" s="150">
        <v>54.819129982200003</v>
      </c>
      <c r="T68" s="150" t="s">
        <v>2842</v>
      </c>
      <c r="U68" s="150" t="s">
        <v>2842</v>
      </c>
      <c r="V68" s="150" t="s">
        <v>2842</v>
      </c>
    </row>
    <row r="69" spans="1:22">
      <c r="A69" s="150" t="s">
        <v>2876</v>
      </c>
      <c r="B69" s="150" t="s">
        <v>2844</v>
      </c>
      <c r="C69" s="150" t="str">
        <f t="shared" si="0"/>
        <v>2000_Timor-Leste</v>
      </c>
      <c r="D69" s="150" t="s">
        <v>2875</v>
      </c>
      <c r="E69" s="150" t="s">
        <v>2842</v>
      </c>
      <c r="F69" s="150" t="str">
        <f t="shared" si="1"/>
        <v>..</v>
      </c>
      <c r="G69" s="150" t="s">
        <v>2875</v>
      </c>
      <c r="H69" s="150" t="s">
        <v>2875</v>
      </c>
      <c r="I69" s="150" t="s">
        <v>2875</v>
      </c>
      <c r="J69" s="150" t="s">
        <v>2875</v>
      </c>
      <c r="K69" s="150" t="s">
        <v>2875</v>
      </c>
      <c r="L69" s="150" t="s">
        <v>2875</v>
      </c>
      <c r="M69" s="150" t="s">
        <v>2875</v>
      </c>
      <c r="N69" s="150" t="s">
        <v>2875</v>
      </c>
      <c r="O69" s="150" t="s">
        <v>2875</v>
      </c>
      <c r="P69" s="150" t="s">
        <v>2875</v>
      </c>
      <c r="Q69" s="150" t="s">
        <v>2875</v>
      </c>
      <c r="R69" s="150" t="s">
        <v>2875</v>
      </c>
      <c r="S69" s="150" t="s">
        <v>2875</v>
      </c>
      <c r="T69" s="150" t="s">
        <v>2875</v>
      </c>
      <c r="U69" s="150" t="s">
        <v>2875</v>
      </c>
      <c r="V69" s="150" t="s">
        <v>2875</v>
      </c>
    </row>
    <row r="70" spans="1:22">
      <c r="A70" s="150" t="s">
        <v>2876</v>
      </c>
      <c r="B70" s="150" t="s">
        <v>510</v>
      </c>
      <c r="C70" s="150" t="str">
        <f t="shared" ref="C70:C133" si="2">$A70&amp;"_"&amp;$B70</f>
        <v>2000_Togo</v>
      </c>
      <c r="D70" s="150">
        <v>61.777000000000001</v>
      </c>
      <c r="E70" s="150">
        <v>423.59699999999998</v>
      </c>
      <c r="F70" s="150">
        <f t="shared" ref="F70:F133" si="3">IFERROR($E70*1000000,"..")</f>
        <v>423597000</v>
      </c>
      <c r="G70" s="150">
        <v>361.82</v>
      </c>
      <c r="H70" s="150">
        <v>117.503</v>
      </c>
      <c r="I70" s="150">
        <v>602.11599999999999</v>
      </c>
      <c r="J70" s="150">
        <v>484.613</v>
      </c>
      <c r="K70" s="150">
        <v>-55.725999999999999</v>
      </c>
      <c r="L70" s="150">
        <v>-178.51900000000001</v>
      </c>
      <c r="M70" s="150">
        <v>-122.79300000000001</v>
      </c>
      <c r="N70" s="150">
        <v>14.5839087623</v>
      </c>
      <c r="O70" s="150">
        <v>100</v>
      </c>
      <c r="P70" s="150">
        <v>85.416091237700002</v>
      </c>
      <c r="Q70" s="150">
        <v>19.515010396699999</v>
      </c>
      <c r="R70" s="150">
        <v>100</v>
      </c>
      <c r="S70" s="150">
        <v>80.484989603299994</v>
      </c>
      <c r="T70" s="150" t="s">
        <v>2842</v>
      </c>
      <c r="U70" s="150" t="s">
        <v>2842</v>
      </c>
      <c r="V70" s="150" t="s">
        <v>2842</v>
      </c>
    </row>
    <row r="71" spans="1:22">
      <c r="A71" s="150" t="s">
        <v>2876</v>
      </c>
      <c r="B71" s="150" t="s">
        <v>2845</v>
      </c>
      <c r="C71" s="150" t="str">
        <f t="shared" si="2"/>
        <v>2000_Trinidad and Tobago</v>
      </c>
      <c r="D71" s="150">
        <v>553.79999999999995</v>
      </c>
      <c r="E71" s="150">
        <v>4844.1000000000004</v>
      </c>
      <c r="F71" s="150">
        <f t="shared" si="3"/>
        <v>4844100000</v>
      </c>
      <c r="G71" s="150">
        <v>4290.3</v>
      </c>
      <c r="H71" s="150">
        <v>387.7</v>
      </c>
      <c r="I71" s="150">
        <v>3709.2</v>
      </c>
      <c r="J71" s="150">
        <v>3321.5</v>
      </c>
      <c r="K71" s="150">
        <v>166.1</v>
      </c>
      <c r="L71" s="150">
        <v>1134.9000000000001</v>
      </c>
      <c r="M71" s="150">
        <v>968.8</v>
      </c>
      <c r="N71" s="150">
        <v>11.432464234799999</v>
      </c>
      <c r="O71" s="150">
        <v>100</v>
      </c>
      <c r="P71" s="150">
        <v>88.567535765200006</v>
      </c>
      <c r="Q71" s="150">
        <v>10.4523886552</v>
      </c>
      <c r="R71" s="150">
        <v>100</v>
      </c>
      <c r="S71" s="150">
        <v>89.547611344800004</v>
      </c>
      <c r="T71" s="150" t="s">
        <v>2842</v>
      </c>
      <c r="U71" s="150" t="s">
        <v>2842</v>
      </c>
      <c r="V71" s="150" t="s">
        <v>2842</v>
      </c>
    </row>
    <row r="72" spans="1:22">
      <c r="A72" s="150" t="s">
        <v>2876</v>
      </c>
      <c r="B72" s="150" t="s">
        <v>492</v>
      </c>
      <c r="C72" s="150" t="str">
        <f t="shared" si="2"/>
        <v>2000_Tanzania</v>
      </c>
      <c r="D72" s="150">
        <v>627.40099999999995</v>
      </c>
      <c r="E72" s="150">
        <v>1361.001</v>
      </c>
      <c r="F72" s="150">
        <f t="shared" si="3"/>
        <v>1361001000</v>
      </c>
      <c r="G72" s="150">
        <v>733.6</v>
      </c>
      <c r="H72" s="150">
        <v>682.40099999999995</v>
      </c>
      <c r="I72" s="150">
        <v>2050.0010000000002</v>
      </c>
      <c r="J72" s="150">
        <v>1367.6</v>
      </c>
      <c r="K72" s="150">
        <v>-55</v>
      </c>
      <c r="L72" s="150">
        <v>-689</v>
      </c>
      <c r="M72" s="150">
        <v>-634</v>
      </c>
      <c r="N72" s="150">
        <v>46.098496621199999</v>
      </c>
      <c r="O72" s="150">
        <v>100</v>
      </c>
      <c r="P72" s="150">
        <v>53.901503378800001</v>
      </c>
      <c r="Q72" s="150">
        <v>33.287837420599999</v>
      </c>
      <c r="R72" s="150">
        <v>100</v>
      </c>
      <c r="S72" s="150">
        <v>66.712162579400001</v>
      </c>
      <c r="T72" s="150" t="s">
        <v>2842</v>
      </c>
      <c r="U72" s="150" t="s">
        <v>2842</v>
      </c>
      <c r="V72" s="150" t="s">
        <v>2842</v>
      </c>
    </row>
    <row r="73" spans="1:22">
      <c r="A73" s="150" t="s">
        <v>2876</v>
      </c>
      <c r="B73" s="150" t="s">
        <v>522</v>
      </c>
      <c r="C73" s="150" t="str">
        <f t="shared" si="2"/>
        <v>2000_Yemen</v>
      </c>
      <c r="D73" s="150">
        <v>210.86500000000001</v>
      </c>
      <c r="E73" s="150">
        <v>4008.0949999999998</v>
      </c>
      <c r="F73" s="150">
        <f t="shared" si="3"/>
        <v>4008095000</v>
      </c>
      <c r="G73" s="150">
        <v>3797.23</v>
      </c>
      <c r="H73" s="150">
        <v>809.43899999999996</v>
      </c>
      <c r="I73" s="150">
        <v>3293.8690000000001</v>
      </c>
      <c r="J73" s="150">
        <v>2484.4299999999998</v>
      </c>
      <c r="K73" s="150">
        <v>-598.57399999999996</v>
      </c>
      <c r="L73" s="150">
        <v>714.226</v>
      </c>
      <c r="M73" s="150">
        <v>1312.8</v>
      </c>
      <c r="N73" s="150">
        <v>5.2609780955999996</v>
      </c>
      <c r="O73" s="150">
        <v>100</v>
      </c>
      <c r="P73" s="150">
        <v>94.739021904400005</v>
      </c>
      <c r="Q73" s="150">
        <v>24.574110263600002</v>
      </c>
      <c r="R73" s="150">
        <v>100</v>
      </c>
      <c r="S73" s="150">
        <v>75.425889736399995</v>
      </c>
      <c r="T73" s="150" t="s">
        <v>2842</v>
      </c>
      <c r="U73" s="150" t="s">
        <v>2842</v>
      </c>
      <c r="V73" s="150" t="s">
        <v>2842</v>
      </c>
    </row>
    <row r="74" spans="1:22">
      <c r="A74" s="150" t="s">
        <v>2876</v>
      </c>
      <c r="B74" s="150" t="s">
        <v>534</v>
      </c>
      <c r="C74" s="150" t="str">
        <f t="shared" si="2"/>
        <v>2000_Zambia</v>
      </c>
      <c r="D74" s="150">
        <v>115.01</v>
      </c>
      <c r="E74" s="150">
        <v>871.97</v>
      </c>
      <c r="F74" s="150">
        <f t="shared" si="3"/>
        <v>871970000</v>
      </c>
      <c r="G74" s="150">
        <v>756.96</v>
      </c>
      <c r="H74" s="150">
        <v>334.62700000000001</v>
      </c>
      <c r="I74" s="150">
        <v>1312.317</v>
      </c>
      <c r="J74" s="150">
        <v>977.69</v>
      </c>
      <c r="K74" s="150">
        <v>-219.61699999999999</v>
      </c>
      <c r="L74" s="150">
        <v>-440.34699999999998</v>
      </c>
      <c r="M74" s="150">
        <v>-220.73</v>
      </c>
      <c r="N74" s="150">
        <v>13.1896739567</v>
      </c>
      <c r="O74" s="150">
        <v>100</v>
      </c>
      <c r="P74" s="150">
        <v>86.810326043299995</v>
      </c>
      <c r="Q74" s="150">
        <v>25.498945757800001</v>
      </c>
      <c r="R74" s="150">
        <v>100</v>
      </c>
      <c r="S74" s="150">
        <v>74.501054242199999</v>
      </c>
      <c r="T74" s="150" t="s">
        <v>2842</v>
      </c>
      <c r="U74" s="150" t="s">
        <v>2842</v>
      </c>
      <c r="V74" s="150" t="s">
        <v>2842</v>
      </c>
    </row>
    <row r="75" spans="1:22">
      <c r="A75" s="150" t="s">
        <v>2877</v>
      </c>
      <c r="B75" s="150" t="s">
        <v>16</v>
      </c>
      <c r="C75" s="150" t="str">
        <f t="shared" si="2"/>
        <v>2001_Afghanistan</v>
      </c>
      <c r="D75" s="150" t="s">
        <v>561</v>
      </c>
      <c r="E75" s="150" t="s">
        <v>2842</v>
      </c>
      <c r="F75" s="150" t="str">
        <f t="shared" si="3"/>
        <v>..</v>
      </c>
      <c r="G75" s="150">
        <v>708.9</v>
      </c>
      <c r="H75" s="150" t="s">
        <v>561</v>
      </c>
      <c r="I75" s="150" t="s">
        <v>561</v>
      </c>
      <c r="J75" s="150">
        <v>1645</v>
      </c>
      <c r="K75" s="150" t="s">
        <v>561</v>
      </c>
      <c r="L75" s="150" t="s">
        <v>561</v>
      </c>
      <c r="M75" s="150">
        <v>-936.1</v>
      </c>
      <c r="N75" s="150" t="s">
        <v>561</v>
      </c>
      <c r="O75" s="150" t="s">
        <v>561</v>
      </c>
      <c r="P75" s="150">
        <v>99.966120383299995</v>
      </c>
      <c r="Q75" s="150" t="s">
        <v>561</v>
      </c>
      <c r="R75" s="150" t="s">
        <v>561</v>
      </c>
      <c r="S75" s="150">
        <v>96.196708849999993</v>
      </c>
      <c r="T75" s="150" t="s">
        <v>2842</v>
      </c>
      <c r="U75" s="150" t="s">
        <v>2842</v>
      </c>
      <c r="V75" s="150" t="s">
        <v>2842</v>
      </c>
    </row>
    <row r="76" spans="1:22">
      <c r="A76" s="150" t="s">
        <v>2877</v>
      </c>
      <c r="B76" s="150" t="s">
        <v>33</v>
      </c>
      <c r="C76" s="150" t="str">
        <f t="shared" si="2"/>
        <v>2001_Albania</v>
      </c>
      <c r="D76" s="150">
        <v>534.29999999999995</v>
      </c>
      <c r="E76" s="150">
        <v>838.8</v>
      </c>
      <c r="F76" s="150">
        <f t="shared" si="3"/>
        <v>838800000</v>
      </c>
      <c r="G76" s="150">
        <v>304.5</v>
      </c>
      <c r="H76" s="150">
        <v>444.1</v>
      </c>
      <c r="I76" s="150">
        <v>1775.7</v>
      </c>
      <c r="J76" s="150">
        <v>1331.6</v>
      </c>
      <c r="K76" s="150">
        <v>90.2</v>
      </c>
      <c r="L76" s="150">
        <v>-936.9</v>
      </c>
      <c r="M76" s="150">
        <v>-1027.0999999999999</v>
      </c>
      <c r="N76" s="150">
        <v>63.698140200300003</v>
      </c>
      <c r="O76" s="150">
        <v>100</v>
      </c>
      <c r="P76" s="150">
        <v>36.301859799699997</v>
      </c>
      <c r="Q76" s="150">
        <v>25.009855268300001</v>
      </c>
      <c r="R76" s="150">
        <v>100</v>
      </c>
      <c r="S76" s="150">
        <v>74.990144731699999</v>
      </c>
      <c r="T76" s="150" t="s">
        <v>2842</v>
      </c>
      <c r="U76" s="150" t="s">
        <v>2842</v>
      </c>
      <c r="V76" s="150" t="s">
        <v>2842</v>
      </c>
    </row>
    <row r="77" spans="1:22">
      <c r="A77" s="150" t="s">
        <v>2877</v>
      </c>
      <c r="B77" s="150" t="s">
        <v>48</v>
      </c>
      <c r="C77" s="150" t="str">
        <f t="shared" si="2"/>
        <v>2001_Azerbaijan</v>
      </c>
      <c r="D77" s="150">
        <v>289.83100000000002</v>
      </c>
      <c r="E77" s="150">
        <v>2368.761</v>
      </c>
      <c r="F77" s="150">
        <f t="shared" si="3"/>
        <v>2368761000</v>
      </c>
      <c r="G77" s="150">
        <v>2078.9299999999998</v>
      </c>
      <c r="H77" s="150">
        <v>664.86500000000001</v>
      </c>
      <c r="I77" s="150">
        <v>2129.9250000000002</v>
      </c>
      <c r="J77" s="150">
        <v>1465.06</v>
      </c>
      <c r="K77" s="150">
        <v>-375.03399999999999</v>
      </c>
      <c r="L77" s="150">
        <v>238.83600000000001</v>
      </c>
      <c r="M77" s="150">
        <v>613.87</v>
      </c>
      <c r="N77" s="150">
        <v>12.2355526792</v>
      </c>
      <c r="O77" s="150">
        <v>100</v>
      </c>
      <c r="P77" s="150">
        <v>87.764447320800002</v>
      </c>
      <c r="Q77" s="150">
        <v>31.215418383300001</v>
      </c>
      <c r="R77" s="150">
        <v>100</v>
      </c>
      <c r="S77" s="150">
        <v>68.784581616699995</v>
      </c>
      <c r="T77" s="150" t="s">
        <v>2842</v>
      </c>
      <c r="U77" s="150" t="s">
        <v>2842</v>
      </c>
      <c r="V77" s="150" t="s">
        <v>2842</v>
      </c>
    </row>
    <row r="78" spans="1:22">
      <c r="A78" s="150" t="s">
        <v>2877</v>
      </c>
      <c r="B78" s="150" t="s">
        <v>93</v>
      </c>
      <c r="C78" s="150" t="str">
        <f t="shared" si="2"/>
        <v>2001_Burkina Faso</v>
      </c>
      <c r="D78" s="150">
        <v>36.511000000000003</v>
      </c>
      <c r="E78" s="150">
        <v>260.00299999999999</v>
      </c>
      <c r="F78" s="150">
        <f t="shared" si="3"/>
        <v>260003000</v>
      </c>
      <c r="G78" s="150">
        <v>223.49199999999999</v>
      </c>
      <c r="H78" s="150">
        <v>141.20400000000001</v>
      </c>
      <c r="I78" s="150">
        <v>650.45399999999995</v>
      </c>
      <c r="J78" s="150">
        <v>509.25</v>
      </c>
      <c r="K78" s="150">
        <v>-104.693</v>
      </c>
      <c r="L78" s="150">
        <v>-390.45100000000002</v>
      </c>
      <c r="M78" s="150">
        <v>-285.75799999999998</v>
      </c>
      <c r="N78" s="150">
        <v>14.042530278499999</v>
      </c>
      <c r="O78" s="150">
        <v>100</v>
      </c>
      <c r="P78" s="150">
        <v>85.957469721500004</v>
      </c>
      <c r="Q78" s="150">
        <v>21.708529734599999</v>
      </c>
      <c r="R78" s="150">
        <v>100</v>
      </c>
      <c r="S78" s="150">
        <v>78.291470265399994</v>
      </c>
      <c r="T78" s="150" t="s">
        <v>2842</v>
      </c>
      <c r="U78" s="150" t="s">
        <v>2842</v>
      </c>
      <c r="V78" s="150" t="s">
        <v>2842</v>
      </c>
    </row>
    <row r="79" spans="1:22">
      <c r="A79" s="150" t="s">
        <v>2877</v>
      </c>
      <c r="B79" s="150" t="s">
        <v>2890</v>
      </c>
      <c r="C79" s="150" t="str">
        <f t="shared" si="2"/>
        <v>2001_ Cameroon</v>
      </c>
      <c r="D79" s="150">
        <v>931.25099999999998</v>
      </c>
      <c r="E79" s="150">
        <v>2822.721</v>
      </c>
      <c r="F79" s="150">
        <f t="shared" si="3"/>
        <v>2822721000</v>
      </c>
      <c r="G79" s="150">
        <v>1891.47</v>
      </c>
      <c r="H79" s="150">
        <v>1127.02</v>
      </c>
      <c r="I79" s="150">
        <v>2924.4</v>
      </c>
      <c r="J79" s="150">
        <v>1797.38</v>
      </c>
      <c r="K79" s="150">
        <v>-195.76900000000001</v>
      </c>
      <c r="L79" s="150">
        <v>-101.679</v>
      </c>
      <c r="M79" s="150">
        <v>94.09</v>
      </c>
      <c r="N79" s="150">
        <v>32.991252057899999</v>
      </c>
      <c r="O79" s="150">
        <v>100</v>
      </c>
      <c r="P79" s="150">
        <v>67.008747942100001</v>
      </c>
      <c r="Q79" s="150">
        <v>38.538503624699999</v>
      </c>
      <c r="R79" s="150">
        <v>100</v>
      </c>
      <c r="S79" s="150">
        <v>61.461496375300001</v>
      </c>
      <c r="T79" s="150" t="s">
        <v>2842</v>
      </c>
      <c r="U79" s="150" t="s">
        <v>2842</v>
      </c>
      <c r="V79" s="150" t="s">
        <v>2842</v>
      </c>
    </row>
    <row r="80" spans="1:22">
      <c r="A80" s="150" t="s">
        <v>2877</v>
      </c>
      <c r="B80" s="150" t="s">
        <v>122</v>
      </c>
      <c r="C80" s="150" t="str">
        <f t="shared" si="2"/>
        <v>2001_Central African Republic</v>
      </c>
      <c r="D80" s="150">
        <v>17.895364359999999</v>
      </c>
      <c r="E80" s="150">
        <v>160.17838036000001</v>
      </c>
      <c r="F80" s="150">
        <f t="shared" si="3"/>
        <v>160178380.36000001</v>
      </c>
      <c r="G80" s="150">
        <v>142.283016</v>
      </c>
      <c r="H80" s="150">
        <v>96.138131799999996</v>
      </c>
      <c r="I80" s="150">
        <v>203.17745679999999</v>
      </c>
      <c r="J80" s="150">
        <v>107.03932500000001</v>
      </c>
      <c r="K80" s="150">
        <v>-78.242767439999994</v>
      </c>
      <c r="L80" s="150">
        <v>-42.999076440000003</v>
      </c>
      <c r="M80" s="150">
        <v>35.243690999999998</v>
      </c>
      <c r="N80" s="150">
        <v>11.172147152300001</v>
      </c>
      <c r="O80" s="150">
        <v>100</v>
      </c>
      <c r="P80" s="150">
        <v>88.827852847700001</v>
      </c>
      <c r="Q80" s="150">
        <v>47.317322164700002</v>
      </c>
      <c r="R80" s="150">
        <v>100</v>
      </c>
      <c r="S80" s="150">
        <v>52.682677835299998</v>
      </c>
      <c r="T80" s="150" t="s">
        <v>2842</v>
      </c>
      <c r="U80" s="150" t="s">
        <v>2842</v>
      </c>
      <c r="V80" s="150" t="s">
        <v>2842</v>
      </c>
    </row>
    <row r="81" spans="1:22">
      <c r="A81" s="150" t="s">
        <v>2877</v>
      </c>
      <c r="B81" s="150" t="s">
        <v>2891</v>
      </c>
      <c r="C81" s="150" t="str">
        <f t="shared" si="2"/>
        <v>2001_ Chad</v>
      </c>
      <c r="D81" s="150">
        <v>62.150854180000003</v>
      </c>
      <c r="E81" s="150">
        <v>250.80930218</v>
      </c>
      <c r="F81" s="150">
        <f t="shared" si="3"/>
        <v>250809302.18000001</v>
      </c>
      <c r="G81" s="150">
        <v>188.65844799999999</v>
      </c>
      <c r="H81" s="150">
        <v>333.15553469000002</v>
      </c>
      <c r="I81" s="150">
        <v>848.39824368999996</v>
      </c>
      <c r="J81" s="150">
        <v>515.24270899999999</v>
      </c>
      <c r="K81" s="150">
        <v>-271.00468051000001</v>
      </c>
      <c r="L81" s="150">
        <v>-597.58894151000004</v>
      </c>
      <c r="M81" s="150">
        <v>-326.58426100000003</v>
      </c>
      <c r="N81" s="150">
        <v>24.780123240999998</v>
      </c>
      <c r="O81" s="150">
        <v>100</v>
      </c>
      <c r="P81" s="150">
        <v>75.219876759000002</v>
      </c>
      <c r="Q81" s="150">
        <v>39.268767606200001</v>
      </c>
      <c r="R81" s="150">
        <v>100</v>
      </c>
      <c r="S81" s="150">
        <v>60.731232393799999</v>
      </c>
      <c r="T81" s="150" t="s">
        <v>2842</v>
      </c>
      <c r="U81" s="150" t="s">
        <v>2842</v>
      </c>
      <c r="V81" s="150" t="s">
        <v>2842</v>
      </c>
    </row>
    <row r="82" spans="1:22">
      <c r="A82" s="150" t="s">
        <v>2877</v>
      </c>
      <c r="B82" s="150" t="s">
        <v>458</v>
      </c>
      <c r="C82" s="150" t="str">
        <f t="shared" si="2"/>
        <v>2001_Republic of the Congo</v>
      </c>
      <c r="D82" s="150">
        <v>143.846</v>
      </c>
      <c r="E82" s="150">
        <v>2199.1260000000002</v>
      </c>
      <c r="F82" s="150">
        <f t="shared" si="3"/>
        <v>2199126000</v>
      </c>
      <c r="G82" s="150">
        <v>2055.2800000000002</v>
      </c>
      <c r="H82" s="150">
        <v>852.16499999999996</v>
      </c>
      <c r="I82" s="150">
        <v>1533.5129999999999</v>
      </c>
      <c r="J82" s="150">
        <v>681.34799999999996</v>
      </c>
      <c r="K82" s="150">
        <v>-708.31899999999996</v>
      </c>
      <c r="L82" s="150">
        <v>665.61300000000006</v>
      </c>
      <c r="M82" s="150">
        <v>1373.932</v>
      </c>
      <c r="N82" s="150">
        <v>6.5410531274999997</v>
      </c>
      <c r="O82" s="150">
        <v>100</v>
      </c>
      <c r="P82" s="150">
        <v>93.458946872499993</v>
      </c>
      <c r="Q82" s="150">
        <v>55.569466968999997</v>
      </c>
      <c r="R82" s="150">
        <v>100</v>
      </c>
      <c r="S82" s="150">
        <v>44.430533031000003</v>
      </c>
      <c r="T82" s="150" t="s">
        <v>2842</v>
      </c>
      <c r="U82" s="150" t="s">
        <v>2842</v>
      </c>
      <c r="V82" s="150" t="s">
        <v>2842</v>
      </c>
    </row>
    <row r="83" spans="1:22">
      <c r="A83" s="150" t="s">
        <v>2877</v>
      </c>
      <c r="B83" s="150" t="s">
        <v>165</v>
      </c>
      <c r="C83" s="150" t="str">
        <f t="shared" si="2"/>
        <v>2001_Democratic Republic of Congo</v>
      </c>
      <c r="D83" s="150">
        <v>73.065919190000002</v>
      </c>
      <c r="E83" s="150">
        <v>953.47283973000003</v>
      </c>
      <c r="F83" s="150">
        <f t="shared" si="3"/>
        <v>953472839.73000002</v>
      </c>
      <c r="G83" s="150">
        <v>880.40692053999999</v>
      </c>
      <c r="H83" s="150">
        <v>251.86545523999999</v>
      </c>
      <c r="I83" s="150">
        <v>1041.37637733</v>
      </c>
      <c r="J83" s="150">
        <v>789.51092209000001</v>
      </c>
      <c r="K83" s="150">
        <v>-178.79953605</v>
      </c>
      <c r="L83" s="150">
        <v>-87.903537600000007</v>
      </c>
      <c r="M83" s="150">
        <v>90.895998449999993</v>
      </c>
      <c r="N83" s="150">
        <v>7.6631358697999996</v>
      </c>
      <c r="O83" s="150">
        <v>100</v>
      </c>
      <c r="P83" s="150">
        <v>92.336864130199999</v>
      </c>
      <c r="Q83" s="150">
        <v>24.185823754299999</v>
      </c>
      <c r="R83" s="150">
        <v>100</v>
      </c>
      <c r="S83" s="150">
        <v>75.814176245699997</v>
      </c>
      <c r="T83" s="150" t="s">
        <v>2842</v>
      </c>
      <c r="U83" s="150" t="s">
        <v>2842</v>
      </c>
      <c r="V83" s="150" t="s">
        <v>2842</v>
      </c>
    </row>
    <row r="84" spans="1:22">
      <c r="A84" s="150" t="s">
        <v>2877</v>
      </c>
      <c r="B84" s="150" t="s">
        <v>2892</v>
      </c>
      <c r="C84" s="150" t="str">
        <f t="shared" si="2"/>
        <v>2001_ Equatorial Guinea</v>
      </c>
      <c r="D84" s="150">
        <v>16.099022099999999</v>
      </c>
      <c r="E84" s="150">
        <v>2382.7634671800001</v>
      </c>
      <c r="F84" s="150">
        <f t="shared" si="3"/>
        <v>2382763467.1800003</v>
      </c>
      <c r="G84" s="150">
        <v>2366.66444508</v>
      </c>
      <c r="H84" s="150">
        <v>1060.5371399999999</v>
      </c>
      <c r="I84" s="150">
        <v>2163.9571574900001</v>
      </c>
      <c r="J84" s="150">
        <v>1103.42001749</v>
      </c>
      <c r="K84" s="150">
        <v>-1044.4381179</v>
      </c>
      <c r="L84" s="150">
        <v>218.80630969000001</v>
      </c>
      <c r="M84" s="150">
        <v>1263.24442759</v>
      </c>
      <c r="N84" s="150">
        <v>0.67564499460000005</v>
      </c>
      <c r="O84" s="150">
        <v>100</v>
      </c>
      <c r="P84" s="150">
        <v>99.324355005399994</v>
      </c>
      <c r="Q84" s="150">
        <v>49.009156042199997</v>
      </c>
      <c r="R84" s="150">
        <v>100</v>
      </c>
      <c r="S84" s="150">
        <v>50.990843957800003</v>
      </c>
      <c r="T84" s="150" t="s">
        <v>2842</v>
      </c>
      <c r="U84" s="150" t="s">
        <v>2842</v>
      </c>
      <c r="V84" s="150" t="s">
        <v>2842</v>
      </c>
    </row>
    <row r="85" spans="1:22">
      <c r="A85" s="150" t="s">
        <v>2877</v>
      </c>
      <c r="B85" s="150" t="s">
        <v>2893</v>
      </c>
      <c r="C85" s="150" t="str">
        <f t="shared" si="2"/>
        <v>2001_ Gabon</v>
      </c>
      <c r="D85" s="150">
        <v>168.32</v>
      </c>
      <c r="E85" s="150">
        <v>2782.09</v>
      </c>
      <c r="F85" s="150">
        <f t="shared" si="3"/>
        <v>2782090000</v>
      </c>
      <c r="G85" s="150">
        <v>2613.77</v>
      </c>
      <c r="H85" s="150">
        <v>709.779</v>
      </c>
      <c r="I85" s="150">
        <v>1557.241</v>
      </c>
      <c r="J85" s="150">
        <v>847.46199999999999</v>
      </c>
      <c r="K85" s="150">
        <v>-541.45899999999995</v>
      </c>
      <c r="L85" s="150">
        <v>1224.8489999999999</v>
      </c>
      <c r="M85" s="150">
        <v>1766.308</v>
      </c>
      <c r="N85" s="150">
        <v>6.0501277815999996</v>
      </c>
      <c r="O85" s="150">
        <v>100</v>
      </c>
      <c r="P85" s="150">
        <v>93.949872218400003</v>
      </c>
      <c r="Q85" s="150">
        <v>45.579264866499997</v>
      </c>
      <c r="R85" s="150">
        <v>100</v>
      </c>
      <c r="S85" s="150">
        <v>54.420735133500003</v>
      </c>
      <c r="T85" s="150" t="s">
        <v>2842</v>
      </c>
      <c r="U85" s="150" t="s">
        <v>2842</v>
      </c>
      <c r="V85" s="150" t="s">
        <v>2842</v>
      </c>
    </row>
    <row r="86" spans="1:22">
      <c r="A86" s="150" t="s">
        <v>2877</v>
      </c>
      <c r="B86" s="150" t="s">
        <v>189</v>
      </c>
      <c r="C86" s="150" t="str">
        <f t="shared" si="2"/>
        <v>2001_Ghana</v>
      </c>
      <c r="D86" s="150">
        <v>531.65899999999999</v>
      </c>
      <c r="E86" s="150">
        <v>2398.759</v>
      </c>
      <c r="F86" s="150">
        <f t="shared" si="3"/>
        <v>2398759000</v>
      </c>
      <c r="G86" s="150">
        <v>1867.1</v>
      </c>
      <c r="H86" s="150">
        <v>606.01900000000001</v>
      </c>
      <c r="I86" s="150">
        <v>3574.529</v>
      </c>
      <c r="J86" s="150">
        <v>2968.51</v>
      </c>
      <c r="K86" s="150">
        <v>-74.36</v>
      </c>
      <c r="L86" s="150">
        <v>-1175.77</v>
      </c>
      <c r="M86" s="150">
        <v>-1101.4100000000001</v>
      </c>
      <c r="N86" s="150">
        <v>22.163918926400001</v>
      </c>
      <c r="O86" s="150">
        <v>100</v>
      </c>
      <c r="P86" s="150">
        <v>77.836081073599999</v>
      </c>
      <c r="Q86" s="150">
        <v>16.9538140549</v>
      </c>
      <c r="R86" s="150">
        <v>100</v>
      </c>
      <c r="S86" s="150">
        <v>83.046185945100007</v>
      </c>
      <c r="T86" s="150" t="s">
        <v>2842</v>
      </c>
      <c r="U86" s="150" t="s">
        <v>2842</v>
      </c>
      <c r="V86" s="150" t="s">
        <v>2842</v>
      </c>
    </row>
    <row r="87" spans="1:22">
      <c r="A87" s="150" t="s">
        <v>2877</v>
      </c>
      <c r="B87" s="150" t="s">
        <v>213</v>
      </c>
      <c r="C87" s="150" t="str">
        <f t="shared" si="2"/>
        <v>2001_Guatemala</v>
      </c>
      <c r="D87" s="150">
        <v>1044.8399999999999</v>
      </c>
      <c r="E87" s="150">
        <v>3904.64</v>
      </c>
      <c r="F87" s="150">
        <f t="shared" si="3"/>
        <v>3904640000</v>
      </c>
      <c r="G87" s="150">
        <v>2859.8</v>
      </c>
      <c r="H87" s="150">
        <v>927.89200000000005</v>
      </c>
      <c r="I87" s="150">
        <v>6069.902</v>
      </c>
      <c r="J87" s="150">
        <v>5142.01</v>
      </c>
      <c r="K87" s="150">
        <v>116.94799999999999</v>
      </c>
      <c r="L87" s="150">
        <v>-2165.2620000000002</v>
      </c>
      <c r="M87" s="150">
        <v>-2282.21</v>
      </c>
      <c r="N87" s="150">
        <v>26.758932961799999</v>
      </c>
      <c r="O87" s="150">
        <v>100</v>
      </c>
      <c r="P87" s="150">
        <v>73.241067038200001</v>
      </c>
      <c r="Q87" s="150">
        <v>15.286770692499999</v>
      </c>
      <c r="R87" s="150">
        <v>100</v>
      </c>
      <c r="S87" s="150">
        <v>84.713229307500001</v>
      </c>
      <c r="T87" s="150" t="s">
        <v>2842</v>
      </c>
      <c r="U87" s="150" t="s">
        <v>2842</v>
      </c>
      <c r="V87" s="150" t="s">
        <v>2842</v>
      </c>
    </row>
    <row r="88" spans="1:22">
      <c r="A88" s="150" t="s">
        <v>2877</v>
      </c>
      <c r="B88" s="150" t="s">
        <v>2894</v>
      </c>
      <c r="C88" s="150" t="str">
        <f t="shared" si="2"/>
        <v>2001_ Guinea</v>
      </c>
      <c r="D88" s="150">
        <v>102.81699999999999</v>
      </c>
      <c r="E88" s="150">
        <v>833.86300000000006</v>
      </c>
      <c r="F88" s="150">
        <f t="shared" si="3"/>
        <v>833863000</v>
      </c>
      <c r="G88" s="150">
        <v>731.04600000000005</v>
      </c>
      <c r="H88" s="150">
        <v>318.95299999999997</v>
      </c>
      <c r="I88" s="150">
        <v>880.85299999999995</v>
      </c>
      <c r="J88" s="150">
        <v>561.9</v>
      </c>
      <c r="K88" s="150">
        <v>-216.136</v>
      </c>
      <c r="L88" s="150">
        <v>-46.99</v>
      </c>
      <c r="M88" s="150">
        <v>169.14599999999999</v>
      </c>
      <c r="N88" s="150">
        <v>12.330202923</v>
      </c>
      <c r="O88" s="150">
        <v>100</v>
      </c>
      <c r="P88" s="150">
        <v>87.669797076999998</v>
      </c>
      <c r="Q88" s="150">
        <v>36.209560505600003</v>
      </c>
      <c r="R88" s="150">
        <v>100</v>
      </c>
      <c r="S88" s="150">
        <v>63.790439494399997</v>
      </c>
      <c r="T88" s="150" t="s">
        <v>2842</v>
      </c>
      <c r="U88" s="150" t="s">
        <v>2842</v>
      </c>
      <c r="V88" s="150" t="s">
        <v>2842</v>
      </c>
    </row>
    <row r="89" spans="1:22">
      <c r="A89" s="150" t="s">
        <v>2877</v>
      </c>
      <c r="B89" s="150" t="s">
        <v>237</v>
      </c>
      <c r="C89" s="150" t="str">
        <f t="shared" si="2"/>
        <v>2001_Indonesia</v>
      </c>
      <c r="D89" s="150" t="s">
        <v>2875</v>
      </c>
      <c r="E89" s="150" t="s">
        <v>2842</v>
      </c>
      <c r="F89" s="150" t="str">
        <f t="shared" si="3"/>
        <v>..</v>
      </c>
      <c r="G89" s="150" t="s">
        <v>2875</v>
      </c>
      <c r="H89" s="150" t="s">
        <v>2875</v>
      </c>
      <c r="I89" s="150" t="s">
        <v>2875</v>
      </c>
      <c r="J89" s="150" t="s">
        <v>2875</v>
      </c>
      <c r="K89" s="150" t="s">
        <v>2875</v>
      </c>
      <c r="L89" s="150" t="s">
        <v>2875</v>
      </c>
      <c r="M89" s="150" t="s">
        <v>2875</v>
      </c>
      <c r="N89" s="150" t="s">
        <v>2875</v>
      </c>
      <c r="O89" s="150" t="s">
        <v>2875</v>
      </c>
      <c r="P89" s="150" t="s">
        <v>2875</v>
      </c>
      <c r="Q89" s="150" t="s">
        <v>2875</v>
      </c>
      <c r="R89" s="150" t="s">
        <v>2875</v>
      </c>
      <c r="S89" s="150" t="s">
        <v>2875</v>
      </c>
      <c r="T89" s="150" t="s">
        <v>2875</v>
      </c>
      <c r="U89" s="150" t="s">
        <v>2875</v>
      </c>
      <c r="V89" s="150" t="s">
        <v>2875</v>
      </c>
    </row>
    <row r="90" spans="1:22">
      <c r="A90" s="150" t="s">
        <v>2877</v>
      </c>
      <c r="B90" s="150" t="s">
        <v>245</v>
      </c>
      <c r="C90" s="150" t="str">
        <f t="shared" si="2"/>
        <v>2001_Iraq</v>
      </c>
      <c r="D90" s="150" t="s">
        <v>561</v>
      </c>
      <c r="E90" s="150" t="s">
        <v>2842</v>
      </c>
      <c r="F90" s="150" t="str">
        <f t="shared" si="3"/>
        <v>..</v>
      </c>
      <c r="G90" s="150">
        <v>12872.1</v>
      </c>
      <c r="H90" s="150" t="s">
        <v>561</v>
      </c>
      <c r="I90" s="150" t="s">
        <v>561</v>
      </c>
      <c r="J90" s="150">
        <v>11217.806253000001</v>
      </c>
      <c r="K90" s="150" t="s">
        <v>561</v>
      </c>
      <c r="L90" s="150" t="s">
        <v>561</v>
      </c>
      <c r="M90" s="150">
        <v>1654.2937469999999</v>
      </c>
      <c r="N90" s="150" t="s">
        <v>561</v>
      </c>
      <c r="O90" s="150" t="s">
        <v>561</v>
      </c>
      <c r="P90" s="150">
        <v>98.425600244699993</v>
      </c>
      <c r="Q90" s="150" t="s">
        <v>561</v>
      </c>
      <c r="R90" s="150" t="s">
        <v>561</v>
      </c>
      <c r="S90" s="150">
        <v>85.239097979099995</v>
      </c>
      <c r="T90" s="150" t="s">
        <v>2842</v>
      </c>
      <c r="U90" s="150" t="s">
        <v>2842</v>
      </c>
      <c r="V90" s="150" t="s">
        <v>2842</v>
      </c>
    </row>
    <row r="91" spans="1:22">
      <c r="A91" s="150" t="s">
        <v>2877</v>
      </c>
      <c r="B91" s="150" t="s">
        <v>273</v>
      </c>
      <c r="C91" s="150" t="str">
        <f t="shared" si="2"/>
        <v>2001_Kazakhstan</v>
      </c>
      <c r="D91" s="150">
        <v>1260.21</v>
      </c>
      <c r="E91" s="150">
        <v>10188.02</v>
      </c>
      <c r="F91" s="150">
        <f t="shared" si="3"/>
        <v>10188020000</v>
      </c>
      <c r="G91" s="150">
        <v>8927.81</v>
      </c>
      <c r="H91" s="150">
        <v>2634.6</v>
      </c>
      <c r="I91" s="150">
        <v>10579.04</v>
      </c>
      <c r="J91" s="150">
        <v>7944.44</v>
      </c>
      <c r="K91" s="150">
        <v>-1374.39</v>
      </c>
      <c r="L91" s="150">
        <v>-391.02</v>
      </c>
      <c r="M91" s="150">
        <v>983.37</v>
      </c>
      <c r="N91" s="150">
        <v>12.369528132099999</v>
      </c>
      <c r="O91" s="150">
        <v>100</v>
      </c>
      <c r="P91" s="150">
        <v>87.630471867899999</v>
      </c>
      <c r="Q91" s="150">
        <v>24.9039610399</v>
      </c>
      <c r="R91" s="150">
        <v>100</v>
      </c>
      <c r="S91" s="150">
        <v>75.096038960100003</v>
      </c>
      <c r="T91" s="150" t="s">
        <v>2842</v>
      </c>
      <c r="U91" s="150" t="s">
        <v>2842</v>
      </c>
      <c r="V91" s="150" t="s">
        <v>2842</v>
      </c>
    </row>
    <row r="92" spans="1:22">
      <c r="A92" s="150" t="s">
        <v>2877</v>
      </c>
      <c r="B92" s="150" t="s">
        <v>2895</v>
      </c>
      <c r="C92" s="150" t="str">
        <f t="shared" si="2"/>
        <v>2001_Kyrgyzstan</v>
      </c>
      <c r="D92" s="150">
        <v>82.778999999999996</v>
      </c>
      <c r="E92" s="150">
        <v>563.03599999999994</v>
      </c>
      <c r="F92" s="150">
        <f t="shared" si="3"/>
        <v>563036000</v>
      </c>
      <c r="G92" s="150">
        <v>480.25700000000001</v>
      </c>
      <c r="H92" s="150">
        <v>124.75</v>
      </c>
      <c r="I92" s="150">
        <v>573.91</v>
      </c>
      <c r="J92" s="150">
        <v>449.16</v>
      </c>
      <c r="K92" s="150">
        <v>-41.970999999999997</v>
      </c>
      <c r="L92" s="150">
        <v>-10.874000000000001</v>
      </c>
      <c r="M92" s="150">
        <v>31.097000000000001</v>
      </c>
      <c r="N92" s="150">
        <v>14.7022570493</v>
      </c>
      <c r="O92" s="150">
        <v>100</v>
      </c>
      <c r="P92" s="150">
        <v>85.297742950699998</v>
      </c>
      <c r="Q92" s="150">
        <v>21.736857695499999</v>
      </c>
      <c r="R92" s="150">
        <v>100</v>
      </c>
      <c r="S92" s="150">
        <v>78.263142304499993</v>
      </c>
      <c r="T92" s="150" t="s">
        <v>2842</v>
      </c>
      <c r="U92" s="150" t="s">
        <v>2842</v>
      </c>
      <c r="V92" s="150" t="s">
        <v>2842</v>
      </c>
    </row>
    <row r="93" spans="1:22">
      <c r="A93" s="150" t="s">
        <v>2877</v>
      </c>
      <c r="B93" s="150" t="s">
        <v>294</v>
      </c>
      <c r="C93" s="150" t="str">
        <f t="shared" si="2"/>
        <v>2001_Liberia</v>
      </c>
      <c r="D93" s="150" t="s">
        <v>561</v>
      </c>
      <c r="E93" s="150" t="s">
        <v>2842</v>
      </c>
      <c r="F93" s="150" t="str">
        <f t="shared" si="3"/>
        <v>..</v>
      </c>
      <c r="G93" s="150" t="s">
        <v>561</v>
      </c>
      <c r="H93" s="150" t="s">
        <v>561</v>
      </c>
      <c r="I93" s="150" t="s">
        <v>561</v>
      </c>
      <c r="J93" s="150">
        <v>155</v>
      </c>
      <c r="K93" s="150" t="s">
        <v>561</v>
      </c>
      <c r="L93" s="150" t="s">
        <v>561</v>
      </c>
      <c r="M93" s="150" t="s">
        <v>561</v>
      </c>
      <c r="N93" s="150" t="s">
        <v>561</v>
      </c>
      <c r="O93" s="150" t="s">
        <v>561</v>
      </c>
      <c r="P93" s="150" t="s">
        <v>561</v>
      </c>
      <c r="Q93" s="150" t="s">
        <v>561</v>
      </c>
      <c r="R93" s="150" t="s">
        <v>561</v>
      </c>
      <c r="S93" s="150">
        <v>54.304244525900003</v>
      </c>
      <c r="T93" s="150" t="s">
        <v>2842</v>
      </c>
      <c r="U93" s="150" t="s">
        <v>2842</v>
      </c>
      <c r="V93" s="150" t="s">
        <v>2842</v>
      </c>
    </row>
    <row r="94" spans="1:22">
      <c r="A94" s="150" t="s">
        <v>2877</v>
      </c>
      <c r="B94" s="150" t="s">
        <v>309</v>
      </c>
      <c r="C94" s="150" t="str">
        <f t="shared" si="2"/>
        <v>2001_Madagascar</v>
      </c>
      <c r="D94" s="150">
        <v>350.62200000000001</v>
      </c>
      <c r="E94" s="150">
        <v>1278.7950000000001</v>
      </c>
      <c r="F94" s="150">
        <f t="shared" si="3"/>
        <v>1278795000</v>
      </c>
      <c r="G94" s="150">
        <v>928.173</v>
      </c>
      <c r="H94" s="150">
        <v>510.92500000000001</v>
      </c>
      <c r="I94" s="150">
        <v>1465.972</v>
      </c>
      <c r="J94" s="150">
        <v>955.04700000000003</v>
      </c>
      <c r="K94" s="150">
        <v>-160.303</v>
      </c>
      <c r="L94" s="150">
        <v>-187.17699999999999</v>
      </c>
      <c r="M94" s="150">
        <v>-26.873999999999999</v>
      </c>
      <c r="N94" s="150">
        <v>27.418155372800001</v>
      </c>
      <c r="O94" s="150">
        <v>100</v>
      </c>
      <c r="P94" s="150">
        <v>72.581844627199999</v>
      </c>
      <c r="Q94" s="150">
        <v>34.852302772500003</v>
      </c>
      <c r="R94" s="150">
        <v>100</v>
      </c>
      <c r="S94" s="150">
        <v>65.147697227500004</v>
      </c>
      <c r="T94" s="150" t="s">
        <v>2842</v>
      </c>
      <c r="U94" s="150" t="s">
        <v>2842</v>
      </c>
      <c r="V94" s="150" t="s">
        <v>2842</v>
      </c>
    </row>
    <row r="95" spans="1:22">
      <c r="A95" s="150" t="s">
        <v>2877</v>
      </c>
      <c r="B95" s="150" t="s">
        <v>322</v>
      </c>
      <c r="C95" s="150" t="str">
        <f t="shared" si="2"/>
        <v>2001_Mali</v>
      </c>
      <c r="D95" s="150">
        <v>151.179</v>
      </c>
      <c r="E95" s="150">
        <v>876.36599999999999</v>
      </c>
      <c r="F95" s="150">
        <f t="shared" si="3"/>
        <v>876366000</v>
      </c>
      <c r="G95" s="150">
        <v>725.18700000000001</v>
      </c>
      <c r="H95" s="150">
        <v>421.36500000000001</v>
      </c>
      <c r="I95" s="150">
        <v>1156.1120000000001</v>
      </c>
      <c r="J95" s="150">
        <v>734.74699999999996</v>
      </c>
      <c r="K95" s="150">
        <v>-270.18599999999998</v>
      </c>
      <c r="L95" s="150">
        <v>-279.74599999999998</v>
      </c>
      <c r="M95" s="150">
        <v>-9.56</v>
      </c>
      <c r="N95" s="150">
        <v>17.250669240899999</v>
      </c>
      <c r="O95" s="150">
        <v>100</v>
      </c>
      <c r="P95" s="150">
        <v>82.749330759100005</v>
      </c>
      <c r="Q95" s="150">
        <v>36.446728344699999</v>
      </c>
      <c r="R95" s="150">
        <v>100</v>
      </c>
      <c r="S95" s="150">
        <v>63.553271655300001</v>
      </c>
      <c r="T95" s="150" t="s">
        <v>2842</v>
      </c>
      <c r="U95" s="150" t="s">
        <v>2842</v>
      </c>
      <c r="V95" s="150" t="s">
        <v>2842</v>
      </c>
    </row>
    <row r="96" spans="1:22">
      <c r="A96" s="150" t="s">
        <v>2877</v>
      </c>
      <c r="B96" s="150" t="s">
        <v>338</v>
      </c>
      <c r="C96" s="150" t="str">
        <f t="shared" si="2"/>
        <v>2001_Mauritania</v>
      </c>
      <c r="D96" s="150">
        <v>46.217021920000001</v>
      </c>
      <c r="E96" s="150">
        <v>401.41702192000002</v>
      </c>
      <c r="F96" s="150">
        <f t="shared" si="3"/>
        <v>401417021.92000002</v>
      </c>
      <c r="G96" s="150">
        <v>355.2</v>
      </c>
      <c r="H96" s="150">
        <v>158.18747956999999</v>
      </c>
      <c r="I96" s="150">
        <v>623.38747956999998</v>
      </c>
      <c r="J96" s="150">
        <v>465.2</v>
      </c>
      <c r="K96" s="150">
        <v>-111.97045765</v>
      </c>
      <c r="L96" s="150">
        <v>-221.97045764999999</v>
      </c>
      <c r="M96" s="150">
        <v>-110</v>
      </c>
      <c r="N96" s="150">
        <v>11.5134683873</v>
      </c>
      <c r="O96" s="150">
        <v>100</v>
      </c>
      <c r="P96" s="150">
        <v>88.486531612700006</v>
      </c>
      <c r="Q96" s="150">
        <v>25.3754662636</v>
      </c>
      <c r="R96" s="150">
        <v>100</v>
      </c>
      <c r="S96" s="150">
        <v>74.624533736399997</v>
      </c>
      <c r="T96" s="150" t="s">
        <v>2842</v>
      </c>
      <c r="U96" s="150" t="s">
        <v>2842</v>
      </c>
      <c r="V96" s="150" t="s">
        <v>2842</v>
      </c>
    </row>
    <row r="97" spans="1:22">
      <c r="A97" s="150" t="s">
        <v>2877</v>
      </c>
      <c r="B97" s="150" t="s">
        <v>357</v>
      </c>
      <c r="C97" s="150" t="str">
        <f t="shared" si="2"/>
        <v>2001_Mongolia</v>
      </c>
      <c r="D97" s="150">
        <v>113.53400000000001</v>
      </c>
      <c r="E97" s="150">
        <v>636.71699999999998</v>
      </c>
      <c r="F97" s="150">
        <f t="shared" si="3"/>
        <v>636717000</v>
      </c>
      <c r="G97" s="150">
        <v>523.18299999999999</v>
      </c>
      <c r="H97" s="150">
        <v>205.41</v>
      </c>
      <c r="I97" s="150">
        <v>829.23099999999999</v>
      </c>
      <c r="J97" s="150">
        <v>623.82100000000003</v>
      </c>
      <c r="K97" s="150">
        <v>-91.876000000000005</v>
      </c>
      <c r="L97" s="150">
        <v>-192.51400000000001</v>
      </c>
      <c r="M97" s="150">
        <v>-100.63800000000001</v>
      </c>
      <c r="N97" s="150">
        <v>17.831155756800001</v>
      </c>
      <c r="O97" s="150">
        <v>100</v>
      </c>
      <c r="P97" s="150">
        <v>82.168844243199999</v>
      </c>
      <c r="Q97" s="150">
        <v>24.7711433847</v>
      </c>
      <c r="R97" s="150">
        <v>100</v>
      </c>
      <c r="S97" s="150">
        <v>75.228856615300003</v>
      </c>
      <c r="T97" s="150" t="s">
        <v>2842</v>
      </c>
      <c r="U97" s="150" t="s">
        <v>2842</v>
      </c>
      <c r="V97" s="150" t="s">
        <v>2842</v>
      </c>
    </row>
    <row r="98" spans="1:22">
      <c r="A98" s="150" t="s">
        <v>2877</v>
      </c>
      <c r="B98" s="150" t="s">
        <v>378</v>
      </c>
      <c r="C98" s="150" t="str">
        <f t="shared" si="2"/>
        <v>2001_Mozambique</v>
      </c>
      <c r="D98" s="150">
        <v>249.67400000000001</v>
      </c>
      <c r="E98" s="150">
        <v>975.62599999999998</v>
      </c>
      <c r="F98" s="150">
        <f t="shared" si="3"/>
        <v>975626000</v>
      </c>
      <c r="G98" s="150">
        <v>725.952</v>
      </c>
      <c r="H98" s="150">
        <v>618.35400000000004</v>
      </c>
      <c r="I98" s="150">
        <v>1615.6420000000001</v>
      </c>
      <c r="J98" s="150">
        <v>997.28800000000001</v>
      </c>
      <c r="K98" s="150">
        <v>-368.68</v>
      </c>
      <c r="L98" s="150">
        <v>-640.01599999999996</v>
      </c>
      <c r="M98" s="150">
        <v>-271.33600000000001</v>
      </c>
      <c r="N98" s="150">
        <v>25.591158907200001</v>
      </c>
      <c r="O98" s="150">
        <v>100</v>
      </c>
      <c r="P98" s="150">
        <v>74.408841092800003</v>
      </c>
      <c r="Q98" s="150">
        <v>38.272958984699997</v>
      </c>
      <c r="R98" s="150">
        <v>100</v>
      </c>
      <c r="S98" s="150">
        <v>61.727041015300003</v>
      </c>
      <c r="T98" s="150" t="s">
        <v>2842</v>
      </c>
      <c r="U98" s="150" t="s">
        <v>2842</v>
      </c>
      <c r="V98" s="150" t="s">
        <v>2842</v>
      </c>
    </row>
    <row r="99" spans="1:22">
      <c r="A99" s="150" t="s">
        <v>2877</v>
      </c>
      <c r="B99" s="150" t="s">
        <v>387</v>
      </c>
      <c r="C99" s="150" t="str">
        <f t="shared" si="2"/>
        <v>2001_Niger</v>
      </c>
      <c r="D99" s="150">
        <v>56.715000000000003</v>
      </c>
      <c r="E99" s="150">
        <v>329.20699999999999</v>
      </c>
      <c r="F99" s="150">
        <f t="shared" si="3"/>
        <v>329207000</v>
      </c>
      <c r="G99" s="150">
        <v>272.49200000000002</v>
      </c>
      <c r="H99" s="150">
        <v>147.178</v>
      </c>
      <c r="I99" s="150">
        <v>478.45</v>
      </c>
      <c r="J99" s="150">
        <v>331.27199999999999</v>
      </c>
      <c r="K99" s="150">
        <v>-90.462999999999994</v>
      </c>
      <c r="L99" s="150">
        <v>-149.24299999999999</v>
      </c>
      <c r="M99" s="150">
        <v>-58.78</v>
      </c>
      <c r="N99" s="150">
        <v>17.227762471599998</v>
      </c>
      <c r="O99" s="150">
        <v>100</v>
      </c>
      <c r="P99" s="150">
        <v>82.772237528399998</v>
      </c>
      <c r="Q99" s="150">
        <v>30.761417076000001</v>
      </c>
      <c r="R99" s="150">
        <v>100</v>
      </c>
      <c r="S99" s="150">
        <v>69.238582923999999</v>
      </c>
      <c r="T99" s="150" t="s">
        <v>2842</v>
      </c>
      <c r="U99" s="150" t="s">
        <v>2842</v>
      </c>
      <c r="V99" s="150" t="s">
        <v>2842</v>
      </c>
    </row>
    <row r="100" spans="1:22">
      <c r="A100" s="150" t="s">
        <v>2877</v>
      </c>
      <c r="B100" s="150" t="s">
        <v>406</v>
      </c>
      <c r="C100" s="150" t="str">
        <f t="shared" si="2"/>
        <v>2001_Nigeria</v>
      </c>
      <c r="D100" s="150">
        <v>1653.29</v>
      </c>
      <c r="E100" s="150">
        <v>19645.09</v>
      </c>
      <c r="F100" s="150">
        <f t="shared" si="3"/>
        <v>19645090000</v>
      </c>
      <c r="G100" s="150">
        <v>17991.8</v>
      </c>
      <c r="H100" s="150">
        <v>4639.6899999999996</v>
      </c>
      <c r="I100" s="150">
        <v>15736.19</v>
      </c>
      <c r="J100" s="150">
        <v>11096.5</v>
      </c>
      <c r="K100" s="150">
        <v>-2986.4</v>
      </c>
      <c r="L100" s="150">
        <v>3908.9</v>
      </c>
      <c r="M100" s="150">
        <v>6895.3</v>
      </c>
      <c r="N100" s="150">
        <v>8.4157924447999992</v>
      </c>
      <c r="O100" s="150">
        <v>100</v>
      </c>
      <c r="P100" s="150">
        <v>91.584207555199995</v>
      </c>
      <c r="Q100" s="150">
        <v>29.4842017032</v>
      </c>
      <c r="R100" s="150">
        <v>100</v>
      </c>
      <c r="S100" s="150">
        <v>70.5157982968</v>
      </c>
      <c r="T100" s="150" t="s">
        <v>2842</v>
      </c>
      <c r="U100" s="150" t="s">
        <v>2842</v>
      </c>
      <c r="V100" s="150" t="s">
        <v>2842</v>
      </c>
    </row>
    <row r="101" spans="1:22">
      <c r="A101" s="150" t="s">
        <v>2877</v>
      </c>
      <c r="B101" s="150" t="s">
        <v>429</v>
      </c>
      <c r="C101" s="150" t="str">
        <f t="shared" si="2"/>
        <v>2001_Norway</v>
      </c>
      <c r="D101" s="150">
        <v>18355</v>
      </c>
      <c r="E101" s="150">
        <v>77802.8</v>
      </c>
      <c r="F101" s="150">
        <f t="shared" si="3"/>
        <v>77802800000</v>
      </c>
      <c r="G101" s="150">
        <v>59447.8</v>
      </c>
      <c r="H101" s="150">
        <v>15798.1</v>
      </c>
      <c r="I101" s="150">
        <v>48843.6</v>
      </c>
      <c r="J101" s="150">
        <v>33045.5</v>
      </c>
      <c r="K101" s="150">
        <v>2556.9</v>
      </c>
      <c r="L101" s="150">
        <v>28959.200000000001</v>
      </c>
      <c r="M101" s="150">
        <v>26402.3</v>
      </c>
      <c r="N101" s="150">
        <v>23.591695928699998</v>
      </c>
      <c r="O101" s="150">
        <v>100</v>
      </c>
      <c r="P101" s="150">
        <v>76.408304071299995</v>
      </c>
      <c r="Q101" s="150">
        <v>32.344257999</v>
      </c>
      <c r="R101" s="150">
        <v>100</v>
      </c>
      <c r="S101" s="150">
        <v>67.655742000999993</v>
      </c>
      <c r="T101" s="150" t="s">
        <v>2842</v>
      </c>
      <c r="U101" s="150" t="s">
        <v>2842</v>
      </c>
      <c r="V101" s="150" t="s">
        <v>2842</v>
      </c>
    </row>
    <row r="102" spans="1:22">
      <c r="A102" s="150" t="s">
        <v>2877</v>
      </c>
      <c r="B102" s="150" t="s">
        <v>442</v>
      </c>
      <c r="C102" s="150" t="str">
        <f t="shared" si="2"/>
        <v>2001_Peru</v>
      </c>
      <c r="D102" s="150">
        <v>1437.33</v>
      </c>
      <c r="E102" s="150">
        <v>8463.06</v>
      </c>
      <c r="F102" s="150">
        <f t="shared" si="3"/>
        <v>8463059999.999999</v>
      </c>
      <c r="G102" s="150">
        <v>7025.73</v>
      </c>
      <c r="H102" s="150">
        <v>2400.08</v>
      </c>
      <c r="I102" s="150">
        <v>9604.56</v>
      </c>
      <c r="J102" s="150">
        <v>7204.48</v>
      </c>
      <c r="K102" s="150">
        <v>-962.75</v>
      </c>
      <c r="L102" s="150">
        <v>-1141.5</v>
      </c>
      <c r="M102" s="150">
        <v>-178.75</v>
      </c>
      <c r="N102" s="150">
        <v>16.983573317499999</v>
      </c>
      <c r="O102" s="150">
        <v>100</v>
      </c>
      <c r="P102" s="150">
        <v>83.016426682499997</v>
      </c>
      <c r="Q102" s="150">
        <v>24.9889635756</v>
      </c>
      <c r="R102" s="150">
        <v>100</v>
      </c>
      <c r="S102" s="150">
        <v>75.011036424400004</v>
      </c>
      <c r="T102" s="150" t="s">
        <v>2842</v>
      </c>
      <c r="U102" s="150" t="s">
        <v>2842</v>
      </c>
      <c r="V102" s="150" t="s">
        <v>2842</v>
      </c>
    </row>
    <row r="103" spans="1:22">
      <c r="A103" s="150" t="s">
        <v>2877</v>
      </c>
      <c r="B103" s="150" t="s">
        <v>481</v>
      </c>
      <c r="C103" s="150" t="str">
        <f t="shared" si="2"/>
        <v>2001_Sierra Leone</v>
      </c>
      <c r="D103" s="150">
        <v>51.968000000000004</v>
      </c>
      <c r="E103" s="150">
        <v>81.119</v>
      </c>
      <c r="F103" s="150">
        <f t="shared" si="3"/>
        <v>81119000</v>
      </c>
      <c r="G103" s="150">
        <v>29.151</v>
      </c>
      <c r="H103" s="150">
        <v>110.898</v>
      </c>
      <c r="I103" s="150">
        <v>276.029</v>
      </c>
      <c r="J103" s="150">
        <v>165.131</v>
      </c>
      <c r="K103" s="150">
        <v>-58.93</v>
      </c>
      <c r="L103" s="150">
        <v>-194.91</v>
      </c>
      <c r="M103" s="150">
        <v>-135.97999999999999</v>
      </c>
      <c r="N103" s="150">
        <v>64.063906113200005</v>
      </c>
      <c r="O103" s="150">
        <v>100</v>
      </c>
      <c r="P103" s="150">
        <v>35.936093886800002</v>
      </c>
      <c r="Q103" s="150">
        <v>40.176213368900001</v>
      </c>
      <c r="R103" s="150">
        <v>100</v>
      </c>
      <c r="S103" s="150">
        <v>59.823786631099999</v>
      </c>
      <c r="T103" s="150" t="s">
        <v>2842</v>
      </c>
      <c r="U103" s="150" t="s">
        <v>2842</v>
      </c>
      <c r="V103" s="150" t="s">
        <v>2842</v>
      </c>
    </row>
    <row r="104" spans="1:22">
      <c r="A104" s="150" t="s">
        <v>2877</v>
      </c>
      <c r="B104" s="150" t="s">
        <v>2844</v>
      </c>
      <c r="C104" s="150" t="str">
        <f t="shared" si="2"/>
        <v>2001_Timor-Leste</v>
      </c>
      <c r="D104" s="150" t="s">
        <v>2875</v>
      </c>
      <c r="E104" s="150" t="s">
        <v>2842</v>
      </c>
      <c r="F104" s="150" t="str">
        <f t="shared" si="3"/>
        <v>..</v>
      </c>
      <c r="G104" s="150" t="s">
        <v>2875</v>
      </c>
      <c r="H104" s="150" t="s">
        <v>2875</v>
      </c>
      <c r="I104" s="150" t="s">
        <v>2875</v>
      </c>
      <c r="J104" s="150" t="s">
        <v>2875</v>
      </c>
      <c r="K104" s="150" t="s">
        <v>2875</v>
      </c>
      <c r="L104" s="150" t="s">
        <v>2875</v>
      </c>
      <c r="M104" s="150" t="s">
        <v>2875</v>
      </c>
      <c r="N104" s="150" t="s">
        <v>2875</v>
      </c>
      <c r="O104" s="150" t="s">
        <v>2875</v>
      </c>
      <c r="P104" s="150" t="s">
        <v>2875</v>
      </c>
      <c r="Q104" s="150" t="s">
        <v>2875</v>
      </c>
      <c r="R104" s="150" t="s">
        <v>2875</v>
      </c>
      <c r="S104" s="150" t="s">
        <v>2875</v>
      </c>
      <c r="T104" s="150" t="s">
        <v>2875</v>
      </c>
      <c r="U104" s="150" t="s">
        <v>2875</v>
      </c>
      <c r="V104" s="150" t="s">
        <v>2875</v>
      </c>
    </row>
    <row r="105" spans="1:22">
      <c r="A105" s="150" t="s">
        <v>2877</v>
      </c>
      <c r="B105" s="150" t="s">
        <v>510</v>
      </c>
      <c r="C105" s="150" t="str">
        <f t="shared" si="2"/>
        <v>2001_Togo</v>
      </c>
      <c r="D105" s="150">
        <v>71.754999999999995</v>
      </c>
      <c r="E105" s="150">
        <v>428.96699999999998</v>
      </c>
      <c r="F105" s="150">
        <f t="shared" si="3"/>
        <v>428967000</v>
      </c>
      <c r="G105" s="150">
        <v>357.21199999999999</v>
      </c>
      <c r="H105" s="150">
        <v>129.892</v>
      </c>
      <c r="I105" s="150">
        <v>645.96600000000001</v>
      </c>
      <c r="J105" s="150">
        <v>516.07399999999996</v>
      </c>
      <c r="K105" s="150">
        <v>-58.137</v>
      </c>
      <c r="L105" s="150">
        <v>-216.999</v>
      </c>
      <c r="M105" s="150">
        <v>-158.86199999999999</v>
      </c>
      <c r="N105" s="150">
        <v>16.727393948700001</v>
      </c>
      <c r="O105" s="150">
        <v>100</v>
      </c>
      <c r="P105" s="150">
        <v>83.272606051300002</v>
      </c>
      <c r="Q105" s="150">
        <v>20.108179068199998</v>
      </c>
      <c r="R105" s="150">
        <v>100</v>
      </c>
      <c r="S105" s="150">
        <v>79.891820931799998</v>
      </c>
      <c r="T105" s="150" t="s">
        <v>2842</v>
      </c>
      <c r="U105" s="150" t="s">
        <v>2842</v>
      </c>
      <c r="V105" s="150" t="s">
        <v>2842</v>
      </c>
    </row>
    <row r="106" spans="1:22">
      <c r="A106" s="150" t="s">
        <v>2877</v>
      </c>
      <c r="B106" s="150" t="s">
        <v>2845</v>
      </c>
      <c r="C106" s="150" t="str">
        <f t="shared" si="2"/>
        <v>2001_Trinidad and Tobago</v>
      </c>
      <c r="D106" s="150">
        <v>573.79999999999995</v>
      </c>
      <c r="E106" s="150">
        <v>4878</v>
      </c>
      <c r="F106" s="150">
        <f t="shared" si="3"/>
        <v>4878000000</v>
      </c>
      <c r="G106" s="150">
        <v>4304.2</v>
      </c>
      <c r="H106" s="150">
        <v>370</v>
      </c>
      <c r="I106" s="150">
        <v>3956.1</v>
      </c>
      <c r="J106" s="150">
        <v>3586.1</v>
      </c>
      <c r="K106" s="150">
        <v>203.8</v>
      </c>
      <c r="L106" s="150">
        <v>921.9</v>
      </c>
      <c r="M106" s="150">
        <v>718.1</v>
      </c>
      <c r="N106" s="150">
        <v>11.7630176302</v>
      </c>
      <c r="O106" s="150">
        <v>100</v>
      </c>
      <c r="P106" s="150">
        <v>88.236982369800003</v>
      </c>
      <c r="Q106" s="150">
        <v>9.3526452819999992</v>
      </c>
      <c r="R106" s="150">
        <v>100</v>
      </c>
      <c r="S106" s="150">
        <v>90.647354718000003</v>
      </c>
      <c r="T106" s="150" t="s">
        <v>2842</v>
      </c>
      <c r="U106" s="150" t="s">
        <v>2842</v>
      </c>
      <c r="V106" s="150" t="s">
        <v>2842</v>
      </c>
    </row>
    <row r="107" spans="1:22">
      <c r="A107" s="150" t="s">
        <v>2877</v>
      </c>
      <c r="B107" s="150" t="s">
        <v>492</v>
      </c>
      <c r="C107" s="150" t="str">
        <f t="shared" si="2"/>
        <v>2001_Tanzania</v>
      </c>
      <c r="D107" s="150">
        <v>915.39700000000005</v>
      </c>
      <c r="E107" s="150">
        <v>1766.6969999999999</v>
      </c>
      <c r="F107" s="150">
        <f t="shared" si="3"/>
        <v>1766697000</v>
      </c>
      <c r="G107" s="150">
        <v>851.3</v>
      </c>
      <c r="H107" s="150">
        <v>649.34500000000003</v>
      </c>
      <c r="I107" s="150">
        <v>2209.6849999999999</v>
      </c>
      <c r="J107" s="150">
        <v>1560.34</v>
      </c>
      <c r="K107" s="150">
        <v>266.05200000000002</v>
      </c>
      <c r="L107" s="150">
        <v>-442.988</v>
      </c>
      <c r="M107" s="150">
        <v>-709.04</v>
      </c>
      <c r="N107" s="150">
        <v>51.8140348911</v>
      </c>
      <c r="O107" s="150">
        <v>100</v>
      </c>
      <c r="P107" s="150">
        <v>48.1859651089</v>
      </c>
      <c r="Q107" s="150">
        <v>29.386315243999999</v>
      </c>
      <c r="R107" s="150">
        <v>100</v>
      </c>
      <c r="S107" s="150">
        <v>70.613684755999998</v>
      </c>
      <c r="T107" s="150" t="s">
        <v>2842</v>
      </c>
      <c r="U107" s="150" t="s">
        <v>2842</v>
      </c>
      <c r="V107" s="150" t="s">
        <v>2842</v>
      </c>
    </row>
    <row r="108" spans="1:22">
      <c r="A108" s="150" t="s">
        <v>2877</v>
      </c>
      <c r="B108" s="150" t="s">
        <v>522</v>
      </c>
      <c r="C108" s="150" t="str">
        <f t="shared" si="2"/>
        <v>2001_Yemen</v>
      </c>
      <c r="D108" s="150">
        <v>166.42500000000001</v>
      </c>
      <c r="E108" s="150">
        <v>3533.2849999999999</v>
      </c>
      <c r="F108" s="150">
        <f t="shared" si="3"/>
        <v>3533285000</v>
      </c>
      <c r="G108" s="150">
        <v>3366.86</v>
      </c>
      <c r="H108" s="150">
        <v>847.76400000000001</v>
      </c>
      <c r="I108" s="150">
        <v>3448.194</v>
      </c>
      <c r="J108" s="150">
        <v>2600.4299999999998</v>
      </c>
      <c r="K108" s="150">
        <v>-681.33900000000006</v>
      </c>
      <c r="L108" s="150">
        <v>85.090999999999994</v>
      </c>
      <c r="M108" s="150">
        <v>766.43</v>
      </c>
      <c r="N108" s="150">
        <v>4.7102059414999999</v>
      </c>
      <c r="O108" s="150">
        <v>100</v>
      </c>
      <c r="P108" s="150">
        <v>95.289794058499993</v>
      </c>
      <c r="Q108" s="150">
        <v>24.5857396655</v>
      </c>
      <c r="R108" s="150">
        <v>100</v>
      </c>
      <c r="S108" s="150">
        <v>75.4142603345</v>
      </c>
      <c r="T108" s="150" t="s">
        <v>2842</v>
      </c>
      <c r="U108" s="150" t="s">
        <v>2842</v>
      </c>
      <c r="V108" s="150" t="s">
        <v>2842</v>
      </c>
    </row>
    <row r="109" spans="1:22">
      <c r="A109" s="150" t="s">
        <v>2877</v>
      </c>
      <c r="B109" s="150" t="s">
        <v>534</v>
      </c>
      <c r="C109" s="150" t="str">
        <f t="shared" si="2"/>
        <v>2001_Zambia</v>
      </c>
      <c r="D109" s="150">
        <v>144.04</v>
      </c>
      <c r="E109" s="150">
        <v>1054.825</v>
      </c>
      <c r="F109" s="150">
        <f t="shared" si="3"/>
        <v>1054825000</v>
      </c>
      <c r="G109" s="150">
        <v>910.78499999999997</v>
      </c>
      <c r="H109" s="150">
        <v>366.62700000000001</v>
      </c>
      <c r="I109" s="150">
        <v>1619.557</v>
      </c>
      <c r="J109" s="150">
        <v>1252.93</v>
      </c>
      <c r="K109" s="150">
        <v>-222.58699999999999</v>
      </c>
      <c r="L109" s="150">
        <v>-564.73199999999997</v>
      </c>
      <c r="M109" s="150">
        <v>-342.14499999999998</v>
      </c>
      <c r="N109" s="150">
        <v>13.655345673499999</v>
      </c>
      <c r="O109" s="150">
        <v>100</v>
      </c>
      <c r="P109" s="150">
        <v>86.344654326500006</v>
      </c>
      <c r="Q109" s="150">
        <v>22.6374866707</v>
      </c>
      <c r="R109" s="150">
        <v>100</v>
      </c>
      <c r="S109" s="150">
        <v>77.3625133293</v>
      </c>
      <c r="T109" s="150" t="s">
        <v>2842</v>
      </c>
      <c r="U109" s="150" t="s">
        <v>2842</v>
      </c>
      <c r="V109" s="150" t="s">
        <v>2842</v>
      </c>
    </row>
    <row r="110" spans="1:22">
      <c r="A110" s="150" t="s">
        <v>2878</v>
      </c>
      <c r="B110" s="150" t="s">
        <v>16</v>
      </c>
      <c r="C110" s="150" t="str">
        <f t="shared" si="2"/>
        <v>2002_Afghanistan</v>
      </c>
      <c r="D110" s="150" t="s">
        <v>561</v>
      </c>
      <c r="E110" s="150" t="s">
        <v>2842</v>
      </c>
      <c r="F110" s="150" t="str">
        <f t="shared" si="3"/>
        <v>..</v>
      </c>
      <c r="G110" s="150">
        <v>1290.5999999999999</v>
      </c>
      <c r="H110" s="150" t="s">
        <v>561</v>
      </c>
      <c r="I110" s="150" t="s">
        <v>561</v>
      </c>
      <c r="J110" s="150">
        <v>2508.1999999999998</v>
      </c>
      <c r="K110" s="150" t="s">
        <v>561</v>
      </c>
      <c r="L110" s="150" t="s">
        <v>561</v>
      </c>
      <c r="M110" s="150">
        <v>-1217.5999999999999</v>
      </c>
      <c r="N110" s="150" t="s">
        <v>561</v>
      </c>
      <c r="O110" s="150" t="s">
        <v>561</v>
      </c>
      <c r="P110" s="150">
        <v>96.212911883100006</v>
      </c>
      <c r="Q110" s="150" t="s">
        <v>561</v>
      </c>
      <c r="R110" s="150" t="s">
        <v>561</v>
      </c>
      <c r="S110" s="150">
        <v>97.489116915400004</v>
      </c>
      <c r="T110" s="150" t="s">
        <v>2842</v>
      </c>
      <c r="U110" s="150" t="s">
        <v>2842</v>
      </c>
      <c r="V110" s="150" t="s">
        <v>2842</v>
      </c>
    </row>
    <row r="111" spans="1:22">
      <c r="A111" s="150" t="s">
        <v>2878</v>
      </c>
      <c r="B111" s="150" t="s">
        <v>33</v>
      </c>
      <c r="C111" s="150" t="str">
        <f t="shared" si="2"/>
        <v>2002_Albania</v>
      </c>
      <c r="D111" s="150">
        <v>585</v>
      </c>
      <c r="E111" s="150">
        <v>915.24</v>
      </c>
      <c r="F111" s="150">
        <f t="shared" si="3"/>
        <v>915240000</v>
      </c>
      <c r="G111" s="150">
        <v>330.24</v>
      </c>
      <c r="H111" s="150">
        <v>590.21</v>
      </c>
      <c r="I111" s="150">
        <v>2075.5700000000002</v>
      </c>
      <c r="J111" s="150">
        <v>1485.36</v>
      </c>
      <c r="K111" s="150">
        <v>-5.21</v>
      </c>
      <c r="L111" s="150">
        <v>-1160.33</v>
      </c>
      <c r="M111" s="150">
        <v>-1155.1199999999999</v>
      </c>
      <c r="N111" s="150">
        <v>63.917660941400001</v>
      </c>
      <c r="O111" s="150">
        <v>100</v>
      </c>
      <c r="P111" s="150">
        <v>36.082339058599999</v>
      </c>
      <c r="Q111" s="150">
        <v>28.436044074600002</v>
      </c>
      <c r="R111" s="150">
        <v>100</v>
      </c>
      <c r="S111" s="150">
        <v>71.563955925399995</v>
      </c>
      <c r="T111" s="150" t="s">
        <v>2842</v>
      </c>
      <c r="U111" s="150" t="s">
        <v>2842</v>
      </c>
      <c r="V111" s="150" t="s">
        <v>2842</v>
      </c>
    </row>
    <row r="112" spans="1:22">
      <c r="A112" s="150" t="s">
        <v>2878</v>
      </c>
      <c r="B112" s="150" t="s">
        <v>48</v>
      </c>
      <c r="C112" s="150" t="str">
        <f t="shared" si="2"/>
        <v>2002_Azerbaijan</v>
      </c>
      <c r="D112" s="150">
        <v>362.13600000000002</v>
      </c>
      <c r="E112" s="150">
        <v>2667.0259999999998</v>
      </c>
      <c r="F112" s="150">
        <f t="shared" si="3"/>
        <v>2667026000</v>
      </c>
      <c r="G112" s="150">
        <v>2304.89</v>
      </c>
      <c r="H112" s="150">
        <v>1297.73</v>
      </c>
      <c r="I112" s="150">
        <v>3121.07</v>
      </c>
      <c r="J112" s="150">
        <v>1823.34</v>
      </c>
      <c r="K112" s="150">
        <v>-935.59400000000005</v>
      </c>
      <c r="L112" s="150">
        <v>-454.04399999999998</v>
      </c>
      <c r="M112" s="150">
        <v>481.55</v>
      </c>
      <c r="N112" s="150">
        <v>13.5782703281</v>
      </c>
      <c r="O112" s="150">
        <v>100</v>
      </c>
      <c r="P112" s="150">
        <v>86.421729671899996</v>
      </c>
      <c r="Q112" s="150">
        <v>41.579650568600002</v>
      </c>
      <c r="R112" s="150">
        <v>100</v>
      </c>
      <c r="S112" s="150">
        <v>58.420349431399998</v>
      </c>
      <c r="T112" s="150" t="s">
        <v>2842</v>
      </c>
      <c r="U112" s="150" t="s">
        <v>2842</v>
      </c>
      <c r="V112" s="150" t="s">
        <v>2842</v>
      </c>
    </row>
    <row r="113" spans="1:22">
      <c r="A113" s="150" t="s">
        <v>2878</v>
      </c>
      <c r="B113" s="150" t="s">
        <v>93</v>
      </c>
      <c r="C113" s="150" t="str">
        <f t="shared" si="2"/>
        <v>2002_Burkina Faso</v>
      </c>
      <c r="D113" s="150">
        <v>47.743000000000002</v>
      </c>
      <c r="E113" s="150">
        <v>292.786</v>
      </c>
      <c r="F113" s="150">
        <f t="shared" si="3"/>
        <v>292786000</v>
      </c>
      <c r="G113" s="150">
        <v>245.04300000000001</v>
      </c>
      <c r="H113" s="150">
        <v>151.779</v>
      </c>
      <c r="I113" s="150">
        <v>699.42100000000005</v>
      </c>
      <c r="J113" s="150">
        <v>547.64200000000005</v>
      </c>
      <c r="K113" s="150">
        <v>-104.036</v>
      </c>
      <c r="L113" s="150">
        <v>-406.63499999999999</v>
      </c>
      <c r="M113" s="150">
        <v>-302.59899999999999</v>
      </c>
      <c r="N113" s="150">
        <v>16.3064490788</v>
      </c>
      <c r="O113" s="150">
        <v>100</v>
      </c>
      <c r="P113" s="150">
        <v>83.6935509212</v>
      </c>
      <c r="Q113" s="150">
        <v>21.7006638348</v>
      </c>
      <c r="R113" s="150">
        <v>100</v>
      </c>
      <c r="S113" s="150">
        <v>78.299336165200003</v>
      </c>
      <c r="T113" s="150" t="s">
        <v>2842</v>
      </c>
      <c r="U113" s="150" t="s">
        <v>2842</v>
      </c>
      <c r="V113" s="150" t="s">
        <v>2842</v>
      </c>
    </row>
    <row r="114" spans="1:22">
      <c r="A114" s="150" t="s">
        <v>2878</v>
      </c>
      <c r="B114" s="150" t="s">
        <v>2890</v>
      </c>
      <c r="C114" s="150" t="str">
        <f t="shared" si="2"/>
        <v>2002_ Cameroon</v>
      </c>
      <c r="D114" s="150">
        <v>1020.85</v>
      </c>
      <c r="E114" s="150">
        <v>2985.14</v>
      </c>
      <c r="F114" s="150">
        <f t="shared" si="3"/>
        <v>2985140000</v>
      </c>
      <c r="G114" s="150">
        <v>1964.29</v>
      </c>
      <c r="H114" s="150">
        <v>1286.28</v>
      </c>
      <c r="I114" s="150">
        <v>3097.89</v>
      </c>
      <c r="J114" s="150">
        <v>1811.61</v>
      </c>
      <c r="K114" s="150">
        <v>-265.43</v>
      </c>
      <c r="L114" s="150">
        <v>-112.75</v>
      </c>
      <c r="M114" s="150">
        <v>152.68</v>
      </c>
      <c r="N114" s="150">
        <v>34.197726069799998</v>
      </c>
      <c r="O114" s="150">
        <v>100</v>
      </c>
      <c r="P114" s="150">
        <v>65.802273930200002</v>
      </c>
      <c r="Q114" s="150">
        <v>41.521164405500002</v>
      </c>
      <c r="R114" s="150">
        <v>100</v>
      </c>
      <c r="S114" s="150">
        <v>58.478835594499998</v>
      </c>
      <c r="T114" s="150" t="s">
        <v>2842</v>
      </c>
      <c r="U114" s="150" t="s">
        <v>2842</v>
      </c>
      <c r="V114" s="150" t="s">
        <v>2842</v>
      </c>
    </row>
    <row r="115" spans="1:22">
      <c r="A115" s="150" t="s">
        <v>2878</v>
      </c>
      <c r="B115" s="150" t="s">
        <v>122</v>
      </c>
      <c r="C115" s="150" t="str">
        <f t="shared" si="2"/>
        <v>2002_Central African Republic</v>
      </c>
      <c r="D115" s="150">
        <v>14.731960949999999</v>
      </c>
      <c r="E115" s="150">
        <v>161.50636739000001</v>
      </c>
      <c r="F115" s="150">
        <f t="shared" si="3"/>
        <v>161506367.39000002</v>
      </c>
      <c r="G115" s="150">
        <v>146.77440644000001</v>
      </c>
      <c r="H115" s="150">
        <v>89.727513239999993</v>
      </c>
      <c r="I115" s="150">
        <v>209.95913845999999</v>
      </c>
      <c r="J115" s="150">
        <v>120.23162522</v>
      </c>
      <c r="K115" s="150">
        <v>-74.995552290000006</v>
      </c>
      <c r="L115" s="150">
        <v>-48.452771069999997</v>
      </c>
      <c r="M115" s="150">
        <v>26.542781219999998</v>
      </c>
      <c r="N115" s="150">
        <v>9.1215976113000004</v>
      </c>
      <c r="O115" s="150">
        <v>100</v>
      </c>
      <c r="P115" s="150">
        <v>90.878402388699996</v>
      </c>
      <c r="Q115" s="150">
        <v>42.735702717300001</v>
      </c>
      <c r="R115" s="150">
        <v>100</v>
      </c>
      <c r="S115" s="150">
        <v>57.264297282699999</v>
      </c>
      <c r="T115" s="150" t="s">
        <v>2842</v>
      </c>
      <c r="U115" s="150" t="s">
        <v>2842</v>
      </c>
      <c r="V115" s="150" t="s">
        <v>2842</v>
      </c>
    </row>
    <row r="116" spans="1:22">
      <c r="A116" s="150" t="s">
        <v>2878</v>
      </c>
      <c r="B116" s="150" t="s">
        <v>2891</v>
      </c>
      <c r="C116" s="150" t="str">
        <f t="shared" si="2"/>
        <v>2002_ Chad</v>
      </c>
      <c r="D116" s="150">
        <v>67.14606277</v>
      </c>
      <c r="E116" s="150">
        <v>251.79773539000001</v>
      </c>
      <c r="F116" s="150">
        <f t="shared" si="3"/>
        <v>251797735.39000002</v>
      </c>
      <c r="G116" s="150">
        <v>184.65167262</v>
      </c>
      <c r="H116" s="150">
        <v>670.59978077000005</v>
      </c>
      <c r="I116" s="150">
        <v>2170.7690806700002</v>
      </c>
      <c r="J116" s="150">
        <v>1500.1692998999999</v>
      </c>
      <c r="K116" s="150">
        <v>-603.45371799999998</v>
      </c>
      <c r="L116" s="150">
        <v>-1918.9713452799999</v>
      </c>
      <c r="M116" s="150">
        <v>-1315.5176272799999</v>
      </c>
      <c r="N116" s="150">
        <v>26.666666666400001</v>
      </c>
      <c r="O116" s="150">
        <v>100</v>
      </c>
      <c r="P116" s="150">
        <v>73.333333333599995</v>
      </c>
      <c r="Q116" s="150">
        <v>30.892267019199998</v>
      </c>
      <c r="R116" s="150">
        <v>100</v>
      </c>
      <c r="S116" s="150">
        <v>69.107732980799994</v>
      </c>
      <c r="T116" s="150" t="s">
        <v>2842</v>
      </c>
      <c r="U116" s="150" t="s">
        <v>2842</v>
      </c>
      <c r="V116" s="150" t="s">
        <v>2842</v>
      </c>
    </row>
    <row r="117" spans="1:22">
      <c r="A117" s="150" t="s">
        <v>2878</v>
      </c>
      <c r="B117" s="150" t="s">
        <v>458</v>
      </c>
      <c r="C117" s="150" t="str">
        <f t="shared" si="2"/>
        <v>2002_Republic of the Congo</v>
      </c>
      <c r="D117" s="150">
        <v>164.798</v>
      </c>
      <c r="E117" s="150">
        <v>2453.6080000000002</v>
      </c>
      <c r="F117" s="150">
        <f t="shared" si="3"/>
        <v>2453608000</v>
      </c>
      <c r="G117" s="150">
        <v>2288.81</v>
      </c>
      <c r="H117" s="150">
        <v>926.88099999999997</v>
      </c>
      <c r="I117" s="150">
        <v>1618.0260000000001</v>
      </c>
      <c r="J117" s="150">
        <v>691.14499999999998</v>
      </c>
      <c r="K117" s="150">
        <v>-762.08299999999997</v>
      </c>
      <c r="L117" s="150">
        <v>835.58199999999999</v>
      </c>
      <c r="M117" s="150">
        <v>1597.665</v>
      </c>
      <c r="N117" s="150">
        <v>6.7165578202000003</v>
      </c>
      <c r="O117" s="150">
        <v>100</v>
      </c>
      <c r="P117" s="150">
        <v>93.283442179800005</v>
      </c>
      <c r="Q117" s="150">
        <v>57.284678985399999</v>
      </c>
      <c r="R117" s="150">
        <v>100</v>
      </c>
      <c r="S117" s="150">
        <v>42.715321014600001</v>
      </c>
      <c r="T117" s="150" t="s">
        <v>2842</v>
      </c>
      <c r="U117" s="150" t="s">
        <v>2842</v>
      </c>
      <c r="V117" s="150" t="s">
        <v>2842</v>
      </c>
    </row>
    <row r="118" spans="1:22">
      <c r="A118" s="150" t="s">
        <v>2878</v>
      </c>
      <c r="B118" s="150" t="s">
        <v>165</v>
      </c>
      <c r="C118" s="150" t="str">
        <f t="shared" si="2"/>
        <v>2002_Democratic Republic of Congo</v>
      </c>
      <c r="D118" s="150">
        <v>120.82858158000001</v>
      </c>
      <c r="E118" s="150">
        <v>1252.94050885</v>
      </c>
      <c r="F118" s="150">
        <f t="shared" si="3"/>
        <v>1252940508.8499999</v>
      </c>
      <c r="G118" s="150">
        <v>1132.11192727</v>
      </c>
      <c r="H118" s="150">
        <v>343.78215610000001</v>
      </c>
      <c r="I118" s="150">
        <v>1424.3117650900001</v>
      </c>
      <c r="J118" s="150">
        <v>1080.52960899</v>
      </c>
      <c r="K118" s="150">
        <v>-222.95357451999999</v>
      </c>
      <c r="L118" s="150">
        <v>-171.37125624000001</v>
      </c>
      <c r="M118" s="150">
        <v>51.582318280000003</v>
      </c>
      <c r="N118" s="150">
        <v>9.6436008515000005</v>
      </c>
      <c r="O118" s="150">
        <v>100</v>
      </c>
      <c r="P118" s="150">
        <v>90.356399148500003</v>
      </c>
      <c r="Q118" s="150">
        <v>24.136720943099998</v>
      </c>
      <c r="R118" s="150">
        <v>100</v>
      </c>
      <c r="S118" s="150">
        <v>75.863279056899998</v>
      </c>
      <c r="T118" s="150" t="s">
        <v>2842</v>
      </c>
      <c r="U118" s="150" t="s">
        <v>2842</v>
      </c>
      <c r="V118" s="150" t="s">
        <v>2842</v>
      </c>
    </row>
    <row r="119" spans="1:22">
      <c r="A119" s="150" t="s">
        <v>2878</v>
      </c>
      <c r="B119" s="150" t="s">
        <v>2892</v>
      </c>
      <c r="C119" s="150" t="str">
        <f t="shared" si="2"/>
        <v>2002_ Equatorial Guinea</v>
      </c>
      <c r="D119" s="150">
        <v>25.42689944</v>
      </c>
      <c r="E119" s="150">
        <v>2142.0580153599999</v>
      </c>
      <c r="F119" s="150">
        <f t="shared" si="3"/>
        <v>2142058015.3599999</v>
      </c>
      <c r="G119" s="150">
        <v>2116.63111592</v>
      </c>
      <c r="H119" s="150">
        <v>616.30291743999999</v>
      </c>
      <c r="I119" s="150">
        <v>1123.66535473</v>
      </c>
      <c r="J119" s="150">
        <v>507.36243729</v>
      </c>
      <c r="K119" s="150">
        <v>-590.87601800000004</v>
      </c>
      <c r="L119" s="150">
        <v>1018.39266063</v>
      </c>
      <c r="M119" s="150">
        <v>1609.2686786300001</v>
      </c>
      <c r="N119" s="150">
        <v>1.1870313156000001</v>
      </c>
      <c r="O119" s="150">
        <v>100</v>
      </c>
      <c r="P119" s="150">
        <v>98.812968684400005</v>
      </c>
      <c r="Q119" s="150">
        <v>54.847550015300001</v>
      </c>
      <c r="R119" s="150">
        <v>100</v>
      </c>
      <c r="S119" s="150">
        <v>45.152449984699999</v>
      </c>
      <c r="T119" s="150" t="s">
        <v>2842</v>
      </c>
      <c r="U119" s="150" t="s">
        <v>2842</v>
      </c>
      <c r="V119" s="150" t="s">
        <v>2842</v>
      </c>
    </row>
    <row r="120" spans="1:22">
      <c r="A120" s="150" t="s">
        <v>2878</v>
      </c>
      <c r="B120" s="150" t="s">
        <v>2893</v>
      </c>
      <c r="C120" s="150" t="str">
        <f t="shared" si="2"/>
        <v>2002_ Gabon</v>
      </c>
      <c r="D120" s="150">
        <v>86</v>
      </c>
      <c r="E120" s="150">
        <v>2641.51</v>
      </c>
      <c r="F120" s="150">
        <f t="shared" si="3"/>
        <v>2641510000</v>
      </c>
      <c r="G120" s="150">
        <v>2555.5100000000002</v>
      </c>
      <c r="H120" s="150">
        <v>758.60400000000004</v>
      </c>
      <c r="I120" s="150">
        <v>1693.5809999999999</v>
      </c>
      <c r="J120" s="150">
        <v>934.97699999999998</v>
      </c>
      <c r="K120" s="150">
        <v>-672.60400000000004</v>
      </c>
      <c r="L120" s="150">
        <v>947.92899999999997</v>
      </c>
      <c r="M120" s="150">
        <v>1620.5329999999999</v>
      </c>
      <c r="N120" s="150">
        <v>3.2557135880999999</v>
      </c>
      <c r="O120" s="150">
        <v>100</v>
      </c>
      <c r="P120" s="150">
        <v>96.744286411900006</v>
      </c>
      <c r="Q120" s="150">
        <v>44.792897416800002</v>
      </c>
      <c r="R120" s="150">
        <v>100</v>
      </c>
      <c r="S120" s="150">
        <v>55.207102583199998</v>
      </c>
      <c r="T120" s="150" t="s">
        <v>2842</v>
      </c>
      <c r="U120" s="150" t="s">
        <v>2842</v>
      </c>
      <c r="V120" s="150" t="s">
        <v>2842</v>
      </c>
    </row>
    <row r="121" spans="1:22">
      <c r="A121" s="150" t="s">
        <v>2878</v>
      </c>
      <c r="B121" s="150" t="s">
        <v>189</v>
      </c>
      <c r="C121" s="150" t="str">
        <f t="shared" si="2"/>
        <v>2002_Ghana</v>
      </c>
      <c r="D121" s="150">
        <v>554.9</v>
      </c>
      <c r="E121" s="150">
        <v>2570.1</v>
      </c>
      <c r="F121" s="150">
        <f t="shared" si="3"/>
        <v>2570100000</v>
      </c>
      <c r="G121" s="150">
        <v>2015.2</v>
      </c>
      <c r="H121" s="150">
        <v>620.91200000000003</v>
      </c>
      <c r="I121" s="150">
        <v>3327.9119999999998</v>
      </c>
      <c r="J121" s="150">
        <v>2707</v>
      </c>
      <c r="K121" s="150">
        <v>-66.012</v>
      </c>
      <c r="L121" s="150">
        <v>-757.81200000000001</v>
      </c>
      <c r="M121" s="150">
        <v>-691.8</v>
      </c>
      <c r="N121" s="150">
        <v>21.5905995876</v>
      </c>
      <c r="O121" s="150">
        <v>100</v>
      </c>
      <c r="P121" s="150">
        <v>78.409400412400004</v>
      </c>
      <c r="Q121" s="150">
        <v>18.657704891200002</v>
      </c>
      <c r="R121" s="150">
        <v>100</v>
      </c>
      <c r="S121" s="150">
        <v>81.342295108800002</v>
      </c>
      <c r="T121" s="150" t="s">
        <v>2842</v>
      </c>
      <c r="U121" s="150" t="s">
        <v>2842</v>
      </c>
      <c r="V121" s="150" t="s">
        <v>2842</v>
      </c>
    </row>
    <row r="122" spans="1:22">
      <c r="A122" s="150" t="s">
        <v>2878</v>
      </c>
      <c r="B122" s="150" t="s">
        <v>213</v>
      </c>
      <c r="C122" s="150" t="str">
        <f t="shared" si="2"/>
        <v>2002_Guatemala</v>
      </c>
      <c r="D122" s="150">
        <v>1145.3800000000001</v>
      </c>
      <c r="E122" s="150">
        <v>3964.3</v>
      </c>
      <c r="F122" s="150">
        <f t="shared" si="3"/>
        <v>3964300000</v>
      </c>
      <c r="G122" s="150">
        <v>2818.92</v>
      </c>
      <c r="H122" s="150">
        <v>1066.05</v>
      </c>
      <c r="I122" s="150">
        <v>6857.06</v>
      </c>
      <c r="J122" s="150">
        <v>5791.01</v>
      </c>
      <c r="K122" s="150">
        <v>79.33</v>
      </c>
      <c r="L122" s="150">
        <v>-2892.76</v>
      </c>
      <c r="M122" s="150">
        <v>-2972.09</v>
      </c>
      <c r="N122" s="150">
        <v>28.892364351800001</v>
      </c>
      <c r="O122" s="150">
        <v>100</v>
      </c>
      <c r="P122" s="150">
        <v>71.107635648200002</v>
      </c>
      <c r="Q122" s="150">
        <v>15.5467503566</v>
      </c>
      <c r="R122" s="150">
        <v>100</v>
      </c>
      <c r="S122" s="150">
        <v>84.4532496434</v>
      </c>
      <c r="T122" s="150" t="s">
        <v>2842</v>
      </c>
      <c r="U122" s="150" t="s">
        <v>2842</v>
      </c>
      <c r="V122" s="150" t="s">
        <v>2842</v>
      </c>
    </row>
    <row r="123" spans="1:22">
      <c r="A123" s="150" t="s">
        <v>2878</v>
      </c>
      <c r="B123" s="150" t="s">
        <v>2894</v>
      </c>
      <c r="C123" s="150" t="str">
        <f t="shared" si="2"/>
        <v>2002_ Guinea</v>
      </c>
      <c r="D123" s="150">
        <v>90.47</v>
      </c>
      <c r="E123" s="150">
        <v>799.06799999999998</v>
      </c>
      <c r="F123" s="150">
        <f t="shared" si="3"/>
        <v>799068000</v>
      </c>
      <c r="G123" s="150">
        <v>708.59799999999996</v>
      </c>
      <c r="H123" s="150">
        <v>330.64</v>
      </c>
      <c r="I123" s="150">
        <v>999.15899999999999</v>
      </c>
      <c r="J123" s="150">
        <v>668.51900000000001</v>
      </c>
      <c r="K123" s="150">
        <v>-240.17</v>
      </c>
      <c r="L123" s="150">
        <v>-200.09100000000001</v>
      </c>
      <c r="M123" s="150">
        <v>40.079000000000001</v>
      </c>
      <c r="N123" s="150">
        <v>11.321940060199999</v>
      </c>
      <c r="O123" s="150">
        <v>100</v>
      </c>
      <c r="P123" s="150">
        <v>88.678059939799994</v>
      </c>
      <c r="Q123" s="150">
        <v>33.091830229199999</v>
      </c>
      <c r="R123" s="150">
        <v>100</v>
      </c>
      <c r="S123" s="150">
        <v>66.908169770800001</v>
      </c>
      <c r="T123" s="150" t="s">
        <v>2842</v>
      </c>
      <c r="U123" s="150" t="s">
        <v>2842</v>
      </c>
      <c r="V123" s="150" t="s">
        <v>2842</v>
      </c>
    </row>
    <row r="124" spans="1:22">
      <c r="A124" s="150" t="s">
        <v>2878</v>
      </c>
      <c r="B124" s="150" t="s">
        <v>237</v>
      </c>
      <c r="C124" s="150" t="str">
        <f t="shared" si="2"/>
        <v>2002_Indonesia</v>
      </c>
      <c r="D124" s="150" t="s">
        <v>2875</v>
      </c>
      <c r="E124" s="150" t="s">
        <v>2842</v>
      </c>
      <c r="F124" s="150" t="str">
        <f t="shared" si="3"/>
        <v>..</v>
      </c>
      <c r="G124" s="150" t="s">
        <v>2875</v>
      </c>
      <c r="H124" s="150" t="s">
        <v>2875</v>
      </c>
      <c r="I124" s="150" t="s">
        <v>2875</v>
      </c>
      <c r="J124" s="150" t="s">
        <v>2875</v>
      </c>
      <c r="K124" s="150" t="s">
        <v>2875</v>
      </c>
      <c r="L124" s="150" t="s">
        <v>2875</v>
      </c>
      <c r="M124" s="150" t="s">
        <v>2875</v>
      </c>
      <c r="N124" s="150" t="s">
        <v>2875</v>
      </c>
      <c r="O124" s="150" t="s">
        <v>2875</v>
      </c>
      <c r="P124" s="150" t="s">
        <v>2875</v>
      </c>
      <c r="Q124" s="150" t="s">
        <v>2875</v>
      </c>
      <c r="R124" s="150" t="s">
        <v>2875</v>
      </c>
      <c r="S124" s="150" t="s">
        <v>2875</v>
      </c>
      <c r="T124" s="150" t="s">
        <v>2875</v>
      </c>
      <c r="U124" s="150" t="s">
        <v>2875</v>
      </c>
      <c r="V124" s="150" t="s">
        <v>2875</v>
      </c>
    </row>
    <row r="125" spans="1:22">
      <c r="A125" s="150" t="s">
        <v>2878</v>
      </c>
      <c r="B125" s="150" t="s">
        <v>245</v>
      </c>
      <c r="C125" s="150" t="str">
        <f t="shared" si="2"/>
        <v>2002_Iraq</v>
      </c>
      <c r="D125" s="150" t="s">
        <v>561</v>
      </c>
      <c r="E125" s="150" t="s">
        <v>2842</v>
      </c>
      <c r="F125" s="150" t="str">
        <f t="shared" si="3"/>
        <v>..</v>
      </c>
      <c r="G125" s="150">
        <v>12218.8</v>
      </c>
      <c r="H125" s="150" t="s">
        <v>561</v>
      </c>
      <c r="I125" s="150" t="s">
        <v>561</v>
      </c>
      <c r="J125" s="150">
        <v>8252.0055240000002</v>
      </c>
      <c r="K125" s="150" t="s">
        <v>561</v>
      </c>
      <c r="L125" s="150" t="s">
        <v>561</v>
      </c>
      <c r="M125" s="150">
        <v>3966.794476</v>
      </c>
      <c r="N125" s="150" t="s">
        <v>561</v>
      </c>
      <c r="O125" s="150" t="s">
        <v>561</v>
      </c>
      <c r="P125" s="150">
        <v>97.963230219600007</v>
      </c>
      <c r="Q125" s="150" t="s">
        <v>561</v>
      </c>
      <c r="R125" s="150" t="s">
        <v>561</v>
      </c>
      <c r="S125" s="150">
        <v>83.5039509466</v>
      </c>
      <c r="T125" s="150" t="s">
        <v>2842</v>
      </c>
      <c r="U125" s="150" t="s">
        <v>2842</v>
      </c>
      <c r="V125" s="150" t="s">
        <v>2842</v>
      </c>
    </row>
    <row r="126" spans="1:22">
      <c r="A126" s="150" t="s">
        <v>2878</v>
      </c>
      <c r="B126" s="150" t="s">
        <v>273</v>
      </c>
      <c r="C126" s="150" t="str">
        <f t="shared" si="2"/>
        <v>2002_Kazakhstan</v>
      </c>
      <c r="D126" s="150">
        <v>1540.42</v>
      </c>
      <c r="E126" s="150">
        <v>11567.32</v>
      </c>
      <c r="F126" s="150">
        <f t="shared" si="3"/>
        <v>11567320000</v>
      </c>
      <c r="G126" s="150">
        <v>10026.9</v>
      </c>
      <c r="H126" s="150">
        <v>3538.28</v>
      </c>
      <c r="I126" s="150">
        <v>11578.05</v>
      </c>
      <c r="J126" s="150">
        <v>8039.77</v>
      </c>
      <c r="K126" s="150">
        <v>-1997.86</v>
      </c>
      <c r="L126" s="150">
        <v>-10.73</v>
      </c>
      <c r="M126" s="150">
        <v>1987.13</v>
      </c>
      <c r="N126" s="150">
        <v>13.316999962000001</v>
      </c>
      <c r="O126" s="150">
        <v>100</v>
      </c>
      <c r="P126" s="150">
        <v>86.683000038000003</v>
      </c>
      <c r="Q126" s="150">
        <v>30.560241145999999</v>
      </c>
      <c r="R126" s="150">
        <v>100</v>
      </c>
      <c r="S126" s="150">
        <v>69.439758854000004</v>
      </c>
      <c r="T126" s="150" t="s">
        <v>2842</v>
      </c>
      <c r="U126" s="150" t="s">
        <v>2842</v>
      </c>
      <c r="V126" s="150" t="s">
        <v>2842</v>
      </c>
    </row>
    <row r="127" spans="1:22">
      <c r="A127" s="150" t="s">
        <v>2878</v>
      </c>
      <c r="B127" s="150" t="s">
        <v>2895</v>
      </c>
      <c r="C127" s="150" t="str">
        <f t="shared" si="2"/>
        <v>2002_Kyrgyzstan</v>
      </c>
      <c r="D127" s="150">
        <v>142.01</v>
      </c>
      <c r="E127" s="150">
        <v>640.09699999999998</v>
      </c>
      <c r="F127" s="150">
        <f t="shared" si="3"/>
        <v>640097000</v>
      </c>
      <c r="G127" s="150">
        <v>498.08699999999999</v>
      </c>
      <c r="H127" s="150">
        <v>146.929</v>
      </c>
      <c r="I127" s="150">
        <v>718.29100000000005</v>
      </c>
      <c r="J127" s="150">
        <v>571.36199999999997</v>
      </c>
      <c r="K127" s="150">
        <v>-4.9189999999999996</v>
      </c>
      <c r="L127" s="150">
        <v>-78.194000000000003</v>
      </c>
      <c r="M127" s="150">
        <v>-73.275000000000006</v>
      </c>
      <c r="N127" s="150">
        <v>22.185699979799999</v>
      </c>
      <c r="O127" s="150">
        <v>100</v>
      </c>
      <c r="P127" s="150">
        <v>77.814300020199994</v>
      </c>
      <c r="Q127" s="150">
        <v>20.4553586221</v>
      </c>
      <c r="R127" s="150">
        <v>100</v>
      </c>
      <c r="S127" s="150">
        <v>79.544641377900007</v>
      </c>
      <c r="T127" s="150" t="s">
        <v>2842</v>
      </c>
      <c r="U127" s="150" t="s">
        <v>2842</v>
      </c>
      <c r="V127" s="150" t="s">
        <v>2842</v>
      </c>
    </row>
    <row r="128" spans="1:22">
      <c r="A128" s="150" t="s">
        <v>2878</v>
      </c>
      <c r="B128" s="150" t="s">
        <v>294</v>
      </c>
      <c r="C128" s="150" t="str">
        <f t="shared" si="2"/>
        <v>2002_Liberia</v>
      </c>
      <c r="D128" s="150" t="s">
        <v>561</v>
      </c>
      <c r="E128" s="150" t="s">
        <v>2842</v>
      </c>
      <c r="F128" s="150" t="str">
        <f t="shared" si="3"/>
        <v>..</v>
      </c>
      <c r="G128" s="150" t="s">
        <v>561</v>
      </c>
      <c r="H128" s="150" t="s">
        <v>561</v>
      </c>
      <c r="I128" s="150" t="s">
        <v>561</v>
      </c>
      <c r="J128" s="150">
        <v>145</v>
      </c>
      <c r="K128" s="150" t="s">
        <v>561</v>
      </c>
      <c r="L128" s="150" t="s">
        <v>561</v>
      </c>
      <c r="M128" s="150" t="s">
        <v>561</v>
      </c>
      <c r="N128" s="150" t="s">
        <v>561</v>
      </c>
      <c r="O128" s="150" t="s">
        <v>561</v>
      </c>
      <c r="P128" s="150" t="s">
        <v>561</v>
      </c>
      <c r="Q128" s="150" t="s">
        <v>561</v>
      </c>
      <c r="R128" s="150" t="s">
        <v>561</v>
      </c>
      <c r="S128" s="150">
        <v>52.645168159599997</v>
      </c>
      <c r="T128" s="150" t="s">
        <v>2842</v>
      </c>
      <c r="U128" s="150" t="s">
        <v>2842</v>
      </c>
      <c r="V128" s="150" t="s">
        <v>2842</v>
      </c>
    </row>
    <row r="129" spans="1:22">
      <c r="A129" s="150" t="s">
        <v>2878</v>
      </c>
      <c r="B129" s="150" t="s">
        <v>309</v>
      </c>
      <c r="C129" s="150" t="str">
        <f t="shared" si="2"/>
        <v>2002_Madagascar</v>
      </c>
      <c r="D129" s="150">
        <v>396.54</v>
      </c>
      <c r="E129" s="150">
        <v>1255.636</v>
      </c>
      <c r="F129" s="150">
        <f t="shared" si="3"/>
        <v>1255636000</v>
      </c>
      <c r="G129" s="150">
        <v>859.096</v>
      </c>
      <c r="H129" s="150">
        <v>704.21400000000006</v>
      </c>
      <c r="I129" s="150">
        <v>1770.614</v>
      </c>
      <c r="J129" s="150">
        <v>1066.4000000000001</v>
      </c>
      <c r="K129" s="150">
        <v>-307.67399999999998</v>
      </c>
      <c r="L129" s="150">
        <v>-514.97799999999995</v>
      </c>
      <c r="M129" s="150">
        <v>-207.304</v>
      </c>
      <c r="N129" s="150">
        <v>31.580808450900001</v>
      </c>
      <c r="O129" s="150">
        <v>100</v>
      </c>
      <c r="P129" s="150">
        <v>68.419191549100006</v>
      </c>
      <c r="Q129" s="150">
        <v>39.772304974400001</v>
      </c>
      <c r="R129" s="150">
        <v>100</v>
      </c>
      <c r="S129" s="150">
        <v>60.227695025599999</v>
      </c>
      <c r="T129" s="150" t="s">
        <v>2842</v>
      </c>
      <c r="U129" s="150" t="s">
        <v>2842</v>
      </c>
      <c r="V129" s="150" t="s">
        <v>2842</v>
      </c>
    </row>
    <row r="130" spans="1:22">
      <c r="A130" s="150" t="s">
        <v>2878</v>
      </c>
      <c r="B130" s="150" t="s">
        <v>322</v>
      </c>
      <c r="C130" s="150" t="str">
        <f t="shared" si="2"/>
        <v>2002_Mali</v>
      </c>
      <c r="D130" s="150">
        <v>169.41800000000001</v>
      </c>
      <c r="E130" s="150">
        <v>1044.5319999999999</v>
      </c>
      <c r="F130" s="150">
        <f t="shared" si="3"/>
        <v>1044531999.9999999</v>
      </c>
      <c r="G130" s="150">
        <v>875.11400000000003</v>
      </c>
      <c r="H130" s="150">
        <v>387.02100000000002</v>
      </c>
      <c r="I130" s="150">
        <v>1099.4780000000001</v>
      </c>
      <c r="J130" s="150">
        <v>712.45699999999999</v>
      </c>
      <c r="K130" s="150">
        <v>-217.60300000000001</v>
      </c>
      <c r="L130" s="150">
        <v>-54.945999999999998</v>
      </c>
      <c r="M130" s="150">
        <v>162.65700000000001</v>
      </c>
      <c r="N130" s="150">
        <v>16.219512662100001</v>
      </c>
      <c r="O130" s="150">
        <v>100</v>
      </c>
      <c r="P130" s="150">
        <v>83.780487337899999</v>
      </c>
      <c r="Q130" s="150">
        <v>35.200431477499997</v>
      </c>
      <c r="R130" s="150">
        <v>100</v>
      </c>
      <c r="S130" s="150">
        <v>64.799568522499996</v>
      </c>
      <c r="T130" s="150" t="s">
        <v>2842</v>
      </c>
      <c r="U130" s="150" t="s">
        <v>2842</v>
      </c>
      <c r="V130" s="150" t="s">
        <v>2842</v>
      </c>
    </row>
    <row r="131" spans="1:22">
      <c r="A131" s="150" t="s">
        <v>2878</v>
      </c>
      <c r="B131" s="150" t="s">
        <v>338</v>
      </c>
      <c r="C131" s="150" t="str">
        <f t="shared" si="2"/>
        <v>2002_Mauritania</v>
      </c>
      <c r="D131" s="150">
        <v>73.995707460000006</v>
      </c>
      <c r="E131" s="150">
        <v>405.43384685000001</v>
      </c>
      <c r="F131" s="150">
        <f t="shared" si="3"/>
        <v>405433846.85000002</v>
      </c>
      <c r="G131" s="150">
        <v>331.43813939</v>
      </c>
      <c r="H131" s="150">
        <v>154.32964770999999</v>
      </c>
      <c r="I131" s="150">
        <v>585.12378916</v>
      </c>
      <c r="J131" s="150">
        <v>430.79414144999998</v>
      </c>
      <c r="K131" s="150">
        <v>-80.333940249999998</v>
      </c>
      <c r="L131" s="150">
        <v>-179.68994230999999</v>
      </c>
      <c r="M131" s="150">
        <v>-99.356002059999994</v>
      </c>
      <c r="N131" s="150">
        <v>18.250994098</v>
      </c>
      <c r="O131" s="150">
        <v>100</v>
      </c>
      <c r="P131" s="150">
        <v>81.749005901999993</v>
      </c>
      <c r="Q131" s="150">
        <v>26.375555150699999</v>
      </c>
      <c r="R131" s="150">
        <v>100</v>
      </c>
      <c r="S131" s="150">
        <v>73.624444849300005</v>
      </c>
      <c r="T131" s="150" t="s">
        <v>2842</v>
      </c>
      <c r="U131" s="150" t="s">
        <v>2842</v>
      </c>
      <c r="V131" s="150" t="s">
        <v>2842</v>
      </c>
    </row>
    <row r="132" spans="1:22">
      <c r="A132" s="150" t="s">
        <v>2878</v>
      </c>
      <c r="B132" s="150" t="s">
        <v>357</v>
      </c>
      <c r="C132" s="150" t="str">
        <f t="shared" si="2"/>
        <v>2002_Mongolia</v>
      </c>
      <c r="D132" s="150">
        <v>183.92400000000001</v>
      </c>
      <c r="E132" s="150">
        <v>707.92399999999998</v>
      </c>
      <c r="F132" s="150">
        <f t="shared" si="3"/>
        <v>707924000</v>
      </c>
      <c r="G132" s="150">
        <v>524</v>
      </c>
      <c r="H132" s="150">
        <v>265.83999999999997</v>
      </c>
      <c r="I132" s="150">
        <v>946.01599999999996</v>
      </c>
      <c r="J132" s="150">
        <v>680.17600000000004</v>
      </c>
      <c r="K132" s="150">
        <v>-81.915999999999997</v>
      </c>
      <c r="L132" s="150">
        <v>-238.09200000000001</v>
      </c>
      <c r="M132" s="150">
        <v>-156.17599999999999</v>
      </c>
      <c r="N132" s="150">
        <v>25.9807549963</v>
      </c>
      <c r="O132" s="150">
        <v>100</v>
      </c>
      <c r="P132" s="150">
        <v>74.019245003699993</v>
      </c>
      <c r="Q132" s="150">
        <v>28.101004634199999</v>
      </c>
      <c r="R132" s="150">
        <v>100</v>
      </c>
      <c r="S132" s="150">
        <v>71.898995365800005</v>
      </c>
      <c r="T132" s="150" t="s">
        <v>2842</v>
      </c>
      <c r="U132" s="150" t="s">
        <v>2842</v>
      </c>
      <c r="V132" s="150" t="s">
        <v>2842</v>
      </c>
    </row>
    <row r="133" spans="1:22">
      <c r="A133" s="150" t="s">
        <v>2878</v>
      </c>
      <c r="B133" s="150" t="s">
        <v>378</v>
      </c>
      <c r="C133" s="150" t="str">
        <f t="shared" si="2"/>
        <v>2002_Mozambique</v>
      </c>
      <c r="D133" s="150">
        <v>339.37799999999999</v>
      </c>
      <c r="E133" s="150">
        <v>1149.19</v>
      </c>
      <c r="F133" s="150">
        <f t="shared" si="3"/>
        <v>1149190000</v>
      </c>
      <c r="G133" s="150">
        <v>809.81200000000001</v>
      </c>
      <c r="H133" s="150">
        <v>576.97699999999998</v>
      </c>
      <c r="I133" s="150">
        <v>2053.4270000000001</v>
      </c>
      <c r="J133" s="150">
        <v>1476.45</v>
      </c>
      <c r="K133" s="150">
        <v>-237.59899999999999</v>
      </c>
      <c r="L133" s="150">
        <v>-904.23699999999997</v>
      </c>
      <c r="M133" s="150">
        <v>-666.63800000000003</v>
      </c>
      <c r="N133" s="150">
        <v>29.5319311863</v>
      </c>
      <c r="O133" s="150">
        <v>100</v>
      </c>
      <c r="P133" s="150">
        <v>70.4680688137</v>
      </c>
      <c r="Q133" s="150">
        <v>28.098247466299998</v>
      </c>
      <c r="R133" s="150">
        <v>100</v>
      </c>
      <c r="S133" s="150">
        <v>71.901752533700005</v>
      </c>
      <c r="T133" s="150" t="s">
        <v>2842</v>
      </c>
      <c r="U133" s="150" t="s">
        <v>2842</v>
      </c>
      <c r="V133" s="150" t="s">
        <v>2842</v>
      </c>
    </row>
    <row r="134" spans="1:22">
      <c r="A134" s="150" t="s">
        <v>2878</v>
      </c>
      <c r="B134" s="150" t="s">
        <v>387</v>
      </c>
      <c r="C134" s="150" t="str">
        <f t="shared" ref="C134:C197" si="4">$A134&amp;"_"&amp;$B134</f>
        <v>2002_Niger</v>
      </c>
      <c r="D134" s="150">
        <v>50.555999999999997</v>
      </c>
      <c r="E134" s="150">
        <v>330</v>
      </c>
      <c r="F134" s="150">
        <f t="shared" ref="F134:F197" si="5">IFERROR($E134*1000000,"..")</f>
        <v>330000000</v>
      </c>
      <c r="G134" s="150">
        <v>279.44400000000002</v>
      </c>
      <c r="H134" s="150">
        <v>152.25800000000001</v>
      </c>
      <c r="I134" s="150">
        <v>523.42499999999995</v>
      </c>
      <c r="J134" s="150">
        <v>371.16699999999997</v>
      </c>
      <c r="K134" s="150">
        <v>-101.702</v>
      </c>
      <c r="L134" s="150">
        <v>-193.42500000000001</v>
      </c>
      <c r="M134" s="150">
        <v>-91.722999999999999</v>
      </c>
      <c r="N134" s="150">
        <v>15.32</v>
      </c>
      <c r="O134" s="150">
        <v>100</v>
      </c>
      <c r="P134" s="150">
        <v>84.68</v>
      </c>
      <c r="Q134" s="150">
        <v>29.088790180099998</v>
      </c>
      <c r="R134" s="150">
        <v>100</v>
      </c>
      <c r="S134" s="150">
        <v>70.911209819899994</v>
      </c>
      <c r="T134" s="150" t="s">
        <v>2842</v>
      </c>
      <c r="U134" s="150" t="s">
        <v>2842</v>
      </c>
      <c r="V134" s="150" t="s">
        <v>2842</v>
      </c>
    </row>
    <row r="135" spans="1:22">
      <c r="A135" s="150" t="s">
        <v>2878</v>
      </c>
      <c r="B135" s="150" t="s">
        <v>406</v>
      </c>
      <c r="C135" s="150" t="str">
        <f t="shared" si="4"/>
        <v>2002_Nigeria</v>
      </c>
      <c r="D135" s="150">
        <v>2523.73</v>
      </c>
      <c r="E135" s="150">
        <v>18137.13</v>
      </c>
      <c r="F135" s="150">
        <f t="shared" si="5"/>
        <v>18137130000</v>
      </c>
      <c r="G135" s="150">
        <v>15613.4</v>
      </c>
      <c r="H135" s="150">
        <v>4921.59</v>
      </c>
      <c r="I135" s="150">
        <v>15797.19</v>
      </c>
      <c r="J135" s="150">
        <v>10875.6</v>
      </c>
      <c r="K135" s="150">
        <v>-2397.86</v>
      </c>
      <c r="L135" s="150">
        <v>2339.94</v>
      </c>
      <c r="M135" s="150">
        <v>4737.8</v>
      </c>
      <c r="N135" s="150">
        <v>13.914715283</v>
      </c>
      <c r="O135" s="150">
        <v>100</v>
      </c>
      <c r="P135" s="150">
        <v>86.085284716999993</v>
      </c>
      <c r="Q135" s="150">
        <v>31.154844627399999</v>
      </c>
      <c r="R135" s="150">
        <v>100</v>
      </c>
      <c r="S135" s="150">
        <v>68.845155372600004</v>
      </c>
      <c r="T135" s="150" t="s">
        <v>2842</v>
      </c>
      <c r="U135" s="150" t="s">
        <v>2842</v>
      </c>
      <c r="V135" s="150" t="s">
        <v>2842</v>
      </c>
    </row>
    <row r="136" spans="1:22">
      <c r="A136" s="150" t="s">
        <v>2878</v>
      </c>
      <c r="B136" s="150" t="s">
        <v>429</v>
      </c>
      <c r="C136" s="150" t="str">
        <f t="shared" si="4"/>
        <v>2002_Norway</v>
      </c>
      <c r="D136" s="150">
        <v>19488.099999999999</v>
      </c>
      <c r="E136" s="150">
        <v>79042.600000000006</v>
      </c>
      <c r="F136" s="150">
        <f t="shared" si="5"/>
        <v>79042600000</v>
      </c>
      <c r="G136" s="150">
        <v>59554.5</v>
      </c>
      <c r="H136" s="150">
        <v>17972.3</v>
      </c>
      <c r="I136" s="150">
        <v>53235.6</v>
      </c>
      <c r="J136" s="150">
        <v>35263.300000000003</v>
      </c>
      <c r="K136" s="150">
        <v>1515.8</v>
      </c>
      <c r="L136" s="150">
        <v>25807</v>
      </c>
      <c r="M136" s="150">
        <v>24291.200000000001</v>
      </c>
      <c r="N136" s="150">
        <v>24.655185937700001</v>
      </c>
      <c r="O136" s="150">
        <v>100</v>
      </c>
      <c r="P136" s="150">
        <v>75.344814062300003</v>
      </c>
      <c r="Q136" s="150">
        <v>33.759927567299997</v>
      </c>
      <c r="R136" s="150">
        <v>100</v>
      </c>
      <c r="S136" s="150">
        <v>66.240072432700003</v>
      </c>
      <c r="T136" s="150" t="s">
        <v>2842</v>
      </c>
      <c r="U136" s="150" t="s">
        <v>2842</v>
      </c>
      <c r="V136" s="150" t="s">
        <v>2842</v>
      </c>
    </row>
    <row r="137" spans="1:22">
      <c r="A137" s="150" t="s">
        <v>2878</v>
      </c>
      <c r="B137" s="150" t="s">
        <v>442</v>
      </c>
      <c r="C137" s="150" t="str">
        <f t="shared" si="4"/>
        <v>2002_Peru</v>
      </c>
      <c r="D137" s="150">
        <v>1455.04</v>
      </c>
      <c r="E137" s="150">
        <v>9168.94</v>
      </c>
      <c r="F137" s="150">
        <f t="shared" si="5"/>
        <v>9168940000</v>
      </c>
      <c r="G137" s="150">
        <v>7713.9</v>
      </c>
      <c r="H137" s="150">
        <v>2448.83</v>
      </c>
      <c r="I137" s="150">
        <v>9841.6200000000008</v>
      </c>
      <c r="J137" s="150">
        <v>7392.79</v>
      </c>
      <c r="K137" s="150">
        <v>-993.79</v>
      </c>
      <c r="L137" s="150">
        <v>-672.68</v>
      </c>
      <c r="M137" s="150">
        <v>321.11</v>
      </c>
      <c r="N137" s="150">
        <v>15.8692280678</v>
      </c>
      <c r="O137" s="150">
        <v>100</v>
      </c>
      <c r="P137" s="150">
        <v>84.130771932200005</v>
      </c>
      <c r="Q137" s="150">
        <v>24.882387249299999</v>
      </c>
      <c r="R137" s="150">
        <v>100</v>
      </c>
      <c r="S137" s="150">
        <v>75.117612750700005</v>
      </c>
      <c r="T137" s="150" t="s">
        <v>2842</v>
      </c>
      <c r="U137" s="150" t="s">
        <v>2842</v>
      </c>
      <c r="V137" s="150" t="s">
        <v>2842</v>
      </c>
    </row>
    <row r="138" spans="1:22">
      <c r="A138" s="150" t="s">
        <v>2878</v>
      </c>
      <c r="B138" s="150" t="s">
        <v>481</v>
      </c>
      <c r="C138" s="150" t="str">
        <f t="shared" si="4"/>
        <v>2002_Sierra Leone</v>
      </c>
      <c r="D138" s="150">
        <v>38.335999999999999</v>
      </c>
      <c r="E138" s="150">
        <v>98.176000000000002</v>
      </c>
      <c r="F138" s="150">
        <f t="shared" si="5"/>
        <v>98176000</v>
      </c>
      <c r="G138" s="150">
        <v>59.84</v>
      </c>
      <c r="H138" s="150">
        <v>80.763000000000005</v>
      </c>
      <c r="I138" s="150">
        <v>335.70400000000001</v>
      </c>
      <c r="J138" s="150">
        <v>254.941</v>
      </c>
      <c r="K138" s="150">
        <v>-42.427</v>
      </c>
      <c r="L138" s="150">
        <v>-237.52799999999999</v>
      </c>
      <c r="M138" s="150">
        <v>-195.101</v>
      </c>
      <c r="N138" s="150">
        <v>39.0482398957</v>
      </c>
      <c r="O138" s="150">
        <v>100</v>
      </c>
      <c r="P138" s="150">
        <v>60.9517601043</v>
      </c>
      <c r="Q138" s="150">
        <v>24.0578009199</v>
      </c>
      <c r="R138" s="150">
        <v>100</v>
      </c>
      <c r="S138" s="150">
        <v>75.942199080099996</v>
      </c>
      <c r="T138" s="150" t="s">
        <v>2842</v>
      </c>
      <c r="U138" s="150" t="s">
        <v>2842</v>
      </c>
      <c r="V138" s="150" t="s">
        <v>2842</v>
      </c>
    </row>
    <row r="139" spans="1:22">
      <c r="A139" s="150" t="s">
        <v>2878</v>
      </c>
      <c r="B139" s="150" t="s">
        <v>2844</v>
      </c>
      <c r="C139" s="150" t="str">
        <f t="shared" si="4"/>
        <v>2002_Timor-Leste</v>
      </c>
      <c r="D139" s="150" t="s">
        <v>2875</v>
      </c>
      <c r="E139" s="150" t="s">
        <v>2842</v>
      </c>
      <c r="F139" s="150" t="str">
        <f t="shared" si="5"/>
        <v>..</v>
      </c>
      <c r="G139" s="150" t="s">
        <v>2875</v>
      </c>
      <c r="H139" s="150" t="s">
        <v>2875</v>
      </c>
      <c r="I139" s="150" t="s">
        <v>2875</v>
      </c>
      <c r="J139" s="150" t="s">
        <v>2875</v>
      </c>
      <c r="K139" s="150" t="s">
        <v>2875</v>
      </c>
      <c r="L139" s="150" t="s">
        <v>2875</v>
      </c>
      <c r="M139" s="150" t="s">
        <v>2875</v>
      </c>
      <c r="N139" s="150" t="s">
        <v>2875</v>
      </c>
      <c r="O139" s="150" t="s">
        <v>2875</v>
      </c>
      <c r="P139" s="150" t="s">
        <v>2875</v>
      </c>
      <c r="Q139" s="150" t="s">
        <v>2875</v>
      </c>
      <c r="R139" s="150" t="s">
        <v>2875</v>
      </c>
      <c r="S139" s="150" t="s">
        <v>2875</v>
      </c>
      <c r="T139" s="150" t="s">
        <v>2875</v>
      </c>
      <c r="U139" s="150" t="s">
        <v>2875</v>
      </c>
      <c r="V139" s="150" t="s">
        <v>2875</v>
      </c>
    </row>
    <row r="140" spans="1:22">
      <c r="A140" s="150" t="s">
        <v>2878</v>
      </c>
      <c r="B140" s="150" t="s">
        <v>510</v>
      </c>
      <c r="C140" s="150" t="str">
        <f t="shared" si="4"/>
        <v>2002_Togo</v>
      </c>
      <c r="D140" s="150">
        <v>90.003</v>
      </c>
      <c r="E140" s="150">
        <v>514.23699999999997</v>
      </c>
      <c r="F140" s="150">
        <f t="shared" si="5"/>
        <v>514236999.99999994</v>
      </c>
      <c r="G140" s="150">
        <v>424.23399999999998</v>
      </c>
      <c r="H140" s="150">
        <v>148.09</v>
      </c>
      <c r="I140" s="150">
        <v>723.72900000000004</v>
      </c>
      <c r="J140" s="150">
        <v>575.63900000000001</v>
      </c>
      <c r="K140" s="150">
        <v>-58.087000000000003</v>
      </c>
      <c r="L140" s="150">
        <v>-209.49199999999999</v>
      </c>
      <c r="M140" s="150">
        <v>-151.405</v>
      </c>
      <c r="N140" s="150">
        <v>17.502241184500001</v>
      </c>
      <c r="O140" s="150">
        <v>100</v>
      </c>
      <c r="P140" s="150">
        <v>82.497758815500006</v>
      </c>
      <c r="Q140" s="150">
        <v>20.462079037900001</v>
      </c>
      <c r="R140" s="150">
        <v>100</v>
      </c>
      <c r="S140" s="150">
        <v>79.537920962100003</v>
      </c>
      <c r="T140" s="150" t="s">
        <v>2842</v>
      </c>
      <c r="U140" s="150" t="s">
        <v>2842</v>
      </c>
      <c r="V140" s="150" t="s">
        <v>2842</v>
      </c>
    </row>
    <row r="141" spans="1:22">
      <c r="A141" s="150" t="s">
        <v>2878</v>
      </c>
      <c r="B141" s="150" t="s">
        <v>2845</v>
      </c>
      <c r="C141" s="150" t="str">
        <f t="shared" si="4"/>
        <v>2002_Trinidad and Tobago</v>
      </c>
      <c r="D141" s="150">
        <v>637</v>
      </c>
      <c r="E141" s="150">
        <v>4557</v>
      </c>
      <c r="F141" s="150">
        <f t="shared" si="5"/>
        <v>4557000000</v>
      </c>
      <c r="G141" s="150">
        <v>3920</v>
      </c>
      <c r="H141" s="150">
        <v>373</v>
      </c>
      <c r="I141" s="150">
        <v>4055.3</v>
      </c>
      <c r="J141" s="150">
        <v>3682.3</v>
      </c>
      <c r="K141" s="150">
        <v>264</v>
      </c>
      <c r="L141" s="150">
        <v>501.7</v>
      </c>
      <c r="M141" s="150">
        <v>237.7</v>
      </c>
      <c r="N141" s="150">
        <v>13.9784946237</v>
      </c>
      <c r="O141" s="150">
        <v>100</v>
      </c>
      <c r="P141" s="150">
        <v>86.021505376299999</v>
      </c>
      <c r="Q141" s="150">
        <v>9.1978398639000005</v>
      </c>
      <c r="R141" s="150">
        <v>100</v>
      </c>
      <c r="S141" s="150">
        <v>90.802160136099999</v>
      </c>
      <c r="T141" s="150" t="s">
        <v>2842</v>
      </c>
      <c r="U141" s="150" t="s">
        <v>2842</v>
      </c>
      <c r="V141" s="150" t="s">
        <v>2842</v>
      </c>
    </row>
    <row r="142" spans="1:22">
      <c r="A142" s="150" t="s">
        <v>2878</v>
      </c>
      <c r="B142" s="150" t="s">
        <v>492</v>
      </c>
      <c r="C142" s="150" t="str">
        <f t="shared" si="4"/>
        <v>2002_Tanzania</v>
      </c>
      <c r="D142" s="150">
        <v>920.14</v>
      </c>
      <c r="E142" s="150">
        <v>1899.7059999999999</v>
      </c>
      <c r="F142" s="150">
        <f t="shared" si="5"/>
        <v>1899706000</v>
      </c>
      <c r="G142" s="150">
        <v>979.56600000000003</v>
      </c>
      <c r="H142" s="150">
        <v>632.53</v>
      </c>
      <c r="I142" s="150">
        <v>2143.85</v>
      </c>
      <c r="J142" s="150">
        <v>1511.32</v>
      </c>
      <c r="K142" s="150">
        <v>287.61</v>
      </c>
      <c r="L142" s="150">
        <v>-244.14400000000001</v>
      </c>
      <c r="M142" s="150">
        <v>-531.75400000000002</v>
      </c>
      <c r="N142" s="150">
        <v>48.435915873299997</v>
      </c>
      <c r="O142" s="150">
        <v>100</v>
      </c>
      <c r="P142" s="150">
        <v>51.564084126700003</v>
      </c>
      <c r="Q142" s="150">
        <v>29.504396296399999</v>
      </c>
      <c r="R142" s="150">
        <v>100</v>
      </c>
      <c r="S142" s="150">
        <v>70.495603703599997</v>
      </c>
      <c r="T142" s="150" t="s">
        <v>2842</v>
      </c>
      <c r="U142" s="150" t="s">
        <v>2842</v>
      </c>
      <c r="V142" s="150" t="s">
        <v>2842</v>
      </c>
    </row>
    <row r="143" spans="1:22">
      <c r="A143" s="150" t="s">
        <v>2878</v>
      </c>
      <c r="B143" s="150" t="s">
        <v>522</v>
      </c>
      <c r="C143" s="150" t="str">
        <f t="shared" si="4"/>
        <v>2002_Yemen</v>
      </c>
      <c r="D143" s="150">
        <v>166.16499999999999</v>
      </c>
      <c r="E143" s="150">
        <v>3786.8850000000002</v>
      </c>
      <c r="F143" s="150">
        <f t="shared" si="5"/>
        <v>3786885000</v>
      </c>
      <c r="G143" s="150">
        <v>3620.72</v>
      </c>
      <c r="H143" s="150">
        <v>934.78700000000003</v>
      </c>
      <c r="I143" s="150">
        <v>3866.817</v>
      </c>
      <c r="J143" s="150">
        <v>2932.03</v>
      </c>
      <c r="K143" s="150">
        <v>-768.62199999999996</v>
      </c>
      <c r="L143" s="150">
        <v>-79.932000000000002</v>
      </c>
      <c r="M143" s="150">
        <v>688.69</v>
      </c>
      <c r="N143" s="150">
        <v>4.3879072112999999</v>
      </c>
      <c r="O143" s="150">
        <v>100</v>
      </c>
      <c r="P143" s="150">
        <v>95.612092788699997</v>
      </c>
      <c r="Q143" s="150">
        <v>24.174585970799999</v>
      </c>
      <c r="R143" s="150">
        <v>100</v>
      </c>
      <c r="S143" s="150">
        <v>75.825414029200005</v>
      </c>
      <c r="T143" s="150" t="s">
        <v>2842</v>
      </c>
      <c r="U143" s="150" t="s">
        <v>2842</v>
      </c>
      <c r="V143" s="150" t="s">
        <v>2842</v>
      </c>
    </row>
    <row r="144" spans="1:22">
      <c r="A144" s="150" t="s">
        <v>2878</v>
      </c>
      <c r="B144" s="150" t="s">
        <v>534</v>
      </c>
      <c r="C144" s="150" t="str">
        <f t="shared" si="4"/>
        <v>2002_Zambia</v>
      </c>
      <c r="D144" s="150">
        <v>115.32</v>
      </c>
      <c r="E144" s="150">
        <v>1104.4690000000001</v>
      </c>
      <c r="F144" s="150">
        <f t="shared" si="5"/>
        <v>1104469000</v>
      </c>
      <c r="G144" s="150">
        <v>989.149</v>
      </c>
      <c r="H144" s="150">
        <v>374.8</v>
      </c>
      <c r="I144" s="150">
        <v>1578.79</v>
      </c>
      <c r="J144" s="150">
        <v>1203.99</v>
      </c>
      <c r="K144" s="150">
        <v>-259.48</v>
      </c>
      <c r="L144" s="150">
        <v>-474.32100000000003</v>
      </c>
      <c r="M144" s="150">
        <v>-214.84100000000001</v>
      </c>
      <c r="N144" s="150">
        <v>10.4412165484</v>
      </c>
      <c r="O144" s="150">
        <v>100</v>
      </c>
      <c r="P144" s="150">
        <v>89.558783451599993</v>
      </c>
      <c r="Q144" s="150">
        <v>23.739699389999998</v>
      </c>
      <c r="R144" s="150">
        <v>100</v>
      </c>
      <c r="S144" s="150">
        <v>76.260300610000002</v>
      </c>
      <c r="T144" s="150" t="s">
        <v>2842</v>
      </c>
      <c r="U144" s="150" t="s">
        <v>2842</v>
      </c>
      <c r="V144" s="150" t="s">
        <v>2842</v>
      </c>
    </row>
    <row r="145" spans="1:22">
      <c r="A145" s="150" t="s">
        <v>2879</v>
      </c>
      <c r="B145" s="150" t="s">
        <v>16</v>
      </c>
      <c r="C145" s="150" t="str">
        <f t="shared" si="4"/>
        <v>2003_Afghanistan</v>
      </c>
      <c r="D145" s="150" t="s">
        <v>561</v>
      </c>
      <c r="E145" s="150" t="s">
        <v>2842</v>
      </c>
      <c r="F145" s="150" t="str">
        <f t="shared" si="5"/>
        <v>..</v>
      </c>
      <c r="G145" s="150">
        <v>1893.6</v>
      </c>
      <c r="H145" s="150" t="s">
        <v>561</v>
      </c>
      <c r="I145" s="150" t="s">
        <v>561</v>
      </c>
      <c r="J145" s="150">
        <v>4379.3</v>
      </c>
      <c r="K145" s="150" t="s">
        <v>561</v>
      </c>
      <c r="L145" s="150" t="s">
        <v>561</v>
      </c>
      <c r="M145" s="150">
        <v>-2485.6999999999998</v>
      </c>
      <c r="N145" s="150" t="s">
        <v>561</v>
      </c>
      <c r="O145" s="150" t="s">
        <v>561</v>
      </c>
      <c r="P145" s="150">
        <v>95.829959514199999</v>
      </c>
      <c r="Q145" s="150" t="s">
        <v>561</v>
      </c>
      <c r="R145" s="150" t="s">
        <v>561</v>
      </c>
      <c r="S145" s="150">
        <v>98.340519177199994</v>
      </c>
      <c r="T145" s="150" t="s">
        <v>2842</v>
      </c>
      <c r="U145" s="150" t="s">
        <v>2842</v>
      </c>
      <c r="V145" s="150" t="s">
        <v>2842</v>
      </c>
    </row>
    <row r="146" spans="1:22">
      <c r="A146" s="150" t="s">
        <v>2879</v>
      </c>
      <c r="B146" s="150" t="s">
        <v>33</v>
      </c>
      <c r="C146" s="150" t="str">
        <f t="shared" si="4"/>
        <v>2003_Albania</v>
      </c>
      <c r="D146" s="150">
        <v>719.70899999999995</v>
      </c>
      <c r="E146" s="150">
        <v>1166.9179999999999</v>
      </c>
      <c r="F146" s="150">
        <f t="shared" si="5"/>
        <v>1166918000</v>
      </c>
      <c r="G146" s="150">
        <v>447.209</v>
      </c>
      <c r="H146" s="150">
        <v>802.61599999999999</v>
      </c>
      <c r="I146" s="150">
        <v>2586.076</v>
      </c>
      <c r="J146" s="150">
        <v>1783.46</v>
      </c>
      <c r="K146" s="150">
        <v>-82.906999999999996</v>
      </c>
      <c r="L146" s="150">
        <v>-1419.1579999999999</v>
      </c>
      <c r="M146" s="150">
        <v>-1336.251</v>
      </c>
      <c r="N146" s="150">
        <v>61.676056072500003</v>
      </c>
      <c r="O146" s="150">
        <v>100</v>
      </c>
      <c r="P146" s="150">
        <v>38.323943927499997</v>
      </c>
      <c r="Q146" s="150">
        <v>31.036056171599999</v>
      </c>
      <c r="R146" s="150">
        <v>100</v>
      </c>
      <c r="S146" s="150">
        <v>68.963943828400005</v>
      </c>
      <c r="T146" s="150" t="s">
        <v>2842</v>
      </c>
      <c r="U146" s="150" t="s">
        <v>2842</v>
      </c>
      <c r="V146" s="150" t="s">
        <v>2842</v>
      </c>
    </row>
    <row r="147" spans="1:22">
      <c r="A147" s="150" t="s">
        <v>2879</v>
      </c>
      <c r="B147" s="150" t="s">
        <v>48</v>
      </c>
      <c r="C147" s="150" t="str">
        <f t="shared" si="4"/>
        <v>2003_Azerbaijan</v>
      </c>
      <c r="D147" s="150">
        <v>431.99299999999999</v>
      </c>
      <c r="E147" s="150">
        <v>3056.6129999999998</v>
      </c>
      <c r="F147" s="150">
        <f t="shared" si="5"/>
        <v>3056613000</v>
      </c>
      <c r="G147" s="150">
        <v>2624.62</v>
      </c>
      <c r="H147" s="150">
        <v>2046.52</v>
      </c>
      <c r="I147" s="150">
        <v>4769.59</v>
      </c>
      <c r="J147" s="150">
        <v>2723.07</v>
      </c>
      <c r="K147" s="150">
        <v>-1614.527</v>
      </c>
      <c r="L147" s="150">
        <v>-1712.9770000000001</v>
      </c>
      <c r="M147" s="150">
        <v>-98.45</v>
      </c>
      <c r="N147" s="150">
        <v>14.133061660099999</v>
      </c>
      <c r="O147" s="150">
        <v>100</v>
      </c>
      <c r="P147" s="150">
        <v>85.866938339900003</v>
      </c>
      <c r="Q147" s="150">
        <v>42.9076713093</v>
      </c>
      <c r="R147" s="150">
        <v>100</v>
      </c>
      <c r="S147" s="150">
        <v>57.0923286907</v>
      </c>
      <c r="T147" s="150" t="s">
        <v>2842</v>
      </c>
      <c r="U147" s="150" t="s">
        <v>2842</v>
      </c>
      <c r="V147" s="150" t="s">
        <v>2842</v>
      </c>
    </row>
    <row r="148" spans="1:22">
      <c r="A148" s="150" t="s">
        <v>2879</v>
      </c>
      <c r="B148" s="150" t="s">
        <v>93</v>
      </c>
      <c r="C148" s="150" t="str">
        <f t="shared" si="4"/>
        <v>2003_Burkina Faso</v>
      </c>
      <c r="D148" s="150">
        <v>45.831000000000003</v>
      </c>
      <c r="E148" s="150">
        <v>366.32499999999999</v>
      </c>
      <c r="F148" s="150">
        <f t="shared" si="5"/>
        <v>366325000</v>
      </c>
      <c r="G148" s="150">
        <v>320.49400000000003</v>
      </c>
      <c r="H148" s="150">
        <v>233.39099999999999</v>
      </c>
      <c r="I148" s="150">
        <v>918.69899999999996</v>
      </c>
      <c r="J148" s="150">
        <v>685.30799999999999</v>
      </c>
      <c r="K148" s="150">
        <v>-187.56</v>
      </c>
      <c r="L148" s="150">
        <v>-552.37400000000002</v>
      </c>
      <c r="M148" s="150">
        <v>-364.81400000000002</v>
      </c>
      <c r="N148" s="150">
        <v>12.5110216338</v>
      </c>
      <c r="O148" s="150">
        <v>100</v>
      </c>
      <c r="P148" s="150">
        <v>87.488978366200001</v>
      </c>
      <c r="Q148" s="150">
        <v>25.404512250500002</v>
      </c>
      <c r="R148" s="150">
        <v>100</v>
      </c>
      <c r="S148" s="150">
        <v>74.595487749499995</v>
      </c>
      <c r="T148" s="150" t="s">
        <v>2842</v>
      </c>
      <c r="U148" s="150" t="s">
        <v>2842</v>
      </c>
      <c r="V148" s="150" t="s">
        <v>2842</v>
      </c>
    </row>
    <row r="149" spans="1:22">
      <c r="A149" s="150" t="s">
        <v>2879</v>
      </c>
      <c r="B149" s="150" t="s">
        <v>2890</v>
      </c>
      <c r="C149" s="150" t="str">
        <f t="shared" si="4"/>
        <v>2003_ Cameroon</v>
      </c>
      <c r="D149" s="150">
        <v>644.60199999999998</v>
      </c>
      <c r="E149" s="150">
        <v>3128.0219999999999</v>
      </c>
      <c r="F149" s="150">
        <f t="shared" si="5"/>
        <v>3128022000</v>
      </c>
      <c r="G149" s="150">
        <v>2483.42</v>
      </c>
      <c r="H149" s="150">
        <v>1222.49</v>
      </c>
      <c r="I149" s="150">
        <v>3436.62</v>
      </c>
      <c r="J149" s="150">
        <v>2214.13</v>
      </c>
      <c r="K149" s="150">
        <v>-577.88800000000003</v>
      </c>
      <c r="L149" s="150">
        <v>-308.59800000000001</v>
      </c>
      <c r="M149" s="150">
        <v>269.29000000000002</v>
      </c>
      <c r="N149" s="150">
        <v>20.607335881899999</v>
      </c>
      <c r="O149" s="150">
        <v>100</v>
      </c>
      <c r="P149" s="150">
        <v>79.392664118100001</v>
      </c>
      <c r="Q149" s="150">
        <v>35.572452002299997</v>
      </c>
      <c r="R149" s="150">
        <v>100</v>
      </c>
      <c r="S149" s="150">
        <v>64.427547997700003</v>
      </c>
      <c r="T149" s="150" t="s">
        <v>2842</v>
      </c>
      <c r="U149" s="150" t="s">
        <v>2842</v>
      </c>
      <c r="V149" s="150" t="s">
        <v>2842</v>
      </c>
    </row>
    <row r="150" spans="1:22">
      <c r="A150" s="150" t="s">
        <v>2879</v>
      </c>
      <c r="B150" s="150" t="s">
        <v>122</v>
      </c>
      <c r="C150" s="150" t="str">
        <f t="shared" si="4"/>
        <v>2003_Central African Republic</v>
      </c>
      <c r="D150" s="150">
        <v>25.808671709999999</v>
      </c>
      <c r="E150" s="150">
        <v>153.8196834</v>
      </c>
      <c r="F150" s="150">
        <f t="shared" si="5"/>
        <v>153819683.40000001</v>
      </c>
      <c r="G150" s="150">
        <v>128.01101169</v>
      </c>
      <c r="H150" s="150">
        <v>87.921541629999993</v>
      </c>
      <c r="I150" s="150">
        <v>205.43702683000001</v>
      </c>
      <c r="J150" s="150">
        <v>117.5154852</v>
      </c>
      <c r="K150" s="150">
        <v>-62.112869920000001</v>
      </c>
      <c r="L150" s="150">
        <v>-51.617343429999998</v>
      </c>
      <c r="M150" s="150">
        <v>10.49552649</v>
      </c>
      <c r="N150" s="150">
        <v>16.778523489000001</v>
      </c>
      <c r="O150" s="150">
        <v>100</v>
      </c>
      <c r="P150" s="150">
        <v>83.221476511000006</v>
      </c>
      <c r="Q150" s="150">
        <v>42.797319931399997</v>
      </c>
      <c r="R150" s="150">
        <v>100</v>
      </c>
      <c r="S150" s="150">
        <v>57.202680068600003</v>
      </c>
      <c r="T150" s="150" t="s">
        <v>2842</v>
      </c>
      <c r="U150" s="150" t="s">
        <v>2842</v>
      </c>
      <c r="V150" s="150" t="s">
        <v>2842</v>
      </c>
    </row>
    <row r="151" spans="1:22">
      <c r="A151" s="150" t="s">
        <v>2879</v>
      </c>
      <c r="B151" s="150" t="s">
        <v>2891</v>
      </c>
      <c r="C151" s="150" t="str">
        <f t="shared" si="4"/>
        <v>2003_ Chad</v>
      </c>
      <c r="D151" s="150">
        <v>71.231933920000003</v>
      </c>
      <c r="E151" s="150">
        <v>666.72401925999998</v>
      </c>
      <c r="F151" s="150">
        <f t="shared" si="5"/>
        <v>666724019.25999999</v>
      </c>
      <c r="G151" s="150">
        <v>595.49208534000002</v>
      </c>
      <c r="H151" s="150">
        <v>842.56710253999995</v>
      </c>
      <c r="I151" s="150">
        <v>1672.57398485</v>
      </c>
      <c r="J151" s="150">
        <v>830.00688231000004</v>
      </c>
      <c r="K151" s="150">
        <v>-771.33516861999999</v>
      </c>
      <c r="L151" s="150">
        <v>-1005.84996559</v>
      </c>
      <c r="M151" s="150">
        <v>-234.51479696999999</v>
      </c>
      <c r="N151" s="150">
        <v>10.683870966400001</v>
      </c>
      <c r="O151" s="150">
        <v>100</v>
      </c>
      <c r="P151" s="150">
        <v>89.316129033600006</v>
      </c>
      <c r="Q151" s="150">
        <v>50.375475774000002</v>
      </c>
      <c r="R151" s="150">
        <v>100</v>
      </c>
      <c r="S151" s="150">
        <v>49.624524225999998</v>
      </c>
      <c r="T151" s="150" t="s">
        <v>2842</v>
      </c>
      <c r="U151" s="150" t="s">
        <v>2842</v>
      </c>
      <c r="V151" s="150" t="s">
        <v>2842</v>
      </c>
    </row>
    <row r="152" spans="1:22">
      <c r="A152" s="150" t="s">
        <v>2879</v>
      </c>
      <c r="B152" s="150" t="s">
        <v>458</v>
      </c>
      <c r="C152" s="150" t="str">
        <f t="shared" si="4"/>
        <v>2003_Republic of the Congo</v>
      </c>
      <c r="D152" s="150">
        <v>194.08099999999999</v>
      </c>
      <c r="E152" s="150">
        <v>2830.6909999999998</v>
      </c>
      <c r="F152" s="150">
        <f t="shared" si="5"/>
        <v>2830691000</v>
      </c>
      <c r="G152" s="150">
        <v>2636.61</v>
      </c>
      <c r="H152" s="150">
        <v>875.43</v>
      </c>
      <c r="I152" s="150">
        <v>1706.6410000000001</v>
      </c>
      <c r="J152" s="150">
        <v>831.21100000000001</v>
      </c>
      <c r="K152" s="150">
        <v>-681.34900000000005</v>
      </c>
      <c r="L152" s="150">
        <v>1124.05</v>
      </c>
      <c r="M152" s="150">
        <v>1805.3989999999999</v>
      </c>
      <c r="N152" s="150">
        <v>6.8563117626999999</v>
      </c>
      <c r="O152" s="150">
        <v>100</v>
      </c>
      <c r="P152" s="150">
        <v>93.143688237299997</v>
      </c>
      <c r="Q152" s="150">
        <v>51.2954979987</v>
      </c>
      <c r="R152" s="150">
        <v>100</v>
      </c>
      <c r="S152" s="150">
        <v>48.7045020013</v>
      </c>
      <c r="T152" s="150" t="s">
        <v>2842</v>
      </c>
      <c r="U152" s="150" t="s">
        <v>2842</v>
      </c>
      <c r="V152" s="150" t="s">
        <v>2842</v>
      </c>
    </row>
    <row r="153" spans="1:22">
      <c r="A153" s="150" t="s">
        <v>2879</v>
      </c>
      <c r="B153" s="150" t="s">
        <v>165</v>
      </c>
      <c r="C153" s="150" t="str">
        <f t="shared" si="4"/>
        <v>2003_Democratic Republic of Congo</v>
      </c>
      <c r="D153" s="150">
        <v>139.45863643999999</v>
      </c>
      <c r="E153" s="150">
        <v>1517.1411010300001</v>
      </c>
      <c r="F153" s="150">
        <f t="shared" si="5"/>
        <v>1517141101.03</v>
      </c>
      <c r="G153" s="150">
        <v>1377.6824645900001</v>
      </c>
      <c r="H153" s="150">
        <v>426.60001875</v>
      </c>
      <c r="I153" s="150">
        <v>1921.17097556</v>
      </c>
      <c r="J153" s="150">
        <v>1494.5709568100001</v>
      </c>
      <c r="K153" s="150">
        <v>-287.14138230999998</v>
      </c>
      <c r="L153" s="150">
        <v>-404.02987452999997</v>
      </c>
      <c r="M153" s="150">
        <v>-116.88849222</v>
      </c>
      <c r="N153" s="150">
        <v>9.1921994826999995</v>
      </c>
      <c r="O153" s="150">
        <v>100</v>
      </c>
      <c r="P153" s="150">
        <v>90.807800517299995</v>
      </c>
      <c r="Q153" s="150">
        <v>22.205208395100001</v>
      </c>
      <c r="R153" s="150">
        <v>100</v>
      </c>
      <c r="S153" s="150">
        <v>77.794791604899999</v>
      </c>
      <c r="T153" s="150" t="s">
        <v>2842</v>
      </c>
      <c r="U153" s="150" t="s">
        <v>2842</v>
      </c>
      <c r="V153" s="150" t="s">
        <v>2842</v>
      </c>
    </row>
    <row r="154" spans="1:22">
      <c r="A154" s="150" t="s">
        <v>2879</v>
      </c>
      <c r="B154" s="150" t="s">
        <v>2892</v>
      </c>
      <c r="C154" s="150" t="str">
        <f t="shared" si="4"/>
        <v>2003_ Equatorial Guinea</v>
      </c>
      <c r="D154" s="150">
        <v>14.96540692</v>
      </c>
      <c r="E154" s="150">
        <v>2998.4504788999998</v>
      </c>
      <c r="F154" s="150">
        <f t="shared" si="5"/>
        <v>2998450478.8999996</v>
      </c>
      <c r="G154" s="150">
        <v>2983.4850719800002</v>
      </c>
      <c r="H154" s="150">
        <v>734.02099105000002</v>
      </c>
      <c r="I154" s="150">
        <v>1641.7877404799999</v>
      </c>
      <c r="J154" s="150">
        <v>907.76674943</v>
      </c>
      <c r="K154" s="150">
        <v>-719.05558413000006</v>
      </c>
      <c r="L154" s="150">
        <v>1356.6627384200001</v>
      </c>
      <c r="M154" s="150">
        <v>2075.7183225499998</v>
      </c>
      <c r="N154" s="150">
        <v>0.4991046884</v>
      </c>
      <c r="O154" s="150">
        <v>100</v>
      </c>
      <c r="P154" s="150">
        <v>99.500895311600004</v>
      </c>
      <c r="Q154" s="150">
        <v>44.7086412544</v>
      </c>
      <c r="R154" s="150">
        <v>100</v>
      </c>
      <c r="S154" s="150">
        <v>55.2913587456</v>
      </c>
      <c r="T154" s="150" t="s">
        <v>2842</v>
      </c>
      <c r="U154" s="150" t="s">
        <v>2842</v>
      </c>
      <c r="V154" s="150" t="s">
        <v>2842</v>
      </c>
    </row>
    <row r="155" spans="1:22">
      <c r="A155" s="150" t="s">
        <v>2879</v>
      </c>
      <c r="B155" s="150" t="s">
        <v>2893</v>
      </c>
      <c r="C155" s="150" t="str">
        <f t="shared" si="4"/>
        <v>2003_ Gabon</v>
      </c>
      <c r="D155" s="150">
        <v>172.465</v>
      </c>
      <c r="E155" s="150">
        <v>3350.9549999999999</v>
      </c>
      <c r="F155" s="150">
        <f t="shared" si="5"/>
        <v>3350955000</v>
      </c>
      <c r="G155" s="150">
        <v>3178.49</v>
      </c>
      <c r="H155" s="150">
        <v>839.58299999999997</v>
      </c>
      <c r="I155" s="150">
        <v>1882.463</v>
      </c>
      <c r="J155" s="150">
        <v>1042.8800000000001</v>
      </c>
      <c r="K155" s="150">
        <v>-667.11800000000005</v>
      </c>
      <c r="L155" s="150">
        <v>1468.492</v>
      </c>
      <c r="M155" s="150">
        <v>2135.61</v>
      </c>
      <c r="N155" s="150">
        <v>5.1467417497000003</v>
      </c>
      <c r="O155" s="150">
        <v>100</v>
      </c>
      <c r="P155" s="150">
        <v>94.853258250300001</v>
      </c>
      <c r="Q155" s="150">
        <v>44.600239154800001</v>
      </c>
      <c r="R155" s="150">
        <v>100</v>
      </c>
      <c r="S155" s="150">
        <v>55.399760845199999</v>
      </c>
      <c r="T155" s="150" t="s">
        <v>2842</v>
      </c>
      <c r="U155" s="150" t="s">
        <v>2842</v>
      </c>
      <c r="V155" s="150" t="s">
        <v>2842</v>
      </c>
    </row>
    <row r="156" spans="1:22">
      <c r="A156" s="150" t="s">
        <v>2879</v>
      </c>
      <c r="B156" s="150" t="s">
        <v>189</v>
      </c>
      <c r="C156" s="150" t="str">
        <f t="shared" si="4"/>
        <v>2003_Ghana</v>
      </c>
      <c r="D156" s="150">
        <v>630.01</v>
      </c>
      <c r="E156" s="150">
        <v>3192.57</v>
      </c>
      <c r="F156" s="150">
        <f t="shared" si="5"/>
        <v>3192570000</v>
      </c>
      <c r="G156" s="150">
        <v>2562.56</v>
      </c>
      <c r="H156" s="150">
        <v>921.98400000000004</v>
      </c>
      <c r="I156" s="150">
        <v>4154.8040000000001</v>
      </c>
      <c r="J156" s="150">
        <v>3232.82</v>
      </c>
      <c r="K156" s="150">
        <v>-291.97399999999999</v>
      </c>
      <c r="L156" s="150">
        <v>-962.23400000000004</v>
      </c>
      <c r="M156" s="150">
        <v>-670.26</v>
      </c>
      <c r="N156" s="150">
        <v>19.733631525700002</v>
      </c>
      <c r="O156" s="150">
        <v>100</v>
      </c>
      <c r="P156" s="150">
        <v>80.266368474299995</v>
      </c>
      <c r="Q156" s="150">
        <v>22.1907940784</v>
      </c>
      <c r="R156" s="150">
        <v>100</v>
      </c>
      <c r="S156" s="150">
        <v>77.809205921599997</v>
      </c>
      <c r="T156" s="150" t="s">
        <v>2842</v>
      </c>
      <c r="U156" s="150" t="s">
        <v>2842</v>
      </c>
      <c r="V156" s="150" t="s">
        <v>2842</v>
      </c>
    </row>
    <row r="157" spans="1:22">
      <c r="A157" s="150" t="s">
        <v>2879</v>
      </c>
      <c r="B157" s="150" t="s">
        <v>213</v>
      </c>
      <c r="C157" s="150" t="str">
        <f t="shared" si="4"/>
        <v>2003_Guatemala</v>
      </c>
      <c r="D157" s="150">
        <v>1058.8</v>
      </c>
      <c r="E157" s="150">
        <v>4118.67</v>
      </c>
      <c r="F157" s="150">
        <f t="shared" si="5"/>
        <v>4118670000</v>
      </c>
      <c r="G157" s="150">
        <v>3059.87</v>
      </c>
      <c r="H157" s="150">
        <v>1126.1199999999999</v>
      </c>
      <c r="I157" s="150">
        <v>7301.81</v>
      </c>
      <c r="J157" s="150">
        <v>6175.69</v>
      </c>
      <c r="K157" s="150">
        <v>-67.319999999999993</v>
      </c>
      <c r="L157" s="150">
        <v>-3183.14</v>
      </c>
      <c r="M157" s="150">
        <v>-3115.82</v>
      </c>
      <c r="N157" s="150">
        <v>25.707327850999999</v>
      </c>
      <c r="O157" s="150">
        <v>100</v>
      </c>
      <c r="P157" s="150">
        <v>74.292672148999998</v>
      </c>
      <c r="Q157" s="150">
        <v>15.4224774405</v>
      </c>
      <c r="R157" s="150">
        <v>100</v>
      </c>
      <c r="S157" s="150">
        <v>84.577522559499997</v>
      </c>
      <c r="T157" s="150" t="s">
        <v>2842</v>
      </c>
      <c r="U157" s="150" t="s">
        <v>2842</v>
      </c>
      <c r="V157" s="150" t="s">
        <v>2842</v>
      </c>
    </row>
    <row r="158" spans="1:22">
      <c r="A158" s="150" t="s">
        <v>2879</v>
      </c>
      <c r="B158" s="150" t="s">
        <v>2894</v>
      </c>
      <c r="C158" s="150" t="str">
        <f t="shared" si="4"/>
        <v>2003_ Guinea</v>
      </c>
      <c r="D158" s="150">
        <v>133.68600000000001</v>
      </c>
      <c r="E158" s="150">
        <v>742.94899999999996</v>
      </c>
      <c r="F158" s="150">
        <f t="shared" si="5"/>
        <v>742949000</v>
      </c>
      <c r="G158" s="150">
        <v>609.26300000000003</v>
      </c>
      <c r="H158" s="150">
        <v>307.29700000000003</v>
      </c>
      <c r="I158" s="150">
        <v>951.54899999999998</v>
      </c>
      <c r="J158" s="150">
        <v>644.25199999999995</v>
      </c>
      <c r="K158" s="150">
        <v>-173.61099999999999</v>
      </c>
      <c r="L158" s="150">
        <v>-208.6</v>
      </c>
      <c r="M158" s="150">
        <v>-34.988999999999997</v>
      </c>
      <c r="N158" s="150">
        <v>17.9939672844</v>
      </c>
      <c r="O158" s="150">
        <v>100</v>
      </c>
      <c r="P158" s="150">
        <v>82.0060327156</v>
      </c>
      <c r="Q158" s="150">
        <v>32.294395769399998</v>
      </c>
      <c r="R158" s="150">
        <v>100</v>
      </c>
      <c r="S158" s="150">
        <v>67.705604230600002</v>
      </c>
      <c r="T158" s="150" t="s">
        <v>2842</v>
      </c>
      <c r="U158" s="150" t="s">
        <v>2842</v>
      </c>
      <c r="V158" s="150" t="s">
        <v>2842</v>
      </c>
    </row>
    <row r="159" spans="1:22">
      <c r="A159" s="150" t="s">
        <v>2879</v>
      </c>
      <c r="B159" s="150" t="s">
        <v>237</v>
      </c>
      <c r="C159" s="150" t="str">
        <f t="shared" si="4"/>
        <v>2003_Indonesia</v>
      </c>
      <c r="D159" s="150">
        <v>5292.89</v>
      </c>
      <c r="E159" s="150">
        <v>69402.09</v>
      </c>
      <c r="F159" s="150">
        <f t="shared" si="5"/>
        <v>69402090000</v>
      </c>
      <c r="G159" s="150">
        <v>64109.2</v>
      </c>
      <c r="H159" s="150">
        <v>17400.400000000001</v>
      </c>
      <c r="I159" s="150">
        <v>56946.6</v>
      </c>
      <c r="J159" s="150">
        <v>39546.199999999997</v>
      </c>
      <c r="K159" s="150">
        <v>-12107.51</v>
      </c>
      <c r="L159" s="150">
        <v>12455.49</v>
      </c>
      <c r="M159" s="150">
        <v>24563</v>
      </c>
      <c r="N159" s="150">
        <v>7.6264129798000004</v>
      </c>
      <c r="O159" s="150">
        <v>100</v>
      </c>
      <c r="P159" s="150">
        <v>92.373587020200006</v>
      </c>
      <c r="Q159" s="150">
        <v>30.555643357099999</v>
      </c>
      <c r="R159" s="150">
        <v>100</v>
      </c>
      <c r="S159" s="150">
        <v>69.444356642900004</v>
      </c>
      <c r="T159" s="150" t="s">
        <v>2842</v>
      </c>
      <c r="U159" s="150" t="s">
        <v>2842</v>
      </c>
      <c r="V159" s="150" t="s">
        <v>2842</v>
      </c>
    </row>
    <row r="160" spans="1:22">
      <c r="A160" s="150" t="s">
        <v>2879</v>
      </c>
      <c r="B160" s="150" t="s">
        <v>245</v>
      </c>
      <c r="C160" s="150" t="str">
        <f t="shared" si="4"/>
        <v>2003_Iraq</v>
      </c>
      <c r="D160" s="150" t="s">
        <v>561</v>
      </c>
      <c r="E160" s="150" t="s">
        <v>2842</v>
      </c>
      <c r="F160" s="150" t="str">
        <f t="shared" si="5"/>
        <v>..</v>
      </c>
      <c r="G160" s="150">
        <v>9711.1</v>
      </c>
      <c r="H160" s="150" t="s">
        <v>561</v>
      </c>
      <c r="I160" s="150" t="s">
        <v>561</v>
      </c>
      <c r="J160" s="150">
        <v>8349.6783099999993</v>
      </c>
      <c r="K160" s="150" t="s">
        <v>561</v>
      </c>
      <c r="L160" s="150" t="s">
        <v>561</v>
      </c>
      <c r="M160" s="150">
        <v>1361.4216899999999</v>
      </c>
      <c r="N160" s="150" t="s">
        <v>561</v>
      </c>
      <c r="O160" s="150" t="s">
        <v>561</v>
      </c>
      <c r="P160" s="150">
        <v>95.482935261199998</v>
      </c>
      <c r="Q160" s="150" t="s">
        <v>561</v>
      </c>
      <c r="R160" s="150" t="s">
        <v>561</v>
      </c>
      <c r="S160" s="150">
        <v>76.116369350900001</v>
      </c>
      <c r="T160" s="150" t="s">
        <v>2842</v>
      </c>
      <c r="U160" s="150" t="s">
        <v>2842</v>
      </c>
      <c r="V160" s="150" t="s">
        <v>2842</v>
      </c>
    </row>
    <row r="161" spans="1:22">
      <c r="A161" s="150" t="s">
        <v>2879</v>
      </c>
      <c r="B161" s="150" t="s">
        <v>273</v>
      </c>
      <c r="C161" s="150" t="str">
        <f t="shared" si="4"/>
        <v>2003_Kazakhstan</v>
      </c>
      <c r="D161" s="150">
        <v>1712.29</v>
      </c>
      <c r="E161" s="150">
        <v>14944.89</v>
      </c>
      <c r="F161" s="150">
        <f t="shared" si="5"/>
        <v>14944890000</v>
      </c>
      <c r="G161" s="150">
        <v>13232.6</v>
      </c>
      <c r="H161" s="150">
        <v>3752.69</v>
      </c>
      <c r="I161" s="150">
        <v>13306.32</v>
      </c>
      <c r="J161" s="150">
        <v>9553.6299999999992</v>
      </c>
      <c r="K161" s="150">
        <v>-2040.4</v>
      </c>
      <c r="L161" s="150">
        <v>1638.57</v>
      </c>
      <c r="M161" s="150">
        <v>3678.97</v>
      </c>
      <c r="N161" s="150">
        <v>11.457361011</v>
      </c>
      <c r="O161" s="150">
        <v>100</v>
      </c>
      <c r="P161" s="150">
        <v>88.542638988999997</v>
      </c>
      <c r="Q161" s="150">
        <v>28.2023128859</v>
      </c>
      <c r="R161" s="150">
        <v>100</v>
      </c>
      <c r="S161" s="150">
        <v>71.7976871141</v>
      </c>
      <c r="T161" s="150" t="s">
        <v>2842</v>
      </c>
      <c r="U161" s="150" t="s">
        <v>2842</v>
      </c>
      <c r="V161" s="150" t="s">
        <v>2842</v>
      </c>
    </row>
    <row r="162" spans="1:22">
      <c r="A162" s="150" t="s">
        <v>2879</v>
      </c>
      <c r="B162" s="150" t="s">
        <v>2895</v>
      </c>
      <c r="C162" s="150" t="str">
        <f t="shared" si="4"/>
        <v>2003_Kyrgyzstan</v>
      </c>
      <c r="D162" s="150">
        <v>158.18799999999999</v>
      </c>
      <c r="E162" s="150">
        <v>748.52200000000005</v>
      </c>
      <c r="F162" s="150">
        <f t="shared" si="5"/>
        <v>748522000</v>
      </c>
      <c r="G162" s="150">
        <v>590.33399999999995</v>
      </c>
      <c r="H162" s="150">
        <v>159.58500000000001</v>
      </c>
      <c r="I162" s="150">
        <v>882.70699999999999</v>
      </c>
      <c r="J162" s="150">
        <v>723.12199999999996</v>
      </c>
      <c r="K162" s="150">
        <v>-1.397</v>
      </c>
      <c r="L162" s="150">
        <v>-134.185</v>
      </c>
      <c r="M162" s="150">
        <v>-132.78800000000001</v>
      </c>
      <c r="N162" s="150">
        <v>21.1333801812</v>
      </c>
      <c r="O162" s="150">
        <v>100</v>
      </c>
      <c r="P162" s="150">
        <v>78.866619818800004</v>
      </c>
      <c r="Q162" s="150">
        <v>18.0790454817</v>
      </c>
      <c r="R162" s="150">
        <v>100</v>
      </c>
      <c r="S162" s="150">
        <v>81.920954518299993</v>
      </c>
      <c r="T162" s="150" t="s">
        <v>2842</v>
      </c>
      <c r="U162" s="150" t="s">
        <v>2842</v>
      </c>
      <c r="V162" s="150" t="s">
        <v>2842</v>
      </c>
    </row>
    <row r="163" spans="1:22">
      <c r="A163" s="150" t="s">
        <v>2879</v>
      </c>
      <c r="B163" s="150" t="s">
        <v>294</v>
      </c>
      <c r="C163" s="150" t="str">
        <f t="shared" si="4"/>
        <v>2003_Liberia</v>
      </c>
      <c r="D163" s="150" t="s">
        <v>561</v>
      </c>
      <c r="E163" s="150" t="s">
        <v>2842</v>
      </c>
      <c r="F163" s="150" t="str">
        <f t="shared" si="5"/>
        <v>..</v>
      </c>
      <c r="G163" s="150" t="s">
        <v>561</v>
      </c>
      <c r="H163" s="150" t="s">
        <v>561</v>
      </c>
      <c r="I163" s="150" t="s">
        <v>561</v>
      </c>
      <c r="J163" s="150">
        <v>128</v>
      </c>
      <c r="K163" s="150" t="s">
        <v>561</v>
      </c>
      <c r="L163" s="150" t="s">
        <v>561</v>
      </c>
      <c r="M163" s="150" t="s">
        <v>561</v>
      </c>
      <c r="N163" s="150" t="s">
        <v>561</v>
      </c>
      <c r="O163" s="150" t="s">
        <v>561</v>
      </c>
      <c r="P163" s="150" t="s">
        <v>561</v>
      </c>
      <c r="Q163" s="150" t="s">
        <v>561</v>
      </c>
      <c r="R163" s="150" t="s">
        <v>561</v>
      </c>
      <c r="S163" s="150">
        <v>49.530066922700001</v>
      </c>
      <c r="T163" s="150" t="s">
        <v>2842</v>
      </c>
      <c r="U163" s="150" t="s">
        <v>2842</v>
      </c>
      <c r="V163" s="150" t="s">
        <v>2842</v>
      </c>
    </row>
    <row r="164" spans="1:22">
      <c r="A164" s="150" t="s">
        <v>2879</v>
      </c>
      <c r="B164" s="150" t="s">
        <v>309</v>
      </c>
      <c r="C164" s="150" t="str">
        <f t="shared" si="4"/>
        <v>2003_Madagascar</v>
      </c>
      <c r="D164" s="150">
        <v>321.61500000000001</v>
      </c>
      <c r="E164" s="150">
        <v>1175.221</v>
      </c>
      <c r="F164" s="150">
        <f t="shared" si="5"/>
        <v>1175221000</v>
      </c>
      <c r="G164" s="150">
        <v>853.60599999999999</v>
      </c>
      <c r="H164" s="150">
        <v>618.83299999999997</v>
      </c>
      <c r="I164" s="150">
        <v>1730.163</v>
      </c>
      <c r="J164" s="150">
        <v>1111.33</v>
      </c>
      <c r="K164" s="150">
        <v>-297.21800000000002</v>
      </c>
      <c r="L164" s="150">
        <v>-554.94200000000001</v>
      </c>
      <c r="M164" s="150">
        <v>-257.72399999999999</v>
      </c>
      <c r="N164" s="150">
        <v>27.3663421603</v>
      </c>
      <c r="O164" s="150">
        <v>100</v>
      </c>
      <c r="P164" s="150">
        <v>72.633657839700007</v>
      </c>
      <c r="Q164" s="150">
        <v>35.767323656800002</v>
      </c>
      <c r="R164" s="150">
        <v>100</v>
      </c>
      <c r="S164" s="150">
        <v>64.232676343199998</v>
      </c>
      <c r="T164" s="150" t="s">
        <v>2842</v>
      </c>
      <c r="U164" s="150" t="s">
        <v>2842</v>
      </c>
      <c r="V164" s="150" t="s">
        <v>2842</v>
      </c>
    </row>
    <row r="165" spans="1:22">
      <c r="A165" s="150" t="s">
        <v>2879</v>
      </c>
      <c r="B165" s="150" t="s">
        <v>322</v>
      </c>
      <c r="C165" s="150" t="str">
        <f t="shared" si="4"/>
        <v>2003_Mali</v>
      </c>
      <c r="D165" s="150">
        <v>224.255</v>
      </c>
      <c r="E165" s="150">
        <v>1152.097</v>
      </c>
      <c r="F165" s="150">
        <f t="shared" si="5"/>
        <v>1152097000</v>
      </c>
      <c r="G165" s="150">
        <v>927.84199999999998</v>
      </c>
      <c r="H165" s="150">
        <v>482.23099999999999</v>
      </c>
      <c r="I165" s="150">
        <v>1470.568</v>
      </c>
      <c r="J165" s="150">
        <v>988.33699999999999</v>
      </c>
      <c r="K165" s="150">
        <v>-257.976</v>
      </c>
      <c r="L165" s="150">
        <v>-318.471</v>
      </c>
      <c r="M165" s="150">
        <v>-60.494999999999997</v>
      </c>
      <c r="N165" s="150">
        <v>19.464940886099999</v>
      </c>
      <c r="O165" s="150">
        <v>100</v>
      </c>
      <c r="P165" s="150">
        <v>80.535059113900004</v>
      </c>
      <c r="Q165" s="150">
        <v>32.792159220099997</v>
      </c>
      <c r="R165" s="150">
        <v>100</v>
      </c>
      <c r="S165" s="150">
        <v>67.207840779899996</v>
      </c>
      <c r="T165" s="150" t="s">
        <v>2842</v>
      </c>
      <c r="U165" s="150" t="s">
        <v>2842</v>
      </c>
      <c r="V165" s="150" t="s">
        <v>2842</v>
      </c>
    </row>
    <row r="166" spans="1:22">
      <c r="A166" s="150" t="s">
        <v>2879</v>
      </c>
      <c r="B166" s="150" t="s">
        <v>338</v>
      </c>
      <c r="C166" s="150" t="str">
        <f t="shared" si="4"/>
        <v>2003_Mauritania</v>
      </c>
      <c r="D166" s="150">
        <v>44.181789700000003</v>
      </c>
      <c r="E166" s="150">
        <v>362.63595842000001</v>
      </c>
      <c r="F166" s="150">
        <f t="shared" si="5"/>
        <v>362635958.42000002</v>
      </c>
      <c r="G166" s="150">
        <v>318.45416871999998</v>
      </c>
      <c r="H166" s="150">
        <v>189.16228423999999</v>
      </c>
      <c r="I166" s="150">
        <v>731.58710269999995</v>
      </c>
      <c r="J166" s="150">
        <v>542.42481845999998</v>
      </c>
      <c r="K166" s="150">
        <v>-144.98049454</v>
      </c>
      <c r="L166" s="150">
        <v>-368.95114427999999</v>
      </c>
      <c r="M166" s="150">
        <v>-223.97064974</v>
      </c>
      <c r="N166" s="150">
        <v>12.183510397699999</v>
      </c>
      <c r="O166" s="150">
        <v>100</v>
      </c>
      <c r="P166" s="150">
        <v>87.816489602299995</v>
      </c>
      <c r="Q166" s="150">
        <v>25.856426875499999</v>
      </c>
      <c r="R166" s="150">
        <v>100</v>
      </c>
      <c r="S166" s="150">
        <v>74.143573124499994</v>
      </c>
      <c r="T166" s="150" t="s">
        <v>2842</v>
      </c>
      <c r="U166" s="150" t="s">
        <v>2842</v>
      </c>
      <c r="V166" s="150" t="s">
        <v>2842</v>
      </c>
    </row>
    <row r="167" spans="1:22">
      <c r="A167" s="150" t="s">
        <v>2879</v>
      </c>
      <c r="B167" s="150" t="s">
        <v>357</v>
      </c>
      <c r="C167" s="150" t="str">
        <f t="shared" si="4"/>
        <v>2003_Mongolia</v>
      </c>
      <c r="D167" s="150">
        <v>207.9</v>
      </c>
      <c r="E167" s="150">
        <v>835.2</v>
      </c>
      <c r="F167" s="150">
        <f t="shared" si="5"/>
        <v>835200000</v>
      </c>
      <c r="G167" s="150">
        <v>627.29999999999995</v>
      </c>
      <c r="H167" s="150">
        <v>257.10000000000002</v>
      </c>
      <c r="I167" s="150">
        <v>1084</v>
      </c>
      <c r="J167" s="150">
        <v>826.9</v>
      </c>
      <c r="K167" s="150">
        <v>-49.2</v>
      </c>
      <c r="L167" s="150">
        <v>-248.8</v>
      </c>
      <c r="M167" s="150">
        <v>-199.6</v>
      </c>
      <c r="N167" s="150">
        <v>24.8922413793</v>
      </c>
      <c r="O167" s="150">
        <v>100</v>
      </c>
      <c r="P167" s="150">
        <v>75.107758620699997</v>
      </c>
      <c r="Q167" s="150">
        <v>23.717712177100001</v>
      </c>
      <c r="R167" s="150">
        <v>100</v>
      </c>
      <c r="S167" s="150">
        <v>76.282287822900003</v>
      </c>
      <c r="T167" s="150" t="s">
        <v>2842</v>
      </c>
      <c r="U167" s="150" t="s">
        <v>2842</v>
      </c>
      <c r="V167" s="150" t="s">
        <v>2842</v>
      </c>
    </row>
    <row r="168" spans="1:22">
      <c r="A168" s="150" t="s">
        <v>2879</v>
      </c>
      <c r="B168" s="150" t="s">
        <v>378</v>
      </c>
      <c r="C168" s="150" t="str">
        <f t="shared" si="4"/>
        <v>2003_Mozambique</v>
      </c>
      <c r="D168" s="150">
        <v>303.94200000000001</v>
      </c>
      <c r="E168" s="150">
        <v>1347.8520000000001</v>
      </c>
      <c r="F168" s="150">
        <f t="shared" si="5"/>
        <v>1347852000</v>
      </c>
      <c r="G168" s="150">
        <v>1043.9100000000001</v>
      </c>
      <c r="H168" s="150">
        <v>573.89400000000001</v>
      </c>
      <c r="I168" s="150">
        <v>2221.9740000000002</v>
      </c>
      <c r="J168" s="150">
        <v>1648.08</v>
      </c>
      <c r="K168" s="150">
        <v>-269.952</v>
      </c>
      <c r="L168" s="150">
        <v>-874.12199999999996</v>
      </c>
      <c r="M168" s="150">
        <v>-604.16999999999996</v>
      </c>
      <c r="N168" s="150">
        <v>22.550101940000001</v>
      </c>
      <c r="O168" s="150">
        <v>100</v>
      </c>
      <c r="P168" s="150">
        <v>77.449898059999995</v>
      </c>
      <c r="Q168" s="150">
        <v>25.8281150004</v>
      </c>
      <c r="R168" s="150">
        <v>100</v>
      </c>
      <c r="S168" s="150">
        <v>74.171884999599996</v>
      </c>
      <c r="T168" s="150" t="s">
        <v>2842</v>
      </c>
      <c r="U168" s="150" t="s">
        <v>2842</v>
      </c>
      <c r="V168" s="150" t="s">
        <v>2842</v>
      </c>
    </row>
    <row r="169" spans="1:22">
      <c r="A169" s="150" t="s">
        <v>2879</v>
      </c>
      <c r="B169" s="150" t="s">
        <v>387</v>
      </c>
      <c r="C169" s="150" t="str">
        <f t="shared" si="4"/>
        <v>2003_Niger</v>
      </c>
      <c r="D169" s="150">
        <v>63.308999999999997</v>
      </c>
      <c r="E169" s="150">
        <v>415.13400000000001</v>
      </c>
      <c r="F169" s="150">
        <f t="shared" si="5"/>
        <v>415134000</v>
      </c>
      <c r="G169" s="150">
        <v>351.82499999999999</v>
      </c>
      <c r="H169" s="150">
        <v>192.52099999999999</v>
      </c>
      <c r="I169" s="150">
        <v>680.99800000000005</v>
      </c>
      <c r="J169" s="150">
        <v>488.47699999999998</v>
      </c>
      <c r="K169" s="150">
        <v>-129.21199999999999</v>
      </c>
      <c r="L169" s="150">
        <v>-265.86399999999998</v>
      </c>
      <c r="M169" s="150">
        <v>-136.65199999999999</v>
      </c>
      <c r="N169" s="150">
        <v>15.250256543700001</v>
      </c>
      <c r="O169" s="150">
        <v>100</v>
      </c>
      <c r="P169" s="150">
        <v>84.749743456299996</v>
      </c>
      <c r="Q169" s="150">
        <v>28.270420764800001</v>
      </c>
      <c r="R169" s="150">
        <v>100</v>
      </c>
      <c r="S169" s="150">
        <v>71.729579235200006</v>
      </c>
      <c r="T169" s="150" t="s">
        <v>2842</v>
      </c>
      <c r="U169" s="150" t="s">
        <v>2842</v>
      </c>
      <c r="V169" s="150" t="s">
        <v>2842</v>
      </c>
    </row>
    <row r="170" spans="1:22">
      <c r="A170" s="150" t="s">
        <v>2879</v>
      </c>
      <c r="B170" s="150" t="s">
        <v>406</v>
      </c>
      <c r="C170" s="150" t="str">
        <f t="shared" si="4"/>
        <v>2003_Nigeria</v>
      </c>
      <c r="D170" s="150">
        <v>3473.18</v>
      </c>
      <c r="E170" s="150">
        <v>27449.18</v>
      </c>
      <c r="F170" s="150">
        <f t="shared" si="5"/>
        <v>27449180000</v>
      </c>
      <c r="G170" s="150">
        <v>23976</v>
      </c>
      <c r="H170" s="150">
        <v>5714.8</v>
      </c>
      <c r="I170" s="150">
        <v>21866.9</v>
      </c>
      <c r="J170" s="150">
        <v>16152.1</v>
      </c>
      <c r="K170" s="150">
        <v>-2241.62</v>
      </c>
      <c r="L170" s="150">
        <v>5582.28</v>
      </c>
      <c r="M170" s="150">
        <v>7823.9</v>
      </c>
      <c r="N170" s="150">
        <v>12.653128435899999</v>
      </c>
      <c r="O170" s="150">
        <v>100</v>
      </c>
      <c r="P170" s="150">
        <v>87.346871564099999</v>
      </c>
      <c r="Q170" s="150">
        <v>26.134477223600001</v>
      </c>
      <c r="R170" s="150">
        <v>100</v>
      </c>
      <c r="S170" s="150">
        <v>73.865522776399999</v>
      </c>
      <c r="T170" s="150" t="s">
        <v>2842</v>
      </c>
      <c r="U170" s="150" t="s">
        <v>2842</v>
      </c>
      <c r="V170" s="150" t="s">
        <v>2842</v>
      </c>
    </row>
    <row r="171" spans="1:22">
      <c r="A171" s="150" t="s">
        <v>2879</v>
      </c>
      <c r="B171" s="150" t="s">
        <v>429</v>
      </c>
      <c r="C171" s="150" t="str">
        <f t="shared" si="4"/>
        <v>2003_Norway</v>
      </c>
      <c r="D171" s="150">
        <v>21663.1</v>
      </c>
      <c r="E171" s="150">
        <v>90328.9</v>
      </c>
      <c r="F171" s="150">
        <f t="shared" si="5"/>
        <v>90328900000</v>
      </c>
      <c r="G171" s="150">
        <v>68665.8</v>
      </c>
      <c r="H171" s="150">
        <v>20569</v>
      </c>
      <c r="I171" s="150">
        <v>61072.4</v>
      </c>
      <c r="J171" s="150">
        <v>40503.4</v>
      </c>
      <c r="K171" s="150">
        <v>1094.0999999999999</v>
      </c>
      <c r="L171" s="150">
        <v>29256.5</v>
      </c>
      <c r="M171" s="150">
        <v>28162.400000000001</v>
      </c>
      <c r="N171" s="150">
        <v>23.982468512299999</v>
      </c>
      <c r="O171" s="150">
        <v>100</v>
      </c>
      <c r="P171" s="150">
        <v>76.017531487699998</v>
      </c>
      <c r="Q171" s="150">
        <v>33.679698194300002</v>
      </c>
      <c r="R171" s="150">
        <v>100</v>
      </c>
      <c r="S171" s="150">
        <v>66.320301805699998</v>
      </c>
      <c r="T171" s="150" t="s">
        <v>2842</v>
      </c>
      <c r="U171" s="150" t="s">
        <v>2842</v>
      </c>
      <c r="V171" s="150" t="s">
        <v>2842</v>
      </c>
    </row>
    <row r="172" spans="1:22">
      <c r="A172" s="150" t="s">
        <v>2879</v>
      </c>
      <c r="B172" s="150" t="s">
        <v>442</v>
      </c>
      <c r="C172" s="150" t="str">
        <f t="shared" si="4"/>
        <v>2003_Peru</v>
      </c>
      <c r="D172" s="150">
        <v>1715.59</v>
      </c>
      <c r="E172" s="150">
        <v>10806.32</v>
      </c>
      <c r="F172" s="150">
        <f t="shared" si="5"/>
        <v>10806320000</v>
      </c>
      <c r="G172" s="150">
        <v>9090.73</v>
      </c>
      <c r="H172" s="150">
        <v>2615.54</v>
      </c>
      <c r="I172" s="150">
        <v>10820.39</v>
      </c>
      <c r="J172" s="150">
        <v>8204.85</v>
      </c>
      <c r="K172" s="150">
        <v>-899.95</v>
      </c>
      <c r="L172" s="150">
        <v>-14.07</v>
      </c>
      <c r="M172" s="150">
        <v>885.88</v>
      </c>
      <c r="N172" s="150">
        <v>15.875802308300001</v>
      </c>
      <c r="O172" s="150">
        <v>100</v>
      </c>
      <c r="P172" s="150">
        <v>84.124197691700004</v>
      </c>
      <c r="Q172" s="150">
        <v>24.172326505800001</v>
      </c>
      <c r="R172" s="150">
        <v>100</v>
      </c>
      <c r="S172" s="150">
        <v>75.827673494199999</v>
      </c>
      <c r="T172" s="150" t="s">
        <v>2842</v>
      </c>
      <c r="U172" s="150" t="s">
        <v>2842</v>
      </c>
      <c r="V172" s="150" t="s">
        <v>2842</v>
      </c>
    </row>
    <row r="173" spans="1:22">
      <c r="A173" s="150" t="s">
        <v>2879</v>
      </c>
      <c r="B173" s="150" t="s">
        <v>481</v>
      </c>
      <c r="C173" s="150" t="str">
        <f t="shared" si="4"/>
        <v>2003_Sierra Leone</v>
      </c>
      <c r="D173" s="150">
        <v>66.063000000000002</v>
      </c>
      <c r="E173" s="150">
        <v>176.85300000000001</v>
      </c>
      <c r="F173" s="150">
        <f t="shared" si="5"/>
        <v>176853000</v>
      </c>
      <c r="G173" s="150">
        <v>110.79</v>
      </c>
      <c r="H173" s="150">
        <v>93.79</v>
      </c>
      <c r="I173" s="150">
        <v>404.48599999999999</v>
      </c>
      <c r="J173" s="150">
        <v>310.69600000000003</v>
      </c>
      <c r="K173" s="150">
        <v>-27.727</v>
      </c>
      <c r="L173" s="150">
        <v>-227.63300000000001</v>
      </c>
      <c r="M173" s="150">
        <v>-199.90600000000001</v>
      </c>
      <c r="N173" s="150">
        <v>37.354752251900003</v>
      </c>
      <c r="O173" s="150">
        <v>100</v>
      </c>
      <c r="P173" s="150">
        <v>62.645247748099997</v>
      </c>
      <c r="Q173" s="150">
        <v>23.187452717799999</v>
      </c>
      <c r="R173" s="150">
        <v>100</v>
      </c>
      <c r="S173" s="150">
        <v>76.812547282200001</v>
      </c>
      <c r="T173" s="150" t="s">
        <v>2842</v>
      </c>
      <c r="U173" s="150" t="s">
        <v>2842</v>
      </c>
      <c r="V173" s="150" t="s">
        <v>2842</v>
      </c>
    </row>
    <row r="174" spans="1:22">
      <c r="A174" s="150" t="s">
        <v>2879</v>
      </c>
      <c r="B174" s="150" t="s">
        <v>2844</v>
      </c>
      <c r="C174" s="150" t="str">
        <f t="shared" si="4"/>
        <v>2003_Timor-Leste</v>
      </c>
      <c r="D174" s="150" t="s">
        <v>561</v>
      </c>
      <c r="E174" s="150" t="s">
        <v>2842</v>
      </c>
      <c r="F174" s="150" t="str">
        <f t="shared" si="5"/>
        <v>..</v>
      </c>
      <c r="G174" s="150">
        <v>8</v>
      </c>
      <c r="H174" s="150" t="s">
        <v>561</v>
      </c>
      <c r="I174" s="150" t="s">
        <v>561</v>
      </c>
      <c r="J174" s="150">
        <v>130</v>
      </c>
      <c r="K174" s="150" t="s">
        <v>561</v>
      </c>
      <c r="L174" s="150" t="s">
        <v>561</v>
      </c>
      <c r="M174" s="150">
        <v>-122</v>
      </c>
      <c r="N174" s="150" t="s">
        <v>561</v>
      </c>
      <c r="O174" s="150" t="s">
        <v>561</v>
      </c>
      <c r="P174" s="150">
        <v>100</v>
      </c>
      <c r="Q174" s="150" t="s">
        <v>561</v>
      </c>
      <c r="R174" s="150" t="s">
        <v>561</v>
      </c>
      <c r="S174" s="150">
        <v>100</v>
      </c>
      <c r="T174" s="150" t="s">
        <v>2842</v>
      </c>
      <c r="U174" s="150" t="s">
        <v>2842</v>
      </c>
      <c r="V174" s="150" t="s">
        <v>2842</v>
      </c>
    </row>
    <row r="175" spans="1:22">
      <c r="A175" s="150" t="s">
        <v>2879</v>
      </c>
      <c r="B175" s="150" t="s">
        <v>510</v>
      </c>
      <c r="C175" s="150" t="str">
        <f t="shared" si="4"/>
        <v>2003_Togo</v>
      </c>
      <c r="D175" s="150">
        <v>94.796999999999997</v>
      </c>
      <c r="E175" s="150">
        <v>692.50699999999995</v>
      </c>
      <c r="F175" s="150">
        <f t="shared" si="5"/>
        <v>692507000</v>
      </c>
      <c r="G175" s="150">
        <v>597.71</v>
      </c>
      <c r="H175" s="150">
        <v>204.226</v>
      </c>
      <c r="I175" s="150">
        <v>958.75699999999995</v>
      </c>
      <c r="J175" s="150">
        <v>754.53099999999995</v>
      </c>
      <c r="K175" s="150">
        <v>-109.429</v>
      </c>
      <c r="L175" s="150">
        <v>-266.25</v>
      </c>
      <c r="M175" s="150">
        <v>-156.821</v>
      </c>
      <c r="N175" s="150">
        <v>13.6889591008</v>
      </c>
      <c r="O175" s="150">
        <v>100</v>
      </c>
      <c r="P175" s="150">
        <v>86.311040899199995</v>
      </c>
      <c r="Q175" s="150">
        <v>21.3011221822</v>
      </c>
      <c r="R175" s="150">
        <v>100</v>
      </c>
      <c r="S175" s="150">
        <v>78.698877817799996</v>
      </c>
      <c r="T175" s="150" t="s">
        <v>2842</v>
      </c>
      <c r="U175" s="150" t="s">
        <v>2842</v>
      </c>
      <c r="V175" s="150" t="s">
        <v>2842</v>
      </c>
    </row>
    <row r="176" spans="1:22">
      <c r="A176" s="150" t="s">
        <v>2879</v>
      </c>
      <c r="B176" s="150" t="s">
        <v>2845</v>
      </c>
      <c r="C176" s="150" t="str">
        <f t="shared" si="4"/>
        <v>2003_Trinidad and Tobago</v>
      </c>
      <c r="D176" s="150">
        <v>685.2</v>
      </c>
      <c r="E176" s="150">
        <v>5890.1</v>
      </c>
      <c r="F176" s="150">
        <f t="shared" si="5"/>
        <v>5890100000</v>
      </c>
      <c r="G176" s="150">
        <v>5204.8999999999996</v>
      </c>
      <c r="H176" s="150">
        <v>371.4</v>
      </c>
      <c r="I176" s="150">
        <v>4283.1000000000004</v>
      </c>
      <c r="J176" s="150">
        <v>3911.7</v>
      </c>
      <c r="K176" s="150">
        <v>313.8</v>
      </c>
      <c r="L176" s="150">
        <v>1607</v>
      </c>
      <c r="M176" s="150">
        <v>1293.2</v>
      </c>
      <c r="N176" s="150">
        <v>11.6330792346</v>
      </c>
      <c r="O176" s="150">
        <v>100</v>
      </c>
      <c r="P176" s="150">
        <v>88.366920765399996</v>
      </c>
      <c r="Q176" s="150">
        <v>8.6712894865999992</v>
      </c>
      <c r="R176" s="150">
        <v>100</v>
      </c>
      <c r="S176" s="150">
        <v>91.328710513399997</v>
      </c>
      <c r="T176" s="150" t="s">
        <v>2842</v>
      </c>
      <c r="U176" s="150" t="s">
        <v>2842</v>
      </c>
      <c r="V176" s="150" t="s">
        <v>2842</v>
      </c>
    </row>
    <row r="177" spans="1:22">
      <c r="A177" s="150" t="s">
        <v>2879</v>
      </c>
      <c r="B177" s="150" t="s">
        <v>492</v>
      </c>
      <c r="C177" s="150" t="str">
        <f t="shared" si="4"/>
        <v>2003_Tanzania</v>
      </c>
      <c r="D177" s="150">
        <v>947.75900000000001</v>
      </c>
      <c r="E177" s="150">
        <v>2168.6089999999999</v>
      </c>
      <c r="F177" s="150">
        <f t="shared" si="5"/>
        <v>2168609000</v>
      </c>
      <c r="G177" s="150">
        <v>1220.8499999999999</v>
      </c>
      <c r="H177" s="150">
        <v>725.69</v>
      </c>
      <c r="I177" s="150">
        <v>2659.15</v>
      </c>
      <c r="J177" s="150">
        <v>1933.46</v>
      </c>
      <c r="K177" s="150">
        <v>222.06899999999999</v>
      </c>
      <c r="L177" s="150">
        <v>-490.541</v>
      </c>
      <c r="M177" s="150">
        <v>-712.61</v>
      </c>
      <c r="N177" s="150">
        <v>43.703544530199999</v>
      </c>
      <c r="O177" s="150">
        <v>100</v>
      </c>
      <c r="P177" s="150">
        <v>56.296455469800001</v>
      </c>
      <c r="Q177" s="150">
        <v>27.290299531799999</v>
      </c>
      <c r="R177" s="150">
        <v>100</v>
      </c>
      <c r="S177" s="150">
        <v>72.709700468199998</v>
      </c>
      <c r="T177" s="150" t="s">
        <v>2842</v>
      </c>
      <c r="U177" s="150" t="s">
        <v>2842</v>
      </c>
      <c r="V177" s="150" t="s">
        <v>2842</v>
      </c>
    </row>
    <row r="178" spans="1:22">
      <c r="A178" s="150" t="s">
        <v>2879</v>
      </c>
      <c r="B178" s="150" t="s">
        <v>522</v>
      </c>
      <c r="C178" s="150" t="str">
        <f t="shared" si="4"/>
        <v>2003_Yemen</v>
      </c>
      <c r="D178" s="150">
        <v>317.73399999999998</v>
      </c>
      <c r="E178" s="150">
        <v>4252.0640000000003</v>
      </c>
      <c r="F178" s="150">
        <f t="shared" si="5"/>
        <v>4252064000.0000005</v>
      </c>
      <c r="G178" s="150">
        <v>3934.33</v>
      </c>
      <c r="H178" s="150">
        <v>1003.57</v>
      </c>
      <c r="I178" s="150">
        <v>4561</v>
      </c>
      <c r="J178" s="150">
        <v>3557.43</v>
      </c>
      <c r="K178" s="150">
        <v>-685.83600000000001</v>
      </c>
      <c r="L178" s="150">
        <v>-308.93599999999998</v>
      </c>
      <c r="M178" s="150">
        <v>376.9</v>
      </c>
      <c r="N178" s="150">
        <v>7.4724651369000004</v>
      </c>
      <c r="O178" s="150">
        <v>100</v>
      </c>
      <c r="P178" s="150">
        <v>92.527534863100001</v>
      </c>
      <c r="Q178" s="150">
        <v>22.003288752500001</v>
      </c>
      <c r="R178" s="150">
        <v>100</v>
      </c>
      <c r="S178" s="150">
        <v>77.996711247500002</v>
      </c>
      <c r="T178" s="150" t="s">
        <v>2842</v>
      </c>
      <c r="U178" s="150" t="s">
        <v>2842</v>
      </c>
      <c r="V178" s="150" t="s">
        <v>2842</v>
      </c>
    </row>
    <row r="179" spans="1:22">
      <c r="A179" s="150" t="s">
        <v>2879</v>
      </c>
      <c r="B179" s="150" t="s">
        <v>534</v>
      </c>
      <c r="C179" s="150" t="str">
        <f t="shared" si="4"/>
        <v>2003_Zambia</v>
      </c>
      <c r="D179" s="150">
        <v>165</v>
      </c>
      <c r="E179" s="150">
        <v>1251.52</v>
      </c>
      <c r="F179" s="150">
        <f t="shared" si="5"/>
        <v>1251520000</v>
      </c>
      <c r="G179" s="150">
        <v>1086.52</v>
      </c>
      <c r="H179" s="150">
        <v>403.4</v>
      </c>
      <c r="I179" s="150">
        <v>1795.93</v>
      </c>
      <c r="J179" s="150">
        <v>1392.53</v>
      </c>
      <c r="K179" s="150">
        <v>-238.4</v>
      </c>
      <c r="L179" s="150">
        <v>-544.41</v>
      </c>
      <c r="M179" s="150">
        <v>-306.01</v>
      </c>
      <c r="N179" s="150">
        <v>13.1839682946</v>
      </c>
      <c r="O179" s="150">
        <v>100</v>
      </c>
      <c r="P179" s="150">
        <v>86.816031705399993</v>
      </c>
      <c r="Q179" s="150">
        <v>22.461899962699999</v>
      </c>
      <c r="R179" s="150">
        <v>100</v>
      </c>
      <c r="S179" s="150">
        <v>77.538100037299998</v>
      </c>
      <c r="T179" s="150" t="s">
        <v>2842</v>
      </c>
      <c r="U179" s="150" t="s">
        <v>2842</v>
      </c>
      <c r="V179" s="150" t="s">
        <v>2842</v>
      </c>
    </row>
    <row r="180" spans="1:22">
      <c r="A180" s="150" t="s">
        <v>2880</v>
      </c>
      <c r="B180" s="150" t="s">
        <v>16</v>
      </c>
      <c r="C180" s="150" t="str">
        <f t="shared" si="4"/>
        <v>2004_Afghanistan</v>
      </c>
      <c r="D180" s="150" t="s">
        <v>561</v>
      </c>
      <c r="E180" s="150" t="s">
        <v>2842</v>
      </c>
      <c r="F180" s="150" t="str">
        <f t="shared" si="5"/>
        <v>..</v>
      </c>
      <c r="G180" s="150">
        <v>1643</v>
      </c>
      <c r="H180" s="150" t="s">
        <v>561</v>
      </c>
      <c r="I180" s="150" t="s">
        <v>561</v>
      </c>
      <c r="J180" s="150">
        <v>5086.3</v>
      </c>
      <c r="K180" s="150" t="s">
        <v>561</v>
      </c>
      <c r="L180" s="150" t="s">
        <v>561</v>
      </c>
      <c r="M180" s="150">
        <v>-3443.3</v>
      </c>
      <c r="N180" s="150" t="s">
        <v>561</v>
      </c>
      <c r="O180" s="150" t="s">
        <v>561</v>
      </c>
      <c r="P180" s="150">
        <v>95.257421150300004</v>
      </c>
      <c r="Q180" s="150" t="s">
        <v>561</v>
      </c>
      <c r="R180" s="150" t="s">
        <v>561</v>
      </c>
      <c r="S180" s="150">
        <v>98.550696556899993</v>
      </c>
      <c r="T180" s="150" t="s">
        <v>2842</v>
      </c>
      <c r="U180" s="150" t="s">
        <v>2842</v>
      </c>
      <c r="V180" s="150" t="s">
        <v>2842</v>
      </c>
    </row>
    <row r="181" spans="1:22">
      <c r="A181" s="150" t="s">
        <v>2880</v>
      </c>
      <c r="B181" s="150" t="s">
        <v>33</v>
      </c>
      <c r="C181" s="150" t="str">
        <f t="shared" si="4"/>
        <v>2004_Albania</v>
      </c>
      <c r="D181" s="150">
        <v>1003.45</v>
      </c>
      <c r="E181" s="150">
        <v>1606.787</v>
      </c>
      <c r="F181" s="150">
        <f t="shared" si="5"/>
        <v>1606787000</v>
      </c>
      <c r="G181" s="150">
        <v>603.33699999999999</v>
      </c>
      <c r="H181" s="150">
        <v>1054.82</v>
      </c>
      <c r="I181" s="150">
        <v>3249.72</v>
      </c>
      <c r="J181" s="150">
        <v>2194.9</v>
      </c>
      <c r="K181" s="150">
        <v>-51.37</v>
      </c>
      <c r="L181" s="150">
        <v>-1642.933</v>
      </c>
      <c r="M181" s="150">
        <v>-1591.5630000000001</v>
      </c>
      <c r="N181" s="150">
        <v>62.450716865399997</v>
      </c>
      <c r="O181" s="150">
        <v>100</v>
      </c>
      <c r="P181" s="150">
        <v>37.549283134600003</v>
      </c>
      <c r="Q181" s="150">
        <v>32.458796450199998</v>
      </c>
      <c r="R181" s="150">
        <v>100</v>
      </c>
      <c r="S181" s="150">
        <v>67.541203549800002</v>
      </c>
      <c r="T181" s="150" t="s">
        <v>2842</v>
      </c>
      <c r="U181" s="150" t="s">
        <v>2842</v>
      </c>
      <c r="V181" s="150" t="s">
        <v>2842</v>
      </c>
    </row>
    <row r="182" spans="1:22">
      <c r="A182" s="150" t="s">
        <v>2880</v>
      </c>
      <c r="B182" s="150" t="s">
        <v>48</v>
      </c>
      <c r="C182" s="150" t="str">
        <f t="shared" si="4"/>
        <v>2004_Azerbaijan</v>
      </c>
      <c r="D182" s="150">
        <v>492.02100000000002</v>
      </c>
      <c r="E182" s="150">
        <v>4235.0010000000002</v>
      </c>
      <c r="F182" s="150">
        <f t="shared" si="5"/>
        <v>4235001000</v>
      </c>
      <c r="G182" s="150">
        <v>3742.98</v>
      </c>
      <c r="H182" s="150">
        <v>2730.43</v>
      </c>
      <c r="I182" s="150">
        <v>6312.11</v>
      </c>
      <c r="J182" s="150">
        <v>3581.68</v>
      </c>
      <c r="K182" s="150">
        <v>-2238.4090000000001</v>
      </c>
      <c r="L182" s="150">
        <v>-2077.1089999999999</v>
      </c>
      <c r="M182" s="150">
        <v>161.30000000000001</v>
      </c>
      <c r="N182" s="150">
        <v>11.617966560099999</v>
      </c>
      <c r="O182" s="150">
        <v>100</v>
      </c>
      <c r="P182" s="150">
        <v>88.382033439899999</v>
      </c>
      <c r="Q182" s="150">
        <v>43.2570091459</v>
      </c>
      <c r="R182" s="150">
        <v>100</v>
      </c>
      <c r="S182" s="150">
        <v>56.7429908541</v>
      </c>
      <c r="T182" s="150" t="s">
        <v>2842</v>
      </c>
      <c r="U182" s="150" t="s">
        <v>2842</v>
      </c>
      <c r="V182" s="150" t="s">
        <v>2842</v>
      </c>
    </row>
    <row r="183" spans="1:22">
      <c r="A183" s="150" t="s">
        <v>2880</v>
      </c>
      <c r="B183" s="150" t="s">
        <v>93</v>
      </c>
      <c r="C183" s="150" t="str">
        <f t="shared" si="4"/>
        <v>2004_Burkina Faso</v>
      </c>
      <c r="D183" s="150">
        <v>68.644999999999996</v>
      </c>
      <c r="E183" s="150">
        <v>561.17600000000004</v>
      </c>
      <c r="F183" s="150">
        <f t="shared" si="5"/>
        <v>561176000</v>
      </c>
      <c r="G183" s="150">
        <v>492.53100000000001</v>
      </c>
      <c r="H183" s="150">
        <v>297.03699999999998</v>
      </c>
      <c r="I183" s="150">
        <v>1252.7850000000001</v>
      </c>
      <c r="J183" s="150">
        <v>955.74800000000005</v>
      </c>
      <c r="K183" s="150">
        <v>-228.392</v>
      </c>
      <c r="L183" s="150">
        <v>-691.60900000000004</v>
      </c>
      <c r="M183" s="150">
        <v>-463.21699999999998</v>
      </c>
      <c r="N183" s="150">
        <v>12.2323477839</v>
      </c>
      <c r="O183" s="150">
        <v>100</v>
      </c>
      <c r="P183" s="150">
        <v>87.767652216100004</v>
      </c>
      <c r="Q183" s="150">
        <v>23.7101338218</v>
      </c>
      <c r="R183" s="150">
        <v>100</v>
      </c>
      <c r="S183" s="150">
        <v>76.2898661782</v>
      </c>
      <c r="T183" s="150" t="s">
        <v>2842</v>
      </c>
      <c r="U183" s="150" t="s">
        <v>2842</v>
      </c>
      <c r="V183" s="150" t="s">
        <v>2842</v>
      </c>
    </row>
    <row r="184" spans="1:22">
      <c r="A184" s="150" t="s">
        <v>2880</v>
      </c>
      <c r="B184" s="150" t="s">
        <v>2890</v>
      </c>
      <c r="C184" s="150" t="str">
        <f t="shared" si="4"/>
        <v>2004_ Cameroon</v>
      </c>
      <c r="D184" s="150">
        <v>1108.6500000000001</v>
      </c>
      <c r="E184" s="150">
        <v>3817</v>
      </c>
      <c r="F184" s="150">
        <f t="shared" si="5"/>
        <v>3817000000</v>
      </c>
      <c r="G184" s="150">
        <v>2708.35</v>
      </c>
      <c r="H184" s="150">
        <v>1491.01</v>
      </c>
      <c r="I184" s="150">
        <v>3964.68</v>
      </c>
      <c r="J184" s="150">
        <v>2473.67</v>
      </c>
      <c r="K184" s="150">
        <v>-382.36</v>
      </c>
      <c r="L184" s="150">
        <v>-147.68</v>
      </c>
      <c r="M184" s="150">
        <v>234.68</v>
      </c>
      <c r="N184" s="150">
        <v>29.045061566699999</v>
      </c>
      <c r="O184" s="150">
        <v>100</v>
      </c>
      <c r="P184" s="150">
        <v>70.954938433300001</v>
      </c>
      <c r="Q184" s="150">
        <v>37.607322659099999</v>
      </c>
      <c r="R184" s="150">
        <v>100</v>
      </c>
      <c r="S184" s="150">
        <v>62.392677340900001</v>
      </c>
      <c r="T184" s="150" t="s">
        <v>2842</v>
      </c>
      <c r="U184" s="150" t="s">
        <v>2842</v>
      </c>
      <c r="V184" s="150" t="s">
        <v>2842</v>
      </c>
    </row>
    <row r="185" spans="1:22">
      <c r="A185" s="150" t="s">
        <v>2880</v>
      </c>
      <c r="B185" s="150" t="s">
        <v>122</v>
      </c>
      <c r="C185" s="150" t="str">
        <f t="shared" si="4"/>
        <v>2004_Central African Republic</v>
      </c>
      <c r="D185" s="150">
        <v>40.88702121</v>
      </c>
      <c r="E185" s="150">
        <v>174.52700720000001</v>
      </c>
      <c r="F185" s="150">
        <f t="shared" si="5"/>
        <v>174527007.20000002</v>
      </c>
      <c r="G185" s="150">
        <v>133.63998599000001</v>
      </c>
      <c r="H185" s="150">
        <v>106.00338832</v>
      </c>
      <c r="I185" s="150">
        <v>257.24750843999999</v>
      </c>
      <c r="J185" s="150">
        <v>151.24412011999999</v>
      </c>
      <c r="K185" s="150">
        <v>-65.116367109999999</v>
      </c>
      <c r="L185" s="150">
        <v>-82.720501240000004</v>
      </c>
      <c r="M185" s="150">
        <v>-17.604134129999998</v>
      </c>
      <c r="N185" s="150">
        <v>23.427331887499999</v>
      </c>
      <c r="O185" s="150">
        <v>100</v>
      </c>
      <c r="P185" s="150">
        <v>76.572668112499997</v>
      </c>
      <c r="Q185" s="150">
        <v>41.206769683700003</v>
      </c>
      <c r="R185" s="150">
        <v>100</v>
      </c>
      <c r="S185" s="150">
        <v>58.793230316299997</v>
      </c>
      <c r="T185" s="150" t="s">
        <v>2842</v>
      </c>
      <c r="U185" s="150" t="s">
        <v>2842</v>
      </c>
      <c r="V185" s="150" t="s">
        <v>2842</v>
      </c>
    </row>
    <row r="186" spans="1:22">
      <c r="A186" s="150" t="s">
        <v>2880</v>
      </c>
      <c r="B186" s="150" t="s">
        <v>2891</v>
      </c>
      <c r="C186" s="150" t="str">
        <f t="shared" si="4"/>
        <v>2004_ Chad</v>
      </c>
      <c r="D186" s="150">
        <v>80.63829183</v>
      </c>
      <c r="E186" s="150">
        <v>2278.3156818699999</v>
      </c>
      <c r="F186" s="150">
        <f t="shared" si="5"/>
        <v>2278315681.8699999</v>
      </c>
      <c r="G186" s="150">
        <v>2197.6773900399999</v>
      </c>
      <c r="H186" s="150">
        <v>1707.4117190500001</v>
      </c>
      <c r="I186" s="150">
        <v>2660.87433865</v>
      </c>
      <c r="J186" s="150">
        <v>953.46261960000004</v>
      </c>
      <c r="K186" s="150">
        <v>-1626.77342722</v>
      </c>
      <c r="L186" s="150">
        <v>-382.55865677999998</v>
      </c>
      <c r="M186" s="150">
        <v>1244.2147704399999</v>
      </c>
      <c r="N186" s="150">
        <v>3.5393818544000002</v>
      </c>
      <c r="O186" s="150">
        <v>100</v>
      </c>
      <c r="P186" s="150">
        <v>96.460618145599994</v>
      </c>
      <c r="Q186" s="150">
        <v>64.167318773700003</v>
      </c>
      <c r="R186" s="150">
        <v>100</v>
      </c>
      <c r="S186" s="150">
        <v>35.832681226299997</v>
      </c>
      <c r="T186" s="150" t="s">
        <v>2842</v>
      </c>
      <c r="U186" s="150" t="s">
        <v>2842</v>
      </c>
      <c r="V186" s="150" t="s">
        <v>2842</v>
      </c>
    </row>
    <row r="187" spans="1:22">
      <c r="A187" s="150" t="s">
        <v>2880</v>
      </c>
      <c r="B187" s="150" t="s">
        <v>458</v>
      </c>
      <c r="C187" s="150" t="str">
        <f t="shared" si="4"/>
        <v>2004_Republic of the Congo</v>
      </c>
      <c r="D187" s="150">
        <v>196.67400000000001</v>
      </c>
      <c r="E187" s="150">
        <v>3629.864</v>
      </c>
      <c r="F187" s="150">
        <f t="shared" si="5"/>
        <v>3629864000</v>
      </c>
      <c r="G187" s="150">
        <v>3433.19</v>
      </c>
      <c r="H187" s="150">
        <v>1016.31</v>
      </c>
      <c r="I187" s="150">
        <v>1985.2950000000001</v>
      </c>
      <c r="J187" s="150">
        <v>968.98500000000001</v>
      </c>
      <c r="K187" s="150">
        <v>-819.63599999999997</v>
      </c>
      <c r="L187" s="150">
        <v>1644.569</v>
      </c>
      <c r="M187" s="150">
        <v>2464.2049999999999</v>
      </c>
      <c r="N187" s="150">
        <v>5.4182195255999996</v>
      </c>
      <c r="O187" s="150">
        <v>100</v>
      </c>
      <c r="P187" s="150">
        <v>94.581780474400006</v>
      </c>
      <c r="Q187" s="150">
        <v>51.1918883592</v>
      </c>
      <c r="R187" s="150">
        <v>100</v>
      </c>
      <c r="S187" s="150">
        <v>48.8081116408</v>
      </c>
      <c r="T187" s="150" t="s">
        <v>2842</v>
      </c>
      <c r="U187" s="150" t="s">
        <v>2842</v>
      </c>
      <c r="V187" s="150" t="s">
        <v>2842</v>
      </c>
    </row>
    <row r="188" spans="1:22">
      <c r="A188" s="150" t="s">
        <v>2880</v>
      </c>
      <c r="B188" s="150" t="s">
        <v>165</v>
      </c>
      <c r="C188" s="150" t="str">
        <f t="shared" si="4"/>
        <v>2004_Democratic Republic of Congo</v>
      </c>
      <c r="D188" s="150">
        <v>360.29466212</v>
      </c>
      <c r="E188" s="150">
        <v>2277.4855001800001</v>
      </c>
      <c r="F188" s="150">
        <f t="shared" si="5"/>
        <v>2277485500.1800003</v>
      </c>
      <c r="G188" s="150">
        <v>1917.19083806</v>
      </c>
      <c r="H188" s="150">
        <v>774.06818347000001</v>
      </c>
      <c r="I188" s="150">
        <v>2825.50720138</v>
      </c>
      <c r="J188" s="150">
        <v>2051.4390179100001</v>
      </c>
      <c r="K188" s="150">
        <v>-413.77352135000001</v>
      </c>
      <c r="L188" s="150">
        <v>-548.02170120000005</v>
      </c>
      <c r="M188" s="150">
        <v>-134.24817985000001</v>
      </c>
      <c r="N188" s="150">
        <v>15.8198443894</v>
      </c>
      <c r="O188" s="150">
        <v>100</v>
      </c>
      <c r="P188" s="150">
        <v>84.180155610599996</v>
      </c>
      <c r="Q188" s="150">
        <v>27.395725025600001</v>
      </c>
      <c r="R188" s="150">
        <v>100</v>
      </c>
      <c r="S188" s="150">
        <v>72.604274974399999</v>
      </c>
      <c r="T188" s="150" t="s">
        <v>2842</v>
      </c>
      <c r="U188" s="150" t="s">
        <v>2842</v>
      </c>
      <c r="V188" s="150" t="s">
        <v>2842</v>
      </c>
    </row>
    <row r="189" spans="1:22">
      <c r="A189" s="150" t="s">
        <v>2880</v>
      </c>
      <c r="B189" s="150" t="s">
        <v>2892</v>
      </c>
      <c r="C189" s="150" t="str">
        <f t="shared" si="4"/>
        <v>2004_ Equatorial Guinea</v>
      </c>
      <c r="D189" s="150">
        <v>30.84887891</v>
      </c>
      <c r="E189" s="150">
        <v>4739.2922380800001</v>
      </c>
      <c r="F189" s="150">
        <f t="shared" si="5"/>
        <v>4739292238.0799999</v>
      </c>
      <c r="G189" s="150">
        <v>4708.4433591699999</v>
      </c>
      <c r="H189" s="150">
        <v>756.03130884999996</v>
      </c>
      <c r="I189" s="150">
        <v>1847.6769168000001</v>
      </c>
      <c r="J189" s="150">
        <v>1091.6456079500001</v>
      </c>
      <c r="K189" s="150">
        <v>-725.18242994000002</v>
      </c>
      <c r="L189" s="150">
        <v>2891.61532128</v>
      </c>
      <c r="M189" s="150">
        <v>3616.79775122</v>
      </c>
      <c r="N189" s="150">
        <v>0.6509174231</v>
      </c>
      <c r="O189" s="150">
        <v>100</v>
      </c>
      <c r="P189" s="150">
        <v>99.349082576900003</v>
      </c>
      <c r="Q189" s="150">
        <v>40.917938735699998</v>
      </c>
      <c r="R189" s="150">
        <v>100</v>
      </c>
      <c r="S189" s="150">
        <v>59.082061264300002</v>
      </c>
      <c r="T189" s="150" t="s">
        <v>2842</v>
      </c>
      <c r="U189" s="150" t="s">
        <v>2842</v>
      </c>
      <c r="V189" s="150" t="s">
        <v>2842</v>
      </c>
    </row>
    <row r="190" spans="1:22">
      <c r="A190" s="150" t="s">
        <v>2880</v>
      </c>
      <c r="B190" s="150" t="s">
        <v>2893</v>
      </c>
      <c r="C190" s="150" t="str">
        <f t="shared" si="4"/>
        <v>2004_ Gabon</v>
      </c>
      <c r="D190" s="150">
        <v>156.298</v>
      </c>
      <c r="E190" s="150">
        <v>4227.8680000000004</v>
      </c>
      <c r="F190" s="150">
        <f t="shared" si="5"/>
        <v>4227868000.0000005</v>
      </c>
      <c r="G190" s="150">
        <v>4071.57</v>
      </c>
      <c r="H190" s="150">
        <v>939.10299999999995</v>
      </c>
      <c r="I190" s="150">
        <v>2154.7330000000002</v>
      </c>
      <c r="J190" s="150">
        <v>1215.6300000000001</v>
      </c>
      <c r="K190" s="150">
        <v>-782.80499999999995</v>
      </c>
      <c r="L190" s="150">
        <v>2073.1350000000002</v>
      </c>
      <c r="M190" s="150">
        <v>2855.94</v>
      </c>
      <c r="N190" s="150">
        <v>3.6968514627000002</v>
      </c>
      <c r="O190" s="150">
        <v>100</v>
      </c>
      <c r="P190" s="150">
        <v>96.303148537300004</v>
      </c>
      <c r="Q190" s="150">
        <v>43.583265304800001</v>
      </c>
      <c r="R190" s="150">
        <v>100</v>
      </c>
      <c r="S190" s="150">
        <v>56.416734695199999</v>
      </c>
      <c r="T190" s="150" t="s">
        <v>2842</v>
      </c>
      <c r="U190" s="150" t="s">
        <v>2842</v>
      </c>
      <c r="V190" s="150" t="s">
        <v>2842</v>
      </c>
    </row>
    <row r="191" spans="1:22">
      <c r="A191" s="150" t="s">
        <v>2880</v>
      </c>
      <c r="B191" s="150" t="s">
        <v>189</v>
      </c>
      <c r="C191" s="150" t="str">
        <f t="shared" si="4"/>
        <v>2004_Ghana</v>
      </c>
      <c r="D191" s="150">
        <v>702.31</v>
      </c>
      <c r="E191" s="150">
        <v>3406.77</v>
      </c>
      <c r="F191" s="150">
        <f t="shared" si="5"/>
        <v>3406770000</v>
      </c>
      <c r="G191" s="150">
        <v>2704.46</v>
      </c>
      <c r="H191" s="150">
        <v>1081.79</v>
      </c>
      <c r="I191" s="150">
        <v>5379.07</v>
      </c>
      <c r="J191" s="150">
        <v>4297.28</v>
      </c>
      <c r="K191" s="150">
        <v>-379.48</v>
      </c>
      <c r="L191" s="150">
        <v>-1972.3</v>
      </c>
      <c r="M191" s="150">
        <v>-1592.82</v>
      </c>
      <c r="N191" s="150">
        <v>20.615128112600001</v>
      </c>
      <c r="O191" s="150">
        <v>100</v>
      </c>
      <c r="P191" s="150">
        <v>79.384871887399996</v>
      </c>
      <c r="Q191" s="150">
        <v>20.1110972715</v>
      </c>
      <c r="R191" s="150">
        <v>100</v>
      </c>
      <c r="S191" s="150">
        <v>79.8889027285</v>
      </c>
      <c r="T191" s="150" t="s">
        <v>2842</v>
      </c>
      <c r="U191" s="150" t="s">
        <v>2842</v>
      </c>
      <c r="V191" s="150" t="s">
        <v>2842</v>
      </c>
    </row>
    <row r="192" spans="1:22">
      <c r="A192" s="150" t="s">
        <v>2880</v>
      </c>
      <c r="B192" s="150" t="s">
        <v>213</v>
      </c>
      <c r="C192" s="150" t="str">
        <f t="shared" si="4"/>
        <v>2004_Guatemala</v>
      </c>
      <c r="D192" s="150">
        <v>1100.4000000000001</v>
      </c>
      <c r="E192" s="150">
        <v>6205.47</v>
      </c>
      <c r="F192" s="150">
        <f t="shared" si="5"/>
        <v>6205470000</v>
      </c>
      <c r="G192" s="150">
        <v>5105.07</v>
      </c>
      <c r="H192" s="150">
        <v>1344.3</v>
      </c>
      <c r="I192" s="150">
        <v>10081.35</v>
      </c>
      <c r="J192" s="150">
        <v>8737.0499999999993</v>
      </c>
      <c r="K192" s="150">
        <v>-243.9</v>
      </c>
      <c r="L192" s="150">
        <v>-3875.88</v>
      </c>
      <c r="M192" s="150">
        <v>-3631.98</v>
      </c>
      <c r="N192" s="150">
        <v>17.732742241899999</v>
      </c>
      <c r="O192" s="150">
        <v>100</v>
      </c>
      <c r="P192" s="150">
        <v>82.267257758100001</v>
      </c>
      <c r="Q192" s="150">
        <v>13.3345236501</v>
      </c>
      <c r="R192" s="150">
        <v>100</v>
      </c>
      <c r="S192" s="150">
        <v>86.665476349900004</v>
      </c>
      <c r="T192" s="150" t="s">
        <v>2842</v>
      </c>
      <c r="U192" s="150" t="s">
        <v>2842</v>
      </c>
      <c r="V192" s="150" t="s">
        <v>2842</v>
      </c>
    </row>
    <row r="193" spans="1:22">
      <c r="A193" s="150" t="s">
        <v>2880</v>
      </c>
      <c r="B193" s="150" t="s">
        <v>2894</v>
      </c>
      <c r="C193" s="150" t="str">
        <f t="shared" si="4"/>
        <v>2004_ Guinea</v>
      </c>
      <c r="D193" s="150">
        <v>85.36</v>
      </c>
      <c r="E193" s="150">
        <v>810.91</v>
      </c>
      <c r="F193" s="150">
        <f t="shared" si="5"/>
        <v>810910000</v>
      </c>
      <c r="G193" s="150">
        <v>725.55</v>
      </c>
      <c r="H193" s="150">
        <v>275.23</v>
      </c>
      <c r="I193" s="150">
        <v>963.63</v>
      </c>
      <c r="J193" s="150">
        <v>688.4</v>
      </c>
      <c r="K193" s="150">
        <v>-189.87</v>
      </c>
      <c r="L193" s="150">
        <v>-152.72</v>
      </c>
      <c r="M193" s="150">
        <v>37.15</v>
      </c>
      <c r="N193" s="150">
        <v>10.5264455982</v>
      </c>
      <c r="O193" s="150">
        <v>100</v>
      </c>
      <c r="P193" s="150">
        <v>89.473554401800001</v>
      </c>
      <c r="Q193" s="150">
        <v>28.561792389200001</v>
      </c>
      <c r="R193" s="150">
        <v>100</v>
      </c>
      <c r="S193" s="150">
        <v>71.438207610800006</v>
      </c>
      <c r="T193" s="150" t="s">
        <v>2842</v>
      </c>
      <c r="U193" s="150" t="s">
        <v>2842</v>
      </c>
      <c r="V193" s="150" t="s">
        <v>2842</v>
      </c>
    </row>
    <row r="194" spans="1:22">
      <c r="A194" s="150" t="s">
        <v>2880</v>
      </c>
      <c r="B194" s="150" t="s">
        <v>237</v>
      </c>
      <c r="C194" s="150" t="str">
        <f t="shared" si="4"/>
        <v>2004_Indonesia</v>
      </c>
      <c r="D194" s="150">
        <v>12045.4</v>
      </c>
      <c r="E194" s="150">
        <v>82812.5</v>
      </c>
      <c r="F194" s="150">
        <f t="shared" si="5"/>
        <v>82812500000</v>
      </c>
      <c r="G194" s="150">
        <v>70767.100000000006</v>
      </c>
      <c r="H194" s="150">
        <v>20856.3</v>
      </c>
      <c r="I194" s="150">
        <v>71470.899999999994</v>
      </c>
      <c r="J194" s="150">
        <v>50614.6</v>
      </c>
      <c r="K194" s="150">
        <v>-8810.9</v>
      </c>
      <c r="L194" s="150">
        <v>11341.6</v>
      </c>
      <c r="M194" s="150">
        <v>20152.5</v>
      </c>
      <c r="N194" s="150">
        <v>14.5453886792</v>
      </c>
      <c r="O194" s="150">
        <v>100</v>
      </c>
      <c r="P194" s="150">
        <v>85.454611320799998</v>
      </c>
      <c r="Q194" s="150">
        <v>29.1815270271</v>
      </c>
      <c r="R194" s="150">
        <v>100</v>
      </c>
      <c r="S194" s="150">
        <v>70.818472972899997</v>
      </c>
      <c r="T194" s="150" t="s">
        <v>2842</v>
      </c>
      <c r="U194" s="150" t="s">
        <v>2842</v>
      </c>
      <c r="V194" s="150" t="s">
        <v>2842</v>
      </c>
    </row>
    <row r="195" spans="1:22">
      <c r="A195" s="150" t="s">
        <v>2880</v>
      </c>
      <c r="B195" s="150" t="s">
        <v>245</v>
      </c>
      <c r="C195" s="150" t="str">
        <f t="shared" si="4"/>
        <v>2004_Iraq</v>
      </c>
      <c r="D195" s="150" t="s">
        <v>561</v>
      </c>
      <c r="E195" s="150" t="s">
        <v>2842</v>
      </c>
      <c r="F195" s="150" t="str">
        <f t="shared" si="5"/>
        <v>..</v>
      </c>
      <c r="G195" s="150">
        <v>17810</v>
      </c>
      <c r="H195" s="150" t="s">
        <v>561</v>
      </c>
      <c r="I195" s="150" t="s">
        <v>561</v>
      </c>
      <c r="J195" s="150">
        <v>17905.808856</v>
      </c>
      <c r="K195" s="150" t="s">
        <v>561</v>
      </c>
      <c r="L195" s="150" t="s">
        <v>561</v>
      </c>
      <c r="M195" s="150">
        <v>-95.808856000000006</v>
      </c>
      <c r="N195" s="150" t="s">
        <v>561</v>
      </c>
      <c r="O195" s="150" t="s">
        <v>561</v>
      </c>
      <c r="P195" s="150">
        <v>99.183478180700007</v>
      </c>
      <c r="Q195" s="150" t="s">
        <v>561</v>
      </c>
      <c r="R195" s="150" t="s">
        <v>561</v>
      </c>
      <c r="S195" s="150">
        <v>81.4033375785</v>
      </c>
      <c r="T195" s="150" t="s">
        <v>2842</v>
      </c>
      <c r="U195" s="150" t="s">
        <v>2842</v>
      </c>
      <c r="V195" s="150" t="s">
        <v>2842</v>
      </c>
    </row>
    <row r="196" spans="1:22">
      <c r="A196" s="150" t="s">
        <v>2880</v>
      </c>
      <c r="B196" s="150" t="s">
        <v>273</v>
      </c>
      <c r="C196" s="150" t="str">
        <f t="shared" si="4"/>
        <v>2004_Kazakhstan</v>
      </c>
      <c r="D196" s="150">
        <v>2009.19</v>
      </c>
      <c r="E196" s="150">
        <v>22612.29</v>
      </c>
      <c r="F196" s="150">
        <f t="shared" si="5"/>
        <v>22612290000</v>
      </c>
      <c r="G196" s="150">
        <v>20603.099999999999</v>
      </c>
      <c r="H196" s="150">
        <v>5107.8999999999996</v>
      </c>
      <c r="I196" s="150">
        <v>18925.5</v>
      </c>
      <c r="J196" s="150">
        <v>13817.6</v>
      </c>
      <c r="K196" s="150">
        <v>-3098.71</v>
      </c>
      <c r="L196" s="150">
        <v>3686.79</v>
      </c>
      <c r="M196" s="150">
        <v>6785.5</v>
      </c>
      <c r="N196" s="150">
        <v>8.8853893169999996</v>
      </c>
      <c r="O196" s="150">
        <v>100</v>
      </c>
      <c r="P196" s="150">
        <v>91.114610682999995</v>
      </c>
      <c r="Q196" s="150">
        <v>26.989511505599999</v>
      </c>
      <c r="R196" s="150">
        <v>100</v>
      </c>
      <c r="S196" s="150">
        <v>73.010488494399993</v>
      </c>
      <c r="T196" s="150" t="s">
        <v>2842</v>
      </c>
      <c r="U196" s="150" t="s">
        <v>2842</v>
      </c>
      <c r="V196" s="150" t="s">
        <v>2842</v>
      </c>
    </row>
    <row r="197" spans="1:22">
      <c r="A197" s="150" t="s">
        <v>2880</v>
      </c>
      <c r="B197" s="150" t="s">
        <v>2895</v>
      </c>
      <c r="C197" s="150" t="str">
        <f t="shared" si="4"/>
        <v>2004_Kyrgyzstan</v>
      </c>
      <c r="D197" s="150">
        <v>209.80199999999999</v>
      </c>
      <c r="E197" s="150">
        <v>942.98400000000004</v>
      </c>
      <c r="F197" s="150">
        <f t="shared" si="5"/>
        <v>942984000</v>
      </c>
      <c r="G197" s="150">
        <v>733.18200000000002</v>
      </c>
      <c r="H197" s="150">
        <v>222.649</v>
      </c>
      <c r="I197" s="150">
        <v>1126.4390000000001</v>
      </c>
      <c r="J197" s="150">
        <v>903.79</v>
      </c>
      <c r="K197" s="150">
        <v>-12.847</v>
      </c>
      <c r="L197" s="150">
        <v>-183.45500000000001</v>
      </c>
      <c r="M197" s="150">
        <v>-170.608</v>
      </c>
      <c r="N197" s="150">
        <v>22.248733806699999</v>
      </c>
      <c r="O197" s="150">
        <v>100</v>
      </c>
      <c r="P197" s="150">
        <v>77.751266193299998</v>
      </c>
      <c r="Q197" s="150">
        <v>19.765739645</v>
      </c>
      <c r="R197" s="150">
        <v>100</v>
      </c>
      <c r="S197" s="150">
        <v>80.234260355000004</v>
      </c>
      <c r="T197" s="150" t="s">
        <v>2842</v>
      </c>
      <c r="U197" s="150" t="s">
        <v>2842</v>
      </c>
      <c r="V197" s="150" t="s">
        <v>2842</v>
      </c>
    </row>
    <row r="198" spans="1:22">
      <c r="A198" s="150" t="s">
        <v>2880</v>
      </c>
      <c r="B198" s="150" t="s">
        <v>294</v>
      </c>
      <c r="C198" s="150" t="str">
        <f t="shared" ref="C198:C261" si="6">$A198&amp;"_"&amp;$B198</f>
        <v>2004_Liberia</v>
      </c>
      <c r="D198" s="150">
        <v>212.39099999999999</v>
      </c>
      <c r="E198" s="150">
        <v>317.18299999999999</v>
      </c>
      <c r="F198" s="150">
        <f t="shared" ref="F198:F261" si="7">IFERROR($E198*1000000,"..")</f>
        <v>317183000</v>
      </c>
      <c r="G198" s="150">
        <v>104.792</v>
      </c>
      <c r="H198" s="150">
        <v>779.78399999999999</v>
      </c>
      <c r="I198" s="150">
        <v>1058.681</v>
      </c>
      <c r="J198" s="150">
        <v>278.89699999999999</v>
      </c>
      <c r="K198" s="150">
        <v>-567.39300000000003</v>
      </c>
      <c r="L198" s="150">
        <v>-741.49800000000005</v>
      </c>
      <c r="M198" s="150">
        <v>-174.10499999999999</v>
      </c>
      <c r="N198" s="150">
        <v>66.961659357499997</v>
      </c>
      <c r="O198" s="150">
        <v>100</v>
      </c>
      <c r="P198" s="150">
        <v>33.038340642500003</v>
      </c>
      <c r="Q198" s="150">
        <v>73.656181607099995</v>
      </c>
      <c r="R198" s="150">
        <v>100</v>
      </c>
      <c r="S198" s="150">
        <v>26.343818392900001</v>
      </c>
      <c r="T198" s="150" t="s">
        <v>2842</v>
      </c>
      <c r="U198" s="150" t="s">
        <v>2842</v>
      </c>
      <c r="V198" s="150" t="s">
        <v>2842</v>
      </c>
    </row>
    <row r="199" spans="1:22">
      <c r="A199" s="150" t="s">
        <v>2880</v>
      </c>
      <c r="B199" s="150" t="s">
        <v>309</v>
      </c>
      <c r="C199" s="150" t="str">
        <f t="shared" si="6"/>
        <v>2004_Madagascar</v>
      </c>
      <c r="D199" s="150">
        <v>424.87900000000002</v>
      </c>
      <c r="E199" s="150">
        <v>1415.2809999999999</v>
      </c>
      <c r="F199" s="150">
        <f t="shared" si="7"/>
        <v>1415281000</v>
      </c>
      <c r="G199" s="150">
        <v>990.40200000000004</v>
      </c>
      <c r="H199" s="150">
        <v>637.31100000000004</v>
      </c>
      <c r="I199" s="150">
        <v>2064.5509999999999</v>
      </c>
      <c r="J199" s="150">
        <v>1427.24</v>
      </c>
      <c r="K199" s="150">
        <v>-212.43199999999999</v>
      </c>
      <c r="L199" s="150">
        <v>-649.27</v>
      </c>
      <c r="M199" s="150">
        <v>-436.83800000000002</v>
      </c>
      <c r="N199" s="150">
        <v>30.020822720000002</v>
      </c>
      <c r="O199" s="150">
        <v>100</v>
      </c>
      <c r="P199" s="150">
        <v>69.979177280000002</v>
      </c>
      <c r="Q199" s="150">
        <v>30.869230161899999</v>
      </c>
      <c r="R199" s="150">
        <v>100</v>
      </c>
      <c r="S199" s="150">
        <v>69.130769838099994</v>
      </c>
      <c r="T199" s="150" t="s">
        <v>2842</v>
      </c>
      <c r="U199" s="150" t="s">
        <v>2842</v>
      </c>
      <c r="V199" s="150" t="s">
        <v>2842</v>
      </c>
    </row>
    <row r="200" spans="1:22">
      <c r="A200" s="150" t="s">
        <v>2880</v>
      </c>
      <c r="B200" s="150" t="s">
        <v>322</v>
      </c>
      <c r="C200" s="150" t="str">
        <f t="shared" si="6"/>
        <v>2004_Mali</v>
      </c>
      <c r="D200" s="150">
        <v>241.148</v>
      </c>
      <c r="E200" s="150">
        <v>1217.5820000000001</v>
      </c>
      <c r="F200" s="150">
        <f t="shared" si="7"/>
        <v>1217582000</v>
      </c>
      <c r="G200" s="150">
        <v>976.43399999999997</v>
      </c>
      <c r="H200" s="150">
        <v>531.80999999999995</v>
      </c>
      <c r="I200" s="150">
        <v>1624.69</v>
      </c>
      <c r="J200" s="150">
        <v>1092.8800000000001</v>
      </c>
      <c r="K200" s="150">
        <v>-290.66199999999998</v>
      </c>
      <c r="L200" s="150">
        <v>-407.108</v>
      </c>
      <c r="M200" s="150">
        <v>-116.446</v>
      </c>
      <c r="N200" s="150">
        <v>19.805483326800001</v>
      </c>
      <c r="O200" s="150">
        <v>100</v>
      </c>
      <c r="P200" s="150">
        <v>80.194516673199999</v>
      </c>
      <c r="Q200" s="150">
        <v>32.733013682600003</v>
      </c>
      <c r="R200" s="150">
        <v>100</v>
      </c>
      <c r="S200" s="150">
        <v>67.266986317399997</v>
      </c>
      <c r="T200" s="150" t="s">
        <v>2842</v>
      </c>
      <c r="U200" s="150" t="s">
        <v>2842</v>
      </c>
      <c r="V200" s="150" t="s">
        <v>2842</v>
      </c>
    </row>
    <row r="201" spans="1:22">
      <c r="A201" s="150" t="s">
        <v>2880</v>
      </c>
      <c r="B201" s="150" t="s">
        <v>338</v>
      </c>
      <c r="C201" s="150" t="str">
        <f t="shared" si="6"/>
        <v>2004_Mauritania</v>
      </c>
      <c r="D201" s="150">
        <v>52.012736660000002</v>
      </c>
      <c r="E201" s="150">
        <v>491.62087530999997</v>
      </c>
      <c r="F201" s="150">
        <f t="shared" si="7"/>
        <v>491620875.31</v>
      </c>
      <c r="G201" s="150">
        <v>439.60813865</v>
      </c>
      <c r="H201" s="150">
        <v>295.93819865</v>
      </c>
      <c r="I201" s="150">
        <v>1219.31046692</v>
      </c>
      <c r="J201" s="150">
        <v>923.37226826999995</v>
      </c>
      <c r="K201" s="150">
        <v>-243.92546199</v>
      </c>
      <c r="L201" s="150">
        <v>-727.68959160999998</v>
      </c>
      <c r="M201" s="150">
        <v>-483.76412962000001</v>
      </c>
      <c r="N201" s="150">
        <v>10.579847047199999</v>
      </c>
      <c r="O201" s="150">
        <v>100</v>
      </c>
      <c r="P201" s="150">
        <v>89.420152952799995</v>
      </c>
      <c r="Q201" s="150">
        <v>24.270947119599999</v>
      </c>
      <c r="R201" s="150">
        <v>100</v>
      </c>
      <c r="S201" s="150">
        <v>75.729052880400005</v>
      </c>
      <c r="T201" s="150" t="s">
        <v>2842</v>
      </c>
      <c r="U201" s="150" t="s">
        <v>2842</v>
      </c>
      <c r="V201" s="150" t="s">
        <v>2842</v>
      </c>
    </row>
    <row r="202" spans="1:22">
      <c r="A202" s="150" t="s">
        <v>2880</v>
      </c>
      <c r="B202" s="150" t="s">
        <v>357</v>
      </c>
      <c r="C202" s="150" t="str">
        <f t="shared" si="6"/>
        <v>2004_Mongolia</v>
      </c>
      <c r="D202" s="150">
        <v>338.44</v>
      </c>
      <c r="E202" s="150">
        <v>1210.54</v>
      </c>
      <c r="F202" s="150">
        <f t="shared" si="7"/>
        <v>1210540000</v>
      </c>
      <c r="G202" s="150">
        <v>872.1</v>
      </c>
      <c r="H202" s="150">
        <v>503.69</v>
      </c>
      <c r="I202" s="150">
        <v>1404.69</v>
      </c>
      <c r="J202" s="150">
        <v>901</v>
      </c>
      <c r="K202" s="150">
        <v>-165.25</v>
      </c>
      <c r="L202" s="150">
        <v>-194.15</v>
      </c>
      <c r="M202" s="150">
        <v>-28.9</v>
      </c>
      <c r="N202" s="150">
        <v>27.957770912200001</v>
      </c>
      <c r="O202" s="150">
        <v>100</v>
      </c>
      <c r="P202" s="150">
        <v>72.042229087799996</v>
      </c>
      <c r="Q202" s="150">
        <v>35.8577337348</v>
      </c>
      <c r="R202" s="150">
        <v>100</v>
      </c>
      <c r="S202" s="150">
        <v>64.142266265200007</v>
      </c>
      <c r="T202" s="150" t="s">
        <v>2842</v>
      </c>
      <c r="U202" s="150" t="s">
        <v>2842</v>
      </c>
      <c r="V202" s="150" t="s">
        <v>2842</v>
      </c>
    </row>
    <row r="203" spans="1:22">
      <c r="A203" s="150" t="s">
        <v>2880</v>
      </c>
      <c r="B203" s="150" t="s">
        <v>378</v>
      </c>
      <c r="C203" s="150" t="str">
        <f t="shared" si="6"/>
        <v>2004_Mozambique</v>
      </c>
      <c r="D203" s="150">
        <v>255.55099999999999</v>
      </c>
      <c r="E203" s="150">
        <v>1759.4110000000001</v>
      </c>
      <c r="F203" s="150">
        <f t="shared" si="7"/>
        <v>1759411000</v>
      </c>
      <c r="G203" s="150">
        <v>1503.86</v>
      </c>
      <c r="H203" s="150">
        <v>531.38599999999997</v>
      </c>
      <c r="I203" s="150">
        <v>2381.0859999999998</v>
      </c>
      <c r="J203" s="150">
        <v>1849.7</v>
      </c>
      <c r="K203" s="150">
        <v>-275.83499999999998</v>
      </c>
      <c r="L203" s="150">
        <v>-621.67499999999995</v>
      </c>
      <c r="M203" s="150">
        <v>-345.84</v>
      </c>
      <c r="N203" s="150">
        <v>14.524804039499999</v>
      </c>
      <c r="O203" s="150">
        <v>100</v>
      </c>
      <c r="P203" s="150">
        <v>85.475195960500002</v>
      </c>
      <c r="Q203" s="150">
        <v>22.316959572199998</v>
      </c>
      <c r="R203" s="150">
        <v>100</v>
      </c>
      <c r="S203" s="150">
        <v>77.683040427799995</v>
      </c>
      <c r="T203" s="150" t="s">
        <v>2842</v>
      </c>
      <c r="U203" s="150" t="s">
        <v>2842</v>
      </c>
      <c r="V203" s="150" t="s">
        <v>2842</v>
      </c>
    </row>
    <row r="204" spans="1:22">
      <c r="A204" s="150" t="s">
        <v>2880</v>
      </c>
      <c r="B204" s="150" t="s">
        <v>387</v>
      </c>
      <c r="C204" s="150" t="str">
        <f t="shared" si="6"/>
        <v>2004_Niger</v>
      </c>
      <c r="D204" s="150">
        <v>93.397000000000006</v>
      </c>
      <c r="E204" s="150">
        <v>530.11400000000003</v>
      </c>
      <c r="F204" s="150">
        <f t="shared" si="7"/>
        <v>530114000.00000006</v>
      </c>
      <c r="G204" s="150">
        <v>436.71699999999998</v>
      </c>
      <c r="H204" s="150">
        <v>262.22000000000003</v>
      </c>
      <c r="I204" s="150">
        <v>851.96100000000001</v>
      </c>
      <c r="J204" s="150">
        <v>589.74099999999999</v>
      </c>
      <c r="K204" s="150">
        <v>-168.82300000000001</v>
      </c>
      <c r="L204" s="150">
        <v>-321.84699999999998</v>
      </c>
      <c r="M204" s="150">
        <v>-153.024</v>
      </c>
      <c r="N204" s="150">
        <v>17.6182858781</v>
      </c>
      <c r="O204" s="150">
        <v>100</v>
      </c>
      <c r="P204" s="150">
        <v>82.381714121900004</v>
      </c>
      <c r="Q204" s="150">
        <v>30.778404175799999</v>
      </c>
      <c r="R204" s="150">
        <v>100</v>
      </c>
      <c r="S204" s="150">
        <v>69.221595824199994</v>
      </c>
      <c r="T204" s="150" t="s">
        <v>2842</v>
      </c>
      <c r="U204" s="150" t="s">
        <v>2842</v>
      </c>
      <c r="V204" s="150" t="s">
        <v>2842</v>
      </c>
    </row>
    <row r="205" spans="1:22">
      <c r="A205" s="150" t="s">
        <v>2880</v>
      </c>
      <c r="B205" s="150" t="s">
        <v>406</v>
      </c>
      <c r="C205" s="150" t="str">
        <f t="shared" si="6"/>
        <v>2004_Nigeria</v>
      </c>
      <c r="D205" s="150">
        <v>3335.95</v>
      </c>
      <c r="E205" s="150">
        <v>38102.15</v>
      </c>
      <c r="F205" s="150">
        <f t="shared" si="7"/>
        <v>38102150000</v>
      </c>
      <c r="G205" s="150">
        <v>34766.199999999997</v>
      </c>
      <c r="H205" s="150">
        <v>5973.19</v>
      </c>
      <c r="I205" s="150">
        <v>20981.99</v>
      </c>
      <c r="J205" s="150">
        <v>15008.8</v>
      </c>
      <c r="K205" s="150">
        <v>-2637.24</v>
      </c>
      <c r="L205" s="150">
        <v>17120.16</v>
      </c>
      <c r="M205" s="150">
        <v>19757.400000000001</v>
      </c>
      <c r="N205" s="150">
        <v>8.7552802138000008</v>
      </c>
      <c r="O205" s="150">
        <v>100</v>
      </c>
      <c r="P205" s="150">
        <v>91.244719786199994</v>
      </c>
      <c r="Q205" s="150">
        <v>28.468176755399998</v>
      </c>
      <c r="R205" s="150">
        <v>100</v>
      </c>
      <c r="S205" s="150">
        <v>71.531823244600005</v>
      </c>
      <c r="T205" s="150" t="s">
        <v>2842</v>
      </c>
      <c r="U205" s="150" t="s">
        <v>2842</v>
      </c>
      <c r="V205" s="150" t="s">
        <v>2842</v>
      </c>
    </row>
    <row r="206" spans="1:22">
      <c r="A206" s="150" t="s">
        <v>2880</v>
      </c>
      <c r="B206" s="150" t="s">
        <v>429</v>
      </c>
      <c r="C206" s="150" t="str">
        <f t="shared" si="6"/>
        <v>2004_Norway</v>
      </c>
      <c r="D206" s="150">
        <v>25513.029847999998</v>
      </c>
      <c r="E206" s="150">
        <v>108506.887785</v>
      </c>
      <c r="F206" s="150">
        <f t="shared" si="7"/>
        <v>108506887785</v>
      </c>
      <c r="G206" s="150">
        <v>82993.857936999993</v>
      </c>
      <c r="H206" s="150">
        <v>23054.764999999999</v>
      </c>
      <c r="I206" s="150">
        <v>71997.823139999993</v>
      </c>
      <c r="J206" s="150">
        <v>48943.058140000001</v>
      </c>
      <c r="K206" s="150">
        <v>2458.2648479999998</v>
      </c>
      <c r="L206" s="150">
        <v>36509.064644999999</v>
      </c>
      <c r="M206" s="150">
        <v>34050.799797</v>
      </c>
      <c r="N206" s="150">
        <v>23.512820585699998</v>
      </c>
      <c r="O206" s="150">
        <v>100</v>
      </c>
      <c r="P206" s="150">
        <v>76.487179414300002</v>
      </c>
      <c r="Q206" s="150">
        <v>32.021475087100001</v>
      </c>
      <c r="R206" s="150">
        <v>100</v>
      </c>
      <c r="S206" s="150">
        <v>67.978524912899999</v>
      </c>
      <c r="T206" s="150" t="s">
        <v>2842</v>
      </c>
      <c r="U206" s="150" t="s">
        <v>2842</v>
      </c>
      <c r="V206" s="150" t="s">
        <v>2842</v>
      </c>
    </row>
    <row r="207" spans="1:22">
      <c r="A207" s="150" t="s">
        <v>2880</v>
      </c>
      <c r="B207" s="150" t="s">
        <v>442</v>
      </c>
      <c r="C207" s="150" t="str">
        <f t="shared" si="6"/>
        <v>2004_Peru</v>
      </c>
      <c r="D207" s="150">
        <v>1993.28</v>
      </c>
      <c r="E207" s="150">
        <v>14802.48</v>
      </c>
      <c r="F207" s="150">
        <f t="shared" si="7"/>
        <v>14802480000</v>
      </c>
      <c r="G207" s="150">
        <v>12809.2</v>
      </c>
      <c r="H207" s="150">
        <v>2725.11</v>
      </c>
      <c r="I207" s="150">
        <v>12529.89</v>
      </c>
      <c r="J207" s="150">
        <v>9804.7800000000007</v>
      </c>
      <c r="K207" s="150">
        <v>-731.83</v>
      </c>
      <c r="L207" s="150">
        <v>2272.59</v>
      </c>
      <c r="M207" s="150">
        <v>3004.42</v>
      </c>
      <c r="N207" s="150">
        <v>13.465851668099999</v>
      </c>
      <c r="O207" s="150">
        <v>100</v>
      </c>
      <c r="P207" s="150">
        <v>86.534148331899999</v>
      </c>
      <c r="Q207" s="150">
        <v>21.748874092299999</v>
      </c>
      <c r="R207" s="150">
        <v>100</v>
      </c>
      <c r="S207" s="150">
        <v>78.251125907700001</v>
      </c>
      <c r="T207" s="150" t="s">
        <v>2842</v>
      </c>
      <c r="U207" s="150" t="s">
        <v>2842</v>
      </c>
      <c r="V207" s="150" t="s">
        <v>2842</v>
      </c>
    </row>
    <row r="208" spans="1:22">
      <c r="A208" s="150" t="s">
        <v>2880</v>
      </c>
      <c r="B208" s="150" t="s">
        <v>481</v>
      </c>
      <c r="C208" s="150" t="str">
        <f t="shared" si="6"/>
        <v>2004_Sierra Leone</v>
      </c>
      <c r="D208" s="150">
        <v>61.469000000000001</v>
      </c>
      <c r="E208" s="150">
        <v>215.54300000000001</v>
      </c>
      <c r="F208" s="150">
        <f t="shared" si="7"/>
        <v>215543000</v>
      </c>
      <c r="G208" s="150">
        <v>154.07400000000001</v>
      </c>
      <c r="H208" s="150">
        <v>92.341999999999999</v>
      </c>
      <c r="I208" s="150">
        <v>366.65800000000002</v>
      </c>
      <c r="J208" s="150">
        <v>274.31599999999997</v>
      </c>
      <c r="K208" s="150">
        <v>-30.873000000000001</v>
      </c>
      <c r="L208" s="150">
        <v>-151.11500000000001</v>
      </c>
      <c r="M208" s="150">
        <v>-120.242</v>
      </c>
      <c r="N208" s="150">
        <v>28.518207503799999</v>
      </c>
      <c r="O208" s="150">
        <v>100</v>
      </c>
      <c r="P208" s="150">
        <v>71.481792496200001</v>
      </c>
      <c r="Q208" s="150">
        <v>25.184777094699999</v>
      </c>
      <c r="R208" s="150">
        <v>100</v>
      </c>
      <c r="S208" s="150">
        <v>74.815222905300004</v>
      </c>
      <c r="T208" s="150" t="s">
        <v>2842</v>
      </c>
      <c r="U208" s="150" t="s">
        <v>2842</v>
      </c>
      <c r="V208" s="150" t="s">
        <v>2842</v>
      </c>
    </row>
    <row r="209" spans="1:22">
      <c r="A209" s="150" t="s">
        <v>2880</v>
      </c>
      <c r="B209" s="150" t="s">
        <v>2844</v>
      </c>
      <c r="C209" s="150" t="str">
        <f t="shared" si="6"/>
        <v>2004_Timor-Leste</v>
      </c>
      <c r="D209" s="150" t="s">
        <v>561</v>
      </c>
      <c r="E209" s="150" t="s">
        <v>2842</v>
      </c>
      <c r="F209" s="150" t="str">
        <f t="shared" si="7"/>
        <v>..</v>
      </c>
      <c r="G209" s="150">
        <v>7.3360000000000003</v>
      </c>
      <c r="H209" s="150" t="s">
        <v>561</v>
      </c>
      <c r="I209" s="150" t="s">
        <v>561</v>
      </c>
      <c r="J209" s="150">
        <v>146.13300000000001</v>
      </c>
      <c r="K209" s="150" t="s">
        <v>561</v>
      </c>
      <c r="L209" s="150" t="s">
        <v>561</v>
      </c>
      <c r="M209" s="150">
        <v>-138.797</v>
      </c>
      <c r="N209" s="150" t="s">
        <v>561</v>
      </c>
      <c r="O209" s="150" t="s">
        <v>561</v>
      </c>
      <c r="P209" s="150">
        <v>100</v>
      </c>
      <c r="Q209" s="150" t="s">
        <v>561</v>
      </c>
      <c r="R209" s="150" t="s">
        <v>561</v>
      </c>
      <c r="S209" s="150">
        <v>100</v>
      </c>
      <c r="T209" s="150" t="s">
        <v>2842</v>
      </c>
      <c r="U209" s="150" t="s">
        <v>2842</v>
      </c>
      <c r="V209" s="150" t="s">
        <v>2842</v>
      </c>
    </row>
    <row r="210" spans="1:22">
      <c r="A210" s="150" t="s">
        <v>2880</v>
      </c>
      <c r="B210" s="150" t="s">
        <v>510</v>
      </c>
      <c r="C210" s="150" t="str">
        <f t="shared" si="6"/>
        <v>2004_Togo</v>
      </c>
      <c r="D210" s="150">
        <v>149.97399999999999</v>
      </c>
      <c r="E210" s="150">
        <v>750.99300000000005</v>
      </c>
      <c r="F210" s="150">
        <f t="shared" si="7"/>
        <v>750993000</v>
      </c>
      <c r="G210" s="150">
        <v>601.01900000000001</v>
      </c>
      <c r="H210" s="150">
        <v>239.255</v>
      </c>
      <c r="I210" s="150">
        <v>1092.567</v>
      </c>
      <c r="J210" s="150">
        <v>853.31200000000001</v>
      </c>
      <c r="K210" s="150">
        <v>-89.281000000000006</v>
      </c>
      <c r="L210" s="150">
        <v>-341.57400000000001</v>
      </c>
      <c r="M210" s="150">
        <v>-252.29300000000001</v>
      </c>
      <c r="N210" s="150">
        <v>19.970092930300002</v>
      </c>
      <c r="O210" s="150">
        <v>100</v>
      </c>
      <c r="P210" s="150">
        <v>80.029907069700002</v>
      </c>
      <c r="Q210" s="150">
        <v>21.898428197099999</v>
      </c>
      <c r="R210" s="150">
        <v>100</v>
      </c>
      <c r="S210" s="150">
        <v>78.101571802899997</v>
      </c>
      <c r="T210" s="150" t="s">
        <v>2842</v>
      </c>
      <c r="U210" s="150" t="s">
        <v>2842</v>
      </c>
      <c r="V210" s="150" t="s">
        <v>2842</v>
      </c>
    </row>
    <row r="211" spans="1:22">
      <c r="A211" s="150" t="s">
        <v>2880</v>
      </c>
      <c r="B211" s="150" t="s">
        <v>2845</v>
      </c>
      <c r="C211" s="150" t="str">
        <f t="shared" si="6"/>
        <v>2004_Trinidad and Tobago</v>
      </c>
      <c r="D211" s="150">
        <v>850.8</v>
      </c>
      <c r="E211" s="150">
        <v>7396.16</v>
      </c>
      <c r="F211" s="150">
        <f t="shared" si="7"/>
        <v>7396160000</v>
      </c>
      <c r="G211" s="150">
        <v>6545.36</v>
      </c>
      <c r="H211" s="150">
        <v>371.3</v>
      </c>
      <c r="I211" s="150">
        <v>5262.2</v>
      </c>
      <c r="J211" s="150">
        <v>4890.8999999999996</v>
      </c>
      <c r="K211" s="150">
        <v>479.5</v>
      </c>
      <c r="L211" s="150">
        <v>2133.96</v>
      </c>
      <c r="M211" s="150">
        <v>1654.46</v>
      </c>
      <c r="N211" s="150">
        <v>11.5032665599</v>
      </c>
      <c r="O211" s="150">
        <v>100</v>
      </c>
      <c r="P211" s="150">
        <v>88.496733440100002</v>
      </c>
      <c r="Q211" s="150">
        <v>7.0559841891000001</v>
      </c>
      <c r="R211" s="150">
        <v>100</v>
      </c>
      <c r="S211" s="150">
        <v>92.944015810899998</v>
      </c>
      <c r="T211" s="150" t="s">
        <v>2842</v>
      </c>
      <c r="U211" s="150" t="s">
        <v>2842</v>
      </c>
      <c r="V211" s="150" t="s">
        <v>2842</v>
      </c>
    </row>
    <row r="212" spans="1:22">
      <c r="A212" s="150" t="s">
        <v>2880</v>
      </c>
      <c r="B212" s="150" t="s">
        <v>492</v>
      </c>
      <c r="C212" s="150" t="str">
        <f t="shared" si="6"/>
        <v>2004_Tanzania</v>
      </c>
      <c r="D212" s="150">
        <v>1133.6300000000001</v>
      </c>
      <c r="E212" s="150">
        <v>2615.27</v>
      </c>
      <c r="F212" s="150">
        <f t="shared" si="7"/>
        <v>2615270000</v>
      </c>
      <c r="G212" s="150">
        <v>1481.64</v>
      </c>
      <c r="H212" s="150">
        <v>974.71600000000001</v>
      </c>
      <c r="I212" s="150">
        <v>3457.556</v>
      </c>
      <c r="J212" s="150">
        <v>2482.84</v>
      </c>
      <c r="K212" s="150">
        <v>158.91399999999999</v>
      </c>
      <c r="L212" s="150">
        <v>-842.28599999999994</v>
      </c>
      <c r="M212" s="150">
        <v>-1001.2</v>
      </c>
      <c r="N212" s="150">
        <v>43.346576070499999</v>
      </c>
      <c r="O212" s="150">
        <v>100</v>
      </c>
      <c r="P212" s="150">
        <v>56.653423929500001</v>
      </c>
      <c r="Q212" s="150">
        <v>28.190895534300001</v>
      </c>
      <c r="R212" s="150">
        <v>100</v>
      </c>
      <c r="S212" s="150">
        <v>71.809104465700003</v>
      </c>
      <c r="T212" s="150" t="s">
        <v>2842</v>
      </c>
      <c r="U212" s="150" t="s">
        <v>2842</v>
      </c>
      <c r="V212" s="150" t="s">
        <v>2842</v>
      </c>
    </row>
    <row r="213" spans="1:22">
      <c r="A213" s="150" t="s">
        <v>2880</v>
      </c>
      <c r="B213" s="150" t="s">
        <v>522</v>
      </c>
      <c r="C213" s="150" t="str">
        <f t="shared" si="6"/>
        <v>2004_Yemen</v>
      </c>
      <c r="D213" s="150">
        <v>369.673</v>
      </c>
      <c r="E213" s="150">
        <v>5045.393</v>
      </c>
      <c r="F213" s="150">
        <f t="shared" si="7"/>
        <v>5045393000</v>
      </c>
      <c r="G213" s="150">
        <v>4675.72</v>
      </c>
      <c r="H213" s="150">
        <v>1059.43</v>
      </c>
      <c r="I213" s="150">
        <v>4918.04</v>
      </c>
      <c r="J213" s="150">
        <v>3858.61</v>
      </c>
      <c r="K213" s="150">
        <v>-689.75699999999995</v>
      </c>
      <c r="L213" s="150">
        <v>127.35299999999999</v>
      </c>
      <c r="M213" s="150">
        <v>817.11</v>
      </c>
      <c r="N213" s="150">
        <v>7.3269416277000001</v>
      </c>
      <c r="O213" s="150">
        <v>100</v>
      </c>
      <c r="P213" s="150">
        <v>92.673058372300005</v>
      </c>
      <c r="Q213" s="150">
        <v>21.5417117388</v>
      </c>
      <c r="R213" s="150">
        <v>100</v>
      </c>
      <c r="S213" s="150">
        <v>78.458288261199996</v>
      </c>
      <c r="T213" s="150" t="s">
        <v>2842</v>
      </c>
      <c r="U213" s="150" t="s">
        <v>2842</v>
      </c>
      <c r="V213" s="150" t="s">
        <v>2842</v>
      </c>
    </row>
    <row r="214" spans="1:22">
      <c r="A214" s="150" t="s">
        <v>2880</v>
      </c>
      <c r="B214" s="150" t="s">
        <v>534</v>
      </c>
      <c r="C214" s="150" t="str">
        <f t="shared" si="6"/>
        <v>2004_Zambia</v>
      </c>
      <c r="D214" s="150">
        <v>231.8</v>
      </c>
      <c r="E214" s="150">
        <v>2076.31</v>
      </c>
      <c r="F214" s="150">
        <f t="shared" si="7"/>
        <v>2076310000</v>
      </c>
      <c r="G214" s="150">
        <v>1844.51</v>
      </c>
      <c r="H214" s="150">
        <v>447.3</v>
      </c>
      <c r="I214" s="150">
        <v>2174.2399999999998</v>
      </c>
      <c r="J214" s="150">
        <v>1726.94</v>
      </c>
      <c r="K214" s="150">
        <v>-215.5</v>
      </c>
      <c r="L214" s="150">
        <v>-97.93</v>
      </c>
      <c r="M214" s="150">
        <v>117.57</v>
      </c>
      <c r="N214" s="150">
        <v>11.1640361988</v>
      </c>
      <c r="O214" s="150">
        <v>100</v>
      </c>
      <c r="P214" s="150">
        <v>88.835963801199995</v>
      </c>
      <c r="Q214" s="150">
        <v>20.572705865</v>
      </c>
      <c r="R214" s="150">
        <v>100</v>
      </c>
      <c r="S214" s="150">
        <v>79.427294134999997</v>
      </c>
      <c r="T214" s="150" t="s">
        <v>2842</v>
      </c>
      <c r="U214" s="150" t="s">
        <v>2842</v>
      </c>
      <c r="V214" s="150" t="s">
        <v>2842</v>
      </c>
    </row>
    <row r="215" spans="1:22">
      <c r="A215" s="150" t="s">
        <v>2881</v>
      </c>
      <c r="B215" s="150" t="s">
        <v>16</v>
      </c>
      <c r="C215" s="150" t="str">
        <f t="shared" si="6"/>
        <v>2005_Afghanistan</v>
      </c>
      <c r="D215" s="150" t="s">
        <v>561</v>
      </c>
      <c r="E215" s="150" t="s">
        <v>2842</v>
      </c>
      <c r="F215" s="150" t="str">
        <f t="shared" si="7"/>
        <v>..</v>
      </c>
      <c r="G215" s="150">
        <v>1794.8</v>
      </c>
      <c r="H215" s="150" t="s">
        <v>561</v>
      </c>
      <c r="I215" s="150" t="s">
        <v>561</v>
      </c>
      <c r="J215" s="150">
        <v>6130.1</v>
      </c>
      <c r="K215" s="150" t="s">
        <v>561</v>
      </c>
      <c r="L215" s="150" t="s">
        <v>561</v>
      </c>
      <c r="M215" s="150">
        <v>-4335.3</v>
      </c>
      <c r="N215" s="150" t="s">
        <v>561</v>
      </c>
      <c r="O215" s="150" t="s">
        <v>561</v>
      </c>
      <c r="P215" s="150">
        <v>94.395536856999996</v>
      </c>
      <c r="Q215" s="150" t="s">
        <v>561</v>
      </c>
      <c r="R215" s="150" t="s">
        <v>561</v>
      </c>
      <c r="S215" s="150">
        <v>98.608924127700007</v>
      </c>
      <c r="T215" s="150" t="s">
        <v>2842</v>
      </c>
      <c r="U215" s="150" t="s">
        <v>2842</v>
      </c>
      <c r="V215" s="150" t="s">
        <v>2842</v>
      </c>
    </row>
    <row r="216" spans="1:22">
      <c r="A216" s="150" t="s">
        <v>2881</v>
      </c>
      <c r="B216" s="150" t="s">
        <v>33</v>
      </c>
      <c r="C216" s="150" t="str">
        <f t="shared" si="6"/>
        <v>2005_Albania</v>
      </c>
      <c r="D216" s="150">
        <v>1164.57</v>
      </c>
      <c r="E216" s="150">
        <v>1820.8879999999999</v>
      </c>
      <c r="F216" s="150">
        <f t="shared" si="7"/>
        <v>1820888000</v>
      </c>
      <c r="G216" s="150">
        <v>656.31799999999998</v>
      </c>
      <c r="H216" s="150">
        <v>1382.89</v>
      </c>
      <c r="I216" s="150">
        <v>3860.47</v>
      </c>
      <c r="J216" s="150">
        <v>2477.58</v>
      </c>
      <c r="K216" s="150">
        <v>-218.32</v>
      </c>
      <c r="L216" s="150">
        <v>-2039.5820000000001</v>
      </c>
      <c r="M216" s="150">
        <v>-1821.2619999999999</v>
      </c>
      <c r="N216" s="150">
        <v>63.956157654899997</v>
      </c>
      <c r="O216" s="150">
        <v>100</v>
      </c>
      <c r="P216" s="150">
        <v>36.043842345100003</v>
      </c>
      <c r="Q216" s="150">
        <v>35.821804080900002</v>
      </c>
      <c r="R216" s="150">
        <v>100</v>
      </c>
      <c r="S216" s="150">
        <v>64.178195919100006</v>
      </c>
      <c r="T216" s="150" t="s">
        <v>2842</v>
      </c>
      <c r="U216" s="150" t="s">
        <v>2842</v>
      </c>
      <c r="V216" s="150" t="s">
        <v>2842</v>
      </c>
    </row>
    <row r="217" spans="1:22">
      <c r="A217" s="150" t="s">
        <v>2881</v>
      </c>
      <c r="B217" s="150" t="s">
        <v>48</v>
      </c>
      <c r="C217" s="150" t="str">
        <f t="shared" si="6"/>
        <v>2005_Azerbaijan</v>
      </c>
      <c r="D217" s="150">
        <v>682.95799999999997</v>
      </c>
      <c r="E217" s="150">
        <v>8331.9179999999997</v>
      </c>
      <c r="F217" s="150">
        <f t="shared" si="7"/>
        <v>8331918000</v>
      </c>
      <c r="G217" s="150">
        <v>7648.96</v>
      </c>
      <c r="H217" s="150">
        <v>2652.98</v>
      </c>
      <c r="I217" s="150">
        <v>7002.84</v>
      </c>
      <c r="J217" s="150">
        <v>4349.8599999999997</v>
      </c>
      <c r="K217" s="150">
        <v>-1970.0219999999999</v>
      </c>
      <c r="L217" s="150">
        <v>1329.078</v>
      </c>
      <c r="M217" s="150">
        <v>3299.1</v>
      </c>
      <c r="N217" s="150">
        <v>8.1968881595000003</v>
      </c>
      <c r="O217" s="150">
        <v>100</v>
      </c>
      <c r="P217" s="150">
        <v>91.803111840499994</v>
      </c>
      <c r="Q217" s="150">
        <v>37.884344066099999</v>
      </c>
      <c r="R217" s="150">
        <v>100</v>
      </c>
      <c r="S217" s="150">
        <v>62.115655933900001</v>
      </c>
      <c r="T217" s="150" t="s">
        <v>2842</v>
      </c>
      <c r="U217" s="150" t="s">
        <v>2842</v>
      </c>
      <c r="V217" s="150" t="s">
        <v>2842</v>
      </c>
    </row>
    <row r="218" spans="1:22">
      <c r="A218" s="150" t="s">
        <v>2881</v>
      </c>
      <c r="B218" s="150" t="s">
        <v>93</v>
      </c>
      <c r="C218" s="150" t="str">
        <f t="shared" si="6"/>
        <v>2005_Burkina Faso</v>
      </c>
      <c r="D218" s="150">
        <v>67.616</v>
      </c>
      <c r="E218" s="150">
        <v>550.99900000000002</v>
      </c>
      <c r="F218" s="150">
        <f t="shared" si="7"/>
        <v>550999000</v>
      </c>
      <c r="G218" s="150">
        <v>483.38299999999998</v>
      </c>
      <c r="H218" s="150">
        <v>359.8</v>
      </c>
      <c r="I218" s="150">
        <v>1399.48</v>
      </c>
      <c r="J218" s="150">
        <v>1039.68</v>
      </c>
      <c r="K218" s="150">
        <v>-292.18400000000003</v>
      </c>
      <c r="L218" s="150">
        <v>-848.48099999999999</v>
      </c>
      <c r="M218" s="150">
        <v>-556.29700000000003</v>
      </c>
      <c r="N218" s="150">
        <v>12.2715286235</v>
      </c>
      <c r="O218" s="150">
        <v>100</v>
      </c>
      <c r="P218" s="150">
        <v>87.728471376499996</v>
      </c>
      <c r="Q218" s="150">
        <v>25.709549261199999</v>
      </c>
      <c r="R218" s="150">
        <v>100</v>
      </c>
      <c r="S218" s="150">
        <v>74.290450738800004</v>
      </c>
      <c r="T218" s="150" t="s">
        <v>2842</v>
      </c>
      <c r="U218" s="150" t="s">
        <v>2842</v>
      </c>
      <c r="V218" s="150" t="s">
        <v>2842</v>
      </c>
    </row>
    <row r="219" spans="1:22">
      <c r="A219" s="150" t="s">
        <v>2881</v>
      </c>
      <c r="B219" s="150" t="s">
        <v>2890</v>
      </c>
      <c r="C219" s="150" t="str">
        <f t="shared" si="6"/>
        <v>2005_ Cameroon</v>
      </c>
      <c r="D219" s="150">
        <v>969.93</v>
      </c>
      <c r="E219" s="150">
        <v>4235.1499999999996</v>
      </c>
      <c r="F219" s="150">
        <f t="shared" si="7"/>
        <v>4235149999.9999995</v>
      </c>
      <c r="G219" s="150">
        <v>3265.22</v>
      </c>
      <c r="H219" s="150">
        <v>1454.83</v>
      </c>
      <c r="I219" s="150">
        <v>4344.68</v>
      </c>
      <c r="J219" s="150">
        <v>2889.85</v>
      </c>
      <c r="K219" s="150">
        <v>-484.9</v>
      </c>
      <c r="L219" s="150">
        <v>-109.53</v>
      </c>
      <c r="M219" s="150">
        <v>375.37</v>
      </c>
      <c r="N219" s="150">
        <v>22.9019043009</v>
      </c>
      <c r="O219" s="150">
        <v>100</v>
      </c>
      <c r="P219" s="150">
        <v>77.0980956991</v>
      </c>
      <c r="Q219" s="150">
        <v>33.485319977499998</v>
      </c>
      <c r="R219" s="150">
        <v>100</v>
      </c>
      <c r="S219" s="150">
        <v>66.514680022500002</v>
      </c>
      <c r="T219" s="150" t="s">
        <v>2842</v>
      </c>
      <c r="U219" s="150" t="s">
        <v>2842</v>
      </c>
      <c r="V219" s="150" t="s">
        <v>2842</v>
      </c>
    </row>
    <row r="220" spans="1:22">
      <c r="A220" s="150" t="s">
        <v>2881</v>
      </c>
      <c r="B220" s="150" t="s">
        <v>122</v>
      </c>
      <c r="C220" s="150" t="str">
        <f t="shared" si="6"/>
        <v>2005_Central African Republic</v>
      </c>
      <c r="D220" s="150">
        <v>44.17329582</v>
      </c>
      <c r="E220" s="150">
        <v>171.95355925999999</v>
      </c>
      <c r="F220" s="150">
        <f t="shared" si="7"/>
        <v>171953559.25999999</v>
      </c>
      <c r="G220" s="150">
        <v>127.78026344</v>
      </c>
      <c r="H220" s="150">
        <v>105.40923809</v>
      </c>
      <c r="I220" s="150">
        <v>280.20657175999997</v>
      </c>
      <c r="J220" s="150">
        <v>174.79733367</v>
      </c>
      <c r="K220" s="150">
        <v>-61.235942270000002</v>
      </c>
      <c r="L220" s="150">
        <v>-108.2530125</v>
      </c>
      <c r="M220" s="150">
        <v>-47.017070230000002</v>
      </c>
      <c r="N220" s="150">
        <v>25.689084896000001</v>
      </c>
      <c r="O220" s="150">
        <v>100</v>
      </c>
      <c r="P220" s="150">
        <v>74.310915104000003</v>
      </c>
      <c r="Q220" s="150">
        <v>37.618403247300002</v>
      </c>
      <c r="R220" s="150">
        <v>100</v>
      </c>
      <c r="S220" s="150">
        <v>62.381596752699998</v>
      </c>
      <c r="T220" s="150" t="s">
        <v>2842</v>
      </c>
      <c r="U220" s="150" t="s">
        <v>2842</v>
      </c>
      <c r="V220" s="150" t="s">
        <v>2842</v>
      </c>
    </row>
    <row r="221" spans="1:22">
      <c r="A221" s="150" t="s">
        <v>2881</v>
      </c>
      <c r="B221" s="150" t="s">
        <v>2891</v>
      </c>
      <c r="C221" s="150" t="str">
        <f t="shared" si="6"/>
        <v>2005_ Chad</v>
      </c>
      <c r="D221" s="150">
        <v>107.87384258</v>
      </c>
      <c r="E221" s="150">
        <v>3188.8190373500001</v>
      </c>
      <c r="F221" s="150">
        <f t="shared" si="7"/>
        <v>3188819037.3500004</v>
      </c>
      <c r="G221" s="150">
        <v>3080.9451947699999</v>
      </c>
      <c r="H221" s="150">
        <v>1566.91969939</v>
      </c>
      <c r="I221" s="150">
        <v>2517.1195219299998</v>
      </c>
      <c r="J221" s="150">
        <v>950.19982254000001</v>
      </c>
      <c r="K221" s="150">
        <v>-1459.04585681</v>
      </c>
      <c r="L221" s="150">
        <v>671.69951542000001</v>
      </c>
      <c r="M221" s="150">
        <v>2130.7453722300002</v>
      </c>
      <c r="N221" s="150">
        <v>3.3828775266000002</v>
      </c>
      <c r="O221" s="150">
        <v>100</v>
      </c>
      <c r="P221" s="150">
        <v>96.617122473400002</v>
      </c>
      <c r="Q221" s="150">
        <v>62.250508398100003</v>
      </c>
      <c r="R221" s="150">
        <v>100</v>
      </c>
      <c r="S221" s="150">
        <v>37.749491601899997</v>
      </c>
      <c r="T221" s="150" t="s">
        <v>2842</v>
      </c>
      <c r="U221" s="150" t="s">
        <v>2842</v>
      </c>
      <c r="V221" s="150" t="s">
        <v>2842</v>
      </c>
    </row>
    <row r="222" spans="1:22">
      <c r="A222" s="150" t="s">
        <v>2881</v>
      </c>
      <c r="B222" s="150" t="s">
        <v>458</v>
      </c>
      <c r="C222" s="150" t="str">
        <f t="shared" si="6"/>
        <v>2005_Republic of the Congo</v>
      </c>
      <c r="D222" s="150">
        <v>220.48699999999999</v>
      </c>
      <c r="E222" s="150">
        <v>4965.7969999999996</v>
      </c>
      <c r="F222" s="150">
        <f t="shared" si="7"/>
        <v>4965797000</v>
      </c>
      <c r="G222" s="150">
        <v>4745.3100000000004</v>
      </c>
      <c r="H222" s="150">
        <v>1417.15</v>
      </c>
      <c r="I222" s="150">
        <v>2722.63</v>
      </c>
      <c r="J222" s="150">
        <v>1305.48</v>
      </c>
      <c r="K222" s="150">
        <v>-1196.663</v>
      </c>
      <c r="L222" s="150">
        <v>2243.1669999999999</v>
      </c>
      <c r="M222" s="150">
        <v>3439.83</v>
      </c>
      <c r="N222" s="150">
        <v>4.4401130371999997</v>
      </c>
      <c r="O222" s="150">
        <v>100</v>
      </c>
      <c r="P222" s="150">
        <v>95.559886962799993</v>
      </c>
      <c r="Q222" s="150">
        <v>52.050774435000001</v>
      </c>
      <c r="R222" s="150">
        <v>100</v>
      </c>
      <c r="S222" s="150">
        <v>47.949225564999999</v>
      </c>
      <c r="T222" s="150" t="s">
        <v>2842</v>
      </c>
      <c r="U222" s="150" t="s">
        <v>2842</v>
      </c>
      <c r="V222" s="150" t="s">
        <v>2842</v>
      </c>
    </row>
    <row r="223" spans="1:22">
      <c r="A223" s="150" t="s">
        <v>2881</v>
      </c>
      <c r="B223" s="150" t="s">
        <v>165</v>
      </c>
      <c r="C223" s="150" t="str">
        <f t="shared" si="6"/>
        <v>2005_Democratic Republic of Congo</v>
      </c>
      <c r="D223" s="150">
        <v>307.97272915999997</v>
      </c>
      <c r="E223" s="150">
        <v>2710.73989854</v>
      </c>
      <c r="F223" s="150">
        <f t="shared" si="7"/>
        <v>2710739898.54</v>
      </c>
      <c r="G223" s="150">
        <v>2402.7671693799998</v>
      </c>
      <c r="H223" s="150">
        <v>1167.0317687700001</v>
      </c>
      <c r="I223" s="150">
        <v>3857.4563234000002</v>
      </c>
      <c r="J223" s="150">
        <v>2690.4245546299999</v>
      </c>
      <c r="K223" s="150">
        <v>-859.05903961000001</v>
      </c>
      <c r="L223" s="150">
        <v>-1146.71642486</v>
      </c>
      <c r="M223" s="150">
        <v>-287.65738525</v>
      </c>
      <c r="N223" s="150">
        <v>11.3612054526</v>
      </c>
      <c r="O223" s="150">
        <v>100</v>
      </c>
      <c r="P223" s="150">
        <v>88.638794547399996</v>
      </c>
      <c r="Q223" s="150">
        <v>30.253920483600002</v>
      </c>
      <c r="R223" s="150">
        <v>100</v>
      </c>
      <c r="S223" s="150">
        <v>69.746079516400002</v>
      </c>
      <c r="T223" s="150" t="s">
        <v>2842</v>
      </c>
      <c r="U223" s="150" t="s">
        <v>2842</v>
      </c>
      <c r="V223" s="150" t="s">
        <v>2842</v>
      </c>
    </row>
    <row r="224" spans="1:22">
      <c r="A224" s="150" t="s">
        <v>2881</v>
      </c>
      <c r="B224" s="150" t="s">
        <v>2892</v>
      </c>
      <c r="C224" s="150" t="str">
        <f t="shared" si="6"/>
        <v>2005_ Equatorial Guinea</v>
      </c>
      <c r="D224" s="150">
        <v>36.40031243</v>
      </c>
      <c r="E224" s="150">
        <v>7100.3359445400001</v>
      </c>
      <c r="F224" s="150">
        <f t="shared" si="7"/>
        <v>7100335944.54</v>
      </c>
      <c r="G224" s="150">
        <v>7063.9356321100004</v>
      </c>
      <c r="H224" s="150">
        <v>921.38290853000001</v>
      </c>
      <c r="I224" s="150">
        <v>2231.2254013400002</v>
      </c>
      <c r="J224" s="150">
        <v>1309.8424928100001</v>
      </c>
      <c r="K224" s="150">
        <v>-884.98259610000002</v>
      </c>
      <c r="L224" s="150">
        <v>4869.1105432000004</v>
      </c>
      <c r="M224" s="150">
        <v>5754.0931393000001</v>
      </c>
      <c r="N224" s="150">
        <v>0.5126561999</v>
      </c>
      <c r="O224" s="150">
        <v>100</v>
      </c>
      <c r="P224" s="150">
        <v>99.487343800100007</v>
      </c>
      <c r="Q224" s="150">
        <v>41.294927351399998</v>
      </c>
      <c r="R224" s="150">
        <v>100</v>
      </c>
      <c r="S224" s="150">
        <v>58.705072648600002</v>
      </c>
      <c r="T224" s="150" t="s">
        <v>2842</v>
      </c>
      <c r="U224" s="150" t="s">
        <v>2842</v>
      </c>
      <c r="V224" s="150" t="s">
        <v>2842</v>
      </c>
    </row>
    <row r="225" spans="1:22">
      <c r="A225" s="150" t="s">
        <v>2881</v>
      </c>
      <c r="B225" s="150" t="s">
        <v>2893</v>
      </c>
      <c r="C225" s="150" t="str">
        <f t="shared" si="6"/>
        <v>2005_ Gabon</v>
      </c>
      <c r="D225" s="150">
        <v>146.18899999999999</v>
      </c>
      <c r="E225" s="150">
        <v>5610.049</v>
      </c>
      <c r="F225" s="150">
        <f t="shared" si="7"/>
        <v>5610049000</v>
      </c>
      <c r="G225" s="150">
        <v>5463.86</v>
      </c>
      <c r="H225" s="150">
        <v>1041.6099999999999</v>
      </c>
      <c r="I225" s="150">
        <v>2400.46</v>
      </c>
      <c r="J225" s="150">
        <v>1358.85</v>
      </c>
      <c r="K225" s="150">
        <v>-895.42100000000005</v>
      </c>
      <c r="L225" s="150">
        <v>3209.5889999999999</v>
      </c>
      <c r="M225" s="150">
        <v>4105.01</v>
      </c>
      <c r="N225" s="150">
        <v>2.6058417671999998</v>
      </c>
      <c r="O225" s="150">
        <v>100</v>
      </c>
      <c r="P225" s="150">
        <v>97.394158232799995</v>
      </c>
      <c r="Q225" s="150">
        <v>43.392099847499999</v>
      </c>
      <c r="R225" s="150">
        <v>100</v>
      </c>
      <c r="S225" s="150">
        <v>56.607900152500001</v>
      </c>
      <c r="T225" s="150" t="s">
        <v>2842</v>
      </c>
      <c r="U225" s="150" t="s">
        <v>2842</v>
      </c>
      <c r="V225" s="150" t="s">
        <v>2842</v>
      </c>
    </row>
    <row r="226" spans="1:22">
      <c r="A226" s="150" t="s">
        <v>2881</v>
      </c>
      <c r="B226" s="150" t="s">
        <v>189</v>
      </c>
      <c r="C226" s="150" t="str">
        <f t="shared" si="6"/>
        <v>2005_Ghana</v>
      </c>
      <c r="D226" s="150">
        <v>1106.48</v>
      </c>
      <c r="E226" s="150">
        <v>3908.69</v>
      </c>
      <c r="F226" s="150">
        <f t="shared" si="7"/>
        <v>3908690000</v>
      </c>
      <c r="G226" s="150">
        <v>2802.21</v>
      </c>
      <c r="H226" s="150">
        <v>1273.0999999999999</v>
      </c>
      <c r="I226" s="150">
        <v>6620.41</v>
      </c>
      <c r="J226" s="150">
        <v>5347.31</v>
      </c>
      <c r="K226" s="150">
        <v>-166.62</v>
      </c>
      <c r="L226" s="150">
        <v>-2711.72</v>
      </c>
      <c r="M226" s="150">
        <v>-2545.1</v>
      </c>
      <c r="N226" s="150">
        <v>28.3082055625</v>
      </c>
      <c r="O226" s="150">
        <v>100</v>
      </c>
      <c r="P226" s="150">
        <v>71.691794437499993</v>
      </c>
      <c r="Q226" s="150">
        <v>19.229926847400002</v>
      </c>
      <c r="R226" s="150">
        <v>100</v>
      </c>
      <c r="S226" s="150">
        <v>80.770073152600006</v>
      </c>
      <c r="T226" s="150" t="s">
        <v>2842</v>
      </c>
      <c r="U226" s="150" t="s">
        <v>2842</v>
      </c>
      <c r="V226" s="150" t="s">
        <v>2842</v>
      </c>
    </row>
    <row r="227" spans="1:22">
      <c r="A227" s="150" t="s">
        <v>2881</v>
      </c>
      <c r="B227" s="150" t="s">
        <v>213</v>
      </c>
      <c r="C227" s="150" t="str">
        <f t="shared" si="6"/>
        <v>2005_Guatemala</v>
      </c>
      <c r="D227" s="150">
        <v>1307.8</v>
      </c>
      <c r="E227" s="150">
        <v>6767.27</v>
      </c>
      <c r="F227" s="150">
        <f t="shared" si="7"/>
        <v>6767270000</v>
      </c>
      <c r="G227" s="150">
        <v>5459.47</v>
      </c>
      <c r="H227" s="150">
        <v>1449.6</v>
      </c>
      <c r="I227" s="150">
        <v>11099.65</v>
      </c>
      <c r="J227" s="150">
        <v>9650.0499999999993</v>
      </c>
      <c r="K227" s="150">
        <v>-141.80000000000001</v>
      </c>
      <c r="L227" s="150">
        <v>-4332.38</v>
      </c>
      <c r="M227" s="150">
        <v>-4190.58</v>
      </c>
      <c r="N227" s="150">
        <v>19.3253704965</v>
      </c>
      <c r="O227" s="150">
        <v>100</v>
      </c>
      <c r="P227" s="150">
        <v>80.6746295035</v>
      </c>
      <c r="Q227" s="150">
        <v>13.059871257199999</v>
      </c>
      <c r="R227" s="150">
        <v>100</v>
      </c>
      <c r="S227" s="150">
        <v>86.940128742799999</v>
      </c>
      <c r="T227" s="150" t="s">
        <v>2842</v>
      </c>
      <c r="U227" s="150" t="s">
        <v>2842</v>
      </c>
      <c r="V227" s="150" t="s">
        <v>2842</v>
      </c>
    </row>
    <row r="228" spans="1:22">
      <c r="A228" s="150" t="s">
        <v>2881</v>
      </c>
      <c r="B228" s="150" t="s">
        <v>2894</v>
      </c>
      <c r="C228" s="150" t="str">
        <f t="shared" si="6"/>
        <v>2005_ Guinea</v>
      </c>
      <c r="D228" s="150">
        <v>82.89</v>
      </c>
      <c r="E228" s="150">
        <v>929.38</v>
      </c>
      <c r="F228" s="150">
        <f t="shared" si="7"/>
        <v>929380000</v>
      </c>
      <c r="G228" s="150">
        <v>846.49</v>
      </c>
      <c r="H228" s="150">
        <v>278.31</v>
      </c>
      <c r="I228" s="150">
        <v>1031.24</v>
      </c>
      <c r="J228" s="150">
        <v>752.93</v>
      </c>
      <c r="K228" s="150">
        <v>-195.42</v>
      </c>
      <c r="L228" s="150">
        <v>-101.86</v>
      </c>
      <c r="M228" s="150">
        <v>93.56</v>
      </c>
      <c r="N228" s="150">
        <v>8.9188491251999995</v>
      </c>
      <c r="O228" s="150">
        <v>100</v>
      </c>
      <c r="P228" s="150">
        <v>91.081150874800002</v>
      </c>
      <c r="Q228" s="150">
        <v>26.987898064500001</v>
      </c>
      <c r="R228" s="150">
        <v>100</v>
      </c>
      <c r="S228" s="150">
        <v>73.012101935499999</v>
      </c>
      <c r="T228" s="150" t="s">
        <v>2842</v>
      </c>
      <c r="U228" s="150" t="s">
        <v>2842</v>
      </c>
      <c r="V228" s="150" t="s">
        <v>2842</v>
      </c>
    </row>
    <row r="229" spans="1:22">
      <c r="A229" s="150" t="s">
        <v>2881</v>
      </c>
      <c r="B229" s="150" t="s">
        <v>237</v>
      </c>
      <c r="C229" s="150" t="str">
        <f t="shared" si="6"/>
        <v>2005_Indonesia</v>
      </c>
      <c r="D229" s="150">
        <v>12926.5</v>
      </c>
      <c r="E229" s="150">
        <v>99921.8</v>
      </c>
      <c r="F229" s="150">
        <f t="shared" si="7"/>
        <v>99921800000</v>
      </c>
      <c r="G229" s="150">
        <v>86995.3</v>
      </c>
      <c r="H229" s="150">
        <v>22048.799999999999</v>
      </c>
      <c r="I229" s="150">
        <v>91510.6</v>
      </c>
      <c r="J229" s="150">
        <v>69461.8</v>
      </c>
      <c r="K229" s="150">
        <v>-9122.2999999999993</v>
      </c>
      <c r="L229" s="150">
        <v>8411.2000000000007</v>
      </c>
      <c r="M229" s="150">
        <v>17533.5</v>
      </c>
      <c r="N229" s="150">
        <v>12.936616434099999</v>
      </c>
      <c r="O229" s="150">
        <v>100</v>
      </c>
      <c r="P229" s="150">
        <v>87.063383565899997</v>
      </c>
      <c r="Q229" s="150">
        <v>24.094257933000002</v>
      </c>
      <c r="R229" s="150">
        <v>100</v>
      </c>
      <c r="S229" s="150">
        <v>75.905742067000006</v>
      </c>
      <c r="T229" s="150" t="s">
        <v>2842</v>
      </c>
      <c r="U229" s="150" t="s">
        <v>2842</v>
      </c>
      <c r="V229" s="150" t="s">
        <v>2842</v>
      </c>
    </row>
    <row r="230" spans="1:22">
      <c r="A230" s="150" t="s">
        <v>2881</v>
      </c>
      <c r="B230" s="150" t="s">
        <v>245</v>
      </c>
      <c r="C230" s="150" t="str">
        <f t="shared" si="6"/>
        <v>2005_Iraq</v>
      </c>
      <c r="D230" s="150">
        <v>355.2</v>
      </c>
      <c r="E230" s="150">
        <v>24052.6</v>
      </c>
      <c r="F230" s="150">
        <f t="shared" si="7"/>
        <v>24052600000</v>
      </c>
      <c r="G230" s="150">
        <v>23697.4</v>
      </c>
      <c r="H230" s="150">
        <v>6094.5</v>
      </c>
      <c r="I230" s="150">
        <v>26096.7</v>
      </c>
      <c r="J230" s="150">
        <v>20002.2</v>
      </c>
      <c r="K230" s="150">
        <v>-5739.3</v>
      </c>
      <c r="L230" s="150">
        <v>-2044.1</v>
      </c>
      <c r="M230" s="150">
        <v>3695.2</v>
      </c>
      <c r="N230" s="150">
        <v>1.4767634268000001</v>
      </c>
      <c r="O230" s="150">
        <v>100</v>
      </c>
      <c r="P230" s="150">
        <v>98.523236573199995</v>
      </c>
      <c r="Q230" s="150">
        <v>23.3535274575</v>
      </c>
      <c r="R230" s="150">
        <v>100</v>
      </c>
      <c r="S230" s="150">
        <v>76.646472542500007</v>
      </c>
      <c r="T230" s="150" t="s">
        <v>2842</v>
      </c>
      <c r="U230" s="150" t="s">
        <v>2842</v>
      </c>
      <c r="V230" s="150" t="s">
        <v>2842</v>
      </c>
    </row>
    <row r="231" spans="1:22">
      <c r="A231" s="150" t="s">
        <v>2881</v>
      </c>
      <c r="B231" s="150" t="s">
        <v>273</v>
      </c>
      <c r="C231" s="150" t="str">
        <f t="shared" si="6"/>
        <v>2005_Kazakhstan</v>
      </c>
      <c r="D231" s="150">
        <v>2228.44</v>
      </c>
      <c r="E231" s="150">
        <v>30529.040000000001</v>
      </c>
      <c r="F231" s="150">
        <f t="shared" si="7"/>
        <v>30529040000</v>
      </c>
      <c r="G231" s="150">
        <v>28300.6</v>
      </c>
      <c r="H231" s="150">
        <v>7495.71</v>
      </c>
      <c r="I231" s="150">
        <v>25474.51</v>
      </c>
      <c r="J231" s="150">
        <v>17978.8</v>
      </c>
      <c r="K231" s="150">
        <v>-5267.27</v>
      </c>
      <c r="L231" s="150">
        <v>5054.53</v>
      </c>
      <c r="M231" s="150">
        <v>10321.799999999999</v>
      </c>
      <c r="N231" s="150">
        <v>7.2994106595000003</v>
      </c>
      <c r="O231" s="150">
        <v>100</v>
      </c>
      <c r="P231" s="150">
        <v>92.700589340500002</v>
      </c>
      <c r="Q231" s="150">
        <v>29.424353991499999</v>
      </c>
      <c r="R231" s="150">
        <v>100</v>
      </c>
      <c r="S231" s="150">
        <v>70.575646008500001</v>
      </c>
      <c r="T231" s="150" t="s">
        <v>2842</v>
      </c>
      <c r="U231" s="150" t="s">
        <v>2842</v>
      </c>
      <c r="V231" s="150" t="s">
        <v>2842</v>
      </c>
    </row>
    <row r="232" spans="1:22">
      <c r="A232" s="150" t="s">
        <v>2881</v>
      </c>
      <c r="B232" s="150" t="s">
        <v>2895</v>
      </c>
      <c r="C232" s="150" t="str">
        <f t="shared" si="6"/>
        <v>2005_Kyrgyzstan</v>
      </c>
      <c r="D232" s="150">
        <v>259.416</v>
      </c>
      <c r="E232" s="150">
        <v>946.25300000000004</v>
      </c>
      <c r="F232" s="150">
        <f t="shared" si="7"/>
        <v>946253000</v>
      </c>
      <c r="G232" s="150">
        <v>686.83699999999999</v>
      </c>
      <c r="H232" s="150">
        <v>290.25799999999998</v>
      </c>
      <c r="I232" s="150">
        <v>1395.798</v>
      </c>
      <c r="J232" s="150">
        <v>1105.54</v>
      </c>
      <c r="K232" s="150">
        <v>-30.841999999999999</v>
      </c>
      <c r="L232" s="150">
        <v>-449.54500000000002</v>
      </c>
      <c r="M232" s="150">
        <v>-418.70299999999997</v>
      </c>
      <c r="N232" s="150">
        <v>27.415078208499999</v>
      </c>
      <c r="O232" s="150">
        <v>100</v>
      </c>
      <c r="P232" s="150">
        <v>72.584921791499994</v>
      </c>
      <c r="Q232" s="150">
        <v>20.795129381199999</v>
      </c>
      <c r="R232" s="150">
        <v>100</v>
      </c>
      <c r="S232" s="150">
        <v>79.204870618800001</v>
      </c>
      <c r="T232" s="150" t="s">
        <v>2842</v>
      </c>
      <c r="U232" s="150" t="s">
        <v>2842</v>
      </c>
      <c r="V232" s="150" t="s">
        <v>2842</v>
      </c>
    </row>
    <row r="233" spans="1:22">
      <c r="A233" s="150" t="s">
        <v>2881</v>
      </c>
      <c r="B233" s="150" t="s">
        <v>294</v>
      </c>
      <c r="C233" s="150" t="str">
        <f t="shared" si="6"/>
        <v>2005_Liberia</v>
      </c>
      <c r="D233" s="150">
        <v>213.239</v>
      </c>
      <c r="E233" s="150">
        <v>345.50200000000001</v>
      </c>
      <c r="F233" s="150">
        <f t="shared" si="7"/>
        <v>345502000</v>
      </c>
      <c r="G233" s="150">
        <v>132.26300000000001</v>
      </c>
      <c r="H233" s="150">
        <v>855.48500000000001</v>
      </c>
      <c r="I233" s="150">
        <v>1161.865</v>
      </c>
      <c r="J233" s="150">
        <v>306.38</v>
      </c>
      <c r="K233" s="150">
        <v>-642.24599999999998</v>
      </c>
      <c r="L233" s="150">
        <v>-816.36300000000006</v>
      </c>
      <c r="M233" s="150">
        <v>-174.11699999999999</v>
      </c>
      <c r="N233" s="150">
        <v>61.718600760599998</v>
      </c>
      <c r="O233" s="150">
        <v>100</v>
      </c>
      <c r="P233" s="150">
        <v>38.281399239400002</v>
      </c>
      <c r="Q233" s="150">
        <v>73.630327103400006</v>
      </c>
      <c r="R233" s="150">
        <v>100</v>
      </c>
      <c r="S233" s="150">
        <v>26.369672896600001</v>
      </c>
      <c r="T233" s="150" t="s">
        <v>2842</v>
      </c>
      <c r="U233" s="150" t="s">
        <v>2842</v>
      </c>
      <c r="V233" s="150" t="s">
        <v>2842</v>
      </c>
    </row>
    <row r="234" spans="1:22">
      <c r="A234" s="150" t="s">
        <v>2881</v>
      </c>
      <c r="B234" s="150" t="s">
        <v>309</v>
      </c>
      <c r="C234" s="150" t="str">
        <f t="shared" si="6"/>
        <v>2005_Madagascar</v>
      </c>
      <c r="D234" s="150">
        <v>497.858</v>
      </c>
      <c r="E234" s="150">
        <v>1332.269</v>
      </c>
      <c r="F234" s="150">
        <f t="shared" si="7"/>
        <v>1332269000</v>
      </c>
      <c r="G234" s="150">
        <v>834.41099999999994</v>
      </c>
      <c r="H234" s="150">
        <v>615.30700000000002</v>
      </c>
      <c r="I234" s="150">
        <v>2041.847</v>
      </c>
      <c r="J234" s="150">
        <v>1426.54</v>
      </c>
      <c r="K234" s="150">
        <v>-117.449</v>
      </c>
      <c r="L234" s="150">
        <v>-709.57799999999997</v>
      </c>
      <c r="M234" s="150">
        <v>-592.12900000000002</v>
      </c>
      <c r="N234" s="150">
        <v>37.369179947900001</v>
      </c>
      <c r="O234" s="150">
        <v>100</v>
      </c>
      <c r="P234" s="150">
        <v>62.630820052099999</v>
      </c>
      <c r="Q234" s="150">
        <v>30.134824009799999</v>
      </c>
      <c r="R234" s="150">
        <v>100</v>
      </c>
      <c r="S234" s="150">
        <v>69.865175990200001</v>
      </c>
      <c r="T234" s="150" t="s">
        <v>2842</v>
      </c>
      <c r="U234" s="150" t="s">
        <v>2842</v>
      </c>
      <c r="V234" s="150" t="s">
        <v>2842</v>
      </c>
    </row>
    <row r="235" spans="1:22">
      <c r="A235" s="150" t="s">
        <v>2881</v>
      </c>
      <c r="B235" s="150" t="s">
        <v>322</v>
      </c>
      <c r="C235" s="150" t="str">
        <f t="shared" si="6"/>
        <v>2005_Mali</v>
      </c>
      <c r="D235" s="150">
        <v>274.28800000000001</v>
      </c>
      <c r="E235" s="150">
        <v>1375.1579999999999</v>
      </c>
      <c r="F235" s="150">
        <f t="shared" si="7"/>
        <v>1375158000</v>
      </c>
      <c r="G235" s="150">
        <v>1100.8699999999999</v>
      </c>
      <c r="H235" s="150">
        <v>588.03599999999994</v>
      </c>
      <c r="I235" s="150">
        <v>1833.4960000000001</v>
      </c>
      <c r="J235" s="150">
        <v>1245.46</v>
      </c>
      <c r="K235" s="150">
        <v>-313.74799999999999</v>
      </c>
      <c r="L235" s="150">
        <v>-458.33800000000002</v>
      </c>
      <c r="M235" s="150">
        <v>-144.59</v>
      </c>
      <c r="N235" s="150">
        <v>19.9459262136</v>
      </c>
      <c r="O235" s="150">
        <v>100</v>
      </c>
      <c r="P235" s="150">
        <v>80.054073786399996</v>
      </c>
      <c r="Q235" s="150">
        <v>32.071845261699998</v>
      </c>
      <c r="R235" s="150">
        <v>100</v>
      </c>
      <c r="S235" s="150">
        <v>67.928154738299995</v>
      </c>
      <c r="T235" s="150" t="s">
        <v>2842</v>
      </c>
      <c r="U235" s="150" t="s">
        <v>2842</v>
      </c>
      <c r="V235" s="150" t="s">
        <v>2842</v>
      </c>
    </row>
    <row r="236" spans="1:22">
      <c r="A236" s="150" t="s">
        <v>2881</v>
      </c>
      <c r="B236" s="150" t="s">
        <v>338</v>
      </c>
      <c r="C236" s="150" t="str">
        <f t="shared" si="6"/>
        <v>2005_Mauritania</v>
      </c>
      <c r="D236" s="150">
        <v>79.569999999999993</v>
      </c>
      <c r="E236" s="150">
        <v>704.70972809</v>
      </c>
      <c r="F236" s="150">
        <f t="shared" si="7"/>
        <v>704709728.09000003</v>
      </c>
      <c r="G236" s="150">
        <v>625.13972808999995</v>
      </c>
      <c r="H236" s="150">
        <v>378.74199161000001</v>
      </c>
      <c r="I236" s="150">
        <v>1807.06147801</v>
      </c>
      <c r="J236" s="150">
        <v>1428.3194864</v>
      </c>
      <c r="K236" s="150">
        <v>-299.17199161000002</v>
      </c>
      <c r="L236" s="150">
        <v>-1102.35174992</v>
      </c>
      <c r="M236" s="150">
        <v>-803.17975831000001</v>
      </c>
      <c r="N236" s="150">
        <v>11.291173773900001</v>
      </c>
      <c r="O236" s="150">
        <v>100</v>
      </c>
      <c r="P236" s="150">
        <v>88.708826226100001</v>
      </c>
      <c r="Q236" s="150">
        <v>20.9589986959</v>
      </c>
      <c r="R236" s="150">
        <v>100</v>
      </c>
      <c r="S236" s="150">
        <v>79.041001304100007</v>
      </c>
      <c r="T236" s="150" t="s">
        <v>2842</v>
      </c>
      <c r="U236" s="150" t="s">
        <v>2842</v>
      </c>
      <c r="V236" s="150" t="s">
        <v>2842</v>
      </c>
    </row>
    <row r="237" spans="1:22">
      <c r="A237" s="150" t="s">
        <v>2881</v>
      </c>
      <c r="B237" s="150" t="s">
        <v>357</v>
      </c>
      <c r="C237" s="150" t="str">
        <f t="shared" si="6"/>
        <v>2005_Mongolia</v>
      </c>
      <c r="D237" s="150">
        <v>414.47</v>
      </c>
      <c r="E237" s="150">
        <v>1483.09</v>
      </c>
      <c r="F237" s="150">
        <f t="shared" si="7"/>
        <v>1483090000</v>
      </c>
      <c r="G237" s="150">
        <v>1068.6199999999999</v>
      </c>
      <c r="H237" s="150">
        <v>475.86</v>
      </c>
      <c r="I237" s="150">
        <v>1573.28</v>
      </c>
      <c r="J237" s="150">
        <v>1097.42</v>
      </c>
      <c r="K237" s="150">
        <v>-61.39</v>
      </c>
      <c r="L237" s="150">
        <v>-90.19</v>
      </c>
      <c r="M237" s="150">
        <v>-28.8</v>
      </c>
      <c r="N237" s="150">
        <v>27.946382215500002</v>
      </c>
      <c r="O237" s="150">
        <v>100</v>
      </c>
      <c r="P237" s="150">
        <v>72.053617784500005</v>
      </c>
      <c r="Q237" s="150">
        <v>30.2463642835</v>
      </c>
      <c r="R237" s="150">
        <v>100</v>
      </c>
      <c r="S237" s="150">
        <v>69.7536357165</v>
      </c>
      <c r="T237" s="150" t="s">
        <v>2842</v>
      </c>
      <c r="U237" s="150" t="s">
        <v>2842</v>
      </c>
      <c r="V237" s="150" t="s">
        <v>2842</v>
      </c>
    </row>
    <row r="238" spans="1:22">
      <c r="A238" s="150" t="s">
        <v>2881</v>
      </c>
      <c r="B238" s="150" t="s">
        <v>378</v>
      </c>
      <c r="C238" s="150" t="str">
        <f t="shared" si="6"/>
        <v>2005_Mozambique</v>
      </c>
      <c r="D238" s="150">
        <v>341.96899999999999</v>
      </c>
      <c r="E238" s="150">
        <v>2087.2289999999998</v>
      </c>
      <c r="F238" s="150">
        <f t="shared" si="7"/>
        <v>2087228999.9999998</v>
      </c>
      <c r="G238" s="150">
        <v>1745.26</v>
      </c>
      <c r="H238" s="150">
        <v>648.60599999999999</v>
      </c>
      <c r="I238" s="150">
        <v>2890.9360000000001</v>
      </c>
      <c r="J238" s="150">
        <v>2242.33</v>
      </c>
      <c r="K238" s="150">
        <v>-306.637</v>
      </c>
      <c r="L238" s="150">
        <v>-803.70699999999999</v>
      </c>
      <c r="M238" s="150">
        <v>-497.07</v>
      </c>
      <c r="N238" s="150">
        <v>16.383875463599999</v>
      </c>
      <c r="O238" s="150">
        <v>100</v>
      </c>
      <c r="P238" s="150">
        <v>83.616124536399994</v>
      </c>
      <c r="Q238" s="150">
        <v>22.435847766999998</v>
      </c>
      <c r="R238" s="150">
        <v>100</v>
      </c>
      <c r="S238" s="150">
        <v>77.564152233000002</v>
      </c>
      <c r="T238" s="150" t="s">
        <v>2842</v>
      </c>
      <c r="U238" s="150" t="s">
        <v>2842</v>
      </c>
      <c r="V238" s="150" t="s">
        <v>2842</v>
      </c>
    </row>
    <row r="239" spans="1:22">
      <c r="A239" s="150" t="s">
        <v>2881</v>
      </c>
      <c r="B239" s="150" t="s">
        <v>387</v>
      </c>
      <c r="C239" s="150" t="str">
        <f t="shared" si="6"/>
        <v>2005_Niger</v>
      </c>
      <c r="D239" s="150">
        <v>87.528000000000006</v>
      </c>
      <c r="E239" s="150">
        <v>565.09199999999998</v>
      </c>
      <c r="F239" s="150">
        <f t="shared" si="7"/>
        <v>565092000</v>
      </c>
      <c r="G239" s="150">
        <v>477.56400000000002</v>
      </c>
      <c r="H239" s="150">
        <v>279.334</v>
      </c>
      <c r="I239" s="150">
        <v>1048.787</v>
      </c>
      <c r="J239" s="150">
        <v>769.45299999999997</v>
      </c>
      <c r="K239" s="150">
        <v>-191.80600000000001</v>
      </c>
      <c r="L239" s="150">
        <v>-483.69499999999999</v>
      </c>
      <c r="M239" s="150">
        <v>-291.88900000000001</v>
      </c>
      <c r="N239" s="150">
        <v>15.4891592873</v>
      </c>
      <c r="O239" s="150">
        <v>100</v>
      </c>
      <c r="P239" s="150">
        <v>84.510840712700002</v>
      </c>
      <c r="Q239" s="150">
        <v>26.634006714400002</v>
      </c>
      <c r="R239" s="150">
        <v>100</v>
      </c>
      <c r="S239" s="150">
        <v>73.365993285599998</v>
      </c>
      <c r="T239" s="150" t="s">
        <v>2842</v>
      </c>
      <c r="U239" s="150" t="s">
        <v>2842</v>
      </c>
      <c r="V239" s="150" t="s">
        <v>2842</v>
      </c>
    </row>
    <row r="240" spans="1:22">
      <c r="A240" s="150" t="s">
        <v>2881</v>
      </c>
      <c r="B240" s="150" t="s">
        <v>406</v>
      </c>
      <c r="C240" s="150" t="str">
        <f t="shared" si="6"/>
        <v>2005_Nigeria</v>
      </c>
      <c r="D240" s="150">
        <v>1792.59</v>
      </c>
      <c r="E240" s="150">
        <v>56994.19</v>
      </c>
      <c r="F240" s="150">
        <f t="shared" si="7"/>
        <v>56994190000</v>
      </c>
      <c r="G240" s="150">
        <v>55201.599999999999</v>
      </c>
      <c r="H240" s="150">
        <v>6623.5</v>
      </c>
      <c r="I240" s="150">
        <v>32626.7</v>
      </c>
      <c r="J240" s="150">
        <v>26003.200000000001</v>
      </c>
      <c r="K240" s="150">
        <v>-4830.91</v>
      </c>
      <c r="L240" s="150">
        <v>24367.49</v>
      </c>
      <c r="M240" s="150">
        <v>29198.400000000001</v>
      </c>
      <c r="N240" s="150">
        <v>3.1452153280999999</v>
      </c>
      <c r="O240" s="150">
        <v>100</v>
      </c>
      <c r="P240" s="150">
        <v>96.854784671900006</v>
      </c>
      <c r="Q240" s="150">
        <v>20.300857886300001</v>
      </c>
      <c r="R240" s="150">
        <v>100</v>
      </c>
      <c r="S240" s="150">
        <v>79.699142113700006</v>
      </c>
      <c r="T240" s="150" t="s">
        <v>2842</v>
      </c>
      <c r="U240" s="150" t="s">
        <v>2842</v>
      </c>
      <c r="V240" s="150" t="s">
        <v>2842</v>
      </c>
    </row>
    <row r="241" spans="1:22">
      <c r="A241" s="150" t="s">
        <v>2881</v>
      </c>
      <c r="B241" s="150" t="s">
        <v>429</v>
      </c>
      <c r="C241" s="150" t="str">
        <f t="shared" si="6"/>
        <v>2005_Norway</v>
      </c>
      <c r="D241" s="150">
        <v>29318.276746</v>
      </c>
      <c r="E241" s="150">
        <v>133562.816536</v>
      </c>
      <c r="F241" s="150">
        <f t="shared" si="7"/>
        <v>133562816536</v>
      </c>
      <c r="G241" s="150">
        <v>104244.53979</v>
      </c>
      <c r="H241" s="150">
        <v>29568.179947000001</v>
      </c>
      <c r="I241" s="150">
        <v>84766.703687999994</v>
      </c>
      <c r="J241" s="150">
        <v>55198.523740999997</v>
      </c>
      <c r="K241" s="150">
        <v>-249.903201</v>
      </c>
      <c r="L241" s="150">
        <v>48796.112847999997</v>
      </c>
      <c r="M241" s="150">
        <v>49046.016048999998</v>
      </c>
      <c r="N241" s="150">
        <v>21.950927291300001</v>
      </c>
      <c r="O241" s="150">
        <v>100</v>
      </c>
      <c r="P241" s="150">
        <v>78.049072708699995</v>
      </c>
      <c r="Q241" s="150">
        <v>34.881832913799997</v>
      </c>
      <c r="R241" s="150">
        <v>100</v>
      </c>
      <c r="S241" s="150">
        <v>65.118167086200003</v>
      </c>
      <c r="T241" s="150" t="s">
        <v>2842</v>
      </c>
      <c r="U241" s="150" t="s">
        <v>2842</v>
      </c>
      <c r="V241" s="150" t="s">
        <v>2842</v>
      </c>
    </row>
    <row r="242" spans="1:22">
      <c r="A242" s="150" t="s">
        <v>2881</v>
      </c>
      <c r="B242" s="150" t="s">
        <v>442</v>
      </c>
      <c r="C242" s="150" t="str">
        <f t="shared" si="6"/>
        <v>2005_Peru</v>
      </c>
      <c r="D242" s="150">
        <v>2289.1999999999998</v>
      </c>
      <c r="E242" s="150">
        <v>19656.900000000001</v>
      </c>
      <c r="F242" s="150">
        <f t="shared" si="7"/>
        <v>19656900000</v>
      </c>
      <c r="G242" s="150">
        <v>17367.7</v>
      </c>
      <c r="H242" s="150">
        <v>3123.47</v>
      </c>
      <c r="I242" s="150">
        <v>15205.07</v>
      </c>
      <c r="J242" s="150">
        <v>12081.6</v>
      </c>
      <c r="K242" s="150">
        <v>-834.27</v>
      </c>
      <c r="L242" s="150">
        <v>4451.83</v>
      </c>
      <c r="M242" s="150">
        <v>5286.1</v>
      </c>
      <c r="N242" s="150">
        <v>11.6457834145</v>
      </c>
      <c r="O242" s="150">
        <v>100</v>
      </c>
      <c r="P242" s="150">
        <v>88.354216585499998</v>
      </c>
      <c r="Q242" s="150">
        <v>20.542292800999999</v>
      </c>
      <c r="R242" s="150">
        <v>100</v>
      </c>
      <c r="S242" s="150">
        <v>79.457707198999998</v>
      </c>
      <c r="T242" s="150" t="s">
        <v>2842</v>
      </c>
      <c r="U242" s="150" t="s">
        <v>2842</v>
      </c>
      <c r="V242" s="150" t="s">
        <v>2842</v>
      </c>
    </row>
    <row r="243" spans="1:22">
      <c r="A243" s="150" t="s">
        <v>2881</v>
      </c>
      <c r="B243" s="150" t="s">
        <v>481</v>
      </c>
      <c r="C243" s="150" t="str">
        <f t="shared" si="6"/>
        <v>2005_Sierra Leone</v>
      </c>
      <c r="D243" s="150">
        <v>78.150999999999996</v>
      </c>
      <c r="E243" s="150">
        <v>261.78199999999998</v>
      </c>
      <c r="F243" s="150">
        <f t="shared" si="7"/>
        <v>261781999.99999997</v>
      </c>
      <c r="G243" s="150">
        <v>183.631</v>
      </c>
      <c r="H243" s="150">
        <v>91.367999999999995</v>
      </c>
      <c r="I243" s="150">
        <v>453.03500000000003</v>
      </c>
      <c r="J243" s="150">
        <v>361.66699999999997</v>
      </c>
      <c r="K243" s="150">
        <v>-13.217000000000001</v>
      </c>
      <c r="L243" s="150">
        <v>-191.25299999999999</v>
      </c>
      <c r="M243" s="150">
        <v>-178.036</v>
      </c>
      <c r="N243" s="150">
        <v>29.853465860899998</v>
      </c>
      <c r="O243" s="150">
        <v>100</v>
      </c>
      <c r="P243" s="150">
        <v>70.146534139099998</v>
      </c>
      <c r="Q243" s="150">
        <v>20.167978191500001</v>
      </c>
      <c r="R243" s="150">
        <v>100</v>
      </c>
      <c r="S243" s="150">
        <v>79.832021808500002</v>
      </c>
      <c r="T243" s="150" t="s">
        <v>2842</v>
      </c>
      <c r="U243" s="150" t="s">
        <v>2842</v>
      </c>
      <c r="V243" s="150" t="s">
        <v>2842</v>
      </c>
    </row>
    <row r="244" spans="1:22">
      <c r="A244" s="150" t="s">
        <v>2881</v>
      </c>
      <c r="B244" s="150" t="s">
        <v>2844</v>
      </c>
      <c r="C244" s="150" t="str">
        <f t="shared" si="6"/>
        <v>2005_Timor-Leste</v>
      </c>
      <c r="D244" s="150" t="s">
        <v>561</v>
      </c>
      <c r="E244" s="150" t="s">
        <v>2842</v>
      </c>
      <c r="F244" s="150" t="str">
        <f t="shared" si="7"/>
        <v>..</v>
      </c>
      <c r="G244" s="150">
        <v>8.0860000000000003</v>
      </c>
      <c r="H244" s="150" t="s">
        <v>561</v>
      </c>
      <c r="I244" s="150" t="s">
        <v>561</v>
      </c>
      <c r="J244" s="150">
        <v>109.10899999999999</v>
      </c>
      <c r="K244" s="150" t="s">
        <v>561</v>
      </c>
      <c r="L244" s="150" t="s">
        <v>561</v>
      </c>
      <c r="M244" s="150">
        <v>-101.023</v>
      </c>
      <c r="N244" s="150" t="s">
        <v>561</v>
      </c>
      <c r="O244" s="150" t="s">
        <v>561</v>
      </c>
      <c r="P244" s="150">
        <v>100</v>
      </c>
      <c r="Q244" s="150" t="s">
        <v>561</v>
      </c>
      <c r="R244" s="150" t="s">
        <v>561</v>
      </c>
      <c r="S244" s="150">
        <v>100</v>
      </c>
      <c r="T244" s="150" t="s">
        <v>2842</v>
      </c>
      <c r="U244" s="150" t="s">
        <v>2842</v>
      </c>
      <c r="V244" s="150" t="s">
        <v>2842</v>
      </c>
    </row>
    <row r="245" spans="1:22">
      <c r="A245" s="150" t="s">
        <v>2881</v>
      </c>
      <c r="B245" s="150" t="s">
        <v>510</v>
      </c>
      <c r="C245" s="150" t="str">
        <f t="shared" si="6"/>
        <v>2005_Togo</v>
      </c>
      <c r="D245" s="150">
        <v>176.91300000000001</v>
      </c>
      <c r="E245" s="150">
        <v>811.00199999999995</v>
      </c>
      <c r="F245" s="150">
        <f t="shared" si="7"/>
        <v>811002000</v>
      </c>
      <c r="G245" s="150">
        <v>634.08900000000006</v>
      </c>
      <c r="H245" s="150">
        <v>250.70400000000001</v>
      </c>
      <c r="I245" s="150">
        <v>1168.1279999999999</v>
      </c>
      <c r="J245" s="150">
        <v>917.42399999999998</v>
      </c>
      <c r="K245" s="150">
        <v>-73.790999999999997</v>
      </c>
      <c r="L245" s="150">
        <v>-357.12599999999998</v>
      </c>
      <c r="M245" s="150">
        <v>-283.33499999999998</v>
      </c>
      <c r="N245" s="150">
        <v>21.814126228999999</v>
      </c>
      <c r="O245" s="150">
        <v>100</v>
      </c>
      <c r="P245" s="150">
        <v>78.185873771000004</v>
      </c>
      <c r="Q245" s="150">
        <v>21.4620315582</v>
      </c>
      <c r="R245" s="150">
        <v>100</v>
      </c>
      <c r="S245" s="150">
        <v>78.537968441800004</v>
      </c>
      <c r="T245" s="150" t="s">
        <v>2842</v>
      </c>
      <c r="U245" s="150" t="s">
        <v>2842</v>
      </c>
      <c r="V245" s="150" t="s">
        <v>2842</v>
      </c>
    </row>
    <row r="246" spans="1:22">
      <c r="A246" s="150" t="s">
        <v>2881</v>
      </c>
      <c r="B246" s="150" t="s">
        <v>2845</v>
      </c>
      <c r="C246" s="150" t="str">
        <f t="shared" si="6"/>
        <v>2005_Trinidad and Tobago</v>
      </c>
      <c r="D246" s="150">
        <v>896.9</v>
      </c>
      <c r="E246" s="150">
        <v>10892.55</v>
      </c>
      <c r="F246" s="150">
        <f t="shared" si="7"/>
        <v>10892550000</v>
      </c>
      <c r="G246" s="150">
        <v>9995.65</v>
      </c>
      <c r="H246" s="150">
        <v>540.70000000000005</v>
      </c>
      <c r="I246" s="150">
        <v>6268.3</v>
      </c>
      <c r="J246" s="150">
        <v>5727.6</v>
      </c>
      <c r="K246" s="150">
        <v>356.2</v>
      </c>
      <c r="L246" s="150">
        <v>4624.25</v>
      </c>
      <c r="M246" s="150">
        <v>4268.05</v>
      </c>
      <c r="N246" s="150">
        <v>8.2340682393000009</v>
      </c>
      <c r="O246" s="150">
        <v>100</v>
      </c>
      <c r="P246" s="150">
        <v>91.765931760699999</v>
      </c>
      <c r="Q246" s="150">
        <v>8.6259432381999996</v>
      </c>
      <c r="R246" s="150">
        <v>100</v>
      </c>
      <c r="S246" s="150">
        <v>91.374056761800006</v>
      </c>
      <c r="T246" s="150" t="s">
        <v>2842</v>
      </c>
      <c r="U246" s="150" t="s">
        <v>2842</v>
      </c>
      <c r="V246" s="150" t="s">
        <v>2842</v>
      </c>
    </row>
    <row r="247" spans="1:22">
      <c r="A247" s="150" t="s">
        <v>2881</v>
      </c>
      <c r="B247" s="150" t="s">
        <v>492</v>
      </c>
      <c r="C247" s="150" t="str">
        <f t="shared" si="6"/>
        <v>2005_Tanzania</v>
      </c>
      <c r="D247" s="150">
        <v>1269.1600000000001</v>
      </c>
      <c r="E247" s="150">
        <v>2971.66</v>
      </c>
      <c r="F247" s="150">
        <f t="shared" si="7"/>
        <v>2971660000</v>
      </c>
      <c r="G247" s="150">
        <v>1702.5</v>
      </c>
      <c r="H247" s="150">
        <v>1207.32</v>
      </c>
      <c r="I247" s="150">
        <v>4204.8900000000003</v>
      </c>
      <c r="J247" s="150">
        <v>2997.57</v>
      </c>
      <c r="K247" s="150">
        <v>61.84</v>
      </c>
      <c r="L247" s="150">
        <v>-1233.23</v>
      </c>
      <c r="M247" s="150">
        <v>-1295.07</v>
      </c>
      <c r="N247" s="150">
        <v>42.708789027000002</v>
      </c>
      <c r="O247" s="150">
        <v>100</v>
      </c>
      <c r="P247" s="150">
        <v>57.291210972999998</v>
      </c>
      <c r="Q247" s="150">
        <v>28.712284982500002</v>
      </c>
      <c r="R247" s="150">
        <v>100</v>
      </c>
      <c r="S247" s="150">
        <v>71.287715017500005</v>
      </c>
      <c r="T247" s="150" t="s">
        <v>2842</v>
      </c>
      <c r="U247" s="150" t="s">
        <v>2842</v>
      </c>
      <c r="V247" s="150" t="s">
        <v>2842</v>
      </c>
    </row>
    <row r="248" spans="1:22">
      <c r="A248" s="150" t="s">
        <v>2881</v>
      </c>
      <c r="B248" s="150" t="s">
        <v>522</v>
      </c>
      <c r="C248" s="150" t="str">
        <f t="shared" si="6"/>
        <v>2005_Yemen</v>
      </c>
      <c r="D248" s="150">
        <v>372.08199999999999</v>
      </c>
      <c r="E248" s="150">
        <v>6785.2619999999997</v>
      </c>
      <c r="F248" s="150">
        <f t="shared" si="7"/>
        <v>6785262000</v>
      </c>
      <c r="G248" s="150">
        <v>6413.18</v>
      </c>
      <c r="H248" s="150">
        <v>1241.45</v>
      </c>
      <c r="I248" s="150">
        <v>5954.34</v>
      </c>
      <c r="J248" s="150">
        <v>4712.8900000000003</v>
      </c>
      <c r="K248" s="150">
        <v>-869.36800000000005</v>
      </c>
      <c r="L248" s="150">
        <v>830.92200000000003</v>
      </c>
      <c r="M248" s="150">
        <v>1700.29</v>
      </c>
      <c r="N248" s="150">
        <v>5.4836791858999998</v>
      </c>
      <c r="O248" s="150">
        <v>100</v>
      </c>
      <c r="P248" s="150">
        <v>94.516320814099998</v>
      </c>
      <c r="Q248" s="150">
        <v>20.849498013200002</v>
      </c>
      <c r="R248" s="150">
        <v>100</v>
      </c>
      <c r="S248" s="150">
        <v>79.150501986799995</v>
      </c>
      <c r="T248" s="150" t="s">
        <v>2842</v>
      </c>
      <c r="U248" s="150" t="s">
        <v>2842</v>
      </c>
      <c r="V248" s="150" t="s">
        <v>2842</v>
      </c>
    </row>
    <row r="249" spans="1:22">
      <c r="A249" s="150" t="s">
        <v>2881</v>
      </c>
      <c r="B249" s="150" t="s">
        <v>534</v>
      </c>
      <c r="C249" s="150" t="str">
        <f t="shared" si="6"/>
        <v>2005_Zambia</v>
      </c>
      <c r="D249" s="150">
        <v>273.3</v>
      </c>
      <c r="E249" s="150">
        <v>2520.14</v>
      </c>
      <c r="F249" s="150">
        <f t="shared" si="7"/>
        <v>2520140000</v>
      </c>
      <c r="G249" s="150">
        <v>2246.84</v>
      </c>
      <c r="H249" s="150">
        <v>470.8</v>
      </c>
      <c r="I249" s="150">
        <v>2631.55</v>
      </c>
      <c r="J249" s="150">
        <v>2160.75</v>
      </c>
      <c r="K249" s="150">
        <v>-197.5</v>
      </c>
      <c r="L249" s="150">
        <v>-111.41</v>
      </c>
      <c r="M249" s="150">
        <v>86.09</v>
      </c>
      <c r="N249" s="150">
        <v>10.8446356155</v>
      </c>
      <c r="O249" s="150">
        <v>100</v>
      </c>
      <c r="P249" s="150">
        <v>89.155364384500004</v>
      </c>
      <c r="Q249" s="150">
        <v>17.890596796600001</v>
      </c>
      <c r="R249" s="150">
        <v>100</v>
      </c>
      <c r="S249" s="150">
        <v>82.109403203400007</v>
      </c>
      <c r="T249" s="150" t="s">
        <v>2842</v>
      </c>
      <c r="U249" s="150" t="s">
        <v>2842</v>
      </c>
      <c r="V249" s="150" t="s">
        <v>2842</v>
      </c>
    </row>
    <row r="250" spans="1:22">
      <c r="A250" s="150" t="s">
        <v>2882</v>
      </c>
      <c r="B250" s="150" t="s">
        <v>16</v>
      </c>
      <c r="C250" s="150" t="str">
        <f t="shared" si="6"/>
        <v>2006_Afghanistan</v>
      </c>
      <c r="D250" s="150" t="s">
        <v>561</v>
      </c>
      <c r="E250" s="150" t="s">
        <v>2842</v>
      </c>
      <c r="F250" s="150" t="str">
        <f t="shared" si="7"/>
        <v>..</v>
      </c>
      <c r="G250" s="150">
        <v>1811</v>
      </c>
      <c r="H250" s="150" t="s">
        <v>561</v>
      </c>
      <c r="I250" s="150" t="s">
        <v>561</v>
      </c>
      <c r="J250" s="150">
        <v>6744</v>
      </c>
      <c r="K250" s="150" t="s">
        <v>561</v>
      </c>
      <c r="L250" s="150" t="s">
        <v>561</v>
      </c>
      <c r="M250" s="150">
        <v>-4933</v>
      </c>
      <c r="N250" s="150" t="s">
        <v>561</v>
      </c>
      <c r="O250" s="150" t="s">
        <v>561</v>
      </c>
      <c r="P250" s="150">
        <v>94.442884659300006</v>
      </c>
      <c r="Q250" s="150" t="s">
        <v>561</v>
      </c>
      <c r="R250" s="150" t="s">
        <v>561</v>
      </c>
      <c r="S250" s="150">
        <v>98.733949281799994</v>
      </c>
      <c r="T250" s="150" t="s">
        <v>2842</v>
      </c>
      <c r="U250" s="150" t="s">
        <v>2842</v>
      </c>
      <c r="V250" s="150" t="s">
        <v>2842</v>
      </c>
    </row>
    <row r="251" spans="1:22">
      <c r="A251" s="150" t="s">
        <v>2882</v>
      </c>
      <c r="B251" s="150" t="s">
        <v>33</v>
      </c>
      <c r="C251" s="150" t="str">
        <f t="shared" si="6"/>
        <v>2006_Albania</v>
      </c>
      <c r="D251" s="150">
        <v>1503.97</v>
      </c>
      <c r="E251" s="150">
        <v>2296.8429999999998</v>
      </c>
      <c r="F251" s="150">
        <f t="shared" si="7"/>
        <v>2296843000</v>
      </c>
      <c r="G251" s="150">
        <v>792.87300000000005</v>
      </c>
      <c r="H251" s="150">
        <v>1584.82</v>
      </c>
      <c r="I251" s="150">
        <v>4500.3999999999996</v>
      </c>
      <c r="J251" s="150">
        <v>2915.58</v>
      </c>
      <c r="K251" s="150">
        <v>-80.849999999999994</v>
      </c>
      <c r="L251" s="150">
        <v>-2203.5569999999998</v>
      </c>
      <c r="M251" s="150">
        <v>-2122.7069999999999</v>
      </c>
      <c r="N251" s="150">
        <v>65.479878250300004</v>
      </c>
      <c r="O251" s="150">
        <v>100</v>
      </c>
      <c r="P251" s="150">
        <v>34.520121749700003</v>
      </c>
      <c r="Q251" s="150">
        <v>35.215091991800001</v>
      </c>
      <c r="R251" s="150">
        <v>100</v>
      </c>
      <c r="S251" s="150">
        <v>64.784908008200006</v>
      </c>
      <c r="T251" s="150" t="s">
        <v>2842</v>
      </c>
      <c r="U251" s="150" t="s">
        <v>2842</v>
      </c>
      <c r="V251" s="150" t="s">
        <v>2842</v>
      </c>
    </row>
    <row r="252" spans="1:22">
      <c r="A252" s="150" t="s">
        <v>2882</v>
      </c>
      <c r="B252" s="150" t="s">
        <v>48</v>
      </c>
      <c r="C252" s="150" t="str">
        <f t="shared" si="6"/>
        <v>2006_Azerbaijan</v>
      </c>
      <c r="D252" s="150">
        <v>939.87</v>
      </c>
      <c r="E252" s="150">
        <v>13954.47</v>
      </c>
      <c r="F252" s="150">
        <f t="shared" si="7"/>
        <v>13954470000</v>
      </c>
      <c r="G252" s="150">
        <v>13014.6</v>
      </c>
      <c r="H252" s="150">
        <v>2863.25</v>
      </c>
      <c r="I252" s="150">
        <v>8132.59</v>
      </c>
      <c r="J252" s="150">
        <v>5269.34</v>
      </c>
      <c r="K252" s="150">
        <v>-1923.38</v>
      </c>
      <c r="L252" s="150">
        <v>5821.88</v>
      </c>
      <c r="M252" s="150">
        <v>7745.26</v>
      </c>
      <c r="N252" s="150">
        <v>6.7352611743999997</v>
      </c>
      <c r="O252" s="150">
        <v>100</v>
      </c>
      <c r="P252" s="150">
        <v>93.264738825600006</v>
      </c>
      <c r="Q252" s="150">
        <v>35.207111141699997</v>
      </c>
      <c r="R252" s="150">
        <v>100</v>
      </c>
      <c r="S252" s="150">
        <v>64.792888858300003</v>
      </c>
      <c r="T252" s="150" t="s">
        <v>2842</v>
      </c>
      <c r="U252" s="150" t="s">
        <v>2842</v>
      </c>
      <c r="V252" s="150" t="s">
        <v>2842</v>
      </c>
    </row>
    <row r="253" spans="1:22">
      <c r="A253" s="150" t="s">
        <v>2882</v>
      </c>
      <c r="B253" s="150" t="s">
        <v>93</v>
      </c>
      <c r="C253" s="150" t="str">
        <f t="shared" si="6"/>
        <v>2006_Burkina Faso</v>
      </c>
      <c r="D253" s="150">
        <v>63.884999999999998</v>
      </c>
      <c r="E253" s="150">
        <v>671.03200000000004</v>
      </c>
      <c r="F253" s="150">
        <f t="shared" si="7"/>
        <v>671032000</v>
      </c>
      <c r="G253" s="150">
        <v>607.14700000000005</v>
      </c>
      <c r="H253" s="150">
        <v>360.101</v>
      </c>
      <c r="I253" s="150">
        <v>1453.8710000000001</v>
      </c>
      <c r="J253" s="150">
        <v>1093.77</v>
      </c>
      <c r="K253" s="150">
        <v>-296.21600000000001</v>
      </c>
      <c r="L253" s="150">
        <v>-782.83900000000006</v>
      </c>
      <c r="M253" s="150">
        <v>-486.62299999999999</v>
      </c>
      <c r="N253" s="150">
        <v>9.5204103530000008</v>
      </c>
      <c r="O253" s="150">
        <v>100</v>
      </c>
      <c r="P253" s="150">
        <v>90.479589646999997</v>
      </c>
      <c r="Q253" s="150">
        <v>24.768428560699999</v>
      </c>
      <c r="R253" s="150">
        <v>100</v>
      </c>
      <c r="S253" s="150">
        <v>75.231571439299998</v>
      </c>
      <c r="T253" s="150" t="s">
        <v>2842</v>
      </c>
      <c r="U253" s="150" t="s">
        <v>2842</v>
      </c>
      <c r="V253" s="150" t="s">
        <v>2842</v>
      </c>
    </row>
    <row r="254" spans="1:22">
      <c r="A254" s="150" t="s">
        <v>2882</v>
      </c>
      <c r="B254" s="150" t="s">
        <v>2890</v>
      </c>
      <c r="C254" s="150" t="str">
        <f t="shared" si="6"/>
        <v>2006_ Cameroon</v>
      </c>
      <c r="D254" s="150">
        <v>1016.53</v>
      </c>
      <c r="E254" s="150">
        <v>4865.17</v>
      </c>
      <c r="F254" s="150">
        <f t="shared" si="7"/>
        <v>4865170000</v>
      </c>
      <c r="G254" s="150">
        <v>3848.64</v>
      </c>
      <c r="H254" s="150">
        <v>1474.94</v>
      </c>
      <c r="I254" s="150">
        <v>4653.45</v>
      </c>
      <c r="J254" s="150">
        <v>3178.51</v>
      </c>
      <c r="K254" s="150">
        <v>-458.41</v>
      </c>
      <c r="L254" s="150">
        <v>211.72</v>
      </c>
      <c r="M254" s="150">
        <v>670.13</v>
      </c>
      <c r="N254" s="150">
        <v>20.894028369000001</v>
      </c>
      <c r="O254" s="150">
        <v>100</v>
      </c>
      <c r="P254" s="150">
        <v>79.105971631000003</v>
      </c>
      <c r="Q254" s="150">
        <v>31.695623677099999</v>
      </c>
      <c r="R254" s="150">
        <v>100</v>
      </c>
      <c r="S254" s="150">
        <v>68.304376322899998</v>
      </c>
      <c r="T254" s="150" t="s">
        <v>2842</v>
      </c>
      <c r="U254" s="150" t="s">
        <v>2842</v>
      </c>
      <c r="V254" s="150" t="s">
        <v>2842</v>
      </c>
    </row>
    <row r="255" spans="1:22">
      <c r="A255" s="150" t="s">
        <v>2882</v>
      </c>
      <c r="B255" s="150" t="s">
        <v>122</v>
      </c>
      <c r="C255" s="150" t="str">
        <f t="shared" si="6"/>
        <v>2006_Central African Republic</v>
      </c>
      <c r="D255" s="150">
        <v>51.636099369999997</v>
      </c>
      <c r="E255" s="150">
        <v>209.22182484999999</v>
      </c>
      <c r="F255" s="150">
        <f t="shared" si="7"/>
        <v>209221824.84999999</v>
      </c>
      <c r="G255" s="150">
        <v>157.58572548000001</v>
      </c>
      <c r="H255" s="150">
        <v>120.29298704999999</v>
      </c>
      <c r="I255" s="150">
        <v>322.82124347000001</v>
      </c>
      <c r="J255" s="150">
        <v>202.52825641999999</v>
      </c>
      <c r="K255" s="150">
        <v>-68.656887679999997</v>
      </c>
      <c r="L255" s="150">
        <v>-113.59941861999999</v>
      </c>
      <c r="M255" s="150">
        <v>-44.942530939999997</v>
      </c>
      <c r="N255" s="150">
        <v>24.680073126700002</v>
      </c>
      <c r="O255" s="150">
        <v>100</v>
      </c>
      <c r="P255" s="150">
        <v>75.319926873300005</v>
      </c>
      <c r="Q255" s="150">
        <v>37.263033174900002</v>
      </c>
      <c r="R255" s="150">
        <v>100</v>
      </c>
      <c r="S255" s="150">
        <v>62.736966825099998</v>
      </c>
      <c r="T255" s="150" t="s">
        <v>2842</v>
      </c>
      <c r="U255" s="150" t="s">
        <v>2842</v>
      </c>
      <c r="V255" s="150" t="s">
        <v>2842</v>
      </c>
    </row>
    <row r="256" spans="1:22">
      <c r="A256" s="150" t="s">
        <v>2882</v>
      </c>
      <c r="B256" s="150" t="s">
        <v>2891</v>
      </c>
      <c r="C256" s="150" t="str">
        <f t="shared" si="6"/>
        <v>2006_ Chad</v>
      </c>
      <c r="D256" s="150">
        <v>156.43825661</v>
      </c>
      <c r="E256" s="150">
        <v>3531.7179521399999</v>
      </c>
      <c r="F256" s="150">
        <f t="shared" si="7"/>
        <v>3531717952.1399999</v>
      </c>
      <c r="G256" s="150">
        <v>3375.27969553</v>
      </c>
      <c r="H256" s="150">
        <v>2157.81521926</v>
      </c>
      <c r="I256" s="150">
        <v>3586.9877029499999</v>
      </c>
      <c r="J256" s="150">
        <v>1429.17248369</v>
      </c>
      <c r="K256" s="150">
        <v>-2001.37696265</v>
      </c>
      <c r="L256" s="150">
        <v>-55.269750809999998</v>
      </c>
      <c r="M256" s="150">
        <v>1946.10721184</v>
      </c>
      <c r="N256" s="150">
        <v>4.4295229327000003</v>
      </c>
      <c r="O256" s="150">
        <v>100</v>
      </c>
      <c r="P256" s="150">
        <v>95.570477067300004</v>
      </c>
      <c r="Q256" s="150">
        <v>60.156749840099998</v>
      </c>
      <c r="R256" s="150">
        <v>100</v>
      </c>
      <c r="S256" s="150">
        <v>39.843250159900002</v>
      </c>
      <c r="T256" s="150" t="s">
        <v>2842</v>
      </c>
      <c r="U256" s="150" t="s">
        <v>2842</v>
      </c>
      <c r="V256" s="150" t="s">
        <v>2842</v>
      </c>
    </row>
    <row r="257" spans="1:22">
      <c r="A257" s="150" t="s">
        <v>2882</v>
      </c>
      <c r="B257" s="150" t="s">
        <v>458</v>
      </c>
      <c r="C257" s="150" t="str">
        <f t="shared" si="6"/>
        <v>2006_Republic of the Congo</v>
      </c>
      <c r="D257" s="150">
        <v>266.02100000000002</v>
      </c>
      <c r="E257" s="150">
        <v>6331.7309999999998</v>
      </c>
      <c r="F257" s="150">
        <f t="shared" si="7"/>
        <v>6331731000</v>
      </c>
      <c r="G257" s="150">
        <v>6065.71</v>
      </c>
      <c r="H257" s="150">
        <v>2425.94</v>
      </c>
      <c r="I257" s="150">
        <v>4429.42</v>
      </c>
      <c r="J257" s="150">
        <v>2003.48</v>
      </c>
      <c r="K257" s="150">
        <v>-2159.9189999999999</v>
      </c>
      <c r="L257" s="150">
        <v>1902.3109999999999</v>
      </c>
      <c r="M257" s="150">
        <v>4062.23</v>
      </c>
      <c r="N257" s="150">
        <v>4.2013945318000001</v>
      </c>
      <c r="O257" s="150">
        <v>100</v>
      </c>
      <c r="P257" s="150">
        <v>95.798605468199995</v>
      </c>
      <c r="Q257" s="150">
        <v>54.768795914599998</v>
      </c>
      <c r="R257" s="150">
        <v>100</v>
      </c>
      <c r="S257" s="150">
        <v>45.231204085400002</v>
      </c>
      <c r="T257" s="150" t="s">
        <v>2842</v>
      </c>
      <c r="U257" s="150" t="s">
        <v>2842</v>
      </c>
      <c r="V257" s="150" t="s">
        <v>2842</v>
      </c>
    </row>
    <row r="258" spans="1:22">
      <c r="A258" s="150" t="s">
        <v>2882</v>
      </c>
      <c r="B258" s="150" t="s">
        <v>165</v>
      </c>
      <c r="C258" s="150" t="str">
        <f t="shared" si="6"/>
        <v>2006_Democratic Republic of Congo</v>
      </c>
      <c r="D258" s="150">
        <v>383.29369885</v>
      </c>
      <c r="E258" s="150">
        <v>3088.0058833399999</v>
      </c>
      <c r="F258" s="150">
        <f t="shared" si="7"/>
        <v>3088005883.3399997</v>
      </c>
      <c r="G258" s="150">
        <v>2704.7121844899998</v>
      </c>
      <c r="H258" s="150">
        <v>903.92069867999999</v>
      </c>
      <c r="I258" s="150">
        <v>3795.4743654600002</v>
      </c>
      <c r="J258" s="150">
        <v>2891.5536667800002</v>
      </c>
      <c r="K258" s="150">
        <v>-520.62699983000005</v>
      </c>
      <c r="L258" s="150">
        <v>-707.46848211999998</v>
      </c>
      <c r="M258" s="150">
        <v>-186.84148228999999</v>
      </c>
      <c r="N258" s="150">
        <v>12.412337065699999</v>
      </c>
      <c r="O258" s="150">
        <v>100</v>
      </c>
      <c r="P258" s="150">
        <v>87.587662934299999</v>
      </c>
      <c r="Q258" s="150">
        <v>23.815750329</v>
      </c>
      <c r="R258" s="150">
        <v>100</v>
      </c>
      <c r="S258" s="150">
        <v>76.184249671000003</v>
      </c>
      <c r="T258" s="150" t="s">
        <v>2842</v>
      </c>
      <c r="U258" s="150" t="s">
        <v>2842</v>
      </c>
      <c r="V258" s="150" t="s">
        <v>2842</v>
      </c>
    </row>
    <row r="259" spans="1:22">
      <c r="A259" s="150" t="s">
        <v>2882</v>
      </c>
      <c r="B259" s="150" t="s">
        <v>2892</v>
      </c>
      <c r="C259" s="150" t="str">
        <f t="shared" si="6"/>
        <v>2006_ Equatorial Guinea</v>
      </c>
      <c r="D259" s="150">
        <v>41.117634680000002</v>
      </c>
      <c r="E259" s="150">
        <v>8276.5017498800007</v>
      </c>
      <c r="F259" s="150">
        <f t="shared" si="7"/>
        <v>8276501749.8800011</v>
      </c>
      <c r="G259" s="150">
        <v>8235.3841152000005</v>
      </c>
      <c r="H259" s="150">
        <v>858.88045285999999</v>
      </c>
      <c r="I259" s="150">
        <v>2879.3818967500001</v>
      </c>
      <c r="J259" s="150">
        <v>2020.50144389</v>
      </c>
      <c r="K259" s="150">
        <v>-817.76281817999995</v>
      </c>
      <c r="L259" s="150">
        <v>5397.1198531299997</v>
      </c>
      <c r="M259" s="150">
        <v>6214.8826713099998</v>
      </c>
      <c r="N259" s="150">
        <v>0.49679968569999999</v>
      </c>
      <c r="O259" s="150">
        <v>100</v>
      </c>
      <c r="P259" s="150">
        <v>99.503200314300003</v>
      </c>
      <c r="Q259" s="150">
        <v>29.828639744899998</v>
      </c>
      <c r="R259" s="150">
        <v>100</v>
      </c>
      <c r="S259" s="150">
        <v>70.171360255099998</v>
      </c>
      <c r="T259" s="150" t="s">
        <v>2842</v>
      </c>
      <c r="U259" s="150" t="s">
        <v>2842</v>
      </c>
      <c r="V259" s="150" t="s">
        <v>2842</v>
      </c>
    </row>
    <row r="260" spans="1:22">
      <c r="A260" s="150" t="s">
        <v>2882</v>
      </c>
      <c r="B260" s="150" t="s">
        <v>2893</v>
      </c>
      <c r="C260" s="150" t="str">
        <f t="shared" si="6"/>
        <v>2006_ Gabon</v>
      </c>
      <c r="D260" s="150" t="s">
        <v>561</v>
      </c>
      <c r="E260" s="150" t="s">
        <v>2842</v>
      </c>
      <c r="F260" s="150" t="str">
        <f t="shared" si="7"/>
        <v>..</v>
      </c>
      <c r="G260" s="150">
        <v>6056.1494769399997</v>
      </c>
      <c r="H260" s="150" t="s">
        <v>561</v>
      </c>
      <c r="I260" s="150" t="s">
        <v>561</v>
      </c>
      <c r="J260" s="150">
        <v>1560.5576698699999</v>
      </c>
      <c r="K260" s="150" t="s">
        <v>561</v>
      </c>
      <c r="L260" s="150" t="s">
        <v>561</v>
      </c>
      <c r="M260" s="150">
        <v>4495.59180707</v>
      </c>
      <c r="N260" s="150" t="s">
        <v>561</v>
      </c>
      <c r="O260" s="150" t="s">
        <v>561</v>
      </c>
      <c r="P260" s="150">
        <v>97.620148586699997</v>
      </c>
      <c r="Q260" s="150" t="s">
        <v>561</v>
      </c>
      <c r="R260" s="150" t="s">
        <v>561</v>
      </c>
      <c r="S260" s="150">
        <v>55.8789289873</v>
      </c>
      <c r="T260" s="150" t="s">
        <v>2842</v>
      </c>
      <c r="U260" s="150" t="s">
        <v>2842</v>
      </c>
      <c r="V260" s="150" t="s">
        <v>2842</v>
      </c>
    </row>
    <row r="261" spans="1:22">
      <c r="A261" s="150" t="s">
        <v>2882</v>
      </c>
      <c r="B261" s="150" t="s">
        <v>189</v>
      </c>
      <c r="C261" s="150" t="str">
        <f t="shared" si="6"/>
        <v>2006_Ghana</v>
      </c>
      <c r="D261" s="150">
        <v>1382.84</v>
      </c>
      <c r="E261" s="150">
        <v>5109.51</v>
      </c>
      <c r="F261" s="150">
        <f t="shared" si="7"/>
        <v>5109510000</v>
      </c>
      <c r="G261" s="150">
        <v>3726.67</v>
      </c>
      <c r="H261" s="150">
        <v>1532.82</v>
      </c>
      <c r="I261" s="150">
        <v>8286.49</v>
      </c>
      <c r="J261" s="150">
        <v>6753.67</v>
      </c>
      <c r="K261" s="150">
        <v>-149.97999999999999</v>
      </c>
      <c r="L261" s="150">
        <v>-3176.98</v>
      </c>
      <c r="M261" s="150">
        <v>-3027</v>
      </c>
      <c r="N261" s="150">
        <v>27.064043323100002</v>
      </c>
      <c r="O261" s="150">
        <v>100</v>
      </c>
      <c r="P261" s="150">
        <v>72.935956676900005</v>
      </c>
      <c r="Q261" s="150">
        <v>18.497819945500002</v>
      </c>
      <c r="R261" s="150">
        <v>100</v>
      </c>
      <c r="S261" s="150">
        <v>81.502180054500002</v>
      </c>
      <c r="T261" s="150" t="s">
        <v>2842</v>
      </c>
      <c r="U261" s="150" t="s">
        <v>2842</v>
      </c>
      <c r="V261" s="150" t="s">
        <v>2842</v>
      </c>
    </row>
    <row r="262" spans="1:22">
      <c r="A262" s="150" t="s">
        <v>2882</v>
      </c>
      <c r="B262" s="150" t="s">
        <v>213</v>
      </c>
      <c r="C262" s="150" t="str">
        <f t="shared" ref="C262:C325" si="8">$A262&amp;"_"&amp;$B262</f>
        <v>2006_Guatemala</v>
      </c>
      <c r="D262" s="150">
        <v>1518.9</v>
      </c>
      <c r="E262" s="150">
        <v>7601</v>
      </c>
      <c r="F262" s="150">
        <f t="shared" ref="F262:F325" si="9">IFERROR($E262*1000000,"..")</f>
        <v>7601000000</v>
      </c>
      <c r="G262" s="150">
        <v>6082.1</v>
      </c>
      <c r="H262" s="150">
        <v>1778.4</v>
      </c>
      <c r="I262" s="150">
        <v>12712.8</v>
      </c>
      <c r="J262" s="150">
        <v>10934.4</v>
      </c>
      <c r="K262" s="150">
        <v>-259.5</v>
      </c>
      <c r="L262" s="150">
        <v>-5111.8</v>
      </c>
      <c r="M262" s="150">
        <v>-4852.3</v>
      </c>
      <c r="N262" s="150">
        <v>19.9828969872</v>
      </c>
      <c r="O262" s="150">
        <v>100</v>
      </c>
      <c r="P262" s="150">
        <v>80.017103012800007</v>
      </c>
      <c r="Q262" s="150">
        <v>13.9890504059</v>
      </c>
      <c r="R262" s="150">
        <v>100</v>
      </c>
      <c r="S262" s="150">
        <v>86.010949594099998</v>
      </c>
      <c r="T262" s="150" t="s">
        <v>2842</v>
      </c>
      <c r="U262" s="150" t="s">
        <v>2842</v>
      </c>
      <c r="V262" s="150" t="s">
        <v>2842</v>
      </c>
    </row>
    <row r="263" spans="1:22">
      <c r="A263" s="150" t="s">
        <v>2882</v>
      </c>
      <c r="B263" s="150" t="s">
        <v>2894</v>
      </c>
      <c r="C263" s="150" t="str">
        <f t="shared" si="8"/>
        <v>2006_ Guinea</v>
      </c>
      <c r="D263" s="150">
        <v>63.51</v>
      </c>
      <c r="E263" s="150">
        <v>1096.0899999999999</v>
      </c>
      <c r="F263" s="150">
        <f t="shared" si="9"/>
        <v>1096090000</v>
      </c>
      <c r="G263" s="150">
        <v>1032.58</v>
      </c>
      <c r="H263" s="150">
        <v>299.97000000000003</v>
      </c>
      <c r="I263" s="150">
        <v>1256.01</v>
      </c>
      <c r="J263" s="150">
        <v>956.04</v>
      </c>
      <c r="K263" s="150">
        <v>-236.46</v>
      </c>
      <c r="L263" s="150">
        <v>-159.91999999999999</v>
      </c>
      <c r="M263" s="150">
        <v>76.540000000000006</v>
      </c>
      <c r="N263" s="150">
        <v>5.7942322255000001</v>
      </c>
      <c r="O263" s="150">
        <v>100</v>
      </c>
      <c r="P263" s="150">
        <v>94.205767774500003</v>
      </c>
      <c r="Q263" s="150">
        <v>23.882771634000001</v>
      </c>
      <c r="R263" s="150">
        <v>100</v>
      </c>
      <c r="S263" s="150">
        <v>76.117228366000006</v>
      </c>
      <c r="T263" s="150" t="s">
        <v>2842</v>
      </c>
      <c r="U263" s="150" t="s">
        <v>2842</v>
      </c>
      <c r="V263" s="150" t="s">
        <v>2842</v>
      </c>
    </row>
    <row r="264" spans="1:22">
      <c r="A264" s="150" t="s">
        <v>2882</v>
      </c>
      <c r="B264" s="150" t="s">
        <v>237</v>
      </c>
      <c r="C264" s="150" t="str">
        <f t="shared" si="8"/>
        <v>2006_Indonesia</v>
      </c>
      <c r="D264" s="150">
        <v>11520</v>
      </c>
      <c r="E264" s="150">
        <v>115048</v>
      </c>
      <c r="F264" s="150">
        <f t="shared" si="9"/>
        <v>115048000000</v>
      </c>
      <c r="G264" s="150">
        <v>103528</v>
      </c>
      <c r="H264" s="150">
        <v>21393.9</v>
      </c>
      <c r="I264" s="150">
        <v>95261.7</v>
      </c>
      <c r="J264" s="150">
        <v>73867.8</v>
      </c>
      <c r="K264" s="150">
        <v>-9873.9</v>
      </c>
      <c r="L264" s="150">
        <v>19786.3</v>
      </c>
      <c r="M264" s="150">
        <v>29660.2</v>
      </c>
      <c r="N264" s="150">
        <v>10.0132118768</v>
      </c>
      <c r="O264" s="150">
        <v>100</v>
      </c>
      <c r="P264" s="150">
        <v>89.9867881232</v>
      </c>
      <c r="Q264" s="150">
        <v>22.458028777599999</v>
      </c>
      <c r="R264" s="150">
        <v>100</v>
      </c>
      <c r="S264" s="150">
        <v>77.541971222399994</v>
      </c>
      <c r="T264" s="150" t="s">
        <v>2842</v>
      </c>
      <c r="U264" s="150" t="s">
        <v>2842</v>
      </c>
      <c r="V264" s="150" t="s">
        <v>2842</v>
      </c>
    </row>
    <row r="265" spans="1:22">
      <c r="A265" s="150" t="s">
        <v>2882</v>
      </c>
      <c r="B265" s="150" t="s">
        <v>245</v>
      </c>
      <c r="C265" s="150" t="str">
        <f t="shared" si="8"/>
        <v>2006_Iraq</v>
      </c>
      <c r="D265" s="150">
        <v>357.1</v>
      </c>
      <c r="E265" s="150">
        <v>30886.5</v>
      </c>
      <c r="F265" s="150">
        <f t="shared" si="9"/>
        <v>30886500000</v>
      </c>
      <c r="G265" s="150">
        <v>30529.4</v>
      </c>
      <c r="H265" s="150">
        <v>5490</v>
      </c>
      <c r="I265" s="150">
        <v>24197.5</v>
      </c>
      <c r="J265" s="150">
        <v>18707.5</v>
      </c>
      <c r="K265" s="150">
        <v>-5132.8999999999996</v>
      </c>
      <c r="L265" s="150">
        <v>6689</v>
      </c>
      <c r="M265" s="150">
        <v>11821.9</v>
      </c>
      <c r="N265" s="150">
        <v>1.1561685526000001</v>
      </c>
      <c r="O265" s="150">
        <v>100</v>
      </c>
      <c r="P265" s="150">
        <v>98.843831447400007</v>
      </c>
      <c r="Q265" s="150">
        <v>22.6882942453</v>
      </c>
      <c r="R265" s="150">
        <v>100</v>
      </c>
      <c r="S265" s="150">
        <v>77.3117057547</v>
      </c>
      <c r="T265" s="150" t="s">
        <v>2842</v>
      </c>
      <c r="U265" s="150" t="s">
        <v>2842</v>
      </c>
      <c r="V265" s="150" t="s">
        <v>2842</v>
      </c>
    </row>
    <row r="266" spans="1:22">
      <c r="A266" s="150" t="s">
        <v>2882</v>
      </c>
      <c r="B266" s="150" t="s">
        <v>273</v>
      </c>
      <c r="C266" s="150" t="str">
        <f t="shared" si="8"/>
        <v>2006_Kazakhstan</v>
      </c>
      <c r="D266" s="150">
        <v>2818.75</v>
      </c>
      <c r="E266" s="150">
        <v>41580.85</v>
      </c>
      <c r="F266" s="150">
        <f t="shared" si="9"/>
        <v>41580850000</v>
      </c>
      <c r="G266" s="150">
        <v>38762.1</v>
      </c>
      <c r="H266" s="150">
        <v>8760.39</v>
      </c>
      <c r="I266" s="150">
        <v>32880.79</v>
      </c>
      <c r="J266" s="150">
        <v>24120.400000000001</v>
      </c>
      <c r="K266" s="150">
        <v>-5941.64</v>
      </c>
      <c r="L266" s="150">
        <v>8700.06</v>
      </c>
      <c r="M266" s="150">
        <v>14641.7</v>
      </c>
      <c r="N266" s="150">
        <v>6.7789619500000002</v>
      </c>
      <c r="O266" s="150">
        <v>100</v>
      </c>
      <c r="P266" s="150">
        <v>93.221038050000004</v>
      </c>
      <c r="Q266" s="150">
        <v>26.642881755600001</v>
      </c>
      <c r="R266" s="150">
        <v>100</v>
      </c>
      <c r="S266" s="150">
        <v>73.357118244399999</v>
      </c>
      <c r="T266" s="150" t="s">
        <v>2842</v>
      </c>
      <c r="U266" s="150" t="s">
        <v>2842</v>
      </c>
      <c r="V266" s="150" t="s">
        <v>2842</v>
      </c>
    </row>
    <row r="267" spans="1:22">
      <c r="A267" s="150" t="s">
        <v>2882</v>
      </c>
      <c r="B267" s="150" t="s">
        <v>2895</v>
      </c>
      <c r="C267" s="150" t="str">
        <f t="shared" si="8"/>
        <v>2006_Kyrgyzstan</v>
      </c>
      <c r="D267" s="150">
        <v>378.72500000000002</v>
      </c>
      <c r="E267" s="150">
        <v>1284.72</v>
      </c>
      <c r="F267" s="150">
        <f t="shared" si="9"/>
        <v>1284720000</v>
      </c>
      <c r="G267" s="150">
        <v>905.995</v>
      </c>
      <c r="H267" s="150">
        <v>459.69</v>
      </c>
      <c r="I267" s="150">
        <v>2252.14</v>
      </c>
      <c r="J267" s="150">
        <v>1792.45</v>
      </c>
      <c r="K267" s="150">
        <v>-80.965000000000003</v>
      </c>
      <c r="L267" s="150">
        <v>-967.42</v>
      </c>
      <c r="M267" s="150">
        <v>-886.45500000000004</v>
      </c>
      <c r="N267" s="150">
        <v>29.479186126199998</v>
      </c>
      <c r="O267" s="150">
        <v>100</v>
      </c>
      <c r="P267" s="150">
        <v>70.520813873799995</v>
      </c>
      <c r="Q267" s="150">
        <v>20.4112532969</v>
      </c>
      <c r="R267" s="150">
        <v>100</v>
      </c>
      <c r="S267" s="150">
        <v>79.5887467031</v>
      </c>
      <c r="T267" s="150" t="s">
        <v>2842</v>
      </c>
      <c r="U267" s="150" t="s">
        <v>2842</v>
      </c>
      <c r="V267" s="150" t="s">
        <v>2842</v>
      </c>
    </row>
    <row r="268" spans="1:22">
      <c r="A268" s="150" t="s">
        <v>2882</v>
      </c>
      <c r="B268" s="150" t="s">
        <v>294</v>
      </c>
      <c r="C268" s="150" t="str">
        <f t="shared" si="8"/>
        <v>2006_Liberia</v>
      </c>
      <c r="D268" s="150">
        <v>336.49700000000001</v>
      </c>
      <c r="E268" s="150">
        <v>491.13299999999998</v>
      </c>
      <c r="F268" s="150">
        <f t="shared" si="9"/>
        <v>491133000</v>
      </c>
      <c r="G268" s="150">
        <v>154.636</v>
      </c>
      <c r="H268" s="150">
        <v>1274.6500000000001</v>
      </c>
      <c r="I268" s="150">
        <v>1715.741</v>
      </c>
      <c r="J268" s="150">
        <v>441.09100000000001</v>
      </c>
      <c r="K268" s="150">
        <v>-938.15300000000002</v>
      </c>
      <c r="L268" s="150">
        <v>-1224.6079999999999</v>
      </c>
      <c r="M268" s="150">
        <v>-286.45499999999998</v>
      </c>
      <c r="N268" s="150">
        <v>68.5144349901</v>
      </c>
      <c r="O268" s="150">
        <v>100</v>
      </c>
      <c r="P268" s="150">
        <v>31.4855650099</v>
      </c>
      <c r="Q268" s="150">
        <v>74.291516027200004</v>
      </c>
      <c r="R268" s="150">
        <v>100</v>
      </c>
      <c r="S268" s="150">
        <v>25.7084839728</v>
      </c>
      <c r="T268" s="150" t="s">
        <v>2842</v>
      </c>
      <c r="U268" s="150" t="s">
        <v>2842</v>
      </c>
      <c r="V268" s="150" t="s">
        <v>2842</v>
      </c>
    </row>
    <row r="269" spans="1:22">
      <c r="A269" s="150" t="s">
        <v>2882</v>
      </c>
      <c r="B269" s="150" t="s">
        <v>309</v>
      </c>
      <c r="C269" s="150" t="str">
        <f t="shared" si="8"/>
        <v>2006_Madagascar</v>
      </c>
      <c r="D269" s="150">
        <v>665.98</v>
      </c>
      <c r="E269" s="150">
        <v>1633.6164799600001</v>
      </c>
      <c r="F269" s="150">
        <f t="shared" si="9"/>
        <v>1633616479.96</v>
      </c>
      <c r="G269" s="150">
        <v>967.63647995999997</v>
      </c>
      <c r="H269" s="150">
        <v>786.46</v>
      </c>
      <c r="I269" s="150">
        <v>2319.3480165300002</v>
      </c>
      <c r="J269" s="150">
        <v>1532.88801653</v>
      </c>
      <c r="K269" s="150">
        <v>-120.48</v>
      </c>
      <c r="L269" s="150">
        <v>-685.73153657</v>
      </c>
      <c r="M269" s="150">
        <v>-565.25153656999998</v>
      </c>
      <c r="N269" s="150">
        <v>40.767218509999999</v>
      </c>
      <c r="O269" s="150">
        <v>100</v>
      </c>
      <c r="P269" s="150">
        <v>59.232781490000001</v>
      </c>
      <c r="Q269" s="150">
        <v>33.9086671942</v>
      </c>
      <c r="R269" s="150">
        <v>100</v>
      </c>
      <c r="S269" s="150">
        <v>66.091332805799993</v>
      </c>
      <c r="T269" s="150" t="s">
        <v>2842</v>
      </c>
      <c r="U269" s="150" t="s">
        <v>2842</v>
      </c>
      <c r="V269" s="150" t="s">
        <v>2842</v>
      </c>
    </row>
    <row r="270" spans="1:22">
      <c r="A270" s="150" t="s">
        <v>2882</v>
      </c>
      <c r="B270" s="150" t="s">
        <v>322</v>
      </c>
      <c r="C270" s="150" t="str">
        <f t="shared" si="8"/>
        <v>2006_Mali</v>
      </c>
      <c r="D270" s="150">
        <v>313.34100000000001</v>
      </c>
      <c r="E270" s="150">
        <v>1863.711</v>
      </c>
      <c r="F270" s="150">
        <f t="shared" si="9"/>
        <v>1863711000</v>
      </c>
      <c r="G270" s="150">
        <v>1550.37</v>
      </c>
      <c r="H270" s="150">
        <v>674.53200000000004</v>
      </c>
      <c r="I270" s="150">
        <v>2149.9319999999998</v>
      </c>
      <c r="J270" s="150">
        <v>1475.4</v>
      </c>
      <c r="K270" s="150">
        <v>-361.19099999999997</v>
      </c>
      <c r="L270" s="150">
        <v>-286.221</v>
      </c>
      <c r="M270" s="150">
        <v>74.97</v>
      </c>
      <c r="N270" s="150">
        <v>16.812746182200001</v>
      </c>
      <c r="O270" s="150">
        <v>100</v>
      </c>
      <c r="P270" s="150">
        <v>83.187253817799999</v>
      </c>
      <c r="Q270" s="150">
        <v>31.3745737074</v>
      </c>
      <c r="R270" s="150">
        <v>100</v>
      </c>
      <c r="S270" s="150">
        <v>68.625426292599997</v>
      </c>
      <c r="T270" s="150" t="s">
        <v>2842</v>
      </c>
      <c r="U270" s="150" t="s">
        <v>2842</v>
      </c>
      <c r="V270" s="150" t="s">
        <v>2842</v>
      </c>
    </row>
    <row r="271" spans="1:22">
      <c r="A271" s="150" t="s">
        <v>2882</v>
      </c>
      <c r="B271" s="150" t="s">
        <v>338</v>
      </c>
      <c r="C271" s="150" t="str">
        <f t="shared" si="8"/>
        <v>2006_Mauritania</v>
      </c>
      <c r="D271" s="150">
        <v>86.701414700000001</v>
      </c>
      <c r="E271" s="150">
        <v>1453.30230822</v>
      </c>
      <c r="F271" s="150">
        <f t="shared" si="9"/>
        <v>1453302308.22</v>
      </c>
      <c r="G271" s="150">
        <v>1366.60089352</v>
      </c>
      <c r="H271" s="150">
        <v>406.3</v>
      </c>
      <c r="I271" s="150">
        <v>1573.2992553900001</v>
      </c>
      <c r="J271" s="150">
        <v>1166.9992553899999</v>
      </c>
      <c r="K271" s="150">
        <v>-319.59858530000002</v>
      </c>
      <c r="L271" s="150">
        <v>-119.99694717</v>
      </c>
      <c r="M271" s="150">
        <v>199.60163813</v>
      </c>
      <c r="N271" s="150">
        <v>5.9658210276999997</v>
      </c>
      <c r="O271" s="150">
        <v>100</v>
      </c>
      <c r="P271" s="150">
        <v>94.034178972299998</v>
      </c>
      <c r="Q271" s="150">
        <v>25.824711898099999</v>
      </c>
      <c r="R271" s="150">
        <v>100</v>
      </c>
      <c r="S271" s="150">
        <v>74.175288101899994</v>
      </c>
      <c r="T271" s="150" t="s">
        <v>2842</v>
      </c>
      <c r="U271" s="150" t="s">
        <v>2842</v>
      </c>
      <c r="V271" s="150" t="s">
        <v>2842</v>
      </c>
    </row>
    <row r="272" spans="1:22">
      <c r="A272" s="150" t="s">
        <v>2882</v>
      </c>
      <c r="B272" s="150" t="s">
        <v>357</v>
      </c>
      <c r="C272" s="150" t="str">
        <f t="shared" si="8"/>
        <v>2006_Mongolia</v>
      </c>
      <c r="D272" s="150">
        <v>485.75</v>
      </c>
      <c r="E272" s="150">
        <v>2030.95</v>
      </c>
      <c r="F272" s="150">
        <f t="shared" si="9"/>
        <v>2030950000</v>
      </c>
      <c r="G272" s="150">
        <v>1545.2</v>
      </c>
      <c r="H272" s="150">
        <v>523.24</v>
      </c>
      <c r="I272" s="150">
        <v>1879.93</v>
      </c>
      <c r="J272" s="150">
        <v>1356.69</v>
      </c>
      <c r="K272" s="150">
        <v>-37.49</v>
      </c>
      <c r="L272" s="150">
        <v>151.02000000000001</v>
      </c>
      <c r="M272" s="150">
        <v>188.51</v>
      </c>
      <c r="N272" s="150">
        <v>23.917378566699998</v>
      </c>
      <c r="O272" s="150">
        <v>100</v>
      </c>
      <c r="P272" s="150">
        <v>76.082621433300005</v>
      </c>
      <c r="Q272" s="150">
        <v>27.832951226900001</v>
      </c>
      <c r="R272" s="150">
        <v>100</v>
      </c>
      <c r="S272" s="150">
        <v>72.167048773100007</v>
      </c>
      <c r="T272" s="150" t="s">
        <v>2842</v>
      </c>
      <c r="U272" s="150" t="s">
        <v>2842</v>
      </c>
      <c r="V272" s="150" t="s">
        <v>2842</v>
      </c>
    </row>
    <row r="273" spans="1:22">
      <c r="A273" s="150" t="s">
        <v>2882</v>
      </c>
      <c r="B273" s="150" t="s">
        <v>378</v>
      </c>
      <c r="C273" s="150" t="str">
        <f t="shared" si="8"/>
        <v>2006_Mozambique</v>
      </c>
      <c r="D273" s="150">
        <v>386.32400000000001</v>
      </c>
      <c r="E273" s="150">
        <v>2767.4540000000002</v>
      </c>
      <c r="F273" s="150">
        <f t="shared" si="9"/>
        <v>2767454000</v>
      </c>
      <c r="G273" s="150">
        <v>2381.13</v>
      </c>
      <c r="H273" s="150">
        <v>758.10900000000004</v>
      </c>
      <c r="I273" s="150">
        <v>3406.9490000000001</v>
      </c>
      <c r="J273" s="150">
        <v>2648.84</v>
      </c>
      <c r="K273" s="150">
        <v>-371.78500000000003</v>
      </c>
      <c r="L273" s="150">
        <v>-639.495</v>
      </c>
      <c r="M273" s="150">
        <v>-267.70999999999998</v>
      </c>
      <c r="N273" s="150">
        <v>13.9595454884</v>
      </c>
      <c r="O273" s="150">
        <v>100</v>
      </c>
      <c r="P273" s="150">
        <v>86.040454511600004</v>
      </c>
      <c r="Q273" s="150">
        <v>22.2518446857</v>
      </c>
      <c r="R273" s="150">
        <v>100</v>
      </c>
      <c r="S273" s="150">
        <v>77.748155314300007</v>
      </c>
      <c r="T273" s="150" t="s">
        <v>2842</v>
      </c>
      <c r="U273" s="150" t="s">
        <v>2842</v>
      </c>
      <c r="V273" s="150" t="s">
        <v>2842</v>
      </c>
    </row>
    <row r="274" spans="1:22">
      <c r="A274" s="150" t="s">
        <v>2882</v>
      </c>
      <c r="B274" s="150" t="s">
        <v>387</v>
      </c>
      <c r="C274" s="150" t="str">
        <f t="shared" si="8"/>
        <v>2006_Niger</v>
      </c>
      <c r="D274" s="150">
        <v>90.555999999999997</v>
      </c>
      <c r="E274" s="150">
        <v>598.51700000000005</v>
      </c>
      <c r="F274" s="150">
        <f t="shared" si="9"/>
        <v>598517000</v>
      </c>
      <c r="G274" s="150">
        <v>507.96100000000001</v>
      </c>
      <c r="H274" s="150">
        <v>328.52600000000001</v>
      </c>
      <c r="I274" s="150">
        <v>1076.8209999999999</v>
      </c>
      <c r="J274" s="150">
        <v>748.29499999999996</v>
      </c>
      <c r="K274" s="150">
        <v>-237.97</v>
      </c>
      <c r="L274" s="150">
        <v>-478.30399999999997</v>
      </c>
      <c r="M274" s="150">
        <v>-240.334</v>
      </c>
      <c r="N274" s="150">
        <v>15.130063139400001</v>
      </c>
      <c r="O274" s="150">
        <v>100</v>
      </c>
      <c r="P274" s="150">
        <v>84.869936860600006</v>
      </c>
      <c r="Q274" s="150">
        <v>30.508877519999999</v>
      </c>
      <c r="R274" s="150">
        <v>100</v>
      </c>
      <c r="S274" s="150">
        <v>69.491122480000001</v>
      </c>
      <c r="T274" s="150" t="s">
        <v>2842</v>
      </c>
      <c r="U274" s="150" t="s">
        <v>2842</v>
      </c>
      <c r="V274" s="150" t="s">
        <v>2842</v>
      </c>
    </row>
    <row r="275" spans="1:22">
      <c r="A275" s="150" t="s">
        <v>2882</v>
      </c>
      <c r="B275" s="150" t="s">
        <v>406</v>
      </c>
      <c r="C275" s="150" t="str">
        <f t="shared" si="8"/>
        <v>2006_Nigeria</v>
      </c>
      <c r="D275" s="150">
        <v>2298.66</v>
      </c>
      <c r="E275" s="150">
        <v>59233.56</v>
      </c>
      <c r="F275" s="150">
        <f t="shared" si="9"/>
        <v>59233560000</v>
      </c>
      <c r="G275" s="150">
        <v>56934.9</v>
      </c>
      <c r="H275" s="150">
        <v>13923.9</v>
      </c>
      <c r="I275" s="150">
        <v>35911.9</v>
      </c>
      <c r="J275" s="150">
        <v>21988</v>
      </c>
      <c r="K275" s="150">
        <v>-11625.24</v>
      </c>
      <c r="L275" s="150">
        <v>23321.66</v>
      </c>
      <c r="M275" s="150">
        <v>34946.9</v>
      </c>
      <c r="N275" s="150">
        <v>3.8806717003000002</v>
      </c>
      <c r="O275" s="150">
        <v>100</v>
      </c>
      <c r="P275" s="150">
        <v>96.119328299700001</v>
      </c>
      <c r="Q275" s="150">
        <v>38.7723846413</v>
      </c>
      <c r="R275" s="150">
        <v>100</v>
      </c>
      <c r="S275" s="150">
        <v>61.2276153587</v>
      </c>
      <c r="T275" s="150" t="s">
        <v>2842</v>
      </c>
      <c r="U275" s="150" t="s">
        <v>2842</v>
      </c>
      <c r="V275" s="150" t="s">
        <v>2842</v>
      </c>
    </row>
    <row r="276" spans="1:22">
      <c r="A276" s="150" t="s">
        <v>2882</v>
      </c>
      <c r="B276" s="150" t="s">
        <v>429</v>
      </c>
      <c r="C276" s="150" t="str">
        <f t="shared" si="8"/>
        <v>2006_Norway</v>
      </c>
      <c r="D276" s="150">
        <v>33278.343347000002</v>
      </c>
      <c r="E276" s="150">
        <v>155888.624621</v>
      </c>
      <c r="F276" s="150">
        <f t="shared" si="9"/>
        <v>155888624621</v>
      </c>
      <c r="G276" s="150">
        <v>122610.28127399999</v>
      </c>
      <c r="H276" s="150">
        <v>31870.807031</v>
      </c>
      <c r="I276" s="150">
        <v>95492.237519999995</v>
      </c>
      <c r="J276" s="150">
        <v>63621.430488999998</v>
      </c>
      <c r="K276" s="150">
        <v>1407.5363159999999</v>
      </c>
      <c r="L276" s="150">
        <v>60396.387101</v>
      </c>
      <c r="M276" s="150">
        <v>58988.850785000002</v>
      </c>
      <c r="N276" s="150">
        <v>21.3475123204</v>
      </c>
      <c r="O276" s="150">
        <v>100</v>
      </c>
      <c r="P276" s="150">
        <v>78.6524876796</v>
      </c>
      <c r="Q276" s="150">
        <v>33.375285634400001</v>
      </c>
      <c r="R276" s="150">
        <v>100</v>
      </c>
      <c r="S276" s="150">
        <v>66.624714365599999</v>
      </c>
      <c r="T276" s="150" t="s">
        <v>2842</v>
      </c>
      <c r="U276" s="150" t="s">
        <v>2842</v>
      </c>
      <c r="V276" s="150" t="s">
        <v>2842</v>
      </c>
    </row>
    <row r="277" spans="1:22">
      <c r="A277" s="150" t="s">
        <v>2882</v>
      </c>
      <c r="B277" s="150" t="s">
        <v>442</v>
      </c>
      <c r="C277" s="150" t="str">
        <f t="shared" si="8"/>
        <v>2006_Peru</v>
      </c>
      <c r="D277" s="150">
        <v>2660.08</v>
      </c>
      <c r="E277" s="150">
        <v>26490.18</v>
      </c>
      <c r="F277" s="150">
        <f t="shared" si="9"/>
        <v>26490180000</v>
      </c>
      <c r="G277" s="150">
        <v>23830.1</v>
      </c>
      <c r="H277" s="150">
        <v>3397.28</v>
      </c>
      <c r="I277" s="150">
        <v>18241.38</v>
      </c>
      <c r="J277" s="150">
        <v>14844.1</v>
      </c>
      <c r="K277" s="150">
        <v>-737.2</v>
      </c>
      <c r="L277" s="150">
        <v>8248.7999999999993</v>
      </c>
      <c r="M277" s="150">
        <v>8986</v>
      </c>
      <c r="N277" s="150">
        <v>10.041758870600001</v>
      </c>
      <c r="O277" s="150">
        <v>100</v>
      </c>
      <c r="P277" s="150">
        <v>89.958241129399994</v>
      </c>
      <c r="Q277" s="150">
        <v>18.624029541599999</v>
      </c>
      <c r="R277" s="150">
        <v>100</v>
      </c>
      <c r="S277" s="150">
        <v>81.375970458400005</v>
      </c>
      <c r="T277" s="150" t="s">
        <v>2842</v>
      </c>
      <c r="U277" s="150" t="s">
        <v>2842</v>
      </c>
      <c r="V277" s="150" t="s">
        <v>2842</v>
      </c>
    </row>
    <row r="278" spans="1:22">
      <c r="A278" s="150" t="s">
        <v>2882</v>
      </c>
      <c r="B278" s="150" t="s">
        <v>481</v>
      </c>
      <c r="C278" s="150" t="str">
        <f t="shared" si="8"/>
        <v>2006_Sierra Leone</v>
      </c>
      <c r="D278" s="150">
        <v>42.512</v>
      </c>
      <c r="E278" s="150">
        <v>304.39</v>
      </c>
      <c r="F278" s="150">
        <f t="shared" si="9"/>
        <v>304390000</v>
      </c>
      <c r="G278" s="150">
        <v>261.87799999999999</v>
      </c>
      <c r="H278" s="150">
        <v>85.867999999999995</v>
      </c>
      <c r="I278" s="150">
        <v>437.05399999999997</v>
      </c>
      <c r="J278" s="150">
        <v>351.18599999999998</v>
      </c>
      <c r="K278" s="150">
        <v>-43.356000000000002</v>
      </c>
      <c r="L278" s="150">
        <v>-132.66399999999999</v>
      </c>
      <c r="M278" s="150">
        <v>-89.308000000000007</v>
      </c>
      <c r="N278" s="150">
        <v>13.966293242200001</v>
      </c>
      <c r="O278" s="150">
        <v>100</v>
      </c>
      <c r="P278" s="150">
        <v>86.033706757800005</v>
      </c>
      <c r="Q278" s="150">
        <v>19.647000141900001</v>
      </c>
      <c r="R278" s="150">
        <v>100</v>
      </c>
      <c r="S278" s="150">
        <v>80.352999858100006</v>
      </c>
      <c r="T278" s="150" t="s">
        <v>2842</v>
      </c>
      <c r="U278" s="150" t="s">
        <v>2842</v>
      </c>
      <c r="V278" s="150" t="s">
        <v>2842</v>
      </c>
    </row>
    <row r="279" spans="1:22">
      <c r="A279" s="150" t="s">
        <v>2882</v>
      </c>
      <c r="B279" s="150" t="s">
        <v>2844</v>
      </c>
      <c r="C279" s="150" t="str">
        <f t="shared" si="8"/>
        <v>2006_Timor-Leste</v>
      </c>
      <c r="D279" s="150">
        <v>34.090000000000003</v>
      </c>
      <c r="E279" s="150">
        <v>43.343000000000004</v>
      </c>
      <c r="F279" s="150">
        <f t="shared" si="9"/>
        <v>43343000</v>
      </c>
      <c r="G279" s="150">
        <v>9.2530000000000001</v>
      </c>
      <c r="H279" s="150">
        <v>232.12100000000001</v>
      </c>
      <c r="I279" s="150">
        <v>332.726</v>
      </c>
      <c r="J279" s="150">
        <v>100.605</v>
      </c>
      <c r="K279" s="150">
        <v>-198.03100000000001</v>
      </c>
      <c r="L279" s="150">
        <v>-289.38299999999998</v>
      </c>
      <c r="M279" s="150">
        <v>-91.352000000000004</v>
      </c>
      <c r="N279" s="150">
        <v>78.651685393299999</v>
      </c>
      <c r="O279" s="150">
        <v>100</v>
      </c>
      <c r="P279" s="150">
        <v>21.348314606700001</v>
      </c>
      <c r="Q279" s="150">
        <v>69.763408931100003</v>
      </c>
      <c r="R279" s="150">
        <v>100</v>
      </c>
      <c r="S279" s="150">
        <v>30.236591068900001</v>
      </c>
      <c r="T279" s="150" t="s">
        <v>2842</v>
      </c>
      <c r="U279" s="150" t="s">
        <v>2842</v>
      </c>
      <c r="V279" s="150" t="s">
        <v>2842</v>
      </c>
    </row>
    <row r="280" spans="1:22">
      <c r="A280" s="150" t="s">
        <v>2882</v>
      </c>
      <c r="B280" s="150" t="s">
        <v>510</v>
      </c>
      <c r="C280" s="150" t="str">
        <f t="shared" si="8"/>
        <v>2006_Togo</v>
      </c>
      <c r="D280" s="150">
        <v>200.721</v>
      </c>
      <c r="E280" s="150">
        <v>831.07399999999996</v>
      </c>
      <c r="F280" s="150">
        <f t="shared" si="9"/>
        <v>831074000</v>
      </c>
      <c r="G280" s="150">
        <v>630.35299999999995</v>
      </c>
      <c r="H280" s="150">
        <v>264.149</v>
      </c>
      <c r="I280" s="150">
        <v>1213.2149999999999</v>
      </c>
      <c r="J280" s="150">
        <v>949.06600000000003</v>
      </c>
      <c r="K280" s="150">
        <v>-63.427999999999997</v>
      </c>
      <c r="L280" s="150">
        <v>-382.14100000000002</v>
      </c>
      <c r="M280" s="150">
        <v>-318.71300000000002</v>
      </c>
      <c r="N280" s="150">
        <v>24.1520009049</v>
      </c>
      <c r="O280" s="150">
        <v>100</v>
      </c>
      <c r="P280" s="150">
        <v>75.847999095099993</v>
      </c>
      <c r="Q280" s="150">
        <v>21.772645409100001</v>
      </c>
      <c r="R280" s="150">
        <v>100</v>
      </c>
      <c r="S280" s="150">
        <v>78.227354590900006</v>
      </c>
      <c r="T280" s="150" t="s">
        <v>2842</v>
      </c>
      <c r="U280" s="150" t="s">
        <v>2842</v>
      </c>
      <c r="V280" s="150" t="s">
        <v>2842</v>
      </c>
    </row>
    <row r="281" spans="1:22">
      <c r="A281" s="150" t="s">
        <v>2882</v>
      </c>
      <c r="B281" s="150" t="s">
        <v>2845</v>
      </c>
      <c r="C281" s="150" t="str">
        <f t="shared" si="8"/>
        <v>2006_Trinidad and Tobago</v>
      </c>
      <c r="D281" s="150">
        <v>813.7</v>
      </c>
      <c r="E281" s="150">
        <v>14899.2</v>
      </c>
      <c r="F281" s="150">
        <f t="shared" si="9"/>
        <v>14899200000</v>
      </c>
      <c r="G281" s="150">
        <v>14085.5</v>
      </c>
      <c r="H281" s="150">
        <v>362.8</v>
      </c>
      <c r="I281" s="150">
        <v>6873.4</v>
      </c>
      <c r="J281" s="150">
        <v>6510.6</v>
      </c>
      <c r="K281" s="150">
        <v>450.9</v>
      </c>
      <c r="L281" s="150">
        <v>8025.8</v>
      </c>
      <c r="M281" s="150">
        <v>7574.9</v>
      </c>
      <c r="N281" s="150">
        <v>5.4613670533000001</v>
      </c>
      <c r="O281" s="150">
        <v>100</v>
      </c>
      <c r="P281" s="150">
        <v>94.538632946700005</v>
      </c>
      <c r="Q281" s="150">
        <v>5.2783193180000003</v>
      </c>
      <c r="R281" s="150">
        <v>100</v>
      </c>
      <c r="S281" s="150">
        <v>94.721680681999999</v>
      </c>
      <c r="T281" s="150" t="s">
        <v>2842</v>
      </c>
      <c r="U281" s="150" t="s">
        <v>2842</v>
      </c>
      <c r="V281" s="150" t="s">
        <v>2842</v>
      </c>
    </row>
    <row r="282" spans="1:22">
      <c r="A282" s="150" t="s">
        <v>2882</v>
      </c>
      <c r="B282" s="150" t="s">
        <v>492</v>
      </c>
      <c r="C282" s="150" t="str">
        <f t="shared" si="8"/>
        <v>2006_Tanzania</v>
      </c>
      <c r="D282" s="150">
        <v>1528.06</v>
      </c>
      <c r="E282" s="150">
        <v>3445.68</v>
      </c>
      <c r="F282" s="150">
        <f t="shared" si="9"/>
        <v>3445680000</v>
      </c>
      <c r="G282" s="150">
        <v>1917.62</v>
      </c>
      <c r="H282" s="150">
        <v>1249.3399999999999</v>
      </c>
      <c r="I282" s="150">
        <v>5113.45</v>
      </c>
      <c r="J282" s="150">
        <v>3864.11</v>
      </c>
      <c r="K282" s="150">
        <v>278.72000000000003</v>
      </c>
      <c r="L282" s="150">
        <v>-1667.77</v>
      </c>
      <c r="M282" s="150">
        <v>-1946.49</v>
      </c>
      <c r="N282" s="150">
        <v>44.347124515300003</v>
      </c>
      <c r="O282" s="150">
        <v>100</v>
      </c>
      <c r="P282" s="150">
        <v>55.652875484699997</v>
      </c>
      <c r="Q282" s="150">
        <v>24.432428204099999</v>
      </c>
      <c r="R282" s="150">
        <v>100</v>
      </c>
      <c r="S282" s="150">
        <v>75.567571795899994</v>
      </c>
      <c r="T282" s="150" t="s">
        <v>2842</v>
      </c>
      <c r="U282" s="150" t="s">
        <v>2842</v>
      </c>
      <c r="V282" s="150" t="s">
        <v>2842</v>
      </c>
    </row>
    <row r="283" spans="1:22">
      <c r="A283" s="150" t="s">
        <v>2882</v>
      </c>
      <c r="B283" s="150" t="s">
        <v>522</v>
      </c>
      <c r="C283" s="150" t="str">
        <f t="shared" si="8"/>
        <v>2006_Yemen</v>
      </c>
      <c r="D283" s="150" t="s">
        <v>561</v>
      </c>
      <c r="E283" s="150" t="s">
        <v>2842</v>
      </c>
      <c r="F283" s="150" t="str">
        <f t="shared" si="9"/>
        <v>..</v>
      </c>
      <c r="G283" s="150">
        <v>7316.38</v>
      </c>
      <c r="H283" s="150">
        <v>1855.02</v>
      </c>
      <c r="I283" s="150">
        <v>7781.13</v>
      </c>
      <c r="J283" s="150">
        <v>5926.11</v>
      </c>
      <c r="K283" s="150" t="s">
        <v>561</v>
      </c>
      <c r="L283" s="150" t="s">
        <v>561</v>
      </c>
      <c r="M283" s="150">
        <v>1390.27</v>
      </c>
      <c r="N283" s="150" t="s">
        <v>561</v>
      </c>
      <c r="O283" s="150" t="s">
        <v>561</v>
      </c>
      <c r="P283" s="150">
        <v>94.818679709400001</v>
      </c>
      <c r="Q283" s="150">
        <v>23.839982110600001</v>
      </c>
      <c r="R283" s="150">
        <v>100</v>
      </c>
      <c r="S283" s="150">
        <v>76.160017889399995</v>
      </c>
      <c r="T283" s="150" t="s">
        <v>2842</v>
      </c>
      <c r="U283" s="150" t="s">
        <v>2842</v>
      </c>
      <c r="V283" s="150" t="s">
        <v>2842</v>
      </c>
    </row>
    <row r="284" spans="1:22">
      <c r="A284" s="150" t="s">
        <v>2882</v>
      </c>
      <c r="B284" s="150" t="s">
        <v>534</v>
      </c>
      <c r="C284" s="150" t="str">
        <f t="shared" si="8"/>
        <v>2006_Zambia</v>
      </c>
      <c r="D284" s="150">
        <v>229</v>
      </c>
      <c r="E284" s="150">
        <v>4172.6000000000004</v>
      </c>
      <c r="F284" s="150">
        <f t="shared" si="9"/>
        <v>4172600000.0000005</v>
      </c>
      <c r="G284" s="150">
        <v>3943.6</v>
      </c>
      <c r="H284" s="150">
        <v>588.4</v>
      </c>
      <c r="I284" s="150">
        <v>3224.2</v>
      </c>
      <c r="J284" s="150">
        <v>2635.8</v>
      </c>
      <c r="K284" s="150">
        <v>-359.4</v>
      </c>
      <c r="L284" s="150">
        <v>948.4</v>
      </c>
      <c r="M284" s="150">
        <v>1307.8</v>
      </c>
      <c r="N284" s="150">
        <v>5.4881848248000002</v>
      </c>
      <c r="O284" s="150">
        <v>100</v>
      </c>
      <c r="P284" s="150">
        <v>94.511815175199999</v>
      </c>
      <c r="Q284" s="150">
        <v>18.2494882451</v>
      </c>
      <c r="R284" s="150">
        <v>100</v>
      </c>
      <c r="S284" s="150">
        <v>81.750511754900003</v>
      </c>
      <c r="T284" s="150" t="s">
        <v>2842</v>
      </c>
      <c r="U284" s="150" t="s">
        <v>2842</v>
      </c>
      <c r="V284" s="150" t="s">
        <v>2842</v>
      </c>
    </row>
    <row r="285" spans="1:22">
      <c r="A285" s="150" t="s">
        <v>2883</v>
      </c>
      <c r="B285" s="150" t="s">
        <v>16</v>
      </c>
      <c r="C285" s="150" t="str">
        <f t="shared" si="8"/>
        <v>2007_Afghanistan</v>
      </c>
      <c r="D285" s="150" t="s">
        <v>561</v>
      </c>
      <c r="E285" s="150" t="s">
        <v>2842</v>
      </c>
      <c r="F285" s="150" t="str">
        <f t="shared" si="9"/>
        <v>..</v>
      </c>
      <c r="G285" s="150">
        <v>1835</v>
      </c>
      <c r="H285" s="150" t="s">
        <v>561</v>
      </c>
      <c r="I285" s="150" t="s">
        <v>561</v>
      </c>
      <c r="J285" s="150">
        <v>7837</v>
      </c>
      <c r="K285" s="150" t="s">
        <v>561</v>
      </c>
      <c r="L285" s="150" t="s">
        <v>561</v>
      </c>
      <c r="M285" s="150">
        <v>-6002</v>
      </c>
      <c r="N285" s="150" t="s">
        <v>561</v>
      </c>
      <c r="O285" s="150" t="s">
        <v>561</v>
      </c>
      <c r="P285" s="150">
        <v>94.5116298234</v>
      </c>
      <c r="Q285" s="150" t="s">
        <v>561</v>
      </c>
      <c r="R285" s="150" t="s">
        <v>561</v>
      </c>
      <c r="S285" s="150">
        <v>98.908560379999997</v>
      </c>
      <c r="T285" s="150" t="s">
        <v>2842</v>
      </c>
      <c r="U285" s="150" t="s">
        <v>2842</v>
      </c>
      <c r="V285" s="150" t="s">
        <v>2842</v>
      </c>
    </row>
    <row r="286" spans="1:22">
      <c r="A286" s="150" t="s">
        <v>2883</v>
      </c>
      <c r="B286" s="150" t="s">
        <v>33</v>
      </c>
      <c r="C286" s="150" t="str">
        <f t="shared" si="8"/>
        <v>2007_Albania</v>
      </c>
      <c r="D286" s="150">
        <v>1945.89</v>
      </c>
      <c r="E286" s="150">
        <v>3024.61</v>
      </c>
      <c r="F286" s="150">
        <f t="shared" si="9"/>
        <v>3024610000</v>
      </c>
      <c r="G286" s="150">
        <v>1078.72</v>
      </c>
      <c r="H286" s="150">
        <v>1926.04</v>
      </c>
      <c r="I286" s="150">
        <v>5904.36</v>
      </c>
      <c r="J286" s="150">
        <v>3978.32</v>
      </c>
      <c r="K286" s="150">
        <v>19.850000000000001</v>
      </c>
      <c r="L286" s="150">
        <v>-2879.75</v>
      </c>
      <c r="M286" s="150">
        <v>-2899.6</v>
      </c>
      <c r="N286" s="150">
        <v>64.335236609000006</v>
      </c>
      <c r="O286" s="150">
        <v>100</v>
      </c>
      <c r="P286" s="150">
        <v>35.664763391000001</v>
      </c>
      <c r="Q286" s="150">
        <v>32.620639662899997</v>
      </c>
      <c r="R286" s="150">
        <v>100</v>
      </c>
      <c r="S286" s="150">
        <v>67.379360337099996</v>
      </c>
      <c r="T286" s="150" t="s">
        <v>2842</v>
      </c>
      <c r="U286" s="150" t="s">
        <v>2842</v>
      </c>
      <c r="V286" s="150" t="s">
        <v>2842</v>
      </c>
    </row>
    <row r="287" spans="1:22">
      <c r="A287" s="150" t="s">
        <v>2883</v>
      </c>
      <c r="B287" s="150" t="s">
        <v>48</v>
      </c>
      <c r="C287" s="150" t="str">
        <f t="shared" si="8"/>
        <v>2007_Azerbaijan</v>
      </c>
      <c r="D287" s="150">
        <v>1247.54</v>
      </c>
      <c r="E287" s="150">
        <v>22516.84</v>
      </c>
      <c r="F287" s="150">
        <f t="shared" si="9"/>
        <v>22516840000</v>
      </c>
      <c r="G287" s="150">
        <v>21269.3</v>
      </c>
      <c r="H287" s="150">
        <v>3378.58</v>
      </c>
      <c r="I287" s="150">
        <v>9423.6</v>
      </c>
      <c r="J287" s="150">
        <v>6045.02</v>
      </c>
      <c r="K287" s="150">
        <v>-2131.04</v>
      </c>
      <c r="L287" s="150">
        <v>13093.24</v>
      </c>
      <c r="M287" s="150">
        <v>15224.28</v>
      </c>
      <c r="N287" s="150">
        <v>5.5404754840999999</v>
      </c>
      <c r="O287" s="150">
        <v>100</v>
      </c>
      <c r="P287" s="150">
        <v>94.4595245159</v>
      </c>
      <c r="Q287" s="150">
        <v>35.852328197299997</v>
      </c>
      <c r="R287" s="150">
        <v>100</v>
      </c>
      <c r="S287" s="150">
        <v>64.147671802700003</v>
      </c>
      <c r="T287" s="150" t="s">
        <v>2842</v>
      </c>
      <c r="U287" s="150" t="s">
        <v>2842</v>
      </c>
      <c r="V287" s="150" t="s">
        <v>2842</v>
      </c>
    </row>
    <row r="288" spans="1:22">
      <c r="A288" s="150" t="s">
        <v>2883</v>
      </c>
      <c r="B288" s="150" t="s">
        <v>93</v>
      </c>
      <c r="C288" s="150" t="str">
        <f t="shared" si="8"/>
        <v>2007_Burkina Faso</v>
      </c>
      <c r="D288" s="150">
        <v>91.397999999999996</v>
      </c>
      <c r="E288" s="150">
        <v>748.05899999999997</v>
      </c>
      <c r="F288" s="150">
        <f t="shared" si="9"/>
        <v>748059000</v>
      </c>
      <c r="G288" s="150">
        <v>656.66099999999994</v>
      </c>
      <c r="H288" s="150">
        <v>454.33800000000002</v>
      </c>
      <c r="I288" s="150">
        <v>1708.9580000000001</v>
      </c>
      <c r="J288" s="150">
        <v>1254.6199999999999</v>
      </c>
      <c r="K288" s="150">
        <v>-362.94</v>
      </c>
      <c r="L288" s="150">
        <v>-960.899</v>
      </c>
      <c r="M288" s="150">
        <v>-597.95899999999995</v>
      </c>
      <c r="N288" s="150">
        <v>12.218020236399999</v>
      </c>
      <c r="O288" s="150">
        <v>100</v>
      </c>
      <c r="P288" s="150">
        <v>87.781979763600006</v>
      </c>
      <c r="Q288" s="150">
        <v>26.585673843399999</v>
      </c>
      <c r="R288" s="150">
        <v>100</v>
      </c>
      <c r="S288" s="150">
        <v>73.414326156599998</v>
      </c>
      <c r="T288" s="150" t="s">
        <v>2842</v>
      </c>
      <c r="U288" s="150" t="s">
        <v>2842</v>
      </c>
      <c r="V288" s="150" t="s">
        <v>2842</v>
      </c>
    </row>
    <row r="289" spans="1:22">
      <c r="A289" s="150" t="s">
        <v>2883</v>
      </c>
      <c r="B289" s="150" t="s">
        <v>2890</v>
      </c>
      <c r="C289" s="150" t="str">
        <f t="shared" si="8"/>
        <v>2007_ Cameroon</v>
      </c>
      <c r="D289" s="150">
        <v>1369.97</v>
      </c>
      <c r="E289" s="150">
        <v>6326.02</v>
      </c>
      <c r="F289" s="150">
        <f t="shared" si="9"/>
        <v>6326020000</v>
      </c>
      <c r="G289" s="150">
        <v>4956.05</v>
      </c>
      <c r="H289" s="150">
        <v>1764.3</v>
      </c>
      <c r="I289" s="150">
        <v>5985.58</v>
      </c>
      <c r="J289" s="150">
        <v>4221.28</v>
      </c>
      <c r="K289" s="150">
        <v>-394.33</v>
      </c>
      <c r="L289" s="150">
        <v>340.44</v>
      </c>
      <c r="M289" s="150">
        <v>734.77</v>
      </c>
      <c r="N289" s="150">
        <v>21.656112373999999</v>
      </c>
      <c r="O289" s="150">
        <v>100</v>
      </c>
      <c r="P289" s="150">
        <v>78.343887625999997</v>
      </c>
      <c r="Q289" s="150">
        <v>29.475840269399999</v>
      </c>
      <c r="R289" s="150">
        <v>100</v>
      </c>
      <c r="S289" s="150">
        <v>70.524159730600005</v>
      </c>
      <c r="T289" s="150" t="s">
        <v>2842</v>
      </c>
      <c r="U289" s="150" t="s">
        <v>2842</v>
      </c>
      <c r="V289" s="150" t="s">
        <v>2842</v>
      </c>
    </row>
    <row r="290" spans="1:22">
      <c r="A290" s="150" t="s">
        <v>2883</v>
      </c>
      <c r="B290" s="150" t="s">
        <v>122</v>
      </c>
      <c r="C290" s="150" t="str">
        <f t="shared" si="8"/>
        <v>2007_Central African Republic</v>
      </c>
      <c r="D290" s="150">
        <v>61.343676899999998</v>
      </c>
      <c r="E290" s="150">
        <v>239.53245267</v>
      </c>
      <c r="F290" s="150">
        <f t="shared" si="9"/>
        <v>239532452.66999999</v>
      </c>
      <c r="G290" s="150">
        <v>178.18877577000001</v>
      </c>
      <c r="H290" s="150">
        <v>147.93424124000001</v>
      </c>
      <c r="I290" s="150">
        <v>396.85603221999997</v>
      </c>
      <c r="J290" s="150">
        <v>248.92179098</v>
      </c>
      <c r="K290" s="150">
        <v>-86.59056434</v>
      </c>
      <c r="L290" s="150">
        <v>-157.32357955000001</v>
      </c>
      <c r="M290" s="150">
        <v>-70.733015210000005</v>
      </c>
      <c r="N290" s="150">
        <v>25.609756096200002</v>
      </c>
      <c r="O290" s="150">
        <v>100</v>
      </c>
      <c r="P290" s="150">
        <v>74.390243903799998</v>
      </c>
      <c r="Q290" s="150">
        <v>37.276550998200001</v>
      </c>
      <c r="R290" s="150">
        <v>100</v>
      </c>
      <c r="S290" s="150">
        <v>62.723449001799999</v>
      </c>
      <c r="T290" s="150" t="s">
        <v>2842</v>
      </c>
      <c r="U290" s="150" t="s">
        <v>2842</v>
      </c>
      <c r="V290" s="150" t="s">
        <v>2842</v>
      </c>
    </row>
    <row r="291" spans="1:22">
      <c r="A291" s="150" t="s">
        <v>2883</v>
      </c>
      <c r="B291" s="150" t="s">
        <v>2891</v>
      </c>
      <c r="C291" s="150" t="str">
        <f t="shared" si="8"/>
        <v>2007_ Chad</v>
      </c>
      <c r="D291" s="150">
        <v>217.20669272000001</v>
      </c>
      <c r="E291" s="150">
        <v>3844.4124047700002</v>
      </c>
      <c r="F291" s="150">
        <f t="shared" si="9"/>
        <v>3844412404.77</v>
      </c>
      <c r="G291" s="150">
        <v>3627.2057120499999</v>
      </c>
      <c r="H291" s="150">
        <v>1729.51611523</v>
      </c>
      <c r="I291" s="150">
        <v>3475.09843155</v>
      </c>
      <c r="J291" s="150">
        <v>1745.58231632</v>
      </c>
      <c r="K291" s="150">
        <v>-1512.3094225100001</v>
      </c>
      <c r="L291" s="150">
        <v>369.31397321999998</v>
      </c>
      <c r="M291" s="150">
        <v>1881.6233957300001</v>
      </c>
      <c r="N291" s="150">
        <v>5.6499321574000003</v>
      </c>
      <c r="O291" s="150">
        <v>100</v>
      </c>
      <c r="P291" s="150">
        <v>94.350067842599998</v>
      </c>
      <c r="Q291" s="150">
        <v>49.768838186799996</v>
      </c>
      <c r="R291" s="150">
        <v>100</v>
      </c>
      <c r="S291" s="150">
        <v>50.231161813200004</v>
      </c>
      <c r="T291" s="150" t="s">
        <v>2842</v>
      </c>
      <c r="U291" s="150" t="s">
        <v>2842</v>
      </c>
      <c r="V291" s="150" t="s">
        <v>2842</v>
      </c>
    </row>
    <row r="292" spans="1:22">
      <c r="A292" s="150" t="s">
        <v>2883</v>
      </c>
      <c r="B292" s="150" t="s">
        <v>458</v>
      </c>
      <c r="C292" s="150" t="str">
        <f t="shared" si="8"/>
        <v>2007_Republic of the Congo</v>
      </c>
      <c r="D292" s="150">
        <v>319.44600000000003</v>
      </c>
      <c r="E292" s="150">
        <v>6127.4859999999999</v>
      </c>
      <c r="F292" s="150">
        <f t="shared" si="9"/>
        <v>6127486000</v>
      </c>
      <c r="G292" s="150">
        <v>5808.04</v>
      </c>
      <c r="H292" s="150">
        <v>3527.68</v>
      </c>
      <c r="I292" s="150">
        <v>6385.8</v>
      </c>
      <c r="J292" s="150">
        <v>2858.12</v>
      </c>
      <c r="K292" s="150">
        <v>-3208.2339999999999</v>
      </c>
      <c r="L292" s="150">
        <v>-258.31400000000002</v>
      </c>
      <c r="M292" s="150">
        <v>2949.92</v>
      </c>
      <c r="N292" s="150">
        <v>5.2133289247999999</v>
      </c>
      <c r="O292" s="150">
        <v>100</v>
      </c>
      <c r="P292" s="150">
        <v>94.786671075200005</v>
      </c>
      <c r="Q292" s="150">
        <v>55.242569451000001</v>
      </c>
      <c r="R292" s="150">
        <v>100</v>
      </c>
      <c r="S292" s="150">
        <v>44.757430548999999</v>
      </c>
      <c r="T292" s="150" t="s">
        <v>2842</v>
      </c>
      <c r="U292" s="150" t="s">
        <v>2842</v>
      </c>
      <c r="V292" s="150" t="s">
        <v>2842</v>
      </c>
    </row>
    <row r="293" spans="1:22">
      <c r="A293" s="150" t="s">
        <v>2883</v>
      </c>
      <c r="B293" s="150" t="s">
        <v>165</v>
      </c>
      <c r="C293" s="150" t="str">
        <f t="shared" si="8"/>
        <v>2007_Democratic Republic of Congo</v>
      </c>
      <c r="D293" s="150">
        <v>338.72037863999998</v>
      </c>
      <c r="E293" s="150">
        <v>6486.6221604299999</v>
      </c>
      <c r="F293" s="150">
        <f t="shared" si="9"/>
        <v>6486622160.4300003</v>
      </c>
      <c r="G293" s="150">
        <v>6147.9017817900003</v>
      </c>
      <c r="H293" s="150">
        <v>1615.7821678099999</v>
      </c>
      <c r="I293" s="150">
        <v>6872.9724158099998</v>
      </c>
      <c r="J293" s="150">
        <v>5257.1902479999999</v>
      </c>
      <c r="K293" s="150">
        <v>-1277.0617891700001</v>
      </c>
      <c r="L293" s="150">
        <v>-386.35025538000002</v>
      </c>
      <c r="M293" s="150">
        <v>890.71153378999998</v>
      </c>
      <c r="N293" s="150">
        <v>5.2218299488</v>
      </c>
      <c r="O293" s="150">
        <v>100</v>
      </c>
      <c r="P293" s="150">
        <v>94.778170051199993</v>
      </c>
      <c r="Q293" s="150">
        <v>23.509219447700001</v>
      </c>
      <c r="R293" s="150">
        <v>100</v>
      </c>
      <c r="S293" s="150">
        <v>76.490780552299995</v>
      </c>
      <c r="T293" s="150" t="s">
        <v>2842</v>
      </c>
      <c r="U293" s="150" t="s">
        <v>2842</v>
      </c>
      <c r="V293" s="150" t="s">
        <v>2842</v>
      </c>
    </row>
    <row r="294" spans="1:22">
      <c r="A294" s="150" t="s">
        <v>2883</v>
      </c>
      <c r="B294" s="150" t="s">
        <v>2892</v>
      </c>
      <c r="C294" s="150" t="str">
        <f t="shared" si="8"/>
        <v>2007_ Equatorial Guinea</v>
      </c>
      <c r="D294" s="150">
        <v>47.363995430000003</v>
      </c>
      <c r="E294" s="150">
        <v>10399.83975528</v>
      </c>
      <c r="F294" s="150">
        <f t="shared" si="9"/>
        <v>10399839755.280001</v>
      </c>
      <c r="G294" s="150">
        <v>10352.47575985</v>
      </c>
      <c r="H294" s="150">
        <v>1146.3338806899999</v>
      </c>
      <c r="I294" s="150">
        <v>3913.68485624</v>
      </c>
      <c r="J294" s="150">
        <v>2767.3509755499999</v>
      </c>
      <c r="K294" s="150">
        <v>-1098.96988526</v>
      </c>
      <c r="L294" s="150">
        <v>6486.1548990399997</v>
      </c>
      <c r="M294" s="150">
        <v>7585.1247843000001</v>
      </c>
      <c r="N294" s="150">
        <v>0.4554300503</v>
      </c>
      <c r="O294" s="150">
        <v>100</v>
      </c>
      <c r="P294" s="150">
        <v>99.544569949700005</v>
      </c>
      <c r="Q294" s="150">
        <v>29.290398251199999</v>
      </c>
      <c r="R294" s="150">
        <v>100</v>
      </c>
      <c r="S294" s="150">
        <v>70.709601748799997</v>
      </c>
      <c r="T294" s="150" t="s">
        <v>2842</v>
      </c>
      <c r="U294" s="150" t="s">
        <v>2842</v>
      </c>
      <c r="V294" s="150" t="s">
        <v>2842</v>
      </c>
    </row>
    <row r="295" spans="1:22">
      <c r="A295" s="150" t="s">
        <v>2883</v>
      </c>
      <c r="B295" s="150" t="s">
        <v>2893</v>
      </c>
      <c r="C295" s="150" t="str">
        <f t="shared" si="8"/>
        <v>2007_ Gabon</v>
      </c>
      <c r="D295" s="150" t="s">
        <v>561</v>
      </c>
      <c r="E295" s="150" t="s">
        <v>2842</v>
      </c>
      <c r="F295" s="150" t="str">
        <f t="shared" si="9"/>
        <v>..</v>
      </c>
      <c r="G295" s="150">
        <v>7079.5610797299996</v>
      </c>
      <c r="H295" s="150" t="s">
        <v>561</v>
      </c>
      <c r="I295" s="150" t="s">
        <v>561</v>
      </c>
      <c r="J295" s="150">
        <v>1704.2692277900001</v>
      </c>
      <c r="K295" s="150" t="s">
        <v>561</v>
      </c>
      <c r="L295" s="150" t="s">
        <v>561</v>
      </c>
      <c r="M295" s="150">
        <v>5375.29185194</v>
      </c>
      <c r="N295" s="150" t="s">
        <v>561</v>
      </c>
      <c r="O295" s="150" t="s">
        <v>561</v>
      </c>
      <c r="P295" s="150">
        <v>97.6880776207</v>
      </c>
      <c r="Q295" s="150" t="s">
        <v>561</v>
      </c>
      <c r="R295" s="150" t="s">
        <v>561</v>
      </c>
      <c r="S295" s="150">
        <v>53.939113781899998</v>
      </c>
      <c r="T295" s="150" t="s">
        <v>2842</v>
      </c>
      <c r="U295" s="150" t="s">
        <v>2842</v>
      </c>
      <c r="V295" s="150" t="s">
        <v>2842</v>
      </c>
    </row>
    <row r="296" spans="1:22">
      <c r="A296" s="150" t="s">
        <v>2883</v>
      </c>
      <c r="B296" s="150" t="s">
        <v>189</v>
      </c>
      <c r="C296" s="150" t="str">
        <f t="shared" si="8"/>
        <v>2007_Ghana</v>
      </c>
      <c r="D296" s="150">
        <v>1831.87</v>
      </c>
      <c r="E296" s="150">
        <v>6004.01</v>
      </c>
      <c r="F296" s="150">
        <f t="shared" si="9"/>
        <v>6004010000</v>
      </c>
      <c r="G296" s="150">
        <v>4172.1400000000003</v>
      </c>
      <c r="H296" s="150">
        <v>1998.59</v>
      </c>
      <c r="I296" s="150">
        <v>10064.700000000001</v>
      </c>
      <c r="J296" s="150">
        <v>8066.11</v>
      </c>
      <c r="K296" s="150">
        <v>-166.72</v>
      </c>
      <c r="L296" s="150">
        <v>-4060.69</v>
      </c>
      <c r="M296" s="150">
        <v>-3893.97</v>
      </c>
      <c r="N296" s="150">
        <v>30.5107752985</v>
      </c>
      <c r="O296" s="150">
        <v>100</v>
      </c>
      <c r="P296" s="150">
        <v>69.489224701500007</v>
      </c>
      <c r="Q296" s="150">
        <v>19.8574224766</v>
      </c>
      <c r="R296" s="150">
        <v>100</v>
      </c>
      <c r="S296" s="150">
        <v>80.142577523400007</v>
      </c>
      <c r="T296" s="150" t="s">
        <v>2842</v>
      </c>
      <c r="U296" s="150" t="s">
        <v>2842</v>
      </c>
      <c r="V296" s="150" t="s">
        <v>2842</v>
      </c>
    </row>
    <row r="297" spans="1:22">
      <c r="A297" s="150" t="s">
        <v>2883</v>
      </c>
      <c r="B297" s="150" t="s">
        <v>213</v>
      </c>
      <c r="C297" s="150" t="str">
        <f t="shared" si="8"/>
        <v>2007_Guatemala</v>
      </c>
      <c r="D297" s="150">
        <v>1731.2</v>
      </c>
      <c r="E297" s="150">
        <v>8714.4</v>
      </c>
      <c r="F297" s="150">
        <f t="shared" si="9"/>
        <v>8714400000</v>
      </c>
      <c r="G297" s="150">
        <v>6983.2</v>
      </c>
      <c r="H297" s="150">
        <v>2041.2</v>
      </c>
      <c r="I297" s="150">
        <v>14511.5</v>
      </c>
      <c r="J297" s="150">
        <v>12470.3</v>
      </c>
      <c r="K297" s="150">
        <v>-310</v>
      </c>
      <c r="L297" s="150">
        <v>-5797.1</v>
      </c>
      <c r="M297" s="150">
        <v>-5487.1</v>
      </c>
      <c r="N297" s="150">
        <v>19.865968970899999</v>
      </c>
      <c r="O297" s="150">
        <v>100</v>
      </c>
      <c r="P297" s="150">
        <v>80.134031029100001</v>
      </c>
      <c r="Q297" s="150">
        <v>14.0660855184</v>
      </c>
      <c r="R297" s="150">
        <v>100</v>
      </c>
      <c r="S297" s="150">
        <v>85.933914481599999</v>
      </c>
      <c r="T297" s="150" t="s">
        <v>2842</v>
      </c>
      <c r="U297" s="150" t="s">
        <v>2842</v>
      </c>
      <c r="V297" s="150" t="s">
        <v>2842</v>
      </c>
    </row>
    <row r="298" spans="1:22">
      <c r="A298" s="150" t="s">
        <v>2883</v>
      </c>
      <c r="B298" s="150" t="s">
        <v>2894</v>
      </c>
      <c r="C298" s="150" t="str">
        <f t="shared" si="8"/>
        <v>2007_ Guinea</v>
      </c>
      <c r="D298" s="150">
        <v>48.7</v>
      </c>
      <c r="E298" s="150">
        <v>1251.9000000000001</v>
      </c>
      <c r="F298" s="150">
        <f t="shared" si="9"/>
        <v>1251900000</v>
      </c>
      <c r="G298" s="150">
        <v>1203.2</v>
      </c>
      <c r="H298" s="150">
        <v>295.14</v>
      </c>
      <c r="I298" s="150">
        <v>1512.75</v>
      </c>
      <c r="J298" s="150">
        <v>1217.6099999999999</v>
      </c>
      <c r="K298" s="150">
        <v>-246.44</v>
      </c>
      <c r="L298" s="150">
        <v>-260.85000000000002</v>
      </c>
      <c r="M298" s="150">
        <v>-14.41</v>
      </c>
      <c r="N298" s="150">
        <v>3.8900870677000001</v>
      </c>
      <c r="O298" s="150">
        <v>100</v>
      </c>
      <c r="P298" s="150">
        <v>96.109912932300006</v>
      </c>
      <c r="Q298" s="150">
        <v>19.510163609300001</v>
      </c>
      <c r="R298" s="150">
        <v>100</v>
      </c>
      <c r="S298" s="150">
        <v>80.489836390700006</v>
      </c>
      <c r="T298" s="150" t="s">
        <v>2842</v>
      </c>
      <c r="U298" s="150" t="s">
        <v>2842</v>
      </c>
      <c r="V298" s="150" t="s">
        <v>2842</v>
      </c>
    </row>
    <row r="299" spans="1:22">
      <c r="A299" s="150" t="s">
        <v>2883</v>
      </c>
      <c r="B299" s="150" t="s">
        <v>237</v>
      </c>
      <c r="C299" s="150" t="str">
        <f t="shared" si="8"/>
        <v>2007_Indonesia</v>
      </c>
      <c r="D299" s="150">
        <v>12487.4</v>
      </c>
      <c r="E299" s="150">
        <v>130501.4</v>
      </c>
      <c r="F299" s="150">
        <f t="shared" si="9"/>
        <v>130501400000</v>
      </c>
      <c r="G299" s="150">
        <v>118014</v>
      </c>
      <c r="H299" s="150">
        <v>24328.400000000001</v>
      </c>
      <c r="I299" s="150">
        <v>109588.1</v>
      </c>
      <c r="J299" s="150">
        <v>85259.7</v>
      </c>
      <c r="K299" s="150">
        <v>-11841</v>
      </c>
      <c r="L299" s="150">
        <v>20913.3</v>
      </c>
      <c r="M299" s="150">
        <v>32754.3</v>
      </c>
      <c r="N299" s="150">
        <v>9.5687862351999993</v>
      </c>
      <c r="O299" s="150">
        <v>100</v>
      </c>
      <c r="P299" s="150">
        <v>90.431213764800006</v>
      </c>
      <c r="Q299" s="150">
        <v>22.199855641300001</v>
      </c>
      <c r="R299" s="150">
        <v>100</v>
      </c>
      <c r="S299" s="150">
        <v>77.800144358699995</v>
      </c>
      <c r="T299" s="150" t="s">
        <v>2842</v>
      </c>
      <c r="U299" s="150" t="s">
        <v>2842</v>
      </c>
      <c r="V299" s="150" t="s">
        <v>2842</v>
      </c>
    </row>
    <row r="300" spans="1:22">
      <c r="A300" s="150" t="s">
        <v>2883</v>
      </c>
      <c r="B300" s="150" t="s">
        <v>245</v>
      </c>
      <c r="C300" s="150" t="str">
        <f t="shared" si="8"/>
        <v>2007_Iraq</v>
      </c>
      <c r="D300" s="150">
        <v>867.9</v>
      </c>
      <c r="E300" s="150">
        <v>40454.9</v>
      </c>
      <c r="F300" s="150">
        <f t="shared" si="9"/>
        <v>40454900000</v>
      </c>
      <c r="G300" s="150">
        <v>39587</v>
      </c>
      <c r="H300" s="150">
        <v>4865.6000000000004</v>
      </c>
      <c r="I300" s="150">
        <v>21488.1</v>
      </c>
      <c r="J300" s="150">
        <v>16622.5</v>
      </c>
      <c r="K300" s="150">
        <v>-3997.7</v>
      </c>
      <c r="L300" s="150">
        <v>18966.8</v>
      </c>
      <c r="M300" s="150">
        <v>22964.5</v>
      </c>
      <c r="N300" s="150">
        <v>2.1453519846</v>
      </c>
      <c r="O300" s="150">
        <v>100</v>
      </c>
      <c r="P300" s="150">
        <v>97.854648015400002</v>
      </c>
      <c r="Q300" s="150">
        <v>22.6432304392</v>
      </c>
      <c r="R300" s="150">
        <v>100</v>
      </c>
      <c r="S300" s="150">
        <v>77.356769560800004</v>
      </c>
      <c r="T300" s="150" t="s">
        <v>2842</v>
      </c>
      <c r="U300" s="150" t="s">
        <v>2842</v>
      </c>
      <c r="V300" s="150" t="s">
        <v>2842</v>
      </c>
    </row>
    <row r="301" spans="1:22">
      <c r="A301" s="150" t="s">
        <v>2883</v>
      </c>
      <c r="B301" s="150" t="s">
        <v>273</v>
      </c>
      <c r="C301" s="150" t="str">
        <f t="shared" si="8"/>
        <v>2007_Kazakhstan</v>
      </c>
      <c r="D301" s="150">
        <v>3564.33</v>
      </c>
      <c r="E301" s="150">
        <v>51915.43</v>
      </c>
      <c r="F301" s="150">
        <f t="shared" si="9"/>
        <v>51915430000</v>
      </c>
      <c r="G301" s="150">
        <v>48351.1</v>
      </c>
      <c r="H301" s="150">
        <v>11729.8</v>
      </c>
      <c r="I301" s="150">
        <v>44990</v>
      </c>
      <c r="J301" s="150">
        <v>33260.199999999997</v>
      </c>
      <c r="K301" s="150">
        <v>-8165.47</v>
      </c>
      <c r="L301" s="150">
        <v>6925.43</v>
      </c>
      <c r="M301" s="150">
        <v>15090.9</v>
      </c>
      <c r="N301" s="150">
        <v>6.8656466872999999</v>
      </c>
      <c r="O301" s="150">
        <v>100</v>
      </c>
      <c r="P301" s="150">
        <v>93.1343533127</v>
      </c>
      <c r="Q301" s="150">
        <v>26.072016003600002</v>
      </c>
      <c r="R301" s="150">
        <v>100</v>
      </c>
      <c r="S301" s="150">
        <v>73.927983996400002</v>
      </c>
      <c r="T301" s="150" t="s">
        <v>2842</v>
      </c>
      <c r="U301" s="150" t="s">
        <v>2842</v>
      </c>
      <c r="V301" s="150" t="s">
        <v>2842</v>
      </c>
    </row>
    <row r="302" spans="1:22">
      <c r="A302" s="150" t="s">
        <v>2883</v>
      </c>
      <c r="B302" s="150" t="s">
        <v>2895</v>
      </c>
      <c r="C302" s="150" t="str">
        <f t="shared" si="8"/>
        <v>2007_Kyrgyzstan</v>
      </c>
      <c r="D302" s="150">
        <v>684.76700000000005</v>
      </c>
      <c r="E302" s="150">
        <v>2022.607</v>
      </c>
      <c r="F302" s="150">
        <f t="shared" si="9"/>
        <v>2022607000</v>
      </c>
      <c r="G302" s="150">
        <v>1337.84</v>
      </c>
      <c r="H302" s="150">
        <v>604.49199999999996</v>
      </c>
      <c r="I302" s="150">
        <v>3218.1120000000001</v>
      </c>
      <c r="J302" s="150">
        <v>2613.62</v>
      </c>
      <c r="K302" s="150">
        <v>80.275000000000006</v>
      </c>
      <c r="L302" s="150">
        <v>-1195.5050000000001</v>
      </c>
      <c r="M302" s="150">
        <v>-1275.78</v>
      </c>
      <c r="N302" s="150">
        <v>33.855662518700001</v>
      </c>
      <c r="O302" s="150">
        <v>100</v>
      </c>
      <c r="P302" s="150">
        <v>66.144337481299999</v>
      </c>
      <c r="Q302" s="150">
        <v>18.784057235999999</v>
      </c>
      <c r="R302" s="150">
        <v>100</v>
      </c>
      <c r="S302" s="150">
        <v>81.215942764000005</v>
      </c>
      <c r="T302" s="150" t="s">
        <v>2842</v>
      </c>
      <c r="U302" s="150" t="s">
        <v>2842</v>
      </c>
      <c r="V302" s="150" t="s">
        <v>2842</v>
      </c>
    </row>
    <row r="303" spans="1:22">
      <c r="A303" s="150" t="s">
        <v>2883</v>
      </c>
      <c r="B303" s="150" t="s">
        <v>294</v>
      </c>
      <c r="C303" s="150" t="str">
        <f t="shared" si="8"/>
        <v>2007_Liberia</v>
      </c>
      <c r="D303" s="150">
        <v>346.173</v>
      </c>
      <c r="E303" s="150">
        <v>542.37199999999996</v>
      </c>
      <c r="F303" s="150">
        <f t="shared" si="9"/>
        <v>542372000</v>
      </c>
      <c r="G303" s="150">
        <v>196.19900000000001</v>
      </c>
      <c r="H303" s="150">
        <v>1248.82</v>
      </c>
      <c r="I303" s="150">
        <v>1747.309</v>
      </c>
      <c r="J303" s="150">
        <v>498.48899999999998</v>
      </c>
      <c r="K303" s="150">
        <v>-902.64700000000005</v>
      </c>
      <c r="L303" s="150">
        <v>-1204.9369999999999</v>
      </c>
      <c r="M303" s="150">
        <v>-302.29000000000002</v>
      </c>
      <c r="N303" s="150">
        <v>63.825750591800002</v>
      </c>
      <c r="O303" s="150">
        <v>100</v>
      </c>
      <c r="P303" s="150">
        <v>36.174249408199998</v>
      </c>
      <c r="Q303" s="150">
        <v>71.471044903899994</v>
      </c>
      <c r="R303" s="150">
        <v>100</v>
      </c>
      <c r="S303" s="150">
        <v>28.528955096099999</v>
      </c>
      <c r="T303" s="150" t="s">
        <v>2842</v>
      </c>
      <c r="U303" s="150" t="s">
        <v>2842</v>
      </c>
      <c r="V303" s="150" t="s">
        <v>2842</v>
      </c>
    </row>
    <row r="304" spans="1:22">
      <c r="A304" s="150" t="s">
        <v>2883</v>
      </c>
      <c r="B304" s="150" t="s">
        <v>309</v>
      </c>
      <c r="C304" s="150" t="str">
        <f t="shared" si="8"/>
        <v>2007_Madagascar</v>
      </c>
      <c r="D304" s="150">
        <v>1031.92</v>
      </c>
      <c r="E304" s="150">
        <v>2269.60243102</v>
      </c>
      <c r="F304" s="150">
        <f t="shared" si="9"/>
        <v>2269602431.02</v>
      </c>
      <c r="G304" s="150">
        <v>1237.68243102</v>
      </c>
      <c r="H304" s="150">
        <v>1213.8800000000001</v>
      </c>
      <c r="I304" s="150">
        <v>3453.67804763</v>
      </c>
      <c r="J304" s="150">
        <v>2239.7980476299999</v>
      </c>
      <c r="K304" s="150">
        <v>-181.96</v>
      </c>
      <c r="L304" s="150">
        <v>-1184.07561661</v>
      </c>
      <c r="M304" s="150">
        <v>-1002.11561661</v>
      </c>
      <c r="N304" s="150">
        <v>45.466993950000003</v>
      </c>
      <c r="O304" s="150">
        <v>100</v>
      </c>
      <c r="P304" s="150">
        <v>54.533006049999997</v>
      </c>
      <c r="Q304" s="150">
        <v>35.147456805700003</v>
      </c>
      <c r="R304" s="150">
        <v>100</v>
      </c>
      <c r="S304" s="150">
        <v>64.852543194299997</v>
      </c>
      <c r="T304" s="150" t="s">
        <v>2842</v>
      </c>
      <c r="U304" s="150" t="s">
        <v>2842</v>
      </c>
      <c r="V304" s="150" t="s">
        <v>2842</v>
      </c>
    </row>
    <row r="305" spans="1:22">
      <c r="A305" s="150" t="s">
        <v>2883</v>
      </c>
      <c r="B305" s="150" t="s">
        <v>322</v>
      </c>
      <c r="C305" s="150" t="str">
        <f t="shared" si="8"/>
        <v>2007_Mali</v>
      </c>
      <c r="D305" s="150">
        <v>376.673</v>
      </c>
      <c r="E305" s="150">
        <v>1932.923</v>
      </c>
      <c r="F305" s="150">
        <f t="shared" si="9"/>
        <v>1932923000</v>
      </c>
      <c r="G305" s="150">
        <v>1556.25</v>
      </c>
      <c r="H305" s="150">
        <v>776.56299999999999</v>
      </c>
      <c r="I305" s="150">
        <v>2622.5529999999999</v>
      </c>
      <c r="J305" s="150">
        <v>1845.99</v>
      </c>
      <c r="K305" s="150">
        <v>-399.89</v>
      </c>
      <c r="L305" s="150">
        <v>-689.63</v>
      </c>
      <c r="M305" s="150">
        <v>-289.74</v>
      </c>
      <c r="N305" s="150">
        <v>19.487222201800002</v>
      </c>
      <c r="O305" s="150">
        <v>100</v>
      </c>
      <c r="P305" s="150">
        <v>80.512777798200005</v>
      </c>
      <c r="Q305" s="150">
        <v>29.610955431600001</v>
      </c>
      <c r="R305" s="150">
        <v>100</v>
      </c>
      <c r="S305" s="150">
        <v>70.389044568399996</v>
      </c>
      <c r="T305" s="150" t="s">
        <v>2842</v>
      </c>
      <c r="U305" s="150" t="s">
        <v>2842</v>
      </c>
      <c r="V305" s="150" t="s">
        <v>2842</v>
      </c>
    </row>
    <row r="306" spans="1:22">
      <c r="A306" s="150" t="s">
        <v>2883</v>
      </c>
      <c r="B306" s="150" t="s">
        <v>338</v>
      </c>
      <c r="C306" s="150" t="str">
        <f t="shared" si="8"/>
        <v>2007_Mauritania</v>
      </c>
      <c r="D306" s="150">
        <v>84.2</v>
      </c>
      <c r="E306" s="150">
        <v>1486</v>
      </c>
      <c r="F306" s="150">
        <f t="shared" si="9"/>
        <v>1486000000</v>
      </c>
      <c r="G306" s="150">
        <v>1401.8</v>
      </c>
      <c r="H306" s="150">
        <v>511.8</v>
      </c>
      <c r="I306" s="150">
        <v>2107.3000000000002</v>
      </c>
      <c r="J306" s="150">
        <v>1595.5</v>
      </c>
      <c r="K306" s="150">
        <v>-427.6</v>
      </c>
      <c r="L306" s="150">
        <v>-621.29999999999995</v>
      </c>
      <c r="M306" s="150">
        <v>-193.7</v>
      </c>
      <c r="N306" s="150">
        <v>5.666218035</v>
      </c>
      <c r="O306" s="150">
        <v>100</v>
      </c>
      <c r="P306" s="150">
        <v>94.333781965</v>
      </c>
      <c r="Q306" s="150">
        <v>24.287002325300001</v>
      </c>
      <c r="R306" s="150">
        <v>100</v>
      </c>
      <c r="S306" s="150">
        <v>75.712997674700006</v>
      </c>
      <c r="T306" s="150" t="s">
        <v>2842</v>
      </c>
      <c r="U306" s="150" t="s">
        <v>2842</v>
      </c>
      <c r="V306" s="150" t="s">
        <v>2842</v>
      </c>
    </row>
    <row r="307" spans="1:22">
      <c r="A307" s="150" t="s">
        <v>2883</v>
      </c>
      <c r="B307" s="150" t="s">
        <v>357</v>
      </c>
      <c r="C307" s="150" t="str">
        <f t="shared" si="8"/>
        <v>2007_Mongolia</v>
      </c>
      <c r="D307" s="150">
        <v>581.83699999999999</v>
      </c>
      <c r="E307" s="150">
        <v>2532.547</v>
      </c>
      <c r="F307" s="150">
        <f t="shared" si="9"/>
        <v>2532547000</v>
      </c>
      <c r="G307" s="150">
        <v>1950.71</v>
      </c>
      <c r="H307" s="150">
        <v>472.41399999999999</v>
      </c>
      <c r="I307" s="150">
        <v>2475.5140000000001</v>
      </c>
      <c r="J307" s="150">
        <v>2003.1</v>
      </c>
      <c r="K307" s="150">
        <v>109.423</v>
      </c>
      <c r="L307" s="150">
        <v>57.033000000000001</v>
      </c>
      <c r="M307" s="150">
        <v>-52.39</v>
      </c>
      <c r="N307" s="150">
        <v>22.974381127000001</v>
      </c>
      <c r="O307" s="150">
        <v>100</v>
      </c>
      <c r="P307" s="150">
        <v>77.025618872999999</v>
      </c>
      <c r="Q307" s="150">
        <v>19.083471149800001</v>
      </c>
      <c r="R307" s="150">
        <v>100</v>
      </c>
      <c r="S307" s="150">
        <v>80.916528850199995</v>
      </c>
      <c r="T307" s="150" t="s">
        <v>2842</v>
      </c>
      <c r="U307" s="150" t="s">
        <v>2842</v>
      </c>
      <c r="V307" s="150" t="s">
        <v>2842</v>
      </c>
    </row>
    <row r="308" spans="1:22">
      <c r="A308" s="150" t="s">
        <v>2883</v>
      </c>
      <c r="B308" s="150" t="s">
        <v>378</v>
      </c>
      <c r="C308" s="150" t="str">
        <f t="shared" si="8"/>
        <v>2007_Mozambique</v>
      </c>
      <c r="D308" s="150">
        <v>458.72899999999998</v>
      </c>
      <c r="E308" s="150">
        <v>2870.8490000000002</v>
      </c>
      <c r="F308" s="150">
        <f t="shared" si="9"/>
        <v>2870849000</v>
      </c>
      <c r="G308" s="150">
        <v>2412.12</v>
      </c>
      <c r="H308" s="150">
        <v>855.55600000000004</v>
      </c>
      <c r="I308" s="150">
        <v>3666.6860000000001</v>
      </c>
      <c r="J308" s="150">
        <v>2811.13</v>
      </c>
      <c r="K308" s="150">
        <v>-396.827</v>
      </c>
      <c r="L308" s="150">
        <v>-795.83699999999999</v>
      </c>
      <c r="M308" s="150">
        <v>-399.01</v>
      </c>
      <c r="N308" s="150">
        <v>15.9788620021</v>
      </c>
      <c r="O308" s="150">
        <v>100</v>
      </c>
      <c r="P308" s="150">
        <v>84.021137997899999</v>
      </c>
      <c r="Q308" s="150">
        <v>23.333222424799999</v>
      </c>
      <c r="R308" s="150">
        <v>100</v>
      </c>
      <c r="S308" s="150">
        <v>76.666777575200001</v>
      </c>
      <c r="T308" s="150" t="s">
        <v>2842</v>
      </c>
      <c r="U308" s="150" t="s">
        <v>2842</v>
      </c>
      <c r="V308" s="150" t="s">
        <v>2842</v>
      </c>
    </row>
    <row r="309" spans="1:22">
      <c r="A309" s="150" t="s">
        <v>2883</v>
      </c>
      <c r="B309" s="150" t="s">
        <v>387</v>
      </c>
      <c r="C309" s="150" t="str">
        <f t="shared" si="8"/>
        <v>2007_Niger</v>
      </c>
      <c r="D309" s="150">
        <v>84.632999999999996</v>
      </c>
      <c r="E309" s="150">
        <v>747.91899999999998</v>
      </c>
      <c r="F309" s="150">
        <f t="shared" si="9"/>
        <v>747919000</v>
      </c>
      <c r="G309" s="150">
        <v>663.28599999999994</v>
      </c>
      <c r="H309" s="150">
        <v>369.375</v>
      </c>
      <c r="I309" s="150">
        <v>1284.01</v>
      </c>
      <c r="J309" s="150">
        <v>914.63499999999999</v>
      </c>
      <c r="K309" s="150">
        <v>-284.74200000000002</v>
      </c>
      <c r="L309" s="150">
        <v>-536.09100000000001</v>
      </c>
      <c r="M309" s="150">
        <v>-251.34899999999999</v>
      </c>
      <c r="N309" s="150">
        <v>11.315797566300001</v>
      </c>
      <c r="O309" s="150">
        <v>100</v>
      </c>
      <c r="P309" s="150">
        <v>88.684202433699994</v>
      </c>
      <c r="Q309" s="150">
        <v>28.767299320100001</v>
      </c>
      <c r="R309" s="150">
        <v>100</v>
      </c>
      <c r="S309" s="150">
        <v>71.232700679900006</v>
      </c>
      <c r="T309" s="150" t="s">
        <v>2842</v>
      </c>
      <c r="U309" s="150" t="s">
        <v>2842</v>
      </c>
      <c r="V309" s="150" t="s">
        <v>2842</v>
      </c>
    </row>
    <row r="310" spans="1:22">
      <c r="A310" s="150" t="s">
        <v>2883</v>
      </c>
      <c r="B310" s="150" t="s">
        <v>406</v>
      </c>
      <c r="C310" s="150" t="str">
        <f t="shared" si="8"/>
        <v>2007_Nigeria</v>
      </c>
      <c r="D310" s="150">
        <v>1442.89</v>
      </c>
      <c r="E310" s="150">
        <v>67482.490000000005</v>
      </c>
      <c r="F310" s="150">
        <f t="shared" si="9"/>
        <v>67482490000.000008</v>
      </c>
      <c r="G310" s="150">
        <v>66039.600000000006</v>
      </c>
      <c r="H310" s="150">
        <v>18345.2</v>
      </c>
      <c r="I310" s="150">
        <v>46636.4</v>
      </c>
      <c r="J310" s="150">
        <v>28291.200000000001</v>
      </c>
      <c r="K310" s="150">
        <v>-16902.310000000001</v>
      </c>
      <c r="L310" s="150">
        <v>20846.09</v>
      </c>
      <c r="M310" s="150">
        <v>37748.400000000001</v>
      </c>
      <c r="N310" s="150">
        <v>2.1381694717999999</v>
      </c>
      <c r="O310" s="150">
        <v>100</v>
      </c>
      <c r="P310" s="150">
        <v>97.861830528200002</v>
      </c>
      <c r="Q310" s="150">
        <v>39.336655487999998</v>
      </c>
      <c r="R310" s="150">
        <v>100</v>
      </c>
      <c r="S310" s="150">
        <v>60.663344512000002</v>
      </c>
      <c r="T310" s="150" t="s">
        <v>2842</v>
      </c>
      <c r="U310" s="150" t="s">
        <v>2842</v>
      </c>
      <c r="V310" s="150" t="s">
        <v>2842</v>
      </c>
    </row>
    <row r="311" spans="1:22">
      <c r="A311" s="150" t="s">
        <v>2883</v>
      </c>
      <c r="B311" s="150" t="s">
        <v>429</v>
      </c>
      <c r="C311" s="150" t="str">
        <f t="shared" si="8"/>
        <v>2007_Norway</v>
      </c>
      <c r="D311" s="150">
        <v>40398.896053999997</v>
      </c>
      <c r="E311" s="150">
        <v>176760.919505</v>
      </c>
      <c r="F311" s="150">
        <f t="shared" si="9"/>
        <v>176760919505</v>
      </c>
      <c r="G311" s="150">
        <v>136362.02345099999</v>
      </c>
      <c r="H311" s="150">
        <v>39537.879311999997</v>
      </c>
      <c r="I311" s="150">
        <v>117866.58444200001</v>
      </c>
      <c r="J311" s="150">
        <v>78328.705130000002</v>
      </c>
      <c r="K311" s="150">
        <v>861.01674200000002</v>
      </c>
      <c r="L311" s="150">
        <v>58894.335062999999</v>
      </c>
      <c r="M311" s="150">
        <v>58033.318320999999</v>
      </c>
      <c r="N311" s="150">
        <v>22.855106302399999</v>
      </c>
      <c r="O311" s="150">
        <v>100</v>
      </c>
      <c r="P311" s="150">
        <v>77.144893697599997</v>
      </c>
      <c r="Q311" s="150">
        <v>33.5446042652</v>
      </c>
      <c r="R311" s="150">
        <v>100</v>
      </c>
      <c r="S311" s="150">
        <v>66.455395734800007</v>
      </c>
      <c r="T311" s="150" t="s">
        <v>2842</v>
      </c>
      <c r="U311" s="150" t="s">
        <v>2842</v>
      </c>
      <c r="V311" s="150" t="s">
        <v>2842</v>
      </c>
    </row>
    <row r="312" spans="1:22">
      <c r="A312" s="150" t="s">
        <v>2883</v>
      </c>
      <c r="B312" s="150" t="s">
        <v>442</v>
      </c>
      <c r="C312" s="150" t="str">
        <f t="shared" si="8"/>
        <v>2007_Peru</v>
      </c>
      <c r="D312" s="150">
        <v>3152.09</v>
      </c>
      <c r="E312" s="150">
        <v>31246.09</v>
      </c>
      <c r="F312" s="150">
        <f t="shared" si="9"/>
        <v>31246090000</v>
      </c>
      <c r="G312" s="150">
        <v>28094</v>
      </c>
      <c r="H312" s="150">
        <v>4344.07</v>
      </c>
      <c r="I312" s="150">
        <v>23934.57</v>
      </c>
      <c r="J312" s="150">
        <v>19590.5</v>
      </c>
      <c r="K312" s="150">
        <v>-1191.98</v>
      </c>
      <c r="L312" s="150">
        <v>7311.52</v>
      </c>
      <c r="M312" s="150">
        <v>8503.5</v>
      </c>
      <c r="N312" s="150">
        <v>10.0879502043</v>
      </c>
      <c r="O312" s="150">
        <v>100</v>
      </c>
      <c r="P312" s="150">
        <v>89.9120497957</v>
      </c>
      <c r="Q312" s="150">
        <v>18.149772483900001</v>
      </c>
      <c r="R312" s="150">
        <v>100</v>
      </c>
      <c r="S312" s="150">
        <v>81.850227516100006</v>
      </c>
      <c r="T312" s="150" t="s">
        <v>2842</v>
      </c>
      <c r="U312" s="150" t="s">
        <v>2842</v>
      </c>
      <c r="V312" s="150" t="s">
        <v>2842</v>
      </c>
    </row>
    <row r="313" spans="1:22">
      <c r="A313" s="150" t="s">
        <v>2883</v>
      </c>
      <c r="B313" s="150" t="s">
        <v>481</v>
      </c>
      <c r="C313" s="150" t="str">
        <f t="shared" si="8"/>
        <v>2007_Sierra Leone</v>
      </c>
      <c r="D313" s="150">
        <v>45.314</v>
      </c>
      <c r="E313" s="150">
        <v>334.18900000000002</v>
      </c>
      <c r="F313" s="150">
        <f t="shared" si="9"/>
        <v>334189000</v>
      </c>
      <c r="G313" s="150">
        <v>288.875</v>
      </c>
      <c r="H313" s="150">
        <v>97.980999999999995</v>
      </c>
      <c r="I313" s="150">
        <v>493.42700000000002</v>
      </c>
      <c r="J313" s="150">
        <v>395.44600000000003</v>
      </c>
      <c r="K313" s="150">
        <v>-52.667000000000002</v>
      </c>
      <c r="L313" s="150">
        <v>-159.238</v>
      </c>
      <c r="M313" s="150">
        <v>-106.571</v>
      </c>
      <c r="N313" s="150">
        <v>13.5593930381</v>
      </c>
      <c r="O313" s="150">
        <v>100</v>
      </c>
      <c r="P313" s="150">
        <v>86.440606961900002</v>
      </c>
      <c r="Q313" s="150">
        <v>19.8572433207</v>
      </c>
      <c r="R313" s="150">
        <v>100</v>
      </c>
      <c r="S313" s="150">
        <v>80.142756679300007</v>
      </c>
      <c r="T313" s="150" t="s">
        <v>2842</v>
      </c>
      <c r="U313" s="150" t="s">
        <v>2842</v>
      </c>
      <c r="V313" s="150" t="s">
        <v>2842</v>
      </c>
    </row>
    <row r="314" spans="1:22">
      <c r="A314" s="150" t="s">
        <v>2883</v>
      </c>
      <c r="B314" s="150" t="s">
        <v>2844</v>
      </c>
      <c r="C314" s="150" t="str">
        <f t="shared" si="8"/>
        <v>2007_Timor-Leste</v>
      </c>
      <c r="D314" s="150">
        <v>62.511000000000003</v>
      </c>
      <c r="E314" s="150">
        <v>69.159000000000006</v>
      </c>
      <c r="F314" s="150">
        <f t="shared" si="9"/>
        <v>69159000</v>
      </c>
      <c r="G314" s="150">
        <v>6.6479999999999997</v>
      </c>
      <c r="H314" s="150">
        <v>325.25900000000001</v>
      </c>
      <c r="I314" s="150">
        <v>500.92399999999998</v>
      </c>
      <c r="J314" s="150">
        <v>175.66499999999999</v>
      </c>
      <c r="K314" s="150">
        <v>-262.74799999999999</v>
      </c>
      <c r="L314" s="150">
        <v>-431.76499999999999</v>
      </c>
      <c r="M314" s="150">
        <v>-169.017</v>
      </c>
      <c r="N314" s="150">
        <v>90.387368238400001</v>
      </c>
      <c r="O314" s="150">
        <v>100</v>
      </c>
      <c r="P314" s="150">
        <v>9.6126317615999994</v>
      </c>
      <c r="Q314" s="150">
        <v>64.931806022499998</v>
      </c>
      <c r="R314" s="150">
        <v>100</v>
      </c>
      <c r="S314" s="150">
        <v>35.068193977500002</v>
      </c>
      <c r="T314" s="150" t="s">
        <v>2842</v>
      </c>
      <c r="U314" s="150" t="s">
        <v>2842</v>
      </c>
      <c r="V314" s="150" t="s">
        <v>2842</v>
      </c>
    </row>
    <row r="315" spans="1:22">
      <c r="A315" s="150" t="s">
        <v>2883</v>
      </c>
      <c r="B315" s="150" t="s">
        <v>510</v>
      </c>
      <c r="C315" s="150" t="str">
        <f t="shared" si="8"/>
        <v>2007_Togo</v>
      </c>
      <c r="D315" s="150">
        <v>236.017</v>
      </c>
      <c r="E315" s="150">
        <v>912.91099999999994</v>
      </c>
      <c r="F315" s="150">
        <f t="shared" si="9"/>
        <v>912911000</v>
      </c>
      <c r="G315" s="150">
        <v>676.89400000000001</v>
      </c>
      <c r="H315" s="150">
        <v>305.45400000000001</v>
      </c>
      <c r="I315" s="150">
        <v>1377.434</v>
      </c>
      <c r="J315" s="150">
        <v>1071.98</v>
      </c>
      <c r="K315" s="150">
        <v>-69.436999999999998</v>
      </c>
      <c r="L315" s="150">
        <v>-464.52300000000002</v>
      </c>
      <c r="M315" s="150">
        <v>-395.08600000000001</v>
      </c>
      <c r="N315" s="150">
        <v>25.853232133300001</v>
      </c>
      <c r="O315" s="150">
        <v>100</v>
      </c>
      <c r="P315" s="150">
        <v>74.146767866700003</v>
      </c>
      <c r="Q315" s="150">
        <v>22.175581552400001</v>
      </c>
      <c r="R315" s="150">
        <v>100</v>
      </c>
      <c r="S315" s="150">
        <v>77.824418447599996</v>
      </c>
      <c r="T315" s="150" t="s">
        <v>2842</v>
      </c>
      <c r="U315" s="150" t="s">
        <v>2842</v>
      </c>
      <c r="V315" s="150" t="s">
        <v>2842</v>
      </c>
    </row>
    <row r="316" spans="1:22">
      <c r="A316" s="150" t="s">
        <v>2883</v>
      </c>
      <c r="B316" s="150" t="s">
        <v>2845</v>
      </c>
      <c r="C316" s="150" t="str">
        <f t="shared" si="8"/>
        <v>2007_Trinidad and Tobago</v>
      </c>
      <c r="D316" s="150">
        <v>923.8</v>
      </c>
      <c r="E316" s="150">
        <v>14139</v>
      </c>
      <c r="F316" s="150">
        <f t="shared" si="9"/>
        <v>14139000000</v>
      </c>
      <c r="G316" s="150">
        <v>13215.2</v>
      </c>
      <c r="H316" s="150">
        <v>377.4</v>
      </c>
      <c r="I316" s="150">
        <v>8063.9</v>
      </c>
      <c r="J316" s="150">
        <v>7686.5</v>
      </c>
      <c r="K316" s="150">
        <v>546.4</v>
      </c>
      <c r="L316" s="150">
        <v>6075.1</v>
      </c>
      <c r="M316" s="150">
        <v>5528.7</v>
      </c>
      <c r="N316" s="150">
        <v>6.5337011104</v>
      </c>
      <c r="O316" s="150">
        <v>100</v>
      </c>
      <c r="P316" s="150">
        <v>93.466298889599997</v>
      </c>
      <c r="Q316" s="150">
        <v>4.6801175610000003</v>
      </c>
      <c r="R316" s="150">
        <v>100</v>
      </c>
      <c r="S316" s="150">
        <v>95.319882438999997</v>
      </c>
      <c r="T316" s="150" t="s">
        <v>2842</v>
      </c>
      <c r="U316" s="150" t="s">
        <v>2842</v>
      </c>
      <c r="V316" s="150" t="s">
        <v>2842</v>
      </c>
    </row>
    <row r="317" spans="1:22">
      <c r="A317" s="150" t="s">
        <v>2883</v>
      </c>
      <c r="B317" s="150" t="s">
        <v>492</v>
      </c>
      <c r="C317" s="150" t="str">
        <f t="shared" si="8"/>
        <v>2007_Tanzania</v>
      </c>
      <c r="D317" s="150">
        <v>1875.74</v>
      </c>
      <c r="E317" s="150">
        <v>4102.3</v>
      </c>
      <c r="F317" s="150">
        <f t="shared" si="9"/>
        <v>4102300000</v>
      </c>
      <c r="G317" s="150">
        <v>2226.56</v>
      </c>
      <c r="H317" s="150">
        <v>1413.68</v>
      </c>
      <c r="I317" s="150">
        <v>6274.32</v>
      </c>
      <c r="J317" s="150">
        <v>4860.6400000000003</v>
      </c>
      <c r="K317" s="150">
        <v>462.06</v>
      </c>
      <c r="L317" s="150">
        <v>-2172.02</v>
      </c>
      <c r="M317" s="150">
        <v>-2634.08</v>
      </c>
      <c r="N317" s="150">
        <v>45.7241059893</v>
      </c>
      <c r="O317" s="150">
        <v>100</v>
      </c>
      <c r="P317" s="150">
        <v>54.2758940107</v>
      </c>
      <c r="Q317" s="150">
        <v>22.531206568999998</v>
      </c>
      <c r="R317" s="150">
        <v>100</v>
      </c>
      <c r="S317" s="150">
        <v>77.468793430999995</v>
      </c>
      <c r="T317" s="150" t="s">
        <v>2842</v>
      </c>
      <c r="U317" s="150" t="s">
        <v>2842</v>
      </c>
      <c r="V317" s="150" t="s">
        <v>2842</v>
      </c>
    </row>
    <row r="318" spans="1:22">
      <c r="A318" s="150" t="s">
        <v>2883</v>
      </c>
      <c r="B318" s="150" t="s">
        <v>522</v>
      </c>
      <c r="C318" s="150" t="str">
        <f t="shared" si="8"/>
        <v>2007_Yemen</v>
      </c>
      <c r="D318" s="150">
        <v>723.77200000000005</v>
      </c>
      <c r="E318" s="150">
        <v>7773.2820000000002</v>
      </c>
      <c r="F318" s="150">
        <f t="shared" si="9"/>
        <v>7773282000</v>
      </c>
      <c r="G318" s="150">
        <v>7049.51</v>
      </c>
      <c r="H318" s="150">
        <v>1867.06</v>
      </c>
      <c r="I318" s="150">
        <v>9357.34</v>
      </c>
      <c r="J318" s="150">
        <v>7490.28</v>
      </c>
      <c r="K318" s="150">
        <v>-1143.288</v>
      </c>
      <c r="L318" s="150">
        <v>-1584.058</v>
      </c>
      <c r="M318" s="150">
        <v>-440.77</v>
      </c>
      <c r="N318" s="150">
        <v>9.3110220368000007</v>
      </c>
      <c r="O318" s="150">
        <v>100</v>
      </c>
      <c r="P318" s="150">
        <v>90.688977963200003</v>
      </c>
      <c r="Q318" s="150">
        <v>19.9528925955</v>
      </c>
      <c r="R318" s="150">
        <v>100</v>
      </c>
      <c r="S318" s="150">
        <v>80.047107404499997</v>
      </c>
      <c r="T318" s="150" t="s">
        <v>2842</v>
      </c>
      <c r="U318" s="150" t="s">
        <v>2842</v>
      </c>
      <c r="V318" s="150" t="s">
        <v>2842</v>
      </c>
    </row>
    <row r="319" spans="1:22">
      <c r="A319" s="150" t="s">
        <v>2883</v>
      </c>
      <c r="B319" s="150" t="s">
        <v>534</v>
      </c>
      <c r="C319" s="150" t="str">
        <f t="shared" si="8"/>
        <v>2007_Zambia</v>
      </c>
      <c r="D319" s="150">
        <v>273.36</v>
      </c>
      <c r="E319" s="150">
        <v>4783.12</v>
      </c>
      <c r="F319" s="150">
        <f t="shared" si="9"/>
        <v>4783120000</v>
      </c>
      <c r="G319" s="150">
        <v>4509.76</v>
      </c>
      <c r="H319" s="150">
        <v>914.77</v>
      </c>
      <c r="I319" s="150">
        <v>4525.32</v>
      </c>
      <c r="J319" s="150">
        <v>3610.55</v>
      </c>
      <c r="K319" s="150">
        <v>-641.41</v>
      </c>
      <c r="L319" s="150">
        <v>257.8</v>
      </c>
      <c r="M319" s="150">
        <v>899.21</v>
      </c>
      <c r="N319" s="150">
        <v>5.7150980950000001</v>
      </c>
      <c r="O319" s="150">
        <v>100</v>
      </c>
      <c r="P319" s="150">
        <v>94.284901904999998</v>
      </c>
      <c r="Q319" s="150">
        <v>20.214482069799999</v>
      </c>
      <c r="R319" s="150">
        <v>100</v>
      </c>
      <c r="S319" s="150">
        <v>79.785517930200001</v>
      </c>
      <c r="T319" s="150" t="s">
        <v>2842</v>
      </c>
      <c r="U319" s="150" t="s">
        <v>2842</v>
      </c>
      <c r="V319" s="150" t="s">
        <v>2842</v>
      </c>
    </row>
    <row r="320" spans="1:22">
      <c r="A320" s="150" t="s">
        <v>2884</v>
      </c>
      <c r="B320" s="150" t="s">
        <v>16</v>
      </c>
      <c r="C320" s="150" t="str">
        <f t="shared" si="8"/>
        <v>2008_Afghanistan</v>
      </c>
      <c r="D320" s="150" t="s">
        <v>561</v>
      </c>
      <c r="E320" s="150" t="s">
        <v>2842</v>
      </c>
      <c r="F320" s="150" t="str">
        <f t="shared" si="9"/>
        <v>..</v>
      </c>
      <c r="G320" s="150">
        <v>2465</v>
      </c>
      <c r="H320" s="150" t="s">
        <v>561</v>
      </c>
      <c r="I320" s="150" t="s">
        <v>561</v>
      </c>
      <c r="J320" s="150">
        <v>8945</v>
      </c>
      <c r="K320" s="150" t="s">
        <v>561</v>
      </c>
      <c r="L320" s="150" t="s">
        <v>561</v>
      </c>
      <c r="M320" s="150">
        <v>-6480</v>
      </c>
      <c r="N320" s="150" t="s">
        <v>561</v>
      </c>
      <c r="O320" s="150" t="s">
        <v>561</v>
      </c>
      <c r="P320" s="150">
        <v>95.856211793599996</v>
      </c>
      <c r="Q320" s="150" t="s">
        <v>561</v>
      </c>
      <c r="R320" s="150" t="s">
        <v>561</v>
      </c>
      <c r="S320" s="150">
        <v>99.042460371900006</v>
      </c>
      <c r="T320" s="150" t="s">
        <v>2842</v>
      </c>
      <c r="U320" s="150" t="s">
        <v>2842</v>
      </c>
      <c r="V320" s="150" t="s">
        <v>2842</v>
      </c>
    </row>
    <row r="321" spans="1:22">
      <c r="A321" s="150" t="s">
        <v>2884</v>
      </c>
      <c r="B321" s="150" t="s">
        <v>33</v>
      </c>
      <c r="C321" s="150" t="str">
        <f t="shared" si="8"/>
        <v>2008_Albania</v>
      </c>
      <c r="D321" s="150">
        <v>2477.83</v>
      </c>
      <c r="E321" s="150">
        <v>3833.33</v>
      </c>
      <c r="F321" s="150">
        <f t="shared" si="9"/>
        <v>3833330000</v>
      </c>
      <c r="G321" s="150">
        <v>1355.5</v>
      </c>
      <c r="H321" s="150">
        <v>2379.09</v>
      </c>
      <c r="I321" s="150">
        <v>7285.94</v>
      </c>
      <c r="J321" s="150">
        <v>4906.8500000000004</v>
      </c>
      <c r="K321" s="150">
        <v>98.74</v>
      </c>
      <c r="L321" s="150">
        <v>-3452.61</v>
      </c>
      <c r="M321" s="150">
        <v>-3551.35</v>
      </c>
      <c r="N321" s="150">
        <v>64.639099686199998</v>
      </c>
      <c r="O321" s="150">
        <v>100</v>
      </c>
      <c r="P321" s="150">
        <v>35.360900313800002</v>
      </c>
      <c r="Q321" s="150">
        <v>32.653164862700002</v>
      </c>
      <c r="R321" s="150">
        <v>100</v>
      </c>
      <c r="S321" s="150">
        <v>67.346835137300005</v>
      </c>
      <c r="T321" s="150" t="s">
        <v>2842</v>
      </c>
      <c r="U321" s="150" t="s">
        <v>2842</v>
      </c>
      <c r="V321" s="150" t="s">
        <v>2842</v>
      </c>
    </row>
    <row r="322" spans="1:22">
      <c r="A322" s="150" t="s">
        <v>2884</v>
      </c>
      <c r="B322" s="150" t="s">
        <v>48</v>
      </c>
      <c r="C322" s="150" t="str">
        <f t="shared" si="8"/>
        <v>2008_Azerbaijan</v>
      </c>
      <c r="D322" s="150">
        <v>1547.9</v>
      </c>
      <c r="E322" s="150">
        <v>32134.2</v>
      </c>
      <c r="F322" s="150">
        <f t="shared" si="9"/>
        <v>32134200000</v>
      </c>
      <c r="G322" s="150">
        <v>30586.3</v>
      </c>
      <c r="H322" s="150">
        <v>3891.16</v>
      </c>
      <c r="I322" s="150">
        <v>11465.84</v>
      </c>
      <c r="J322" s="150">
        <v>7574.68</v>
      </c>
      <c r="K322" s="150">
        <v>-2343.2600000000002</v>
      </c>
      <c r="L322" s="150">
        <v>20668.36</v>
      </c>
      <c r="M322" s="150">
        <v>23011.62</v>
      </c>
      <c r="N322" s="150">
        <v>4.8169862638999996</v>
      </c>
      <c r="O322" s="150">
        <v>100</v>
      </c>
      <c r="P322" s="150">
        <v>95.183013736099994</v>
      </c>
      <c r="Q322" s="150">
        <v>33.936981503299997</v>
      </c>
      <c r="R322" s="150">
        <v>100</v>
      </c>
      <c r="S322" s="150">
        <v>66.063018496699996</v>
      </c>
      <c r="T322" s="150" t="s">
        <v>2842</v>
      </c>
      <c r="U322" s="150" t="s">
        <v>2842</v>
      </c>
      <c r="V322" s="150" t="s">
        <v>2842</v>
      </c>
    </row>
    <row r="323" spans="1:22">
      <c r="A323" s="150" t="s">
        <v>2884</v>
      </c>
      <c r="B323" s="150" t="s">
        <v>93</v>
      </c>
      <c r="C323" s="150" t="str">
        <f t="shared" si="8"/>
        <v>2008_Burkina Faso</v>
      </c>
      <c r="D323" s="150">
        <v>132.23400000000001</v>
      </c>
      <c r="E323" s="150">
        <v>983.93700000000001</v>
      </c>
      <c r="F323" s="150">
        <f t="shared" si="9"/>
        <v>983937000</v>
      </c>
      <c r="G323" s="150">
        <v>851.70299999999997</v>
      </c>
      <c r="H323" s="150">
        <v>604.69799999999998</v>
      </c>
      <c r="I323" s="150">
        <v>2352.6880000000001</v>
      </c>
      <c r="J323" s="150">
        <v>1747.99</v>
      </c>
      <c r="K323" s="150">
        <v>-472.464</v>
      </c>
      <c r="L323" s="150">
        <v>-1368.751</v>
      </c>
      <c r="M323" s="150">
        <v>-896.28700000000003</v>
      </c>
      <c r="N323" s="150">
        <v>13.439275075499999</v>
      </c>
      <c r="O323" s="150">
        <v>100</v>
      </c>
      <c r="P323" s="150">
        <v>86.560724924499993</v>
      </c>
      <c r="Q323" s="150">
        <v>25.7024305815</v>
      </c>
      <c r="R323" s="150">
        <v>100</v>
      </c>
      <c r="S323" s="150">
        <v>74.297569418500004</v>
      </c>
      <c r="T323" s="150" t="s">
        <v>2842</v>
      </c>
      <c r="U323" s="150" t="s">
        <v>2842</v>
      </c>
      <c r="V323" s="150" t="s">
        <v>2842</v>
      </c>
    </row>
    <row r="324" spans="1:22">
      <c r="A324" s="150" t="s">
        <v>2884</v>
      </c>
      <c r="B324" s="150" t="s">
        <v>2890</v>
      </c>
      <c r="C324" s="150" t="str">
        <f t="shared" si="8"/>
        <v>2008_ Cameroon</v>
      </c>
      <c r="D324" s="150">
        <v>1483.65</v>
      </c>
      <c r="E324" s="150">
        <v>7373.66</v>
      </c>
      <c r="F324" s="150">
        <f t="shared" si="9"/>
        <v>7373660000</v>
      </c>
      <c r="G324" s="150">
        <v>5890.01</v>
      </c>
      <c r="H324" s="150">
        <v>2668.3</v>
      </c>
      <c r="I324" s="150">
        <v>8092.29</v>
      </c>
      <c r="J324" s="150">
        <v>5423.99</v>
      </c>
      <c r="K324" s="150">
        <v>-1184.6500000000001</v>
      </c>
      <c r="L324" s="150">
        <v>-718.63</v>
      </c>
      <c r="M324" s="150">
        <v>466.02</v>
      </c>
      <c r="N324" s="150">
        <v>20.120944008799999</v>
      </c>
      <c r="O324" s="150">
        <v>100</v>
      </c>
      <c r="P324" s="150">
        <v>79.879055991200005</v>
      </c>
      <c r="Q324" s="150">
        <v>32.973361063399999</v>
      </c>
      <c r="R324" s="150">
        <v>100</v>
      </c>
      <c r="S324" s="150">
        <v>67.026638936599994</v>
      </c>
      <c r="T324" s="150" t="s">
        <v>2842</v>
      </c>
      <c r="U324" s="150" t="s">
        <v>2842</v>
      </c>
      <c r="V324" s="150" t="s">
        <v>2842</v>
      </c>
    </row>
    <row r="325" spans="1:22">
      <c r="A325" s="150" t="s">
        <v>2884</v>
      </c>
      <c r="B325" s="150" t="s">
        <v>122</v>
      </c>
      <c r="C325" s="150" t="str">
        <f t="shared" si="8"/>
        <v>2008_Central African Republic</v>
      </c>
      <c r="D325" s="150">
        <v>67.886691749999997</v>
      </c>
      <c r="E325" s="150">
        <v>218.17532184000001</v>
      </c>
      <c r="F325" s="150">
        <f t="shared" si="9"/>
        <v>218175321.84</v>
      </c>
      <c r="G325" s="150">
        <v>150.28863009</v>
      </c>
      <c r="H325" s="150">
        <v>164.80387668</v>
      </c>
      <c r="I325" s="150">
        <v>465.15782538000002</v>
      </c>
      <c r="J325" s="150">
        <v>300.35394869999999</v>
      </c>
      <c r="K325" s="150">
        <v>-96.917184930000005</v>
      </c>
      <c r="L325" s="150">
        <v>-246.98250354000001</v>
      </c>
      <c r="M325" s="150">
        <v>-150.06531860999999</v>
      </c>
      <c r="N325" s="150">
        <v>31.115660184399999</v>
      </c>
      <c r="O325" s="150">
        <v>100</v>
      </c>
      <c r="P325" s="150">
        <v>68.884339815600001</v>
      </c>
      <c r="Q325" s="150">
        <v>35.429668746399997</v>
      </c>
      <c r="R325" s="150">
        <v>100</v>
      </c>
      <c r="S325" s="150">
        <v>64.570331253600003</v>
      </c>
      <c r="T325" s="150" t="s">
        <v>2842</v>
      </c>
      <c r="U325" s="150" t="s">
        <v>2842</v>
      </c>
      <c r="V325" s="150" t="s">
        <v>2842</v>
      </c>
    </row>
    <row r="326" spans="1:22">
      <c r="A326" s="150" t="s">
        <v>2884</v>
      </c>
      <c r="B326" s="150" t="s">
        <v>2891</v>
      </c>
      <c r="C326" s="150" t="str">
        <f t="shared" ref="C326:C389" si="10">$A326&amp;"_"&amp;$B326</f>
        <v>2008_ Chad</v>
      </c>
      <c r="D326" s="150">
        <v>251.67204475</v>
      </c>
      <c r="E326" s="150">
        <v>4420.0042429100004</v>
      </c>
      <c r="F326" s="150">
        <f t="shared" ref="F326:F389" si="11">IFERROR($E326*1000000,"..")</f>
        <v>4420004242.9100008</v>
      </c>
      <c r="G326" s="150">
        <v>4168.3321981600002</v>
      </c>
      <c r="H326" s="150">
        <v>1867.55395763</v>
      </c>
      <c r="I326" s="150">
        <v>3891.202644</v>
      </c>
      <c r="J326" s="150">
        <v>2023.64868637</v>
      </c>
      <c r="K326" s="150">
        <v>-1615.8819128800001</v>
      </c>
      <c r="L326" s="150">
        <v>528.80159891000005</v>
      </c>
      <c r="M326" s="150">
        <v>2144.68351179</v>
      </c>
      <c r="N326" s="150">
        <v>5.6939321981999997</v>
      </c>
      <c r="O326" s="150">
        <v>100</v>
      </c>
      <c r="P326" s="150">
        <v>94.306067801799998</v>
      </c>
      <c r="Q326" s="150">
        <v>47.994261119000001</v>
      </c>
      <c r="R326" s="150">
        <v>100</v>
      </c>
      <c r="S326" s="150">
        <v>52.005738880999999</v>
      </c>
      <c r="T326" s="150" t="s">
        <v>2842</v>
      </c>
      <c r="U326" s="150" t="s">
        <v>2842</v>
      </c>
      <c r="V326" s="150" t="s">
        <v>2842</v>
      </c>
    </row>
    <row r="327" spans="1:22">
      <c r="A327" s="150" t="s">
        <v>2884</v>
      </c>
      <c r="B327" s="150" t="s">
        <v>458</v>
      </c>
      <c r="C327" s="150" t="str">
        <f t="shared" si="10"/>
        <v>2008_Republic of the Congo</v>
      </c>
      <c r="D327" s="150">
        <v>371.81362423000002</v>
      </c>
      <c r="E327" s="150">
        <v>8696.1958888299996</v>
      </c>
      <c r="F327" s="150">
        <f t="shared" si="11"/>
        <v>8696195888.8299999</v>
      </c>
      <c r="G327" s="150">
        <v>8324.3822646000008</v>
      </c>
      <c r="H327" s="150">
        <v>3570.52735007</v>
      </c>
      <c r="I327" s="150">
        <v>6623.4186755299997</v>
      </c>
      <c r="J327" s="150">
        <v>3052.8913254600002</v>
      </c>
      <c r="K327" s="150">
        <v>-3198.7137258399998</v>
      </c>
      <c r="L327" s="150">
        <v>2072.7772132999999</v>
      </c>
      <c r="M327" s="150">
        <v>5271.4909391399997</v>
      </c>
      <c r="N327" s="150">
        <v>4.2755893378999996</v>
      </c>
      <c r="O327" s="150">
        <v>100</v>
      </c>
      <c r="P327" s="150">
        <v>95.724410662099999</v>
      </c>
      <c r="Q327" s="150">
        <v>53.907619689800001</v>
      </c>
      <c r="R327" s="150">
        <v>100</v>
      </c>
      <c r="S327" s="150">
        <v>46.092380310199999</v>
      </c>
      <c r="T327" s="150" t="s">
        <v>2842</v>
      </c>
      <c r="U327" s="150" t="s">
        <v>2842</v>
      </c>
      <c r="V327" s="150" t="s">
        <v>2842</v>
      </c>
    </row>
    <row r="328" spans="1:22">
      <c r="A328" s="150" t="s">
        <v>2884</v>
      </c>
      <c r="B328" s="150" t="s">
        <v>165</v>
      </c>
      <c r="C328" s="150" t="str">
        <f t="shared" si="10"/>
        <v>2008_Democratic Republic of Congo</v>
      </c>
      <c r="D328" s="150">
        <v>703.10832049999999</v>
      </c>
      <c r="E328" s="150">
        <v>7572.8895476400003</v>
      </c>
      <c r="F328" s="150">
        <f t="shared" si="11"/>
        <v>7572889547.6400003</v>
      </c>
      <c r="G328" s="150">
        <v>6869.7812271399998</v>
      </c>
      <c r="H328" s="150">
        <v>2097.0347673000001</v>
      </c>
      <c r="I328" s="150">
        <v>8822.8544609</v>
      </c>
      <c r="J328" s="150">
        <v>6725.8196936000004</v>
      </c>
      <c r="K328" s="150">
        <v>-1393.9264467999999</v>
      </c>
      <c r="L328" s="150">
        <v>-1249.96491326</v>
      </c>
      <c r="M328" s="150">
        <v>143.96153354</v>
      </c>
      <c r="N328" s="150">
        <v>9.2845447709000002</v>
      </c>
      <c r="O328" s="150">
        <v>100</v>
      </c>
      <c r="P328" s="150">
        <v>90.715455229100002</v>
      </c>
      <c r="Q328" s="150">
        <v>23.7682121653</v>
      </c>
      <c r="R328" s="150">
        <v>100</v>
      </c>
      <c r="S328" s="150">
        <v>76.2317878347</v>
      </c>
      <c r="T328" s="150" t="s">
        <v>2842</v>
      </c>
      <c r="U328" s="150" t="s">
        <v>2842</v>
      </c>
      <c r="V328" s="150" t="s">
        <v>2842</v>
      </c>
    </row>
    <row r="329" spans="1:22">
      <c r="A329" s="150" t="s">
        <v>2884</v>
      </c>
      <c r="B329" s="150" t="s">
        <v>2892</v>
      </c>
      <c r="C329" s="150" t="str">
        <f t="shared" si="10"/>
        <v>2008_ Equatorial Guinea</v>
      </c>
      <c r="D329" s="150">
        <v>57.614363390000001</v>
      </c>
      <c r="E329" s="150">
        <v>15748.372617540001</v>
      </c>
      <c r="F329" s="150">
        <f t="shared" si="11"/>
        <v>15748372617.540001</v>
      </c>
      <c r="G329" s="150">
        <v>15690.75825415</v>
      </c>
      <c r="H329" s="150">
        <v>1683.99191612</v>
      </c>
      <c r="I329" s="150">
        <v>5470.9080961500003</v>
      </c>
      <c r="J329" s="150">
        <v>3786.9161800299999</v>
      </c>
      <c r="K329" s="150">
        <v>-1626.3775527299999</v>
      </c>
      <c r="L329" s="150">
        <v>10277.46452139</v>
      </c>
      <c r="M329" s="150">
        <v>11903.842074120001</v>
      </c>
      <c r="N329" s="150">
        <v>0.36584328290000001</v>
      </c>
      <c r="O329" s="150">
        <v>100</v>
      </c>
      <c r="P329" s="150">
        <v>99.634156717099998</v>
      </c>
      <c r="Q329" s="150">
        <v>30.780848197899999</v>
      </c>
      <c r="R329" s="150">
        <v>100</v>
      </c>
      <c r="S329" s="150">
        <v>69.219151802100001</v>
      </c>
      <c r="T329" s="150" t="s">
        <v>2842</v>
      </c>
      <c r="U329" s="150" t="s">
        <v>2842</v>
      </c>
      <c r="V329" s="150" t="s">
        <v>2842</v>
      </c>
    </row>
    <row r="330" spans="1:22">
      <c r="A330" s="150" t="s">
        <v>2884</v>
      </c>
      <c r="B330" s="150" t="s">
        <v>2893</v>
      </c>
      <c r="C330" s="150" t="str">
        <f t="shared" si="10"/>
        <v>2008_ Gabon</v>
      </c>
      <c r="D330" s="150" t="s">
        <v>561</v>
      </c>
      <c r="E330" s="150" t="s">
        <v>2842</v>
      </c>
      <c r="F330" s="150" t="str">
        <f t="shared" si="11"/>
        <v>..</v>
      </c>
      <c r="G330" s="150">
        <v>9566.8873728500002</v>
      </c>
      <c r="H330" s="150" t="s">
        <v>561</v>
      </c>
      <c r="I330" s="150" t="s">
        <v>561</v>
      </c>
      <c r="J330" s="150">
        <v>2098.6813456700002</v>
      </c>
      <c r="K330" s="150" t="s">
        <v>561</v>
      </c>
      <c r="L330" s="150" t="s">
        <v>561</v>
      </c>
      <c r="M330" s="150">
        <v>7468.2060271800001</v>
      </c>
      <c r="N330" s="150" t="s">
        <v>561</v>
      </c>
      <c r="O330" s="150" t="s">
        <v>561</v>
      </c>
      <c r="P330" s="150">
        <v>98.005170086800007</v>
      </c>
      <c r="Q330" s="150" t="s">
        <v>561</v>
      </c>
      <c r="R330" s="150" t="s">
        <v>561</v>
      </c>
      <c r="S330" s="150">
        <v>56.255237639100002</v>
      </c>
      <c r="T330" s="150" t="s">
        <v>2842</v>
      </c>
      <c r="U330" s="150" t="s">
        <v>2842</v>
      </c>
      <c r="V330" s="150" t="s">
        <v>2842</v>
      </c>
    </row>
    <row r="331" spans="1:22">
      <c r="A331" s="150" t="s">
        <v>2884</v>
      </c>
      <c r="B331" s="150" t="s">
        <v>189</v>
      </c>
      <c r="C331" s="150" t="str">
        <f t="shared" si="10"/>
        <v>2008_Ghana</v>
      </c>
      <c r="D331" s="150">
        <v>1800.9</v>
      </c>
      <c r="E331" s="150">
        <v>7070.63</v>
      </c>
      <c r="F331" s="150">
        <f t="shared" si="11"/>
        <v>7070630000</v>
      </c>
      <c r="G331" s="150">
        <v>5269.73</v>
      </c>
      <c r="H331" s="150">
        <v>2298.06</v>
      </c>
      <c r="I331" s="150">
        <v>12566.56</v>
      </c>
      <c r="J331" s="150">
        <v>10268.5</v>
      </c>
      <c r="K331" s="150">
        <v>-497.16</v>
      </c>
      <c r="L331" s="150">
        <v>-5495.93</v>
      </c>
      <c r="M331" s="150">
        <v>-4998.7700000000004</v>
      </c>
      <c r="N331" s="150">
        <v>25.4701490532</v>
      </c>
      <c r="O331" s="150">
        <v>100</v>
      </c>
      <c r="P331" s="150">
        <v>74.529850946799996</v>
      </c>
      <c r="Q331" s="150">
        <v>18.2871048242</v>
      </c>
      <c r="R331" s="150">
        <v>100</v>
      </c>
      <c r="S331" s="150">
        <v>81.7128951758</v>
      </c>
      <c r="T331" s="150" t="s">
        <v>2842</v>
      </c>
      <c r="U331" s="150" t="s">
        <v>2842</v>
      </c>
      <c r="V331" s="150" t="s">
        <v>2842</v>
      </c>
    </row>
    <row r="332" spans="1:22">
      <c r="A332" s="150" t="s">
        <v>2884</v>
      </c>
      <c r="B332" s="150" t="s">
        <v>213</v>
      </c>
      <c r="C332" s="150" t="str">
        <f t="shared" si="10"/>
        <v>2008_Guatemala</v>
      </c>
      <c r="D332" s="150">
        <v>1872.9</v>
      </c>
      <c r="E332" s="150">
        <v>9719.2999999999993</v>
      </c>
      <c r="F332" s="150">
        <f t="shared" si="11"/>
        <v>9719300000</v>
      </c>
      <c r="G332" s="150">
        <v>7846.4</v>
      </c>
      <c r="H332" s="150">
        <v>2149</v>
      </c>
      <c r="I332" s="150">
        <v>15570.2</v>
      </c>
      <c r="J332" s="150">
        <v>13421.2</v>
      </c>
      <c r="K332" s="150">
        <v>-276.10000000000002</v>
      </c>
      <c r="L332" s="150">
        <v>-5850.9</v>
      </c>
      <c r="M332" s="150">
        <v>-5574.8</v>
      </c>
      <c r="N332" s="150">
        <v>19.269906269</v>
      </c>
      <c r="O332" s="150">
        <v>100</v>
      </c>
      <c r="P332" s="150">
        <v>80.730093730999997</v>
      </c>
      <c r="Q332" s="150">
        <v>13.8020063968</v>
      </c>
      <c r="R332" s="150">
        <v>100</v>
      </c>
      <c r="S332" s="150">
        <v>86.197993603200004</v>
      </c>
      <c r="T332" s="150" t="s">
        <v>2842</v>
      </c>
      <c r="U332" s="150" t="s">
        <v>2842</v>
      </c>
      <c r="V332" s="150" t="s">
        <v>2842</v>
      </c>
    </row>
    <row r="333" spans="1:22">
      <c r="A333" s="150" t="s">
        <v>2884</v>
      </c>
      <c r="B333" s="150" t="s">
        <v>2894</v>
      </c>
      <c r="C333" s="150" t="str">
        <f t="shared" si="10"/>
        <v>2008_ Guinea</v>
      </c>
      <c r="D333" s="150">
        <v>102.9</v>
      </c>
      <c r="E333" s="150">
        <v>1444.91</v>
      </c>
      <c r="F333" s="150">
        <f t="shared" si="11"/>
        <v>1444910000</v>
      </c>
      <c r="G333" s="150">
        <v>1342.01</v>
      </c>
      <c r="H333" s="150">
        <v>444.33</v>
      </c>
      <c r="I333" s="150">
        <v>1810.4</v>
      </c>
      <c r="J333" s="150">
        <v>1366.07</v>
      </c>
      <c r="K333" s="150">
        <v>-341.43</v>
      </c>
      <c r="L333" s="150">
        <v>-365.49</v>
      </c>
      <c r="M333" s="150">
        <v>-24.06</v>
      </c>
      <c r="N333" s="150">
        <v>7.1215508231999998</v>
      </c>
      <c r="O333" s="150">
        <v>100</v>
      </c>
      <c r="P333" s="150">
        <v>92.878449176800004</v>
      </c>
      <c r="Q333" s="150">
        <v>24.543194874099999</v>
      </c>
      <c r="R333" s="150">
        <v>100</v>
      </c>
      <c r="S333" s="150">
        <v>75.456805125900004</v>
      </c>
      <c r="T333" s="150" t="s">
        <v>2842</v>
      </c>
      <c r="U333" s="150" t="s">
        <v>2842</v>
      </c>
      <c r="V333" s="150" t="s">
        <v>2842</v>
      </c>
    </row>
    <row r="334" spans="1:22">
      <c r="A334" s="150" t="s">
        <v>2884</v>
      </c>
      <c r="B334" s="150" t="s">
        <v>237</v>
      </c>
      <c r="C334" s="150" t="str">
        <f t="shared" si="10"/>
        <v>2008_Indonesia</v>
      </c>
      <c r="D334" s="150">
        <v>15246.5</v>
      </c>
      <c r="E334" s="150">
        <v>154852.5</v>
      </c>
      <c r="F334" s="150">
        <f t="shared" si="11"/>
        <v>154852500000</v>
      </c>
      <c r="G334" s="150">
        <v>139606</v>
      </c>
      <c r="H334" s="150">
        <v>28245.1</v>
      </c>
      <c r="I334" s="150">
        <v>144935.1</v>
      </c>
      <c r="J334" s="150">
        <v>116690</v>
      </c>
      <c r="K334" s="150">
        <v>-12998.6</v>
      </c>
      <c r="L334" s="150">
        <v>9917.4</v>
      </c>
      <c r="M334" s="150">
        <v>22916</v>
      </c>
      <c r="N334" s="150">
        <v>9.8458210231999992</v>
      </c>
      <c r="O334" s="150">
        <v>100</v>
      </c>
      <c r="P334" s="150">
        <v>90.154178976799997</v>
      </c>
      <c r="Q334" s="150">
        <v>19.488101916000002</v>
      </c>
      <c r="R334" s="150">
        <v>100</v>
      </c>
      <c r="S334" s="150">
        <v>80.511898083999995</v>
      </c>
      <c r="T334" s="150" t="s">
        <v>2842</v>
      </c>
      <c r="U334" s="150" t="s">
        <v>2842</v>
      </c>
      <c r="V334" s="150" t="s">
        <v>2842</v>
      </c>
    </row>
    <row r="335" spans="1:22">
      <c r="A335" s="150" t="s">
        <v>2884</v>
      </c>
      <c r="B335" s="150" t="s">
        <v>245</v>
      </c>
      <c r="C335" s="150" t="str">
        <f t="shared" si="10"/>
        <v>2008_Iraq</v>
      </c>
      <c r="D335" s="150">
        <v>1496.4</v>
      </c>
      <c r="E335" s="150">
        <v>65222.400000000001</v>
      </c>
      <c r="F335" s="150">
        <f t="shared" si="11"/>
        <v>65222400000</v>
      </c>
      <c r="G335" s="150">
        <v>63726</v>
      </c>
      <c r="H335" s="150">
        <v>7572</v>
      </c>
      <c r="I335" s="150">
        <v>37333.4</v>
      </c>
      <c r="J335" s="150">
        <v>29761.4</v>
      </c>
      <c r="K335" s="150">
        <v>-6075.6</v>
      </c>
      <c r="L335" s="150">
        <v>27889</v>
      </c>
      <c r="M335" s="150">
        <v>33964.6</v>
      </c>
      <c r="N335" s="150">
        <v>2.2943037975</v>
      </c>
      <c r="O335" s="150">
        <v>100</v>
      </c>
      <c r="P335" s="150">
        <v>97.705696202499993</v>
      </c>
      <c r="Q335" s="150">
        <v>20.2821066391</v>
      </c>
      <c r="R335" s="150">
        <v>100</v>
      </c>
      <c r="S335" s="150">
        <v>79.717893360900007</v>
      </c>
      <c r="T335" s="150" t="s">
        <v>2842</v>
      </c>
      <c r="U335" s="150" t="s">
        <v>2842</v>
      </c>
      <c r="V335" s="150" t="s">
        <v>2842</v>
      </c>
    </row>
    <row r="336" spans="1:22">
      <c r="A336" s="150" t="s">
        <v>2884</v>
      </c>
      <c r="B336" s="150" t="s">
        <v>273</v>
      </c>
      <c r="C336" s="150" t="str">
        <f t="shared" si="10"/>
        <v>2008_Kazakhstan</v>
      </c>
      <c r="D336" s="150">
        <v>4425.59</v>
      </c>
      <c r="E336" s="150">
        <v>76396.39</v>
      </c>
      <c r="F336" s="150">
        <f t="shared" si="11"/>
        <v>76396390000</v>
      </c>
      <c r="G336" s="150">
        <v>71970.8</v>
      </c>
      <c r="H336" s="150">
        <v>11119.2</v>
      </c>
      <c r="I336" s="150">
        <v>49571.199999999997</v>
      </c>
      <c r="J336" s="150">
        <v>38452</v>
      </c>
      <c r="K336" s="150">
        <v>-6693.61</v>
      </c>
      <c r="L336" s="150">
        <v>26825.19</v>
      </c>
      <c r="M336" s="150">
        <v>33518.800000000003</v>
      </c>
      <c r="N336" s="150">
        <v>5.7929307915999999</v>
      </c>
      <c r="O336" s="150">
        <v>100</v>
      </c>
      <c r="P336" s="150">
        <v>94.2070692084</v>
      </c>
      <c r="Q336" s="150">
        <v>22.430766251400001</v>
      </c>
      <c r="R336" s="150">
        <v>100</v>
      </c>
      <c r="S336" s="150">
        <v>77.569233748599999</v>
      </c>
      <c r="T336" s="150" t="s">
        <v>2842</v>
      </c>
      <c r="U336" s="150" t="s">
        <v>2842</v>
      </c>
      <c r="V336" s="150" t="s">
        <v>2842</v>
      </c>
    </row>
    <row r="337" spans="1:22">
      <c r="A337" s="150" t="s">
        <v>2884</v>
      </c>
      <c r="B337" s="150" t="s">
        <v>2895</v>
      </c>
      <c r="C337" s="150" t="str">
        <f t="shared" si="10"/>
        <v>2008_Kyrgyzstan</v>
      </c>
      <c r="D337" s="150">
        <v>896.06899999999996</v>
      </c>
      <c r="E337" s="150">
        <v>2770.4389999999999</v>
      </c>
      <c r="F337" s="150">
        <f t="shared" si="11"/>
        <v>2770439000</v>
      </c>
      <c r="G337" s="150">
        <v>1874.37</v>
      </c>
      <c r="H337" s="150">
        <v>992.85299999999995</v>
      </c>
      <c r="I337" s="150">
        <v>4746.3829999999998</v>
      </c>
      <c r="J337" s="150">
        <v>3753.53</v>
      </c>
      <c r="K337" s="150">
        <v>-96.784000000000006</v>
      </c>
      <c r="L337" s="150">
        <v>-1975.944</v>
      </c>
      <c r="M337" s="150">
        <v>-1879.16</v>
      </c>
      <c r="N337" s="150">
        <v>32.343935383500003</v>
      </c>
      <c r="O337" s="150">
        <v>100</v>
      </c>
      <c r="P337" s="150">
        <v>67.656064616500004</v>
      </c>
      <c r="Q337" s="150">
        <v>20.9180970014</v>
      </c>
      <c r="R337" s="150">
        <v>100</v>
      </c>
      <c r="S337" s="150">
        <v>79.0819029986</v>
      </c>
      <c r="T337" s="150" t="s">
        <v>2842</v>
      </c>
      <c r="U337" s="150" t="s">
        <v>2842</v>
      </c>
      <c r="V337" s="150" t="s">
        <v>2842</v>
      </c>
    </row>
    <row r="338" spans="1:22">
      <c r="A338" s="150" t="s">
        <v>2884</v>
      </c>
      <c r="B338" s="150" t="s">
        <v>294</v>
      </c>
      <c r="C338" s="150" t="str">
        <f t="shared" si="10"/>
        <v>2008_Liberia</v>
      </c>
      <c r="D338" s="150">
        <v>509.60599999999999</v>
      </c>
      <c r="E338" s="150">
        <v>758.57</v>
      </c>
      <c r="F338" s="150">
        <f t="shared" si="11"/>
        <v>758570000</v>
      </c>
      <c r="G338" s="150">
        <v>248.964</v>
      </c>
      <c r="H338" s="150">
        <v>1411.14</v>
      </c>
      <c r="I338" s="150">
        <v>2139.9360000000001</v>
      </c>
      <c r="J338" s="150">
        <v>728.79600000000005</v>
      </c>
      <c r="K338" s="150">
        <v>-901.53399999999999</v>
      </c>
      <c r="L338" s="150">
        <v>-1381.366</v>
      </c>
      <c r="M338" s="150">
        <v>-479.83199999999999</v>
      </c>
      <c r="N338" s="150">
        <v>67.179825197400007</v>
      </c>
      <c r="O338" s="150">
        <v>100</v>
      </c>
      <c r="P338" s="150">
        <v>32.8201748026</v>
      </c>
      <c r="Q338" s="150">
        <v>65.943093625200007</v>
      </c>
      <c r="R338" s="150">
        <v>100</v>
      </c>
      <c r="S338" s="150">
        <v>34.0569063748</v>
      </c>
      <c r="T338" s="150" t="s">
        <v>2842</v>
      </c>
      <c r="U338" s="150" t="s">
        <v>2842</v>
      </c>
      <c r="V338" s="150" t="s">
        <v>2842</v>
      </c>
    </row>
    <row r="339" spans="1:22">
      <c r="A339" s="150" t="s">
        <v>2884</v>
      </c>
      <c r="B339" s="150" t="s">
        <v>309</v>
      </c>
      <c r="C339" s="150" t="str">
        <f t="shared" si="10"/>
        <v>2008_Madagascar</v>
      </c>
      <c r="D339" s="150">
        <v>1226.45</v>
      </c>
      <c r="E339" s="150">
        <v>2536.1969259500001</v>
      </c>
      <c r="F339" s="150">
        <f t="shared" si="11"/>
        <v>2536196925.9500003</v>
      </c>
      <c r="G339" s="150">
        <v>1309.7469259500001</v>
      </c>
      <c r="H339" s="150">
        <v>1493.34</v>
      </c>
      <c r="I339" s="150">
        <v>4706.9523754399997</v>
      </c>
      <c r="J339" s="150">
        <v>3213.6123754400001</v>
      </c>
      <c r="K339" s="150">
        <v>-266.89</v>
      </c>
      <c r="L339" s="150">
        <v>-2170.75544949</v>
      </c>
      <c r="M339" s="150">
        <v>-1903.8654494899999</v>
      </c>
      <c r="N339" s="150">
        <v>48.357837967999998</v>
      </c>
      <c r="O339" s="150">
        <v>100</v>
      </c>
      <c r="P339" s="150">
        <v>51.642162032000002</v>
      </c>
      <c r="Q339" s="150">
        <v>31.726261089699999</v>
      </c>
      <c r="R339" s="150">
        <v>100</v>
      </c>
      <c r="S339" s="150">
        <v>68.273738910299997</v>
      </c>
      <c r="T339" s="150" t="s">
        <v>2842</v>
      </c>
      <c r="U339" s="150" t="s">
        <v>2842</v>
      </c>
      <c r="V339" s="150" t="s">
        <v>2842</v>
      </c>
    </row>
    <row r="340" spans="1:22">
      <c r="A340" s="150" t="s">
        <v>2884</v>
      </c>
      <c r="B340" s="150" t="s">
        <v>322</v>
      </c>
      <c r="C340" s="150" t="str">
        <f t="shared" si="10"/>
        <v>2008_Mali</v>
      </c>
      <c r="D340" s="150">
        <v>454.3</v>
      </c>
      <c r="E340" s="150">
        <v>2551.48</v>
      </c>
      <c r="F340" s="150">
        <f t="shared" si="11"/>
        <v>2551480000</v>
      </c>
      <c r="G340" s="150">
        <v>2097.1799999999998</v>
      </c>
      <c r="H340" s="150">
        <v>1024.25</v>
      </c>
      <c r="I340" s="150">
        <v>3757.14</v>
      </c>
      <c r="J340" s="150">
        <v>2732.89</v>
      </c>
      <c r="K340" s="150">
        <v>-569.95000000000005</v>
      </c>
      <c r="L340" s="150">
        <v>-1205.6600000000001</v>
      </c>
      <c r="M340" s="150">
        <v>-635.71</v>
      </c>
      <c r="N340" s="150">
        <v>17.805352187699999</v>
      </c>
      <c r="O340" s="150">
        <v>100</v>
      </c>
      <c r="P340" s="150">
        <v>82.194647812300005</v>
      </c>
      <c r="Q340" s="150">
        <v>27.261427575199999</v>
      </c>
      <c r="R340" s="150">
        <v>100</v>
      </c>
      <c r="S340" s="150">
        <v>72.738572424799997</v>
      </c>
      <c r="T340" s="150" t="s">
        <v>2842</v>
      </c>
      <c r="U340" s="150" t="s">
        <v>2842</v>
      </c>
      <c r="V340" s="150" t="s">
        <v>2842</v>
      </c>
    </row>
    <row r="341" spans="1:22">
      <c r="A341" s="150" t="s">
        <v>2884</v>
      </c>
      <c r="B341" s="150" t="s">
        <v>338</v>
      </c>
      <c r="C341" s="150" t="str">
        <f t="shared" si="10"/>
        <v>2008_Mauritania</v>
      </c>
      <c r="D341" s="150">
        <v>138</v>
      </c>
      <c r="E341" s="150">
        <v>1925.6</v>
      </c>
      <c r="F341" s="150">
        <f t="shared" si="11"/>
        <v>1925600000</v>
      </c>
      <c r="G341" s="150">
        <v>1787.6</v>
      </c>
      <c r="H341" s="150">
        <v>768.9</v>
      </c>
      <c r="I341" s="150">
        <v>2710.1</v>
      </c>
      <c r="J341" s="150">
        <v>1941.2</v>
      </c>
      <c r="K341" s="150">
        <v>-630.9</v>
      </c>
      <c r="L341" s="150">
        <v>-784.5</v>
      </c>
      <c r="M341" s="150">
        <v>-153.6</v>
      </c>
      <c r="N341" s="150">
        <v>7.1665974241999999</v>
      </c>
      <c r="O341" s="150">
        <v>100</v>
      </c>
      <c r="P341" s="150">
        <v>92.833402575799994</v>
      </c>
      <c r="Q341" s="150">
        <v>28.371646802699999</v>
      </c>
      <c r="R341" s="150">
        <v>100</v>
      </c>
      <c r="S341" s="150">
        <v>71.628353197300001</v>
      </c>
      <c r="T341" s="150" t="s">
        <v>2842</v>
      </c>
      <c r="U341" s="150" t="s">
        <v>2842</v>
      </c>
      <c r="V341" s="150" t="s">
        <v>2842</v>
      </c>
    </row>
    <row r="342" spans="1:22">
      <c r="A342" s="150" t="s">
        <v>2884</v>
      </c>
      <c r="B342" s="150" t="s">
        <v>357</v>
      </c>
      <c r="C342" s="150" t="str">
        <f t="shared" si="10"/>
        <v>2008_Mongolia</v>
      </c>
      <c r="D342" s="150">
        <v>499.39699999999999</v>
      </c>
      <c r="E342" s="150">
        <v>3028.5169999999998</v>
      </c>
      <c r="F342" s="150">
        <f t="shared" si="11"/>
        <v>3028517000</v>
      </c>
      <c r="G342" s="150">
        <v>2529.12</v>
      </c>
      <c r="H342" s="150">
        <v>610.23099999999999</v>
      </c>
      <c r="I342" s="150">
        <v>3766.5709999999999</v>
      </c>
      <c r="J342" s="150">
        <v>3156.34</v>
      </c>
      <c r="K342" s="150">
        <v>-110.834</v>
      </c>
      <c r="L342" s="150">
        <v>-738.05399999999997</v>
      </c>
      <c r="M342" s="150">
        <v>-627.22</v>
      </c>
      <c r="N342" s="150">
        <v>16.489819935</v>
      </c>
      <c r="O342" s="150">
        <v>100</v>
      </c>
      <c r="P342" s="150">
        <v>83.510180065</v>
      </c>
      <c r="Q342" s="150">
        <v>16.201234491499999</v>
      </c>
      <c r="R342" s="150">
        <v>100</v>
      </c>
      <c r="S342" s="150">
        <v>83.798765508499997</v>
      </c>
      <c r="T342" s="150" t="s">
        <v>2842</v>
      </c>
      <c r="U342" s="150" t="s">
        <v>2842</v>
      </c>
      <c r="V342" s="150" t="s">
        <v>2842</v>
      </c>
    </row>
    <row r="343" spans="1:22">
      <c r="A343" s="150" t="s">
        <v>2884</v>
      </c>
      <c r="B343" s="150" t="s">
        <v>378</v>
      </c>
      <c r="C343" s="150" t="str">
        <f t="shared" si="10"/>
        <v>2008_Mozambique</v>
      </c>
      <c r="D343" s="150">
        <v>554.96500000000003</v>
      </c>
      <c r="E343" s="150">
        <v>3208.2249999999999</v>
      </c>
      <c r="F343" s="150">
        <f t="shared" si="11"/>
        <v>3208225000</v>
      </c>
      <c r="G343" s="150">
        <v>2653.26</v>
      </c>
      <c r="H343" s="150">
        <v>965.33199999999999</v>
      </c>
      <c r="I343" s="150">
        <v>4608.7520000000004</v>
      </c>
      <c r="J343" s="150">
        <v>3643.42</v>
      </c>
      <c r="K343" s="150">
        <v>-410.36700000000002</v>
      </c>
      <c r="L343" s="150">
        <v>-1400.527</v>
      </c>
      <c r="M343" s="150">
        <v>-990.16</v>
      </c>
      <c r="N343" s="150">
        <v>17.298194484500002</v>
      </c>
      <c r="O343" s="150">
        <v>100</v>
      </c>
      <c r="P343" s="150">
        <v>82.701805515499998</v>
      </c>
      <c r="Q343" s="150">
        <v>20.945626928900001</v>
      </c>
      <c r="R343" s="150">
        <v>100</v>
      </c>
      <c r="S343" s="150">
        <v>79.054373071100002</v>
      </c>
      <c r="T343" s="150" t="s">
        <v>2842</v>
      </c>
      <c r="U343" s="150" t="s">
        <v>2842</v>
      </c>
      <c r="V343" s="150" t="s">
        <v>2842</v>
      </c>
    </row>
    <row r="344" spans="1:22">
      <c r="A344" s="150" t="s">
        <v>2884</v>
      </c>
      <c r="B344" s="150" t="s">
        <v>387</v>
      </c>
      <c r="C344" s="150" t="str">
        <f t="shared" si="10"/>
        <v>2008_Niger</v>
      </c>
      <c r="D344" s="150">
        <v>130.83799999999999</v>
      </c>
      <c r="E344" s="150">
        <v>1043.1320000000001</v>
      </c>
      <c r="F344" s="150">
        <f t="shared" si="11"/>
        <v>1043132000.0000001</v>
      </c>
      <c r="G344" s="150">
        <v>912.29399999999998</v>
      </c>
      <c r="H344" s="150">
        <v>600.93499999999995</v>
      </c>
      <c r="I344" s="150">
        <v>1950.635</v>
      </c>
      <c r="J344" s="150">
        <v>1349.7</v>
      </c>
      <c r="K344" s="150">
        <v>-470.09699999999998</v>
      </c>
      <c r="L344" s="150">
        <v>-907.50300000000004</v>
      </c>
      <c r="M344" s="150">
        <v>-437.40600000000001</v>
      </c>
      <c r="N344" s="150">
        <v>12.5428037871</v>
      </c>
      <c r="O344" s="150">
        <v>100</v>
      </c>
      <c r="P344" s="150">
        <v>87.457196212900001</v>
      </c>
      <c r="Q344" s="150">
        <v>30.807147416100001</v>
      </c>
      <c r="R344" s="150">
        <v>100</v>
      </c>
      <c r="S344" s="150">
        <v>69.192852583900006</v>
      </c>
      <c r="T344" s="150" t="s">
        <v>2842</v>
      </c>
      <c r="U344" s="150" t="s">
        <v>2842</v>
      </c>
      <c r="V344" s="150" t="s">
        <v>2842</v>
      </c>
    </row>
    <row r="345" spans="1:22">
      <c r="A345" s="150" t="s">
        <v>2884</v>
      </c>
      <c r="B345" s="150" t="s">
        <v>406</v>
      </c>
      <c r="C345" s="150" t="str">
        <f t="shared" si="10"/>
        <v>2008_Nigeria</v>
      </c>
      <c r="D345" s="150">
        <v>2263.75</v>
      </c>
      <c r="E345" s="150">
        <v>87993.05</v>
      </c>
      <c r="F345" s="150">
        <f t="shared" si="11"/>
        <v>87993050000</v>
      </c>
      <c r="G345" s="150">
        <v>85729.3</v>
      </c>
      <c r="H345" s="150">
        <v>24376.7</v>
      </c>
      <c r="I345" s="150">
        <v>64220.800000000003</v>
      </c>
      <c r="J345" s="150">
        <v>39844.1</v>
      </c>
      <c r="K345" s="150">
        <v>-22112.95</v>
      </c>
      <c r="L345" s="150">
        <v>23772.25</v>
      </c>
      <c r="M345" s="150">
        <v>45885.2</v>
      </c>
      <c r="N345" s="150">
        <v>2.5726463624</v>
      </c>
      <c r="O345" s="150">
        <v>100</v>
      </c>
      <c r="P345" s="150">
        <v>97.427353637600007</v>
      </c>
      <c r="Q345" s="150">
        <v>37.957639892400003</v>
      </c>
      <c r="R345" s="150">
        <v>100</v>
      </c>
      <c r="S345" s="150">
        <v>62.042360107599997</v>
      </c>
      <c r="T345" s="150" t="s">
        <v>2842</v>
      </c>
      <c r="U345" s="150" t="s">
        <v>2842</v>
      </c>
      <c r="V345" s="150" t="s">
        <v>2842</v>
      </c>
    </row>
    <row r="346" spans="1:22">
      <c r="A346" s="150" t="s">
        <v>2884</v>
      </c>
      <c r="B346" s="150" t="s">
        <v>429</v>
      </c>
      <c r="C346" s="150" t="str">
        <f t="shared" si="10"/>
        <v>2008_Norway</v>
      </c>
      <c r="D346" s="150">
        <v>44847.872129000003</v>
      </c>
      <c r="E346" s="150">
        <v>216594.88907899999</v>
      </c>
      <c r="F346" s="150">
        <f t="shared" si="11"/>
        <v>216594889079</v>
      </c>
      <c r="G346" s="150">
        <v>171747.01694999999</v>
      </c>
      <c r="H346" s="150">
        <v>44569.858576999999</v>
      </c>
      <c r="I346" s="150">
        <v>130939.122017</v>
      </c>
      <c r="J346" s="150">
        <v>86369.263439999995</v>
      </c>
      <c r="K346" s="150">
        <v>278.013552</v>
      </c>
      <c r="L346" s="150">
        <v>85655.767061999999</v>
      </c>
      <c r="M346" s="150">
        <v>85377.753509999995</v>
      </c>
      <c r="N346" s="150">
        <v>20.705877373100002</v>
      </c>
      <c r="O346" s="150">
        <v>100</v>
      </c>
      <c r="P346" s="150">
        <v>79.294122626900005</v>
      </c>
      <c r="Q346" s="150">
        <v>34.038611142699999</v>
      </c>
      <c r="R346" s="150">
        <v>100</v>
      </c>
      <c r="S346" s="150">
        <v>65.961388857299994</v>
      </c>
      <c r="T346" s="150" t="s">
        <v>2842</v>
      </c>
      <c r="U346" s="150" t="s">
        <v>2842</v>
      </c>
      <c r="V346" s="150" t="s">
        <v>2842</v>
      </c>
    </row>
    <row r="347" spans="1:22">
      <c r="A347" s="150" t="s">
        <v>2884</v>
      </c>
      <c r="B347" s="150" t="s">
        <v>442</v>
      </c>
      <c r="C347" s="150" t="str">
        <f t="shared" si="10"/>
        <v>2008_Peru</v>
      </c>
      <c r="D347" s="150">
        <v>3648.79</v>
      </c>
      <c r="E347" s="150">
        <v>34667.29</v>
      </c>
      <c r="F347" s="150">
        <f t="shared" si="11"/>
        <v>34667290000</v>
      </c>
      <c r="G347" s="150">
        <v>31018.5</v>
      </c>
      <c r="H347" s="150">
        <v>5704.4</v>
      </c>
      <c r="I347" s="150">
        <v>34153.599999999999</v>
      </c>
      <c r="J347" s="150">
        <v>28449.200000000001</v>
      </c>
      <c r="K347" s="150">
        <v>-2055.61</v>
      </c>
      <c r="L347" s="150">
        <v>513.69000000000005</v>
      </c>
      <c r="M347" s="150">
        <v>2569.3000000000002</v>
      </c>
      <c r="N347" s="150">
        <v>10.525166518600001</v>
      </c>
      <c r="O347" s="150">
        <v>100</v>
      </c>
      <c r="P347" s="150">
        <v>89.474833481399997</v>
      </c>
      <c r="Q347" s="150">
        <v>16.702192448200002</v>
      </c>
      <c r="R347" s="150">
        <v>100</v>
      </c>
      <c r="S347" s="150">
        <v>83.297807551800005</v>
      </c>
      <c r="T347" s="150" t="s">
        <v>2842</v>
      </c>
      <c r="U347" s="150" t="s">
        <v>2842</v>
      </c>
      <c r="V347" s="150" t="s">
        <v>2842</v>
      </c>
    </row>
    <row r="348" spans="1:22">
      <c r="A348" s="150" t="s">
        <v>2884</v>
      </c>
      <c r="B348" s="150" t="s">
        <v>481</v>
      </c>
      <c r="C348" s="150" t="str">
        <f t="shared" si="10"/>
        <v>2008_Sierra Leone</v>
      </c>
      <c r="D348" s="150">
        <v>61.401000000000003</v>
      </c>
      <c r="E348" s="150">
        <v>334.93099999999998</v>
      </c>
      <c r="F348" s="150">
        <f t="shared" si="11"/>
        <v>334931000</v>
      </c>
      <c r="G348" s="150">
        <v>273.52999999999997</v>
      </c>
      <c r="H348" s="150">
        <v>125.42700000000001</v>
      </c>
      <c r="I348" s="150">
        <v>596.63900000000001</v>
      </c>
      <c r="J348" s="150">
        <v>471.21199999999999</v>
      </c>
      <c r="K348" s="150">
        <v>-64.025999999999996</v>
      </c>
      <c r="L348" s="150">
        <v>-261.70800000000003</v>
      </c>
      <c r="M348" s="150">
        <v>-197.68199999999999</v>
      </c>
      <c r="N348" s="150">
        <v>18.332432650299999</v>
      </c>
      <c r="O348" s="150">
        <v>100</v>
      </c>
      <c r="P348" s="150">
        <v>81.667567349699993</v>
      </c>
      <c r="Q348" s="150">
        <v>21.022259691399999</v>
      </c>
      <c r="R348" s="150">
        <v>100</v>
      </c>
      <c r="S348" s="150">
        <v>78.977740308600005</v>
      </c>
      <c r="T348" s="150" t="s">
        <v>2842</v>
      </c>
      <c r="U348" s="150" t="s">
        <v>2842</v>
      </c>
      <c r="V348" s="150" t="s">
        <v>2842</v>
      </c>
    </row>
    <row r="349" spans="1:22">
      <c r="A349" s="150" t="s">
        <v>2884</v>
      </c>
      <c r="B349" s="150" t="s">
        <v>2844</v>
      </c>
      <c r="C349" s="150" t="str">
        <f t="shared" si="10"/>
        <v>2008_Timor-Leste</v>
      </c>
      <c r="D349" s="150">
        <v>44.082999999999998</v>
      </c>
      <c r="E349" s="150">
        <v>58.143999999999998</v>
      </c>
      <c r="F349" s="150">
        <f t="shared" si="11"/>
        <v>58144000</v>
      </c>
      <c r="G349" s="150">
        <v>14.061</v>
      </c>
      <c r="H349" s="150">
        <v>489.92200000000003</v>
      </c>
      <c r="I349" s="150">
        <v>800.86</v>
      </c>
      <c r="J349" s="150">
        <v>310.93799999999999</v>
      </c>
      <c r="K349" s="150">
        <v>-445.839</v>
      </c>
      <c r="L349" s="150">
        <v>-742.71600000000001</v>
      </c>
      <c r="M349" s="150">
        <v>-296.87700000000001</v>
      </c>
      <c r="N349" s="150">
        <v>75.816937259200003</v>
      </c>
      <c r="O349" s="150">
        <v>100</v>
      </c>
      <c r="P349" s="150">
        <v>24.183062740800001</v>
      </c>
      <c r="Q349" s="150">
        <v>61.174487425999999</v>
      </c>
      <c r="R349" s="150">
        <v>100</v>
      </c>
      <c r="S349" s="150">
        <v>38.825512574000001</v>
      </c>
      <c r="T349" s="150" t="s">
        <v>2842</v>
      </c>
      <c r="U349" s="150" t="s">
        <v>2842</v>
      </c>
      <c r="V349" s="150" t="s">
        <v>2842</v>
      </c>
    </row>
    <row r="350" spans="1:22">
      <c r="A350" s="150" t="s">
        <v>2884</v>
      </c>
      <c r="B350" s="150" t="s">
        <v>510</v>
      </c>
      <c r="C350" s="150" t="str">
        <f t="shared" si="10"/>
        <v>2008_Togo</v>
      </c>
      <c r="D350" s="150">
        <v>283.08300000000003</v>
      </c>
      <c r="E350" s="150">
        <v>1135.691</v>
      </c>
      <c r="F350" s="150">
        <f t="shared" si="11"/>
        <v>1135691000</v>
      </c>
      <c r="G350" s="150">
        <v>852.60799999999995</v>
      </c>
      <c r="H350" s="150">
        <v>359.17399999999998</v>
      </c>
      <c r="I350" s="150">
        <v>1666.424</v>
      </c>
      <c r="J350" s="150">
        <v>1307.25</v>
      </c>
      <c r="K350" s="150">
        <v>-76.090999999999994</v>
      </c>
      <c r="L350" s="150">
        <v>-530.73299999999995</v>
      </c>
      <c r="M350" s="150">
        <v>-454.642</v>
      </c>
      <c r="N350" s="150">
        <v>24.926058232399999</v>
      </c>
      <c r="O350" s="150">
        <v>100</v>
      </c>
      <c r="P350" s="150">
        <v>75.073941767600004</v>
      </c>
      <c r="Q350" s="150">
        <v>21.553578201000001</v>
      </c>
      <c r="R350" s="150">
        <v>100</v>
      </c>
      <c r="S350" s="150">
        <v>78.446421799000007</v>
      </c>
      <c r="T350" s="150" t="s">
        <v>2842</v>
      </c>
      <c r="U350" s="150" t="s">
        <v>2842</v>
      </c>
      <c r="V350" s="150" t="s">
        <v>2842</v>
      </c>
    </row>
    <row r="351" spans="1:22">
      <c r="A351" s="150" t="s">
        <v>2884</v>
      </c>
      <c r="B351" s="150" t="s">
        <v>2845</v>
      </c>
      <c r="C351" s="150" t="str">
        <f t="shared" si="10"/>
        <v>2008_Trinidad and Tobago</v>
      </c>
      <c r="D351" s="150">
        <v>935.7</v>
      </c>
      <c r="E351" s="150">
        <v>19582.8</v>
      </c>
      <c r="F351" s="150">
        <f t="shared" si="11"/>
        <v>19582800000</v>
      </c>
      <c r="G351" s="150">
        <v>18647.099999999999</v>
      </c>
      <c r="H351" s="150">
        <v>326</v>
      </c>
      <c r="I351" s="150">
        <v>9902.7000000000007</v>
      </c>
      <c r="J351" s="150">
        <v>9576.7000000000007</v>
      </c>
      <c r="K351" s="150">
        <v>609.70000000000005</v>
      </c>
      <c r="L351" s="150">
        <v>9680.1</v>
      </c>
      <c r="M351" s="150">
        <v>9070.4</v>
      </c>
      <c r="N351" s="150">
        <v>4.7781726821000001</v>
      </c>
      <c r="O351" s="150">
        <v>100</v>
      </c>
      <c r="P351" s="150">
        <v>95.221827317899994</v>
      </c>
      <c r="Q351" s="150">
        <v>3.2920314662000001</v>
      </c>
      <c r="R351" s="150">
        <v>100</v>
      </c>
      <c r="S351" s="150">
        <v>96.707968533799999</v>
      </c>
      <c r="T351" s="150" t="s">
        <v>2842</v>
      </c>
      <c r="U351" s="150" t="s">
        <v>2842</v>
      </c>
      <c r="V351" s="150" t="s">
        <v>2842</v>
      </c>
    </row>
    <row r="352" spans="1:22">
      <c r="A352" s="150" t="s">
        <v>2884</v>
      </c>
      <c r="B352" s="150" t="s">
        <v>492</v>
      </c>
      <c r="C352" s="150" t="str">
        <f t="shared" si="10"/>
        <v>2008_Tanzania</v>
      </c>
      <c r="D352" s="150">
        <v>1998.76</v>
      </c>
      <c r="E352" s="150">
        <v>5577.56</v>
      </c>
      <c r="F352" s="150">
        <f t="shared" si="11"/>
        <v>5577560000</v>
      </c>
      <c r="G352" s="150">
        <v>3578.8</v>
      </c>
      <c r="H352" s="150">
        <v>1648.88</v>
      </c>
      <c r="I352" s="150">
        <v>8661.19</v>
      </c>
      <c r="J352" s="150">
        <v>7012.31</v>
      </c>
      <c r="K352" s="150">
        <v>349.88</v>
      </c>
      <c r="L352" s="150">
        <v>-3083.63</v>
      </c>
      <c r="M352" s="150">
        <v>-3433.51</v>
      </c>
      <c r="N352" s="150">
        <v>35.835741793899999</v>
      </c>
      <c r="O352" s="150">
        <v>100</v>
      </c>
      <c r="P352" s="150">
        <v>64.164258206100001</v>
      </c>
      <c r="Q352" s="150">
        <v>19.037568740600001</v>
      </c>
      <c r="R352" s="150">
        <v>100</v>
      </c>
      <c r="S352" s="150">
        <v>80.962431259400006</v>
      </c>
      <c r="T352" s="150" t="s">
        <v>2842</v>
      </c>
      <c r="U352" s="150" t="s">
        <v>2842</v>
      </c>
      <c r="V352" s="150" t="s">
        <v>2842</v>
      </c>
    </row>
    <row r="353" spans="1:22">
      <c r="A353" s="150" t="s">
        <v>2884</v>
      </c>
      <c r="B353" s="150" t="s">
        <v>522</v>
      </c>
      <c r="C353" s="150" t="str">
        <f t="shared" si="10"/>
        <v>2008_Yemen</v>
      </c>
      <c r="D353" s="150">
        <v>1205.3900000000001</v>
      </c>
      <c r="E353" s="150">
        <v>10182.25</v>
      </c>
      <c r="F353" s="150">
        <f t="shared" si="11"/>
        <v>10182250000</v>
      </c>
      <c r="G353" s="150">
        <v>8976.86</v>
      </c>
      <c r="H353" s="150">
        <v>2347.6</v>
      </c>
      <c r="I353" s="150">
        <v>11681.36</v>
      </c>
      <c r="J353" s="150">
        <v>9333.76</v>
      </c>
      <c r="K353" s="150">
        <v>-1142.21</v>
      </c>
      <c r="L353" s="150">
        <v>-1499.11</v>
      </c>
      <c r="M353" s="150">
        <v>-356.9</v>
      </c>
      <c r="N353" s="150">
        <v>11.838149721300001</v>
      </c>
      <c r="O353" s="150">
        <v>100</v>
      </c>
      <c r="P353" s="150">
        <v>88.161850278700001</v>
      </c>
      <c r="Q353" s="150">
        <v>20.096975009800001</v>
      </c>
      <c r="R353" s="150">
        <v>100</v>
      </c>
      <c r="S353" s="150">
        <v>79.903024990199995</v>
      </c>
      <c r="T353" s="150" t="s">
        <v>2842</v>
      </c>
      <c r="U353" s="150" t="s">
        <v>2842</v>
      </c>
      <c r="V353" s="150" t="s">
        <v>2842</v>
      </c>
    </row>
    <row r="354" spans="1:22">
      <c r="A354" s="150" t="s">
        <v>2884</v>
      </c>
      <c r="B354" s="150" t="s">
        <v>534</v>
      </c>
      <c r="C354" s="150" t="str">
        <f t="shared" si="10"/>
        <v>2008_Zambia</v>
      </c>
      <c r="D354" s="150">
        <v>299.56</v>
      </c>
      <c r="E354" s="150">
        <v>5261.21</v>
      </c>
      <c r="F354" s="150">
        <f t="shared" si="11"/>
        <v>5261210000</v>
      </c>
      <c r="G354" s="150">
        <v>4961.6499999999996</v>
      </c>
      <c r="H354" s="150">
        <v>906.48</v>
      </c>
      <c r="I354" s="150">
        <v>5460.73</v>
      </c>
      <c r="J354" s="150">
        <v>4554.25</v>
      </c>
      <c r="K354" s="150">
        <v>-606.91999999999996</v>
      </c>
      <c r="L354" s="150">
        <v>-199.52</v>
      </c>
      <c r="M354" s="150">
        <v>407.4</v>
      </c>
      <c r="N354" s="150">
        <v>5.6937472559</v>
      </c>
      <c r="O354" s="150">
        <v>100</v>
      </c>
      <c r="P354" s="150">
        <v>94.306252744099993</v>
      </c>
      <c r="Q354" s="150">
        <v>16.599978391200001</v>
      </c>
      <c r="R354" s="150">
        <v>100</v>
      </c>
      <c r="S354" s="150">
        <v>83.400021608800003</v>
      </c>
      <c r="T354" s="150" t="s">
        <v>2842</v>
      </c>
      <c r="U354" s="150" t="s">
        <v>2842</v>
      </c>
      <c r="V354" s="150" t="s">
        <v>2842</v>
      </c>
    </row>
    <row r="355" spans="1:22">
      <c r="A355" s="150" t="s">
        <v>2885</v>
      </c>
      <c r="B355" s="150" t="s">
        <v>16</v>
      </c>
      <c r="C355" s="150" t="str">
        <f t="shared" si="10"/>
        <v>2009_Afghanistan</v>
      </c>
      <c r="D355" s="150">
        <v>1893.7739999999999</v>
      </c>
      <c r="E355" s="150">
        <v>4410.7740000000003</v>
      </c>
      <c r="F355" s="150">
        <f t="shared" si="11"/>
        <v>4410774000</v>
      </c>
      <c r="G355" s="150">
        <v>2517</v>
      </c>
      <c r="H355" s="150">
        <v>830.74900000000002</v>
      </c>
      <c r="I355" s="150">
        <v>9702.7489999999998</v>
      </c>
      <c r="J355" s="150">
        <v>8872</v>
      </c>
      <c r="K355" s="150">
        <v>1063.0250000000001</v>
      </c>
      <c r="L355" s="150">
        <v>-5291.9750000000004</v>
      </c>
      <c r="M355" s="150">
        <v>-6355</v>
      </c>
      <c r="N355" s="150">
        <v>42.9351855253</v>
      </c>
      <c r="O355" s="150">
        <v>100</v>
      </c>
      <c r="P355" s="150">
        <v>57.0648144747</v>
      </c>
      <c r="Q355" s="150">
        <v>8.5619961930000006</v>
      </c>
      <c r="R355" s="150">
        <v>100</v>
      </c>
      <c r="S355" s="150">
        <v>91.438003807000001</v>
      </c>
      <c r="T355" s="150" t="s">
        <v>2842</v>
      </c>
      <c r="U355" s="150" t="s">
        <v>2842</v>
      </c>
      <c r="V355" s="150" t="s">
        <v>2842</v>
      </c>
    </row>
    <row r="356" spans="1:22">
      <c r="A356" s="150" t="s">
        <v>2885</v>
      </c>
      <c r="B356" s="150" t="s">
        <v>33</v>
      </c>
      <c r="C356" s="150" t="str">
        <f t="shared" si="10"/>
        <v>2009_Albania</v>
      </c>
      <c r="D356" s="150">
        <v>2484.44</v>
      </c>
      <c r="E356" s="150">
        <v>3533.29</v>
      </c>
      <c r="F356" s="150">
        <f t="shared" si="11"/>
        <v>3533290000</v>
      </c>
      <c r="G356" s="150">
        <v>1048.8499999999999</v>
      </c>
      <c r="H356" s="150">
        <v>2232.85</v>
      </c>
      <c r="I356" s="150">
        <v>6500.18</v>
      </c>
      <c r="J356" s="150">
        <v>4267.33</v>
      </c>
      <c r="K356" s="150">
        <v>251.59</v>
      </c>
      <c r="L356" s="150">
        <v>-2966.89</v>
      </c>
      <c r="M356" s="150">
        <v>-3218.48</v>
      </c>
      <c r="N356" s="150">
        <v>70.315201978900006</v>
      </c>
      <c r="O356" s="150">
        <v>100</v>
      </c>
      <c r="P356" s="150">
        <v>29.684798021100001</v>
      </c>
      <c r="Q356" s="150">
        <v>34.350587214500003</v>
      </c>
      <c r="R356" s="150">
        <v>100</v>
      </c>
      <c r="S356" s="150">
        <v>65.649412785500004</v>
      </c>
      <c r="T356" s="150" t="s">
        <v>2842</v>
      </c>
      <c r="U356" s="150" t="s">
        <v>2842</v>
      </c>
      <c r="V356" s="150" t="s">
        <v>2842</v>
      </c>
    </row>
    <row r="357" spans="1:22">
      <c r="A357" s="150" t="s">
        <v>2885</v>
      </c>
      <c r="B357" s="150" t="s">
        <v>48</v>
      </c>
      <c r="C357" s="150" t="str">
        <f t="shared" si="10"/>
        <v>2009_Azerbaijan</v>
      </c>
      <c r="D357" s="150">
        <v>1778.856</v>
      </c>
      <c r="E357" s="150">
        <v>22875.714</v>
      </c>
      <c r="F357" s="150">
        <f t="shared" si="11"/>
        <v>22875714000</v>
      </c>
      <c r="G357" s="150">
        <v>21096.858</v>
      </c>
      <c r="H357" s="150">
        <v>3389.4540000000002</v>
      </c>
      <c r="I357" s="150">
        <v>9903.3340000000007</v>
      </c>
      <c r="J357" s="150">
        <v>6513.88</v>
      </c>
      <c r="K357" s="150">
        <v>-1610.598</v>
      </c>
      <c r="L357" s="150">
        <v>12972.38</v>
      </c>
      <c r="M357" s="150">
        <v>14582.977999999999</v>
      </c>
      <c r="N357" s="150">
        <v>7.7761769534000003</v>
      </c>
      <c r="O357" s="150">
        <v>100</v>
      </c>
      <c r="P357" s="150">
        <v>92.223823046600003</v>
      </c>
      <c r="Q357" s="150">
        <v>34.225383088199997</v>
      </c>
      <c r="R357" s="150">
        <v>100</v>
      </c>
      <c r="S357" s="150">
        <v>65.774616911799995</v>
      </c>
      <c r="T357" s="150" t="s">
        <v>2842</v>
      </c>
      <c r="U357" s="150" t="s">
        <v>2842</v>
      </c>
      <c r="V357" s="150" t="s">
        <v>2842</v>
      </c>
    </row>
    <row r="358" spans="1:22">
      <c r="A358" s="150" t="s">
        <v>2885</v>
      </c>
      <c r="B358" s="150" t="s">
        <v>93</v>
      </c>
      <c r="C358" s="150" t="str">
        <f t="shared" si="10"/>
        <v>2009_Burkina Faso</v>
      </c>
      <c r="D358" s="150">
        <v>152.58600000000001</v>
      </c>
      <c r="E358" s="150">
        <v>1053.019</v>
      </c>
      <c r="F358" s="150">
        <f t="shared" si="11"/>
        <v>1053019000</v>
      </c>
      <c r="G358" s="150">
        <v>900.43299999999999</v>
      </c>
      <c r="H358" s="150">
        <v>559.37</v>
      </c>
      <c r="I358" s="150">
        <v>1941.81</v>
      </c>
      <c r="J358" s="150">
        <v>1382.44</v>
      </c>
      <c r="K358" s="150">
        <v>-406.78399999999999</v>
      </c>
      <c r="L358" s="150">
        <v>-888.79100000000005</v>
      </c>
      <c r="M358" s="150">
        <v>-482.00700000000001</v>
      </c>
      <c r="N358" s="150">
        <v>14.490336831500001</v>
      </c>
      <c r="O358" s="150">
        <v>100</v>
      </c>
      <c r="P358" s="150">
        <v>85.509663168499998</v>
      </c>
      <c r="Q358" s="150">
        <v>28.806628866899999</v>
      </c>
      <c r="R358" s="150">
        <v>100</v>
      </c>
      <c r="S358" s="150">
        <v>71.193371133100001</v>
      </c>
      <c r="T358" s="150" t="s">
        <v>2842</v>
      </c>
      <c r="U358" s="150" t="s">
        <v>2842</v>
      </c>
      <c r="V358" s="150" t="s">
        <v>2842</v>
      </c>
    </row>
    <row r="359" spans="1:22">
      <c r="A359" s="150" t="s">
        <v>2885</v>
      </c>
      <c r="B359" s="150" t="s">
        <v>2890</v>
      </c>
      <c r="C359" s="150" t="str">
        <f t="shared" si="10"/>
        <v>2009_ Cameroon</v>
      </c>
      <c r="D359" s="150">
        <v>1248.9100000000001</v>
      </c>
      <c r="E359" s="150">
        <v>5418.78</v>
      </c>
      <c r="F359" s="150">
        <f t="shared" si="11"/>
        <v>5418780000</v>
      </c>
      <c r="G359" s="150">
        <v>4169.87</v>
      </c>
      <c r="H359" s="150">
        <v>1779.92</v>
      </c>
      <c r="I359" s="150">
        <v>6338.95</v>
      </c>
      <c r="J359" s="150">
        <v>4559.03</v>
      </c>
      <c r="K359" s="150">
        <v>-531.01</v>
      </c>
      <c r="L359" s="150">
        <v>-920.17</v>
      </c>
      <c r="M359" s="150">
        <v>-389.16</v>
      </c>
      <c r="N359" s="150">
        <v>23.0478078091</v>
      </c>
      <c r="O359" s="150">
        <v>100</v>
      </c>
      <c r="P359" s="150">
        <v>76.952192190900007</v>
      </c>
      <c r="Q359" s="150">
        <v>28.0790982734</v>
      </c>
      <c r="R359" s="150">
        <v>100</v>
      </c>
      <c r="S359" s="150">
        <v>71.920901726599993</v>
      </c>
      <c r="T359" s="150" t="s">
        <v>2842</v>
      </c>
      <c r="U359" s="150" t="s">
        <v>2842</v>
      </c>
      <c r="V359" s="150" t="s">
        <v>2842</v>
      </c>
    </row>
    <row r="360" spans="1:22">
      <c r="A360" s="150" t="s">
        <v>2885</v>
      </c>
      <c r="B360" s="150" t="s">
        <v>122</v>
      </c>
      <c r="C360" s="150" t="str">
        <f t="shared" si="10"/>
        <v>2009_Central African Republic</v>
      </c>
      <c r="D360" s="150">
        <v>64.804970920000002</v>
      </c>
      <c r="E360" s="150">
        <v>188.69682709</v>
      </c>
      <c r="F360" s="150">
        <f t="shared" si="11"/>
        <v>188696827.09</v>
      </c>
      <c r="G360" s="150">
        <v>123.89185617</v>
      </c>
      <c r="H360" s="150">
        <v>156.08256068</v>
      </c>
      <c r="I360" s="150">
        <v>426.95039665000002</v>
      </c>
      <c r="J360" s="150">
        <v>270.86783596999999</v>
      </c>
      <c r="K360" s="150">
        <v>-91.277589759999998</v>
      </c>
      <c r="L360" s="150">
        <v>-238.25356955999999</v>
      </c>
      <c r="M360" s="150">
        <v>-146.9759798</v>
      </c>
      <c r="N360" s="150">
        <v>34.3434343435</v>
      </c>
      <c r="O360" s="150">
        <v>100</v>
      </c>
      <c r="P360" s="150">
        <v>65.656565656500007</v>
      </c>
      <c r="Q360" s="150">
        <v>36.5575396825</v>
      </c>
      <c r="R360" s="150">
        <v>100</v>
      </c>
      <c r="S360" s="150">
        <v>63.4424603175</v>
      </c>
      <c r="T360" s="150" t="s">
        <v>2842</v>
      </c>
      <c r="U360" s="150" t="s">
        <v>2842</v>
      </c>
      <c r="V360" s="150" t="s">
        <v>2842</v>
      </c>
    </row>
    <row r="361" spans="1:22">
      <c r="A361" s="150" t="s">
        <v>2885</v>
      </c>
      <c r="B361" s="150" t="s">
        <v>2891</v>
      </c>
      <c r="C361" s="150" t="str">
        <f t="shared" si="10"/>
        <v>2009_ Chad</v>
      </c>
      <c r="D361" s="150">
        <v>457.23507260999997</v>
      </c>
      <c r="E361" s="150">
        <v>3252.10827935</v>
      </c>
      <c r="F361" s="150">
        <f t="shared" si="11"/>
        <v>3252108279.3499999</v>
      </c>
      <c r="G361" s="150">
        <v>2794.8732067400001</v>
      </c>
      <c r="H361" s="150">
        <v>1880.8266234</v>
      </c>
      <c r="I361" s="150">
        <v>3884.27441727</v>
      </c>
      <c r="J361" s="150">
        <v>2003.4477938699999</v>
      </c>
      <c r="K361" s="150">
        <v>-1423.5915507899999</v>
      </c>
      <c r="L361" s="150">
        <v>-632.16613791999998</v>
      </c>
      <c r="M361" s="150">
        <v>791.42541286999995</v>
      </c>
      <c r="N361" s="150">
        <v>14.0596509505</v>
      </c>
      <c r="O361" s="150">
        <v>100</v>
      </c>
      <c r="P361" s="150">
        <v>85.9403490495</v>
      </c>
      <c r="Q361" s="150">
        <v>48.421569161999997</v>
      </c>
      <c r="R361" s="150">
        <v>100</v>
      </c>
      <c r="S361" s="150">
        <v>51.578430838000003</v>
      </c>
      <c r="T361" s="150" t="s">
        <v>2842</v>
      </c>
      <c r="U361" s="150" t="s">
        <v>2842</v>
      </c>
      <c r="V361" s="150" t="s">
        <v>2842</v>
      </c>
    </row>
    <row r="362" spans="1:22">
      <c r="A362" s="150" t="s">
        <v>2885</v>
      </c>
      <c r="B362" s="150" t="s">
        <v>458</v>
      </c>
      <c r="C362" s="150" t="str">
        <f t="shared" si="10"/>
        <v>2009_Republic of the Congo</v>
      </c>
      <c r="D362" s="150">
        <v>378.24077799000003</v>
      </c>
      <c r="E362" s="150">
        <v>6450.8477591299998</v>
      </c>
      <c r="F362" s="150">
        <f t="shared" si="11"/>
        <v>6450847759.1300001</v>
      </c>
      <c r="G362" s="150">
        <v>6072.6069811400002</v>
      </c>
      <c r="H362" s="150">
        <v>3213.3523653799998</v>
      </c>
      <c r="I362" s="150">
        <v>6109.2450856200003</v>
      </c>
      <c r="J362" s="150">
        <v>2895.89272024</v>
      </c>
      <c r="K362" s="150">
        <v>-2835.1115873899998</v>
      </c>
      <c r="L362" s="150">
        <v>341.60267350999999</v>
      </c>
      <c r="M362" s="150">
        <v>3176.7142609000002</v>
      </c>
      <c r="N362" s="150">
        <v>5.8634274457000002</v>
      </c>
      <c r="O362" s="150">
        <v>100</v>
      </c>
      <c r="P362" s="150">
        <v>94.136572554300002</v>
      </c>
      <c r="Q362" s="150">
        <v>52.598190453100003</v>
      </c>
      <c r="R362" s="150">
        <v>100</v>
      </c>
      <c r="S362" s="150">
        <v>47.401809546899997</v>
      </c>
      <c r="T362" s="150" t="s">
        <v>2842</v>
      </c>
      <c r="U362" s="150" t="s">
        <v>2842</v>
      </c>
      <c r="V362" s="150" t="s">
        <v>2842</v>
      </c>
    </row>
    <row r="363" spans="1:22">
      <c r="A363" s="150" t="s">
        <v>2885</v>
      </c>
      <c r="B363" s="150" t="s">
        <v>165</v>
      </c>
      <c r="C363" s="150" t="str">
        <f t="shared" si="10"/>
        <v>2009_Democratic Republic of Congo</v>
      </c>
      <c r="D363" s="150">
        <v>541.45540095000001</v>
      </c>
      <c r="E363" s="150">
        <v>4912.4880889799997</v>
      </c>
      <c r="F363" s="150">
        <f t="shared" si="11"/>
        <v>4912488088.9799995</v>
      </c>
      <c r="G363" s="150">
        <v>4371.0326880299999</v>
      </c>
      <c r="H363" s="150">
        <v>1782.78267093</v>
      </c>
      <c r="I363" s="150">
        <v>6731.8264625900001</v>
      </c>
      <c r="J363" s="150">
        <v>4949.0437916600004</v>
      </c>
      <c r="K363" s="150">
        <v>-1241.32726998</v>
      </c>
      <c r="L363" s="150">
        <v>-1819.33837361</v>
      </c>
      <c r="M363" s="150">
        <v>-578.01110362999998</v>
      </c>
      <c r="N363" s="150">
        <v>11.022019619</v>
      </c>
      <c r="O363" s="150">
        <v>100</v>
      </c>
      <c r="P363" s="150">
        <v>88.977980380999995</v>
      </c>
      <c r="Q363" s="150">
        <v>26.482897039000001</v>
      </c>
      <c r="R363" s="150">
        <v>100</v>
      </c>
      <c r="S363" s="150">
        <v>73.517102961000006</v>
      </c>
      <c r="T363" s="150" t="s">
        <v>2842</v>
      </c>
      <c r="U363" s="150" t="s">
        <v>2842</v>
      </c>
      <c r="V363" s="150" t="s">
        <v>2842</v>
      </c>
    </row>
    <row r="364" spans="1:22">
      <c r="A364" s="150" t="s">
        <v>2885</v>
      </c>
      <c r="B364" s="150" t="s">
        <v>2892</v>
      </c>
      <c r="C364" s="150" t="str">
        <f t="shared" si="10"/>
        <v>2009_ Equatorial Guinea</v>
      </c>
      <c r="D364" s="150">
        <v>49.768523420000001</v>
      </c>
      <c r="E364" s="150">
        <v>10126.941501859999</v>
      </c>
      <c r="F364" s="150">
        <f t="shared" si="11"/>
        <v>10126941501.859999</v>
      </c>
      <c r="G364" s="150">
        <v>10077.172978439999</v>
      </c>
      <c r="H364" s="150">
        <v>2091.97223128</v>
      </c>
      <c r="I364" s="150">
        <v>7366.5885900800004</v>
      </c>
      <c r="J364" s="150">
        <v>5274.6163587999999</v>
      </c>
      <c r="K364" s="150">
        <v>-2042.2037078599999</v>
      </c>
      <c r="L364" s="150">
        <v>2760.3529117799999</v>
      </c>
      <c r="M364" s="150">
        <v>4802.5566196399996</v>
      </c>
      <c r="N364" s="150">
        <v>0.49144673550000001</v>
      </c>
      <c r="O364" s="150">
        <v>100</v>
      </c>
      <c r="P364" s="150">
        <v>99.508553264499994</v>
      </c>
      <c r="Q364" s="150">
        <v>28.398114075399999</v>
      </c>
      <c r="R364" s="150">
        <v>100</v>
      </c>
      <c r="S364" s="150">
        <v>71.601885924599998</v>
      </c>
      <c r="T364" s="150" t="s">
        <v>2842</v>
      </c>
      <c r="U364" s="150" t="s">
        <v>2842</v>
      </c>
      <c r="V364" s="150" t="s">
        <v>2842</v>
      </c>
    </row>
    <row r="365" spans="1:22">
      <c r="A365" s="150" t="s">
        <v>2885</v>
      </c>
      <c r="B365" s="150" t="s">
        <v>2893</v>
      </c>
      <c r="C365" s="150" t="str">
        <f t="shared" si="10"/>
        <v>2009_ Gabon</v>
      </c>
      <c r="D365" s="150" t="s">
        <v>561</v>
      </c>
      <c r="E365" s="150" t="s">
        <v>2842</v>
      </c>
      <c r="F365" s="150" t="str">
        <f t="shared" si="11"/>
        <v>..</v>
      </c>
      <c r="G365" s="150">
        <v>5825.6703925900001</v>
      </c>
      <c r="H365" s="150" t="s">
        <v>561</v>
      </c>
      <c r="I365" s="150" t="s">
        <v>561</v>
      </c>
      <c r="J365" s="150">
        <v>1664.81005366</v>
      </c>
      <c r="K365" s="150" t="s">
        <v>561</v>
      </c>
      <c r="L365" s="150" t="s">
        <v>561</v>
      </c>
      <c r="M365" s="150">
        <v>4160.8603389299997</v>
      </c>
      <c r="N365" s="150" t="s">
        <v>561</v>
      </c>
      <c r="O365" s="150" t="s">
        <v>561</v>
      </c>
      <c r="P365" s="150">
        <v>97.129338653299996</v>
      </c>
      <c r="Q365" s="150" t="s">
        <v>561</v>
      </c>
      <c r="R365" s="150" t="s">
        <v>561</v>
      </c>
      <c r="S365" s="150">
        <v>56.549888497200001</v>
      </c>
      <c r="T365" s="150" t="s">
        <v>2842</v>
      </c>
      <c r="U365" s="150" t="s">
        <v>2842</v>
      </c>
      <c r="V365" s="150" t="s">
        <v>2842</v>
      </c>
    </row>
    <row r="366" spans="1:22">
      <c r="A366" s="150" t="s">
        <v>2885</v>
      </c>
      <c r="B366" s="150" t="s">
        <v>189</v>
      </c>
      <c r="C366" s="150" t="str">
        <f t="shared" si="10"/>
        <v>2009_Ghana</v>
      </c>
      <c r="D366" s="150">
        <v>1769.71</v>
      </c>
      <c r="E366" s="150">
        <v>7609.41</v>
      </c>
      <c r="F366" s="150">
        <f t="shared" si="11"/>
        <v>7609410000</v>
      </c>
      <c r="G366" s="150">
        <v>5839.7</v>
      </c>
      <c r="H366" s="150">
        <v>2943.12</v>
      </c>
      <c r="I366" s="150">
        <v>10989.38</v>
      </c>
      <c r="J366" s="150">
        <v>8046.26</v>
      </c>
      <c r="K366" s="150">
        <v>-1173.4100000000001</v>
      </c>
      <c r="L366" s="150">
        <v>-3379.97</v>
      </c>
      <c r="M366" s="150">
        <v>-2206.56</v>
      </c>
      <c r="N366" s="150">
        <v>23.256862227199999</v>
      </c>
      <c r="O366" s="150">
        <v>100</v>
      </c>
      <c r="P366" s="150">
        <v>76.743137772799997</v>
      </c>
      <c r="Q366" s="150">
        <v>26.781492677500001</v>
      </c>
      <c r="R366" s="150">
        <v>100</v>
      </c>
      <c r="S366" s="150">
        <v>73.218507322500002</v>
      </c>
      <c r="T366" s="150" t="s">
        <v>2842</v>
      </c>
      <c r="U366" s="150" t="s">
        <v>2842</v>
      </c>
      <c r="V366" s="150" t="s">
        <v>2842</v>
      </c>
    </row>
    <row r="367" spans="1:22">
      <c r="A367" s="150" t="s">
        <v>2885</v>
      </c>
      <c r="B367" s="150" t="s">
        <v>213</v>
      </c>
      <c r="C367" s="150" t="str">
        <f t="shared" si="10"/>
        <v>2009_Guatemala</v>
      </c>
      <c r="D367" s="150">
        <v>2088.3722560000001</v>
      </c>
      <c r="E367" s="150">
        <v>9383.2522559999998</v>
      </c>
      <c r="F367" s="150">
        <f t="shared" si="11"/>
        <v>9383252256</v>
      </c>
      <c r="G367" s="150">
        <v>7294.88</v>
      </c>
      <c r="H367" s="150">
        <v>2024.2529999999999</v>
      </c>
      <c r="I367" s="150">
        <v>12667.352999999999</v>
      </c>
      <c r="J367" s="150">
        <v>10643.1</v>
      </c>
      <c r="K367" s="150">
        <v>64.119255999999993</v>
      </c>
      <c r="L367" s="150">
        <v>-3284.1007439999998</v>
      </c>
      <c r="M367" s="150">
        <v>-3348.22</v>
      </c>
      <c r="N367" s="150">
        <v>22.2563797607</v>
      </c>
      <c r="O367" s="150">
        <v>100</v>
      </c>
      <c r="P367" s="150">
        <v>77.7436202393</v>
      </c>
      <c r="Q367" s="150">
        <v>15.9800788689</v>
      </c>
      <c r="R367" s="150">
        <v>100</v>
      </c>
      <c r="S367" s="150">
        <v>84.019921131100006</v>
      </c>
      <c r="T367" s="150" t="s">
        <v>2842</v>
      </c>
      <c r="U367" s="150" t="s">
        <v>2842</v>
      </c>
      <c r="V367" s="150" t="s">
        <v>2842</v>
      </c>
    </row>
    <row r="368" spans="1:22">
      <c r="A368" s="150" t="s">
        <v>2885</v>
      </c>
      <c r="B368" s="150" t="s">
        <v>2894</v>
      </c>
      <c r="C368" s="150" t="str">
        <f t="shared" si="10"/>
        <v>2009_ Guinea</v>
      </c>
      <c r="D368" s="150">
        <v>72.239999999999995</v>
      </c>
      <c r="E368" s="150">
        <v>1121.96</v>
      </c>
      <c r="F368" s="150">
        <f t="shared" si="11"/>
        <v>1121960000</v>
      </c>
      <c r="G368" s="150">
        <v>1049.72</v>
      </c>
      <c r="H368" s="150">
        <v>330.71</v>
      </c>
      <c r="I368" s="150">
        <v>1390.8</v>
      </c>
      <c r="J368" s="150">
        <v>1060.0899999999999</v>
      </c>
      <c r="K368" s="150">
        <v>-258.47000000000003</v>
      </c>
      <c r="L368" s="150">
        <v>-268.83999999999997</v>
      </c>
      <c r="M368" s="150">
        <v>-10.37</v>
      </c>
      <c r="N368" s="150">
        <v>6.4387322186000002</v>
      </c>
      <c r="O368" s="150">
        <v>100</v>
      </c>
      <c r="P368" s="150">
        <v>93.561267781400005</v>
      </c>
      <c r="Q368" s="150">
        <v>23.778400920300001</v>
      </c>
      <c r="R368" s="150">
        <v>100</v>
      </c>
      <c r="S368" s="150">
        <v>76.221599079699999</v>
      </c>
      <c r="T368" s="150" t="s">
        <v>2842</v>
      </c>
      <c r="U368" s="150" t="s">
        <v>2842</v>
      </c>
      <c r="V368" s="150" t="s">
        <v>2842</v>
      </c>
    </row>
    <row r="369" spans="1:22">
      <c r="A369" s="150" t="s">
        <v>2885</v>
      </c>
      <c r="B369" s="150" t="s">
        <v>237</v>
      </c>
      <c r="C369" s="150" t="str">
        <f t="shared" si="10"/>
        <v>2009_Indonesia</v>
      </c>
      <c r="D369" s="150">
        <v>13155.5</v>
      </c>
      <c r="E369" s="150">
        <v>133155.5</v>
      </c>
      <c r="F369" s="150">
        <f t="shared" si="11"/>
        <v>133155500000</v>
      </c>
      <c r="G369" s="150">
        <v>120000</v>
      </c>
      <c r="H369" s="150">
        <v>22896.1</v>
      </c>
      <c r="I369" s="150">
        <v>111610.2</v>
      </c>
      <c r="J369" s="150">
        <v>88714.1</v>
      </c>
      <c r="K369" s="150">
        <v>-9740.6</v>
      </c>
      <c r="L369" s="150">
        <v>21545.3</v>
      </c>
      <c r="M369" s="150">
        <v>31285.9</v>
      </c>
      <c r="N369" s="150">
        <v>9.8798021861999992</v>
      </c>
      <c r="O369" s="150">
        <v>100</v>
      </c>
      <c r="P369" s="150">
        <v>90.120197813800004</v>
      </c>
      <c r="Q369" s="150">
        <v>20.514343671100001</v>
      </c>
      <c r="R369" s="150">
        <v>100</v>
      </c>
      <c r="S369" s="150">
        <v>79.485656328900006</v>
      </c>
      <c r="T369" s="150" t="s">
        <v>2842</v>
      </c>
      <c r="U369" s="150" t="s">
        <v>2842</v>
      </c>
      <c r="V369" s="150" t="s">
        <v>2842</v>
      </c>
    </row>
    <row r="370" spans="1:22">
      <c r="A370" s="150" t="s">
        <v>2885</v>
      </c>
      <c r="B370" s="150" t="s">
        <v>245</v>
      </c>
      <c r="C370" s="150" t="str">
        <f t="shared" si="10"/>
        <v>2009_Iraq</v>
      </c>
      <c r="D370" s="150">
        <v>2193.4</v>
      </c>
      <c r="E370" s="150">
        <v>41622.699999999997</v>
      </c>
      <c r="F370" s="150">
        <f t="shared" si="11"/>
        <v>41622700000</v>
      </c>
      <c r="G370" s="150">
        <v>39429.300000000003</v>
      </c>
      <c r="H370" s="150">
        <v>8563.1</v>
      </c>
      <c r="I370" s="150">
        <v>43847.9</v>
      </c>
      <c r="J370" s="150">
        <v>35284.800000000003</v>
      </c>
      <c r="K370" s="150">
        <v>-6369.7</v>
      </c>
      <c r="L370" s="150">
        <v>-2225.1999999999998</v>
      </c>
      <c r="M370" s="150">
        <v>4144.5</v>
      </c>
      <c r="N370" s="150">
        <v>5.2697206092000002</v>
      </c>
      <c r="O370" s="150">
        <v>100</v>
      </c>
      <c r="P370" s="150">
        <v>94.730279390800007</v>
      </c>
      <c r="Q370" s="150">
        <v>19.529099455200001</v>
      </c>
      <c r="R370" s="150">
        <v>100</v>
      </c>
      <c r="S370" s="150">
        <v>80.470900544800003</v>
      </c>
      <c r="T370" s="150" t="s">
        <v>2842</v>
      </c>
      <c r="U370" s="150" t="s">
        <v>2842</v>
      </c>
      <c r="V370" s="150" t="s">
        <v>2842</v>
      </c>
    </row>
    <row r="371" spans="1:22">
      <c r="A371" s="150" t="s">
        <v>2885</v>
      </c>
      <c r="B371" s="150" t="s">
        <v>273</v>
      </c>
      <c r="C371" s="150" t="str">
        <f t="shared" si="10"/>
        <v>2009_Kazakhstan</v>
      </c>
      <c r="D371" s="150">
        <v>4095.9478100000001</v>
      </c>
      <c r="E371" s="150">
        <v>48027.08</v>
      </c>
      <c r="F371" s="150">
        <f t="shared" si="11"/>
        <v>48027080000</v>
      </c>
      <c r="G371" s="150">
        <v>43931.132189999997</v>
      </c>
      <c r="H371" s="150">
        <v>10018.3369</v>
      </c>
      <c r="I371" s="150">
        <v>38983.599999999999</v>
      </c>
      <c r="J371" s="150">
        <v>28965.2631</v>
      </c>
      <c r="K371" s="150">
        <v>-5922.3890899999997</v>
      </c>
      <c r="L371" s="150">
        <v>9043.48</v>
      </c>
      <c r="M371" s="150">
        <v>14965.86909</v>
      </c>
      <c r="N371" s="150">
        <v>8.5284131576999993</v>
      </c>
      <c r="O371" s="150">
        <v>100</v>
      </c>
      <c r="P371" s="150">
        <v>91.471586842299999</v>
      </c>
      <c r="Q371" s="150">
        <v>25.698850029199999</v>
      </c>
      <c r="R371" s="150">
        <v>100</v>
      </c>
      <c r="S371" s="150">
        <v>74.301149970799997</v>
      </c>
      <c r="T371" s="150" t="s">
        <v>2842</v>
      </c>
      <c r="U371" s="150" t="s">
        <v>2842</v>
      </c>
      <c r="V371" s="150" t="s">
        <v>2842</v>
      </c>
    </row>
    <row r="372" spans="1:22">
      <c r="A372" s="150" t="s">
        <v>2885</v>
      </c>
      <c r="B372" s="150" t="s">
        <v>2895</v>
      </c>
      <c r="C372" s="150" t="str">
        <f t="shared" si="10"/>
        <v>2009_Kyrgyzstan</v>
      </c>
      <c r="D372" s="150">
        <v>862.63</v>
      </c>
      <c r="E372" s="150">
        <v>2556.4659999999999</v>
      </c>
      <c r="F372" s="150">
        <f t="shared" si="11"/>
        <v>2556466000</v>
      </c>
      <c r="G372" s="150">
        <v>1693.836</v>
      </c>
      <c r="H372" s="150">
        <v>862.38400000000001</v>
      </c>
      <c r="I372" s="150">
        <v>3675.9940000000001</v>
      </c>
      <c r="J372" s="150">
        <v>2813.61</v>
      </c>
      <c r="K372" s="150">
        <v>0.246</v>
      </c>
      <c r="L372" s="150">
        <v>-1119.528</v>
      </c>
      <c r="M372" s="150">
        <v>-1119.7739999999999</v>
      </c>
      <c r="N372" s="150">
        <v>33.7430656226</v>
      </c>
      <c r="O372" s="150">
        <v>100</v>
      </c>
      <c r="P372" s="150">
        <v>66.2569343774</v>
      </c>
      <c r="Q372" s="150">
        <v>23.459885951899999</v>
      </c>
      <c r="R372" s="150">
        <v>100</v>
      </c>
      <c r="S372" s="150">
        <v>76.540114048099994</v>
      </c>
      <c r="T372" s="150" t="s">
        <v>2842</v>
      </c>
      <c r="U372" s="150" t="s">
        <v>2842</v>
      </c>
      <c r="V372" s="150" t="s">
        <v>2842</v>
      </c>
    </row>
    <row r="373" spans="1:22">
      <c r="A373" s="150" t="s">
        <v>2885</v>
      </c>
      <c r="B373" s="150" t="s">
        <v>294</v>
      </c>
      <c r="C373" s="150" t="str">
        <f t="shared" si="10"/>
        <v>2009_Liberia</v>
      </c>
      <c r="D373" s="150">
        <v>274.101</v>
      </c>
      <c r="E373" s="150">
        <v>454.07299999999998</v>
      </c>
      <c r="F373" s="150">
        <f t="shared" si="11"/>
        <v>454073000</v>
      </c>
      <c r="G373" s="150">
        <v>179.97200000000001</v>
      </c>
      <c r="H373" s="150">
        <v>1145.17</v>
      </c>
      <c r="I373" s="150">
        <v>1704.17</v>
      </c>
      <c r="J373" s="150">
        <v>559</v>
      </c>
      <c r="K373" s="150">
        <v>-871.06899999999996</v>
      </c>
      <c r="L373" s="150">
        <v>-1250.097</v>
      </c>
      <c r="M373" s="150">
        <v>-379.02800000000002</v>
      </c>
      <c r="N373" s="150">
        <v>60.364963342899998</v>
      </c>
      <c r="O373" s="150">
        <v>100</v>
      </c>
      <c r="P373" s="150">
        <v>39.635036657100002</v>
      </c>
      <c r="Q373" s="150">
        <v>67.198108169999998</v>
      </c>
      <c r="R373" s="150">
        <v>100</v>
      </c>
      <c r="S373" s="150">
        <v>32.801891830000002</v>
      </c>
      <c r="T373" s="150" t="s">
        <v>2842</v>
      </c>
      <c r="U373" s="150" t="s">
        <v>2842</v>
      </c>
      <c r="V373" s="150" t="s">
        <v>2842</v>
      </c>
    </row>
    <row r="374" spans="1:22">
      <c r="A374" s="150" t="s">
        <v>2885</v>
      </c>
      <c r="B374" s="150" t="s">
        <v>309</v>
      </c>
      <c r="C374" s="150" t="str">
        <f t="shared" si="10"/>
        <v>2009_Madagascar</v>
      </c>
      <c r="D374" s="150">
        <v>892.44</v>
      </c>
      <c r="E374" s="150">
        <v>1944.42391387</v>
      </c>
      <c r="F374" s="150">
        <f t="shared" si="11"/>
        <v>1944423913.8699999</v>
      </c>
      <c r="G374" s="150">
        <v>1051.9839138699999</v>
      </c>
      <c r="H374" s="150">
        <v>1261.5</v>
      </c>
      <c r="I374" s="150">
        <v>3980.4358500899998</v>
      </c>
      <c r="J374" s="150">
        <v>2718.9358500899998</v>
      </c>
      <c r="K374" s="150">
        <v>-369.06</v>
      </c>
      <c r="L374" s="150">
        <v>-2036.0119362200001</v>
      </c>
      <c r="M374" s="150">
        <v>-1666.9519362200001</v>
      </c>
      <c r="N374" s="150">
        <v>45.897398897099997</v>
      </c>
      <c r="O374" s="150">
        <v>100</v>
      </c>
      <c r="P374" s="150">
        <v>54.102601102900003</v>
      </c>
      <c r="Q374" s="150">
        <v>31.692509250499999</v>
      </c>
      <c r="R374" s="150">
        <v>100</v>
      </c>
      <c r="S374" s="150">
        <v>68.307490749500005</v>
      </c>
      <c r="T374" s="150" t="s">
        <v>2842</v>
      </c>
      <c r="U374" s="150" t="s">
        <v>2842</v>
      </c>
      <c r="V374" s="150" t="s">
        <v>2842</v>
      </c>
    </row>
    <row r="375" spans="1:22">
      <c r="A375" s="150" t="s">
        <v>2885</v>
      </c>
      <c r="B375" s="150" t="s">
        <v>322</v>
      </c>
      <c r="C375" s="150" t="str">
        <f t="shared" si="10"/>
        <v>2009_Mali</v>
      </c>
      <c r="D375" s="150">
        <v>354.26688999999999</v>
      </c>
      <c r="E375" s="150">
        <v>2127.9270000000001</v>
      </c>
      <c r="F375" s="150">
        <f t="shared" si="11"/>
        <v>2127927000.0000002</v>
      </c>
      <c r="G375" s="150">
        <v>1773.66011</v>
      </c>
      <c r="H375" s="150">
        <v>825.56434000000002</v>
      </c>
      <c r="I375" s="150">
        <v>2811.877</v>
      </c>
      <c r="J375" s="150">
        <v>1986.3126600000001</v>
      </c>
      <c r="K375" s="150">
        <v>-471.29745000000003</v>
      </c>
      <c r="L375" s="150">
        <v>-683.95</v>
      </c>
      <c r="M375" s="150">
        <v>-212.65254999999999</v>
      </c>
      <c r="N375" s="150">
        <v>16.6484512862</v>
      </c>
      <c r="O375" s="150">
        <v>100</v>
      </c>
      <c r="P375" s="150">
        <v>83.3515487138</v>
      </c>
      <c r="Q375" s="150">
        <v>29.3599023001</v>
      </c>
      <c r="R375" s="150">
        <v>100</v>
      </c>
      <c r="S375" s="150">
        <v>70.640097699899997</v>
      </c>
      <c r="T375" s="150" t="s">
        <v>2842</v>
      </c>
      <c r="U375" s="150" t="s">
        <v>2842</v>
      </c>
      <c r="V375" s="150" t="s">
        <v>2842</v>
      </c>
    </row>
    <row r="376" spans="1:22">
      <c r="A376" s="150" t="s">
        <v>2885</v>
      </c>
      <c r="B376" s="150" t="s">
        <v>338</v>
      </c>
      <c r="C376" s="150" t="str">
        <f t="shared" si="10"/>
        <v>2009_Mauritania</v>
      </c>
      <c r="D376" s="150">
        <v>158.69999999999999</v>
      </c>
      <c r="E376" s="150">
        <v>1528.8</v>
      </c>
      <c r="F376" s="150">
        <f t="shared" si="11"/>
        <v>1528800000</v>
      </c>
      <c r="G376" s="150">
        <v>1370.1</v>
      </c>
      <c r="H376" s="150">
        <v>637.5</v>
      </c>
      <c r="I376" s="150">
        <v>2067.3000000000002</v>
      </c>
      <c r="J376" s="150">
        <v>1429.8</v>
      </c>
      <c r="K376" s="150">
        <v>-478.8</v>
      </c>
      <c r="L376" s="150">
        <v>-538.5</v>
      </c>
      <c r="M376" s="150">
        <v>-59.7</v>
      </c>
      <c r="N376" s="150">
        <v>10.3806907378</v>
      </c>
      <c r="O376" s="150">
        <v>100</v>
      </c>
      <c r="P376" s="150">
        <v>89.619309262200005</v>
      </c>
      <c r="Q376" s="150">
        <v>30.837324045900001</v>
      </c>
      <c r="R376" s="150">
        <v>100</v>
      </c>
      <c r="S376" s="150">
        <v>69.162675954099996</v>
      </c>
      <c r="T376" s="150" t="s">
        <v>2842</v>
      </c>
      <c r="U376" s="150" t="s">
        <v>2842</v>
      </c>
      <c r="V376" s="150" t="s">
        <v>2842</v>
      </c>
    </row>
    <row r="377" spans="1:22">
      <c r="A377" s="150" t="s">
        <v>2885</v>
      </c>
      <c r="B377" s="150" t="s">
        <v>357</v>
      </c>
      <c r="C377" s="150" t="str">
        <f t="shared" si="10"/>
        <v>2009_Mongolia</v>
      </c>
      <c r="D377" s="150">
        <v>414.54</v>
      </c>
      <c r="E377" s="150">
        <v>2299.92</v>
      </c>
      <c r="F377" s="150">
        <f t="shared" si="11"/>
        <v>2299920000</v>
      </c>
      <c r="G377" s="150">
        <v>1885.38</v>
      </c>
      <c r="H377" s="150">
        <v>557.77099999999996</v>
      </c>
      <c r="I377" s="150">
        <v>2631.931</v>
      </c>
      <c r="J377" s="150">
        <v>2074.16</v>
      </c>
      <c r="K377" s="150">
        <v>-143.23099999999999</v>
      </c>
      <c r="L377" s="150">
        <v>-332.01100000000002</v>
      </c>
      <c r="M377" s="150">
        <v>-188.78</v>
      </c>
      <c r="N377" s="150">
        <v>18.024105186300002</v>
      </c>
      <c r="O377" s="150">
        <v>100</v>
      </c>
      <c r="P377" s="150">
        <v>81.975894813699995</v>
      </c>
      <c r="Q377" s="150">
        <v>21.192462872299998</v>
      </c>
      <c r="R377" s="150">
        <v>100</v>
      </c>
      <c r="S377" s="150">
        <v>78.807537127700002</v>
      </c>
      <c r="T377" s="150" t="s">
        <v>2842</v>
      </c>
      <c r="U377" s="150" t="s">
        <v>2842</v>
      </c>
      <c r="V377" s="150" t="s">
        <v>2842</v>
      </c>
    </row>
    <row r="378" spans="1:22">
      <c r="A378" s="150" t="s">
        <v>2885</v>
      </c>
      <c r="B378" s="150" t="s">
        <v>378</v>
      </c>
      <c r="C378" s="150" t="str">
        <f t="shared" si="10"/>
        <v>2009_Mozambique</v>
      </c>
      <c r="D378" s="150">
        <v>611.66999999999996</v>
      </c>
      <c r="E378" s="150">
        <v>2758.85</v>
      </c>
      <c r="F378" s="150">
        <f t="shared" si="11"/>
        <v>2758850000</v>
      </c>
      <c r="G378" s="150">
        <v>2147.1799999999998</v>
      </c>
      <c r="H378" s="150">
        <v>1044.288</v>
      </c>
      <c r="I378" s="150">
        <v>4466.2979999999998</v>
      </c>
      <c r="J378" s="150">
        <v>3422.01</v>
      </c>
      <c r="K378" s="150">
        <v>-432.61799999999999</v>
      </c>
      <c r="L378" s="150">
        <v>-1707.4480000000001</v>
      </c>
      <c r="M378" s="150">
        <v>-1274.83</v>
      </c>
      <c r="N378" s="150">
        <v>22.171194519499998</v>
      </c>
      <c r="O378" s="150">
        <v>100</v>
      </c>
      <c r="P378" s="150">
        <v>77.828805480499994</v>
      </c>
      <c r="Q378" s="150">
        <v>23.381511936700001</v>
      </c>
      <c r="R378" s="150">
        <v>100</v>
      </c>
      <c r="S378" s="150">
        <v>76.618488063300006</v>
      </c>
      <c r="T378" s="150" t="s">
        <v>2842</v>
      </c>
      <c r="U378" s="150" t="s">
        <v>2842</v>
      </c>
      <c r="V378" s="150" t="s">
        <v>2842</v>
      </c>
    </row>
    <row r="379" spans="1:22">
      <c r="A379" s="150" t="s">
        <v>2885</v>
      </c>
      <c r="B379" s="150" t="s">
        <v>387</v>
      </c>
      <c r="C379" s="150" t="str">
        <f t="shared" si="10"/>
        <v>2009_Niger</v>
      </c>
      <c r="D379" s="150">
        <v>99.921999999999997</v>
      </c>
      <c r="E379" s="150">
        <v>1096.7760000000001</v>
      </c>
      <c r="F379" s="150">
        <f t="shared" si="11"/>
        <v>1096776000</v>
      </c>
      <c r="G379" s="150">
        <v>996.85400000000004</v>
      </c>
      <c r="H379" s="150">
        <v>734.69899999999996</v>
      </c>
      <c r="I379" s="150">
        <v>2528.8789999999999</v>
      </c>
      <c r="J379" s="150">
        <v>1794.18</v>
      </c>
      <c r="K379" s="150">
        <v>-634.77700000000004</v>
      </c>
      <c r="L379" s="150">
        <v>-1432.1030000000001</v>
      </c>
      <c r="M379" s="150">
        <v>-797.32600000000002</v>
      </c>
      <c r="N379" s="150">
        <v>9.1105202886000001</v>
      </c>
      <c r="O379" s="150">
        <v>100</v>
      </c>
      <c r="P379" s="150">
        <v>90.8894797114</v>
      </c>
      <c r="Q379" s="150">
        <v>29.052358772400002</v>
      </c>
      <c r="R379" s="150">
        <v>100</v>
      </c>
      <c r="S379" s="150">
        <v>70.947641227600002</v>
      </c>
      <c r="T379" s="150" t="s">
        <v>2842</v>
      </c>
      <c r="U379" s="150" t="s">
        <v>2842</v>
      </c>
      <c r="V379" s="150" t="s">
        <v>2842</v>
      </c>
    </row>
    <row r="380" spans="1:22">
      <c r="A380" s="150" t="s">
        <v>2885</v>
      </c>
      <c r="B380" s="150" t="s">
        <v>406</v>
      </c>
      <c r="C380" s="150" t="str">
        <f t="shared" si="10"/>
        <v>2009_Nigeria</v>
      </c>
      <c r="D380" s="150">
        <v>2217.87</v>
      </c>
      <c r="E380" s="150">
        <v>58385.273999999998</v>
      </c>
      <c r="F380" s="150">
        <f t="shared" si="11"/>
        <v>58385274000</v>
      </c>
      <c r="G380" s="150">
        <v>56167.404000000002</v>
      </c>
      <c r="H380" s="150">
        <v>18696.599999999999</v>
      </c>
      <c r="I380" s="150">
        <v>49475.909</v>
      </c>
      <c r="J380" s="150">
        <v>30779.309000000001</v>
      </c>
      <c r="K380" s="150">
        <v>-16478.73</v>
      </c>
      <c r="L380" s="150">
        <v>8909.3649999999998</v>
      </c>
      <c r="M380" s="150">
        <v>25388.095000000001</v>
      </c>
      <c r="N380" s="150">
        <v>3.7986804686000002</v>
      </c>
      <c r="O380" s="150">
        <v>100</v>
      </c>
      <c r="P380" s="150">
        <v>96.201319531400003</v>
      </c>
      <c r="Q380" s="150">
        <v>37.789300647300003</v>
      </c>
      <c r="R380" s="150">
        <v>100</v>
      </c>
      <c r="S380" s="150">
        <v>62.210699352699997</v>
      </c>
      <c r="T380" s="150" t="s">
        <v>2842</v>
      </c>
      <c r="U380" s="150" t="s">
        <v>2842</v>
      </c>
      <c r="V380" s="150" t="s">
        <v>2842</v>
      </c>
    </row>
    <row r="381" spans="1:22">
      <c r="A381" s="150" t="s">
        <v>2885</v>
      </c>
      <c r="B381" s="150" t="s">
        <v>429</v>
      </c>
      <c r="C381" s="150" t="str">
        <f t="shared" si="10"/>
        <v>2009_Norway</v>
      </c>
      <c r="D381" s="150">
        <v>38446.296754000003</v>
      </c>
      <c r="E381" s="150">
        <v>159900.41805499999</v>
      </c>
      <c r="F381" s="150">
        <f t="shared" si="11"/>
        <v>159900418055</v>
      </c>
      <c r="G381" s="150">
        <v>121454.12130100001</v>
      </c>
      <c r="H381" s="150">
        <v>36723.740406999998</v>
      </c>
      <c r="I381" s="150">
        <v>103872.08726499999</v>
      </c>
      <c r="J381" s="150">
        <v>67148.346858000004</v>
      </c>
      <c r="K381" s="150">
        <v>1722.556347</v>
      </c>
      <c r="L381" s="150">
        <v>56028.33079</v>
      </c>
      <c r="M381" s="150">
        <v>54305.774443000002</v>
      </c>
      <c r="N381" s="150">
        <v>24.043900085800001</v>
      </c>
      <c r="O381" s="150">
        <v>100</v>
      </c>
      <c r="P381" s="150">
        <v>75.956099914199996</v>
      </c>
      <c r="Q381" s="150">
        <v>35.354772753600002</v>
      </c>
      <c r="R381" s="150">
        <v>100</v>
      </c>
      <c r="S381" s="150">
        <v>64.645227246399998</v>
      </c>
      <c r="T381" s="150" t="s">
        <v>2842</v>
      </c>
      <c r="U381" s="150" t="s">
        <v>2842</v>
      </c>
      <c r="V381" s="150" t="s">
        <v>2842</v>
      </c>
    </row>
    <row r="382" spans="1:22">
      <c r="A382" s="150" t="s">
        <v>2885</v>
      </c>
      <c r="B382" s="150" t="s">
        <v>442</v>
      </c>
      <c r="C382" s="150" t="str">
        <f t="shared" si="10"/>
        <v>2009_Peru</v>
      </c>
      <c r="D382" s="150">
        <v>3635.5770000000002</v>
      </c>
      <c r="E382" s="150">
        <v>30597.077000000001</v>
      </c>
      <c r="F382" s="150">
        <f t="shared" si="11"/>
        <v>30597077000</v>
      </c>
      <c r="G382" s="150">
        <v>26961.5</v>
      </c>
      <c r="H382" s="150">
        <v>4811.5739999999996</v>
      </c>
      <c r="I382" s="150">
        <v>25822.274000000001</v>
      </c>
      <c r="J382" s="150">
        <v>21010.7</v>
      </c>
      <c r="K382" s="150">
        <v>-1175.9970000000001</v>
      </c>
      <c r="L382" s="150">
        <v>4774.8029999999999</v>
      </c>
      <c r="M382" s="150">
        <v>5950.8</v>
      </c>
      <c r="N382" s="150">
        <v>11.882105601099999</v>
      </c>
      <c r="O382" s="150">
        <v>100</v>
      </c>
      <c r="P382" s="150">
        <v>88.117894398900006</v>
      </c>
      <c r="Q382" s="150">
        <v>18.633424771200001</v>
      </c>
      <c r="R382" s="150">
        <v>100</v>
      </c>
      <c r="S382" s="150">
        <v>81.366575228800002</v>
      </c>
      <c r="T382" s="150" t="s">
        <v>2842</v>
      </c>
      <c r="U382" s="150" t="s">
        <v>2842</v>
      </c>
      <c r="V382" s="150" t="s">
        <v>2842</v>
      </c>
    </row>
    <row r="383" spans="1:22">
      <c r="A383" s="150" t="s">
        <v>2885</v>
      </c>
      <c r="B383" s="150" t="s">
        <v>481</v>
      </c>
      <c r="C383" s="150" t="str">
        <f t="shared" si="10"/>
        <v>2009_Sierra Leone</v>
      </c>
      <c r="D383" s="150">
        <v>103.559</v>
      </c>
      <c r="E383" s="150">
        <v>373.93200000000002</v>
      </c>
      <c r="F383" s="150">
        <f t="shared" si="11"/>
        <v>373932000</v>
      </c>
      <c r="G383" s="150">
        <v>270.37299999999999</v>
      </c>
      <c r="H383" s="150">
        <v>137.72399999999999</v>
      </c>
      <c r="I383" s="150">
        <v>755.22900000000004</v>
      </c>
      <c r="J383" s="150">
        <v>617.505</v>
      </c>
      <c r="K383" s="150">
        <v>-34.164999999999999</v>
      </c>
      <c r="L383" s="150">
        <v>-381.29700000000003</v>
      </c>
      <c r="M383" s="150">
        <v>-347.13200000000001</v>
      </c>
      <c r="N383" s="150">
        <v>27.694607575700001</v>
      </c>
      <c r="O383" s="150">
        <v>100</v>
      </c>
      <c r="P383" s="150">
        <v>72.305392424299995</v>
      </c>
      <c r="Q383" s="150">
        <v>18.236058202199999</v>
      </c>
      <c r="R383" s="150">
        <v>100</v>
      </c>
      <c r="S383" s="150">
        <v>81.763941797800001</v>
      </c>
      <c r="T383" s="150" t="s">
        <v>2842</v>
      </c>
      <c r="U383" s="150" t="s">
        <v>2842</v>
      </c>
      <c r="V383" s="150" t="s">
        <v>2842</v>
      </c>
    </row>
    <row r="384" spans="1:22">
      <c r="A384" s="150" t="s">
        <v>2885</v>
      </c>
      <c r="B384" s="150" t="s">
        <v>2844</v>
      </c>
      <c r="C384" s="150" t="str">
        <f t="shared" si="10"/>
        <v>2009_Timor-Leste</v>
      </c>
      <c r="D384" s="150">
        <v>51.627000000000002</v>
      </c>
      <c r="E384" s="150">
        <v>66.191999999999993</v>
      </c>
      <c r="F384" s="150">
        <f t="shared" si="11"/>
        <v>66191999.999999993</v>
      </c>
      <c r="G384" s="150">
        <v>14.565</v>
      </c>
      <c r="H384" s="150">
        <v>826.71299999999997</v>
      </c>
      <c r="I384" s="150">
        <v>1161.24</v>
      </c>
      <c r="J384" s="150">
        <v>334.52699999999999</v>
      </c>
      <c r="K384" s="150">
        <v>-775.08600000000001</v>
      </c>
      <c r="L384" s="150">
        <v>-1095.048</v>
      </c>
      <c r="M384" s="150">
        <v>-319.96199999999999</v>
      </c>
      <c r="N384" s="150">
        <v>77.995830311800006</v>
      </c>
      <c r="O384" s="150">
        <v>100</v>
      </c>
      <c r="P384" s="150">
        <v>22.004169688200001</v>
      </c>
      <c r="Q384" s="150">
        <v>71.192259997899995</v>
      </c>
      <c r="R384" s="150">
        <v>100</v>
      </c>
      <c r="S384" s="150">
        <v>28.807740002100001</v>
      </c>
      <c r="T384" s="150" t="s">
        <v>2842</v>
      </c>
      <c r="U384" s="150" t="s">
        <v>2842</v>
      </c>
      <c r="V384" s="150" t="s">
        <v>2842</v>
      </c>
    </row>
    <row r="385" spans="1:22">
      <c r="A385" s="150" t="s">
        <v>2885</v>
      </c>
      <c r="B385" s="150" t="s">
        <v>510</v>
      </c>
      <c r="C385" s="150" t="str">
        <f t="shared" si="10"/>
        <v>2009_Togo</v>
      </c>
      <c r="D385" s="150">
        <v>293.55099999999999</v>
      </c>
      <c r="E385" s="150">
        <v>1196.575</v>
      </c>
      <c r="F385" s="150">
        <f t="shared" si="11"/>
        <v>1196575000</v>
      </c>
      <c r="G385" s="150">
        <v>903.024</v>
      </c>
      <c r="H385" s="150">
        <v>374.71800000000002</v>
      </c>
      <c r="I385" s="150">
        <v>1689.8779999999999</v>
      </c>
      <c r="J385" s="150">
        <v>1315.16</v>
      </c>
      <c r="K385" s="150">
        <v>-81.167000000000002</v>
      </c>
      <c r="L385" s="150">
        <v>-493.303</v>
      </c>
      <c r="M385" s="150">
        <v>-412.13600000000002</v>
      </c>
      <c r="N385" s="150">
        <v>24.532603472400002</v>
      </c>
      <c r="O385" s="150">
        <v>100</v>
      </c>
      <c r="P385" s="150">
        <v>75.467396527600002</v>
      </c>
      <c r="Q385" s="150">
        <v>22.174263467500001</v>
      </c>
      <c r="R385" s="150">
        <v>100</v>
      </c>
      <c r="S385" s="150">
        <v>77.825736532500002</v>
      </c>
      <c r="T385" s="150" t="s">
        <v>2842</v>
      </c>
      <c r="U385" s="150" t="s">
        <v>2842</v>
      </c>
      <c r="V385" s="150" t="s">
        <v>2842</v>
      </c>
    </row>
    <row r="386" spans="1:22">
      <c r="A386" s="150" t="s">
        <v>2885</v>
      </c>
      <c r="B386" s="150" t="s">
        <v>2845</v>
      </c>
      <c r="C386" s="150" t="str">
        <f t="shared" si="10"/>
        <v>2009_Trinidad and Tobago</v>
      </c>
      <c r="D386" s="150">
        <v>764.8</v>
      </c>
      <c r="E386" s="150">
        <v>9986.18</v>
      </c>
      <c r="F386" s="150">
        <f t="shared" si="11"/>
        <v>9986180000</v>
      </c>
      <c r="G386" s="150">
        <v>9221.3799999999992</v>
      </c>
      <c r="H386" s="150">
        <v>383.1</v>
      </c>
      <c r="I386" s="150">
        <v>7363.3</v>
      </c>
      <c r="J386" s="150">
        <v>6980.2</v>
      </c>
      <c r="K386" s="150">
        <v>381.7</v>
      </c>
      <c r="L386" s="150">
        <v>2622.88</v>
      </c>
      <c r="M386" s="150">
        <v>2241.1799999999998</v>
      </c>
      <c r="N386" s="150">
        <v>7.6585841632999996</v>
      </c>
      <c r="O386" s="150">
        <v>100</v>
      </c>
      <c r="P386" s="150">
        <v>92.341415836699994</v>
      </c>
      <c r="Q386" s="150">
        <v>5.2028302527000001</v>
      </c>
      <c r="R386" s="150">
        <v>100</v>
      </c>
      <c r="S386" s="150">
        <v>94.797169747300003</v>
      </c>
      <c r="T386" s="150" t="s">
        <v>2842</v>
      </c>
      <c r="U386" s="150" t="s">
        <v>2842</v>
      </c>
      <c r="V386" s="150" t="s">
        <v>2842</v>
      </c>
    </row>
    <row r="387" spans="1:22">
      <c r="A387" s="150" t="s">
        <v>2885</v>
      </c>
      <c r="B387" s="150" t="s">
        <v>492</v>
      </c>
      <c r="C387" s="150" t="str">
        <f t="shared" si="10"/>
        <v>2009_Tanzania</v>
      </c>
      <c r="D387" s="150">
        <v>1854.64</v>
      </c>
      <c r="E387" s="150">
        <v>5152.7299999999996</v>
      </c>
      <c r="F387" s="150">
        <f t="shared" si="11"/>
        <v>5152730000</v>
      </c>
      <c r="G387" s="150">
        <v>3298.09</v>
      </c>
      <c r="H387" s="150">
        <v>1721.951</v>
      </c>
      <c r="I387" s="150">
        <v>7556.1009999999997</v>
      </c>
      <c r="J387" s="150">
        <v>5834.15</v>
      </c>
      <c r="K387" s="150">
        <v>132.68899999999999</v>
      </c>
      <c r="L387" s="150">
        <v>-2403.3710000000001</v>
      </c>
      <c r="M387" s="150">
        <v>-2536.06</v>
      </c>
      <c r="N387" s="150">
        <v>35.993347215900002</v>
      </c>
      <c r="O387" s="150">
        <v>100</v>
      </c>
      <c r="P387" s="150">
        <v>64.006652784099998</v>
      </c>
      <c r="Q387" s="150">
        <v>22.7888827849</v>
      </c>
      <c r="R387" s="150">
        <v>100</v>
      </c>
      <c r="S387" s="150">
        <v>77.211117215100003</v>
      </c>
      <c r="T387" s="150" t="s">
        <v>2842</v>
      </c>
      <c r="U387" s="150" t="s">
        <v>2842</v>
      </c>
      <c r="V387" s="150" t="s">
        <v>2842</v>
      </c>
    </row>
    <row r="388" spans="1:22">
      <c r="A388" s="150" t="s">
        <v>2885</v>
      </c>
      <c r="B388" s="150" t="s">
        <v>522</v>
      </c>
      <c r="C388" s="150" t="str">
        <f t="shared" si="10"/>
        <v>2009_Yemen</v>
      </c>
      <c r="D388" s="150">
        <v>1237.18</v>
      </c>
      <c r="E388" s="150">
        <v>7092.2</v>
      </c>
      <c r="F388" s="150">
        <f t="shared" si="11"/>
        <v>7092200000</v>
      </c>
      <c r="G388" s="150">
        <v>5855.02</v>
      </c>
      <c r="H388" s="150">
        <v>2132.84</v>
      </c>
      <c r="I388" s="150">
        <v>10000.67</v>
      </c>
      <c r="J388" s="150">
        <v>7867.83</v>
      </c>
      <c r="K388" s="150">
        <v>-895.66</v>
      </c>
      <c r="L388" s="150">
        <v>-2908.47</v>
      </c>
      <c r="M388" s="150">
        <v>-2012.81</v>
      </c>
      <c r="N388" s="150">
        <v>17.444234511200001</v>
      </c>
      <c r="O388" s="150">
        <v>100</v>
      </c>
      <c r="P388" s="150">
        <v>82.555765488800006</v>
      </c>
      <c r="Q388" s="150">
        <v>21.326971092899999</v>
      </c>
      <c r="R388" s="150">
        <v>100</v>
      </c>
      <c r="S388" s="150">
        <v>78.673028907100004</v>
      </c>
      <c r="T388" s="150" t="s">
        <v>2842</v>
      </c>
      <c r="U388" s="150" t="s">
        <v>2842</v>
      </c>
      <c r="V388" s="150" t="s">
        <v>2842</v>
      </c>
    </row>
    <row r="389" spans="1:22">
      <c r="A389" s="150" t="s">
        <v>2885</v>
      </c>
      <c r="B389" s="150" t="s">
        <v>534</v>
      </c>
      <c r="C389" s="150" t="str">
        <f t="shared" si="10"/>
        <v>2009_Zambia</v>
      </c>
      <c r="D389" s="150">
        <v>240.88</v>
      </c>
      <c r="E389" s="150">
        <v>4559.9399999999996</v>
      </c>
      <c r="F389" s="150">
        <f t="shared" si="11"/>
        <v>4559940000</v>
      </c>
      <c r="G389" s="150">
        <v>4319.0600000000004</v>
      </c>
      <c r="H389" s="150">
        <v>660.55700000000002</v>
      </c>
      <c r="I389" s="150">
        <v>4073.9569999999999</v>
      </c>
      <c r="J389" s="150">
        <v>3413.4</v>
      </c>
      <c r="K389" s="150">
        <v>-419.67700000000002</v>
      </c>
      <c r="L389" s="150">
        <v>485.983</v>
      </c>
      <c r="M389" s="150">
        <v>905.66</v>
      </c>
      <c r="N389" s="150">
        <v>5.2825256473</v>
      </c>
      <c r="O389" s="150">
        <v>100</v>
      </c>
      <c r="P389" s="150">
        <v>94.717474352699995</v>
      </c>
      <c r="Q389" s="150">
        <v>16.214137753500001</v>
      </c>
      <c r="R389" s="150">
        <v>100</v>
      </c>
      <c r="S389" s="150">
        <v>83.785862246500002</v>
      </c>
      <c r="T389" s="150" t="s">
        <v>2842</v>
      </c>
      <c r="U389" s="150" t="s">
        <v>2842</v>
      </c>
      <c r="V389" s="150" t="s">
        <v>2842</v>
      </c>
    </row>
    <row r="390" spans="1:22">
      <c r="A390" s="150" t="s">
        <v>2886</v>
      </c>
      <c r="B390" s="150" t="s">
        <v>16</v>
      </c>
      <c r="C390" s="150" t="str">
        <f t="shared" ref="C390:C453" si="12">$A390&amp;"_"&amp;$B390</f>
        <v>2010_Afghanistan</v>
      </c>
      <c r="D390" s="150">
        <v>3139.8389999999999</v>
      </c>
      <c r="E390" s="150">
        <v>5975.8389999999999</v>
      </c>
      <c r="F390" s="150">
        <f t="shared" ref="F390:F453" si="13">IFERROR($E390*1000000,"..")</f>
        <v>5975839000</v>
      </c>
      <c r="G390" s="150">
        <v>2836</v>
      </c>
      <c r="H390" s="150">
        <v>1247.8019999999999</v>
      </c>
      <c r="I390" s="150">
        <v>10386.802</v>
      </c>
      <c r="J390" s="150">
        <v>9139</v>
      </c>
      <c r="K390" s="150">
        <v>1892.037</v>
      </c>
      <c r="L390" s="150">
        <v>-4410.9629999999997</v>
      </c>
      <c r="M390" s="150">
        <v>-6303</v>
      </c>
      <c r="N390" s="150">
        <v>52.542228798300002</v>
      </c>
      <c r="O390" s="150">
        <v>100</v>
      </c>
      <c r="P390" s="150">
        <v>47.457771201699998</v>
      </c>
      <c r="Q390" s="150">
        <v>12.0133415463</v>
      </c>
      <c r="R390" s="150">
        <v>100</v>
      </c>
      <c r="S390" s="150">
        <v>87.986658453700002</v>
      </c>
      <c r="T390" s="150" t="s">
        <v>2842</v>
      </c>
      <c r="U390" s="150" t="s">
        <v>2842</v>
      </c>
      <c r="V390" s="150" t="s">
        <v>2842</v>
      </c>
    </row>
    <row r="391" spans="1:22">
      <c r="A391" s="150" t="s">
        <v>2886</v>
      </c>
      <c r="B391" s="150" t="s">
        <v>33</v>
      </c>
      <c r="C391" s="150" t="str">
        <f t="shared" si="12"/>
        <v>2010_Albania</v>
      </c>
      <c r="D391" s="150">
        <v>2307.63</v>
      </c>
      <c r="E391" s="150">
        <v>3855.53</v>
      </c>
      <c r="F391" s="150">
        <f t="shared" si="13"/>
        <v>3855530000</v>
      </c>
      <c r="G391" s="150">
        <v>1547.9</v>
      </c>
      <c r="H391" s="150">
        <v>2007.91</v>
      </c>
      <c r="I391" s="150">
        <v>6313.26</v>
      </c>
      <c r="J391" s="150">
        <v>4305.3500000000004</v>
      </c>
      <c r="K391" s="150">
        <v>299.72000000000003</v>
      </c>
      <c r="L391" s="150">
        <v>-2457.73</v>
      </c>
      <c r="M391" s="150">
        <v>-2757.45</v>
      </c>
      <c r="N391" s="150">
        <v>59.852471644600001</v>
      </c>
      <c r="O391" s="150">
        <v>100</v>
      </c>
      <c r="P391" s="150">
        <v>40.147528355399999</v>
      </c>
      <c r="Q391" s="150">
        <v>31.804646094100001</v>
      </c>
      <c r="R391" s="150">
        <v>100</v>
      </c>
      <c r="S391" s="150">
        <v>68.195353905900006</v>
      </c>
      <c r="T391" s="150" t="s">
        <v>2842</v>
      </c>
      <c r="U391" s="150" t="s">
        <v>2842</v>
      </c>
      <c r="V391" s="150" t="s">
        <v>2842</v>
      </c>
    </row>
    <row r="392" spans="1:22">
      <c r="A392" s="150" t="s">
        <v>2886</v>
      </c>
      <c r="B392" s="150" t="s">
        <v>48</v>
      </c>
      <c r="C392" s="150" t="str">
        <f t="shared" si="12"/>
        <v>2010_Azerbaijan</v>
      </c>
      <c r="D392" s="150">
        <v>2113.9450000000002</v>
      </c>
      <c r="E392" s="150">
        <v>28589.945</v>
      </c>
      <c r="F392" s="150">
        <f t="shared" si="13"/>
        <v>28589945000</v>
      </c>
      <c r="G392" s="150">
        <v>26476</v>
      </c>
      <c r="H392" s="150">
        <v>3845.9830000000002</v>
      </c>
      <c r="I392" s="150">
        <v>10591.584999999999</v>
      </c>
      <c r="J392" s="150">
        <v>6745.6019999999999</v>
      </c>
      <c r="K392" s="150">
        <v>-1732.038</v>
      </c>
      <c r="L392" s="150">
        <v>17998.36</v>
      </c>
      <c r="M392" s="150">
        <v>19730.398000000001</v>
      </c>
      <c r="N392" s="150">
        <v>7.3940156232999996</v>
      </c>
      <c r="O392" s="150">
        <v>100</v>
      </c>
      <c r="P392" s="150">
        <v>92.605984376699993</v>
      </c>
      <c r="Q392" s="150">
        <v>36.311685172700003</v>
      </c>
      <c r="R392" s="150">
        <v>100</v>
      </c>
      <c r="S392" s="150">
        <v>63.688314827299997</v>
      </c>
      <c r="T392" s="150" t="s">
        <v>2842</v>
      </c>
      <c r="U392" s="150" t="s">
        <v>2842</v>
      </c>
      <c r="V392" s="150" t="s">
        <v>2842</v>
      </c>
    </row>
    <row r="393" spans="1:22">
      <c r="A393" s="150" t="s">
        <v>2886</v>
      </c>
      <c r="B393" s="150" t="s">
        <v>93</v>
      </c>
      <c r="C393" s="150" t="str">
        <f t="shared" si="12"/>
        <v>2010_Burkina Faso</v>
      </c>
      <c r="D393" s="150">
        <v>303.755</v>
      </c>
      <c r="E393" s="150">
        <v>1889.0940000000001</v>
      </c>
      <c r="F393" s="150">
        <f t="shared" si="13"/>
        <v>1889094000</v>
      </c>
      <c r="G393" s="150">
        <v>1585.3389999999999</v>
      </c>
      <c r="H393" s="150">
        <v>831.96299999999997</v>
      </c>
      <c r="I393" s="150">
        <v>2556.7190000000001</v>
      </c>
      <c r="J393" s="150">
        <v>1724.7560000000001</v>
      </c>
      <c r="K393" s="150">
        <v>-528.20799999999997</v>
      </c>
      <c r="L393" s="150">
        <v>-667.625</v>
      </c>
      <c r="M393" s="150">
        <v>-139.417</v>
      </c>
      <c r="N393" s="150">
        <v>16.079401024999999</v>
      </c>
      <c r="O393" s="150">
        <v>100</v>
      </c>
      <c r="P393" s="150">
        <v>83.920598975000004</v>
      </c>
      <c r="Q393" s="150">
        <v>32.540259606200003</v>
      </c>
      <c r="R393" s="150">
        <v>100</v>
      </c>
      <c r="S393" s="150">
        <v>67.459740393800004</v>
      </c>
      <c r="T393" s="150" t="s">
        <v>2842</v>
      </c>
      <c r="U393" s="150" t="s">
        <v>2842</v>
      </c>
      <c r="V393" s="150" t="s">
        <v>2842</v>
      </c>
    </row>
    <row r="394" spans="1:22">
      <c r="A394" s="150" t="s">
        <v>2886</v>
      </c>
      <c r="B394" s="150" t="s">
        <v>2890</v>
      </c>
      <c r="C394" s="150" t="str">
        <f t="shared" si="12"/>
        <v>2010_ Cameroon</v>
      </c>
      <c r="D394" s="150">
        <v>1159.31</v>
      </c>
      <c r="E394" s="150">
        <v>5644.51</v>
      </c>
      <c r="F394" s="150">
        <f t="shared" si="13"/>
        <v>5644510000</v>
      </c>
      <c r="G394" s="150">
        <v>4485.2</v>
      </c>
      <c r="H394" s="150">
        <v>1745.55</v>
      </c>
      <c r="I394" s="150">
        <v>6408.19</v>
      </c>
      <c r="J394" s="150">
        <v>4662.6400000000003</v>
      </c>
      <c r="K394" s="150">
        <v>-586.24</v>
      </c>
      <c r="L394" s="150">
        <v>-763.68</v>
      </c>
      <c r="M394" s="150">
        <v>-177.44</v>
      </c>
      <c r="N394" s="150">
        <v>20.5387181527</v>
      </c>
      <c r="O394" s="150">
        <v>100</v>
      </c>
      <c r="P394" s="150">
        <v>79.4612818473</v>
      </c>
      <c r="Q394" s="150">
        <v>27.2393608804</v>
      </c>
      <c r="R394" s="150">
        <v>100</v>
      </c>
      <c r="S394" s="150">
        <v>72.7606391196</v>
      </c>
      <c r="T394" s="150" t="s">
        <v>2842</v>
      </c>
      <c r="U394" s="150" t="s">
        <v>2842</v>
      </c>
      <c r="V394" s="150" t="s">
        <v>2842</v>
      </c>
    </row>
    <row r="395" spans="1:22">
      <c r="A395" s="150" t="s">
        <v>2886</v>
      </c>
      <c r="B395" s="150" t="s">
        <v>122</v>
      </c>
      <c r="C395" s="150" t="str">
        <f t="shared" si="12"/>
        <v>2010_Central African Republic</v>
      </c>
      <c r="D395" s="150">
        <v>69.45608215</v>
      </c>
      <c r="E395" s="150">
        <v>210.99304025000001</v>
      </c>
      <c r="F395" s="150">
        <f t="shared" si="13"/>
        <v>210993040.25</v>
      </c>
      <c r="G395" s="150">
        <v>141.53695809999999</v>
      </c>
      <c r="H395" s="150">
        <v>183.33175172</v>
      </c>
      <c r="I395" s="150">
        <v>488.61546163999998</v>
      </c>
      <c r="J395" s="150">
        <v>305.28370991999998</v>
      </c>
      <c r="K395" s="150">
        <v>-113.87566957</v>
      </c>
      <c r="L395" s="150">
        <v>-277.62242139</v>
      </c>
      <c r="M395" s="150">
        <v>-163.74675181999999</v>
      </c>
      <c r="N395" s="150">
        <v>32.918660287400002</v>
      </c>
      <c r="O395" s="150">
        <v>100</v>
      </c>
      <c r="P395" s="150">
        <v>67.081339712599998</v>
      </c>
      <c r="Q395" s="150">
        <v>37.520661156499997</v>
      </c>
      <c r="R395" s="150">
        <v>100</v>
      </c>
      <c r="S395" s="150">
        <v>62.479338843500003</v>
      </c>
      <c r="T395" s="150" t="s">
        <v>2842</v>
      </c>
      <c r="U395" s="150" t="s">
        <v>2842</v>
      </c>
      <c r="V395" s="150" t="s">
        <v>2842</v>
      </c>
    </row>
    <row r="396" spans="1:22">
      <c r="A396" s="150" t="s">
        <v>2886</v>
      </c>
      <c r="B396" s="150" t="s">
        <v>2891</v>
      </c>
      <c r="C396" s="150" t="str">
        <f t="shared" si="12"/>
        <v>2010_ Chad</v>
      </c>
      <c r="D396" s="150">
        <v>389.63805500000001</v>
      </c>
      <c r="E396" s="150">
        <v>4011.351905</v>
      </c>
      <c r="F396" s="150">
        <f t="shared" si="13"/>
        <v>4011351905</v>
      </c>
      <c r="G396" s="150">
        <v>3621.7138500000001</v>
      </c>
      <c r="H396" s="150">
        <v>2247.5510789999998</v>
      </c>
      <c r="I396" s="150">
        <v>4629.9011790000004</v>
      </c>
      <c r="J396" s="150">
        <v>2382.3501000000001</v>
      </c>
      <c r="K396" s="150">
        <v>-1857.913024</v>
      </c>
      <c r="L396" s="150">
        <v>-618.54927399999997</v>
      </c>
      <c r="M396" s="150">
        <v>1239.36375</v>
      </c>
      <c r="N396" s="150">
        <v>9.7133850190000004</v>
      </c>
      <c r="O396" s="150">
        <v>100</v>
      </c>
      <c r="P396" s="150">
        <v>90.286614981</v>
      </c>
      <c r="Q396" s="150">
        <v>48.544255959399997</v>
      </c>
      <c r="R396" s="150">
        <v>100</v>
      </c>
      <c r="S396" s="150">
        <v>51.455744040600003</v>
      </c>
      <c r="T396" s="150" t="s">
        <v>2842</v>
      </c>
      <c r="U396" s="150" t="s">
        <v>2842</v>
      </c>
      <c r="V396" s="150" t="s">
        <v>2842</v>
      </c>
    </row>
    <row r="397" spans="1:22">
      <c r="A397" s="150" t="s">
        <v>2886</v>
      </c>
      <c r="B397" s="150" t="s">
        <v>458</v>
      </c>
      <c r="C397" s="150" t="str">
        <f t="shared" si="12"/>
        <v>2010_Republic of the Congo</v>
      </c>
      <c r="D397" s="150">
        <v>398.76675072</v>
      </c>
      <c r="E397" s="150">
        <v>9757.1661918400005</v>
      </c>
      <c r="F397" s="150">
        <f t="shared" si="13"/>
        <v>9757166191.8400002</v>
      </c>
      <c r="G397" s="150">
        <v>9358.3994411200001</v>
      </c>
      <c r="H397" s="150">
        <v>4856.4742558199996</v>
      </c>
      <c r="I397" s="150">
        <v>8919.4531544900001</v>
      </c>
      <c r="J397" s="150">
        <v>4062.97889867</v>
      </c>
      <c r="K397" s="150">
        <v>-4457.7075051000002</v>
      </c>
      <c r="L397" s="150">
        <v>837.71303735000004</v>
      </c>
      <c r="M397" s="150">
        <v>5295.4205424499996</v>
      </c>
      <c r="N397" s="150">
        <v>4.0869115363999997</v>
      </c>
      <c r="O397" s="150">
        <v>100</v>
      </c>
      <c r="P397" s="150">
        <v>95.913088463600005</v>
      </c>
      <c r="Q397" s="150">
        <v>54.448116624500003</v>
      </c>
      <c r="R397" s="150">
        <v>100</v>
      </c>
      <c r="S397" s="150">
        <v>45.551883375499997</v>
      </c>
      <c r="T397" s="150" t="s">
        <v>2842</v>
      </c>
      <c r="U397" s="150" t="s">
        <v>2842</v>
      </c>
      <c r="V397" s="150" t="s">
        <v>2842</v>
      </c>
    </row>
    <row r="398" spans="1:22">
      <c r="A398" s="150" t="s">
        <v>2886</v>
      </c>
      <c r="B398" s="150" t="s">
        <v>165</v>
      </c>
      <c r="C398" s="150" t="str">
        <f t="shared" si="12"/>
        <v>2010_Democratic Republic of Congo</v>
      </c>
      <c r="D398" s="150">
        <v>388.6</v>
      </c>
      <c r="E398" s="150">
        <v>8866.5</v>
      </c>
      <c r="F398" s="150">
        <f t="shared" si="13"/>
        <v>8866500000</v>
      </c>
      <c r="G398" s="150">
        <v>8477.9</v>
      </c>
      <c r="H398" s="150">
        <v>2662.7</v>
      </c>
      <c r="I398" s="150">
        <v>10705.2</v>
      </c>
      <c r="J398" s="150">
        <v>8042.5</v>
      </c>
      <c r="K398" s="150">
        <v>-2274.1</v>
      </c>
      <c r="L398" s="150">
        <v>-1838.7</v>
      </c>
      <c r="M398" s="150">
        <v>435.4</v>
      </c>
      <c r="N398" s="150">
        <v>4.3827891501999998</v>
      </c>
      <c r="O398" s="150">
        <v>100</v>
      </c>
      <c r="P398" s="150">
        <v>95.617210849800003</v>
      </c>
      <c r="Q398" s="150">
        <v>24.8729589358</v>
      </c>
      <c r="R398" s="150">
        <v>100</v>
      </c>
      <c r="S398" s="150">
        <v>75.1270410642</v>
      </c>
      <c r="T398" s="150" t="s">
        <v>2842</v>
      </c>
      <c r="U398" s="150" t="s">
        <v>2842</v>
      </c>
      <c r="V398" s="150" t="s">
        <v>2842</v>
      </c>
    </row>
    <row r="399" spans="1:22">
      <c r="A399" s="150" t="s">
        <v>2886</v>
      </c>
      <c r="B399" s="150" t="s">
        <v>2892</v>
      </c>
      <c r="C399" s="150" t="str">
        <f t="shared" si="12"/>
        <v>2010_ Equatorial Guinea</v>
      </c>
      <c r="D399" s="150">
        <v>51.688247179999998</v>
      </c>
      <c r="E399" s="150">
        <v>12116.653912850001</v>
      </c>
      <c r="F399" s="150">
        <f t="shared" si="13"/>
        <v>12116653912.85</v>
      </c>
      <c r="G399" s="150">
        <v>12064.965665670001</v>
      </c>
      <c r="H399" s="150">
        <v>2002.71767112</v>
      </c>
      <c r="I399" s="150">
        <v>6860.2014630100002</v>
      </c>
      <c r="J399" s="150">
        <v>4857.4837918900002</v>
      </c>
      <c r="K399" s="150">
        <v>-1951.02942394</v>
      </c>
      <c r="L399" s="150">
        <v>5256.4524498399996</v>
      </c>
      <c r="M399" s="150">
        <v>7207.4818737799997</v>
      </c>
      <c r="N399" s="150">
        <v>0.42658845880000001</v>
      </c>
      <c r="O399" s="150">
        <v>100</v>
      </c>
      <c r="P399" s="150">
        <v>99.573411541200002</v>
      </c>
      <c r="Q399" s="150">
        <v>29.193277805600001</v>
      </c>
      <c r="R399" s="150">
        <v>100</v>
      </c>
      <c r="S399" s="150">
        <v>70.806722194399995</v>
      </c>
      <c r="T399" s="150" t="s">
        <v>2842</v>
      </c>
      <c r="U399" s="150" t="s">
        <v>2842</v>
      </c>
      <c r="V399" s="150" t="s">
        <v>2842</v>
      </c>
    </row>
    <row r="400" spans="1:22">
      <c r="A400" s="150" t="s">
        <v>2886</v>
      </c>
      <c r="B400" s="150" t="s">
        <v>2893</v>
      </c>
      <c r="C400" s="150" t="str">
        <f t="shared" si="12"/>
        <v>2010_ Gabon</v>
      </c>
      <c r="D400" s="150" t="s">
        <v>561</v>
      </c>
      <c r="E400" s="150" t="s">
        <v>2842</v>
      </c>
      <c r="F400" s="150" t="str">
        <f t="shared" si="13"/>
        <v>..</v>
      </c>
      <c r="G400" s="150">
        <v>7444.7228520600002</v>
      </c>
      <c r="H400" s="150" t="s">
        <v>561</v>
      </c>
      <c r="I400" s="150" t="s">
        <v>561</v>
      </c>
      <c r="J400" s="150">
        <v>2375.84220547</v>
      </c>
      <c r="K400" s="150" t="s">
        <v>561</v>
      </c>
      <c r="L400" s="150" t="s">
        <v>561</v>
      </c>
      <c r="M400" s="150">
        <v>5068.8806465899997</v>
      </c>
      <c r="N400" s="150" t="s">
        <v>561</v>
      </c>
      <c r="O400" s="150" t="s">
        <v>561</v>
      </c>
      <c r="P400" s="150">
        <v>97.736309176800006</v>
      </c>
      <c r="Q400" s="150" t="s">
        <v>561</v>
      </c>
      <c r="R400" s="150" t="s">
        <v>561</v>
      </c>
      <c r="S400" s="150">
        <v>54.8475808707</v>
      </c>
      <c r="T400" s="150" t="s">
        <v>2842</v>
      </c>
      <c r="U400" s="150" t="s">
        <v>2842</v>
      </c>
      <c r="V400" s="150" t="s">
        <v>2842</v>
      </c>
    </row>
    <row r="401" spans="1:22">
      <c r="A401" s="150" t="s">
        <v>2886</v>
      </c>
      <c r="B401" s="150" t="s">
        <v>189</v>
      </c>
      <c r="C401" s="150" t="str">
        <f t="shared" si="12"/>
        <v>2010_Ghana</v>
      </c>
      <c r="D401" s="150">
        <v>1477.3</v>
      </c>
      <c r="E401" s="150">
        <v>9437.3799999999992</v>
      </c>
      <c r="F401" s="150">
        <f t="shared" si="13"/>
        <v>9437380000</v>
      </c>
      <c r="G401" s="150">
        <v>7960.08</v>
      </c>
      <c r="H401" s="150">
        <v>3003.23</v>
      </c>
      <c r="I401" s="150">
        <v>13925.33</v>
      </c>
      <c r="J401" s="150">
        <v>10922.1</v>
      </c>
      <c r="K401" s="150">
        <v>-1525.93</v>
      </c>
      <c r="L401" s="150">
        <v>-4487.95</v>
      </c>
      <c r="M401" s="150">
        <v>-2962.02</v>
      </c>
      <c r="N401" s="150">
        <v>15.653708974300001</v>
      </c>
      <c r="O401" s="150">
        <v>100</v>
      </c>
      <c r="P401" s="150">
        <v>84.346291025699998</v>
      </c>
      <c r="Q401" s="150">
        <v>21.566670233300002</v>
      </c>
      <c r="R401" s="150">
        <v>100</v>
      </c>
      <c r="S401" s="150">
        <v>78.433329766699998</v>
      </c>
      <c r="T401" s="150" t="s">
        <v>2842</v>
      </c>
      <c r="U401" s="150" t="s">
        <v>2842</v>
      </c>
      <c r="V401" s="150" t="s">
        <v>2842</v>
      </c>
    </row>
    <row r="402" spans="1:22">
      <c r="A402" s="150" t="s">
        <v>2886</v>
      </c>
      <c r="B402" s="150" t="s">
        <v>213</v>
      </c>
      <c r="C402" s="150" t="str">
        <f t="shared" si="12"/>
        <v>2010_Guatemala</v>
      </c>
      <c r="D402" s="150">
        <v>2267.4439189999998</v>
      </c>
      <c r="E402" s="150">
        <v>10803.023918999999</v>
      </c>
      <c r="F402" s="150">
        <f t="shared" si="13"/>
        <v>10803023919</v>
      </c>
      <c r="G402" s="150">
        <v>8535.58</v>
      </c>
      <c r="H402" s="150">
        <v>2299.1999999999998</v>
      </c>
      <c r="I402" s="150">
        <v>15105.7</v>
      </c>
      <c r="J402" s="150">
        <v>12806.5</v>
      </c>
      <c r="K402" s="150">
        <v>-31.756080999999998</v>
      </c>
      <c r="L402" s="150">
        <v>-4302.6760809999996</v>
      </c>
      <c r="M402" s="150">
        <v>-4270.92</v>
      </c>
      <c r="N402" s="150">
        <v>20.988974346500001</v>
      </c>
      <c r="O402" s="150">
        <v>100</v>
      </c>
      <c r="P402" s="150">
        <v>79.011025653499999</v>
      </c>
      <c r="Q402" s="150">
        <v>15.220744487199999</v>
      </c>
      <c r="R402" s="150">
        <v>100</v>
      </c>
      <c r="S402" s="150">
        <v>84.779255512800006</v>
      </c>
      <c r="T402" s="150" t="s">
        <v>2842</v>
      </c>
      <c r="U402" s="150" t="s">
        <v>2842</v>
      </c>
      <c r="V402" s="150" t="s">
        <v>2842</v>
      </c>
    </row>
    <row r="403" spans="1:22">
      <c r="A403" s="150" t="s">
        <v>2886</v>
      </c>
      <c r="B403" s="150" t="s">
        <v>2894</v>
      </c>
      <c r="C403" s="150" t="str">
        <f t="shared" si="12"/>
        <v>2010_ Guinea</v>
      </c>
      <c r="D403" s="150">
        <v>62.41</v>
      </c>
      <c r="E403" s="150">
        <v>1533.58</v>
      </c>
      <c r="F403" s="150">
        <f t="shared" si="13"/>
        <v>1533580000</v>
      </c>
      <c r="G403" s="150">
        <v>1471.17</v>
      </c>
      <c r="H403" s="150">
        <v>395.53</v>
      </c>
      <c r="I403" s="150">
        <v>1800.45</v>
      </c>
      <c r="J403" s="150">
        <v>1404.92</v>
      </c>
      <c r="K403" s="150">
        <v>-333.12</v>
      </c>
      <c r="L403" s="150">
        <v>-266.87</v>
      </c>
      <c r="M403" s="150">
        <v>66.25</v>
      </c>
      <c r="N403" s="150">
        <v>4.0695627224999997</v>
      </c>
      <c r="O403" s="150">
        <v>100</v>
      </c>
      <c r="P403" s="150">
        <v>95.930437277500005</v>
      </c>
      <c r="Q403" s="150">
        <v>21.968396789700002</v>
      </c>
      <c r="R403" s="150">
        <v>100</v>
      </c>
      <c r="S403" s="150">
        <v>78.031603210300005</v>
      </c>
      <c r="T403" s="150" t="s">
        <v>2842</v>
      </c>
      <c r="U403" s="150" t="s">
        <v>2842</v>
      </c>
      <c r="V403" s="150" t="s">
        <v>2842</v>
      </c>
    </row>
    <row r="404" spans="1:22">
      <c r="A404" s="150" t="s">
        <v>2886</v>
      </c>
      <c r="B404" s="150" t="s">
        <v>237</v>
      </c>
      <c r="C404" s="150" t="str">
        <f t="shared" si="12"/>
        <v>2010_Indonesia</v>
      </c>
      <c r="D404" s="150">
        <v>16765.8</v>
      </c>
      <c r="E404" s="150">
        <v>174765.8</v>
      </c>
      <c r="F404" s="150">
        <f t="shared" si="13"/>
        <v>174765800000</v>
      </c>
      <c r="G404" s="150">
        <v>158000</v>
      </c>
      <c r="H404" s="150">
        <v>26089.3</v>
      </c>
      <c r="I404" s="150">
        <v>153089.29999999999</v>
      </c>
      <c r="J404" s="150">
        <v>127000</v>
      </c>
      <c r="K404" s="150">
        <v>-9323.5</v>
      </c>
      <c r="L404" s="150">
        <v>21676.5</v>
      </c>
      <c r="M404" s="150">
        <v>31000</v>
      </c>
      <c r="N404" s="150">
        <v>9.5932957134999999</v>
      </c>
      <c r="O404" s="150">
        <v>100</v>
      </c>
      <c r="P404" s="150">
        <v>90.406704286500002</v>
      </c>
      <c r="Q404" s="150">
        <v>17.041883397500001</v>
      </c>
      <c r="R404" s="150">
        <v>100</v>
      </c>
      <c r="S404" s="150">
        <v>82.958116602499999</v>
      </c>
      <c r="T404" s="150" t="s">
        <v>2842</v>
      </c>
      <c r="U404" s="150" t="s">
        <v>2842</v>
      </c>
      <c r="V404" s="150" t="s">
        <v>2842</v>
      </c>
    </row>
    <row r="405" spans="1:22">
      <c r="A405" s="150" t="s">
        <v>2886</v>
      </c>
      <c r="B405" s="150" t="s">
        <v>245</v>
      </c>
      <c r="C405" s="150" t="str">
        <f t="shared" si="12"/>
        <v>2010_Iraq</v>
      </c>
      <c r="D405" s="150">
        <v>2833.6</v>
      </c>
      <c r="E405" s="150">
        <v>54593.9</v>
      </c>
      <c r="F405" s="150">
        <f t="shared" si="13"/>
        <v>54593900000</v>
      </c>
      <c r="G405" s="150">
        <v>51760.3</v>
      </c>
      <c r="H405" s="150">
        <v>9863.5</v>
      </c>
      <c r="I405" s="150">
        <v>47191.5</v>
      </c>
      <c r="J405" s="150">
        <v>37328</v>
      </c>
      <c r="K405" s="150">
        <v>-7029.9</v>
      </c>
      <c r="L405" s="150">
        <v>7402.4</v>
      </c>
      <c r="M405" s="150">
        <v>14432.3</v>
      </c>
      <c r="N405" s="150">
        <v>5.1903234610000002</v>
      </c>
      <c r="O405" s="150">
        <v>100</v>
      </c>
      <c r="P405" s="150">
        <v>94.809676538999994</v>
      </c>
      <c r="Q405" s="150">
        <v>20.901009715699999</v>
      </c>
      <c r="R405" s="150">
        <v>100</v>
      </c>
      <c r="S405" s="150">
        <v>79.098990284300001</v>
      </c>
      <c r="T405" s="150" t="s">
        <v>2842</v>
      </c>
      <c r="U405" s="150" t="s">
        <v>2842</v>
      </c>
      <c r="V405" s="150" t="s">
        <v>2842</v>
      </c>
    </row>
    <row r="406" spans="1:22">
      <c r="A406" s="150" t="s">
        <v>2886</v>
      </c>
      <c r="B406" s="150" t="s">
        <v>273</v>
      </c>
      <c r="C406" s="150" t="str">
        <f t="shared" si="12"/>
        <v>2010_Kazakhstan</v>
      </c>
      <c r="D406" s="150">
        <v>4113.4837200000002</v>
      </c>
      <c r="E406" s="150">
        <v>65510.66</v>
      </c>
      <c r="F406" s="150">
        <f t="shared" si="13"/>
        <v>65510660000</v>
      </c>
      <c r="G406" s="150">
        <v>61397.17628</v>
      </c>
      <c r="H406" s="150">
        <v>11308.0417</v>
      </c>
      <c r="I406" s="150">
        <v>44234.8</v>
      </c>
      <c r="J406" s="150">
        <v>32926.758300000001</v>
      </c>
      <c r="K406" s="150">
        <v>-7194.5579799999996</v>
      </c>
      <c r="L406" s="150">
        <v>21275.86</v>
      </c>
      <c r="M406" s="150">
        <v>28470.417979999998</v>
      </c>
      <c r="N406" s="150">
        <v>6.2791059042999997</v>
      </c>
      <c r="O406" s="150">
        <v>100</v>
      </c>
      <c r="P406" s="150">
        <v>93.720894095700004</v>
      </c>
      <c r="Q406" s="150">
        <v>25.563677692700001</v>
      </c>
      <c r="R406" s="150">
        <v>100</v>
      </c>
      <c r="S406" s="150">
        <v>74.436322307300003</v>
      </c>
      <c r="T406" s="150" t="s">
        <v>2842</v>
      </c>
      <c r="U406" s="150" t="s">
        <v>2842</v>
      </c>
      <c r="V406" s="150" t="s">
        <v>2842</v>
      </c>
    </row>
    <row r="407" spans="1:22">
      <c r="A407" s="150" t="s">
        <v>2886</v>
      </c>
      <c r="B407" s="150" t="s">
        <v>2895</v>
      </c>
      <c r="C407" s="150" t="str">
        <f t="shared" si="12"/>
        <v>2010_Kyrgyzstan</v>
      </c>
      <c r="D407" s="150">
        <v>727.79700000000003</v>
      </c>
      <c r="E407" s="150">
        <v>2506.4969999999998</v>
      </c>
      <c r="F407" s="150">
        <f t="shared" si="13"/>
        <v>2506497000</v>
      </c>
      <c r="G407" s="150">
        <v>1778.7</v>
      </c>
      <c r="H407" s="150">
        <v>924.24900000000002</v>
      </c>
      <c r="I407" s="150">
        <v>3905.145</v>
      </c>
      <c r="J407" s="150">
        <v>2980.8960000000002</v>
      </c>
      <c r="K407" s="150">
        <v>-196.452</v>
      </c>
      <c r="L407" s="150">
        <v>-1398.6479999999999</v>
      </c>
      <c r="M407" s="150">
        <v>-1202.1959999999999</v>
      </c>
      <c r="N407" s="150">
        <v>29.0364201513</v>
      </c>
      <c r="O407" s="150">
        <v>100</v>
      </c>
      <c r="P407" s="150">
        <v>70.963579848699993</v>
      </c>
      <c r="Q407" s="150">
        <v>23.667469453799999</v>
      </c>
      <c r="R407" s="150">
        <v>100</v>
      </c>
      <c r="S407" s="150">
        <v>76.332530546200005</v>
      </c>
      <c r="T407" s="150" t="s">
        <v>2842</v>
      </c>
      <c r="U407" s="150" t="s">
        <v>2842</v>
      </c>
      <c r="V407" s="150" t="s">
        <v>2842</v>
      </c>
    </row>
    <row r="408" spans="1:22">
      <c r="A408" s="150" t="s">
        <v>2886</v>
      </c>
      <c r="B408" s="150" t="s">
        <v>294</v>
      </c>
      <c r="C408" s="150" t="str">
        <f t="shared" si="12"/>
        <v>2010_Liberia</v>
      </c>
      <c r="D408" s="150">
        <v>157.99299999999999</v>
      </c>
      <c r="E408" s="150">
        <v>399.20299999999997</v>
      </c>
      <c r="F408" s="150">
        <f t="shared" si="13"/>
        <v>399203000</v>
      </c>
      <c r="G408" s="150">
        <v>241.21</v>
      </c>
      <c r="H408" s="150">
        <v>1078.5899999999999</v>
      </c>
      <c r="I408" s="150">
        <v>1797.6569999999999</v>
      </c>
      <c r="J408" s="150">
        <v>719.06700000000001</v>
      </c>
      <c r="K408" s="150">
        <v>-920.59699999999998</v>
      </c>
      <c r="L408" s="150">
        <v>-1398.454</v>
      </c>
      <c r="M408" s="150">
        <v>-477.85700000000003</v>
      </c>
      <c r="N408" s="150">
        <v>39.577107386500003</v>
      </c>
      <c r="O408" s="150">
        <v>100</v>
      </c>
      <c r="P408" s="150">
        <v>60.422892613499997</v>
      </c>
      <c r="Q408" s="150">
        <v>59.999766362499997</v>
      </c>
      <c r="R408" s="150">
        <v>100</v>
      </c>
      <c r="S408" s="150">
        <v>40.000233637500003</v>
      </c>
      <c r="T408" s="150" t="s">
        <v>2842</v>
      </c>
      <c r="U408" s="150" t="s">
        <v>2842</v>
      </c>
      <c r="V408" s="150" t="s">
        <v>2842</v>
      </c>
    </row>
    <row r="409" spans="1:22">
      <c r="A409" s="150" t="s">
        <v>2886</v>
      </c>
      <c r="B409" s="150" t="s">
        <v>309</v>
      </c>
      <c r="C409" s="150" t="str">
        <f t="shared" si="12"/>
        <v>2010_Madagascar</v>
      </c>
      <c r="D409" s="150">
        <v>1038.94</v>
      </c>
      <c r="E409" s="150">
        <v>2110.1410095199999</v>
      </c>
      <c r="F409" s="150">
        <f t="shared" si="13"/>
        <v>2110141009.52</v>
      </c>
      <c r="G409" s="150">
        <v>1071.2010095200001</v>
      </c>
      <c r="H409" s="150">
        <v>1134.92</v>
      </c>
      <c r="I409" s="150">
        <v>3281.8991491199999</v>
      </c>
      <c r="J409" s="150">
        <v>2146.9791491199999</v>
      </c>
      <c r="K409" s="150">
        <v>-95.98</v>
      </c>
      <c r="L409" s="150">
        <v>-1171.7581396</v>
      </c>
      <c r="M409" s="150">
        <v>-1075.7781396</v>
      </c>
      <c r="N409" s="150">
        <v>49.235572187499997</v>
      </c>
      <c r="O409" s="150">
        <v>100</v>
      </c>
      <c r="P409" s="150">
        <v>50.764427812500003</v>
      </c>
      <c r="Q409" s="150">
        <v>34.581196692299997</v>
      </c>
      <c r="R409" s="150">
        <v>100</v>
      </c>
      <c r="S409" s="150">
        <v>65.418803307700003</v>
      </c>
      <c r="T409" s="150" t="s">
        <v>2842</v>
      </c>
      <c r="U409" s="150" t="s">
        <v>2842</v>
      </c>
      <c r="V409" s="150" t="s">
        <v>2842</v>
      </c>
    </row>
    <row r="410" spans="1:22">
      <c r="A410" s="150" t="s">
        <v>2886</v>
      </c>
      <c r="B410" s="150" t="s">
        <v>322</v>
      </c>
      <c r="C410" s="150" t="str">
        <f t="shared" si="12"/>
        <v>2010_Mali</v>
      </c>
      <c r="D410" s="150">
        <v>380.75695999999999</v>
      </c>
      <c r="E410" s="150">
        <v>2436.3150000000001</v>
      </c>
      <c r="F410" s="150">
        <f t="shared" si="13"/>
        <v>2436315000</v>
      </c>
      <c r="G410" s="150">
        <v>2055.5580399999999</v>
      </c>
      <c r="H410" s="150">
        <v>1014.1228</v>
      </c>
      <c r="I410" s="150">
        <v>3744.8</v>
      </c>
      <c r="J410" s="150">
        <v>2730.6772000000001</v>
      </c>
      <c r="K410" s="150">
        <v>-633.36584000000005</v>
      </c>
      <c r="L410" s="150">
        <v>-1308.4849999999999</v>
      </c>
      <c r="M410" s="150">
        <v>-675.11915999999997</v>
      </c>
      <c r="N410" s="150">
        <v>15.6283961639</v>
      </c>
      <c r="O410" s="150">
        <v>100</v>
      </c>
      <c r="P410" s="150">
        <v>84.371603836099993</v>
      </c>
      <c r="Q410" s="150">
        <v>27.0808267464</v>
      </c>
      <c r="R410" s="150">
        <v>100</v>
      </c>
      <c r="S410" s="150">
        <v>72.919173253599993</v>
      </c>
      <c r="T410" s="150" t="s">
        <v>2842</v>
      </c>
      <c r="U410" s="150" t="s">
        <v>2842</v>
      </c>
      <c r="V410" s="150" t="s">
        <v>2842</v>
      </c>
    </row>
    <row r="411" spans="1:22">
      <c r="A411" s="150" t="s">
        <v>2886</v>
      </c>
      <c r="B411" s="150" t="s">
        <v>338</v>
      </c>
      <c r="C411" s="150" t="str">
        <f t="shared" si="12"/>
        <v>2010_Mauritania</v>
      </c>
      <c r="D411" s="150">
        <v>119</v>
      </c>
      <c r="E411" s="150">
        <v>2201.6202990900001</v>
      </c>
      <c r="F411" s="150">
        <f t="shared" si="13"/>
        <v>2201620299.0900002</v>
      </c>
      <c r="G411" s="150">
        <v>2082.6202990900001</v>
      </c>
      <c r="H411" s="150">
        <v>669.9</v>
      </c>
      <c r="I411" s="150">
        <v>2517.33753505</v>
      </c>
      <c r="J411" s="150">
        <v>1847.43753505</v>
      </c>
      <c r="K411" s="150">
        <v>-550.9</v>
      </c>
      <c r="L411" s="150">
        <v>-315.71723595999998</v>
      </c>
      <c r="M411" s="150">
        <v>235.18276404</v>
      </c>
      <c r="N411" s="150">
        <v>5.4051100478</v>
      </c>
      <c r="O411" s="150">
        <v>100</v>
      </c>
      <c r="P411" s="150">
        <v>94.594889952200006</v>
      </c>
      <c r="Q411" s="150">
        <v>26.6114492265</v>
      </c>
      <c r="R411" s="150">
        <v>100</v>
      </c>
      <c r="S411" s="150">
        <v>73.3885507735</v>
      </c>
      <c r="T411" s="150" t="s">
        <v>2842</v>
      </c>
      <c r="U411" s="150" t="s">
        <v>2842</v>
      </c>
      <c r="V411" s="150" t="s">
        <v>2842</v>
      </c>
    </row>
    <row r="412" spans="1:22">
      <c r="A412" s="150" t="s">
        <v>2886</v>
      </c>
      <c r="B412" s="150" t="s">
        <v>357</v>
      </c>
      <c r="C412" s="150" t="str">
        <f t="shared" si="12"/>
        <v>2010_Mongolia</v>
      </c>
      <c r="D412" s="150">
        <v>486.00599999999997</v>
      </c>
      <c r="E412" s="150">
        <v>3394.5059999999999</v>
      </c>
      <c r="F412" s="150">
        <f t="shared" si="13"/>
        <v>3394506000</v>
      </c>
      <c r="G412" s="150">
        <v>2908.5</v>
      </c>
      <c r="H412" s="150">
        <v>780.49699999999996</v>
      </c>
      <c r="I412" s="150">
        <v>3869.3670000000002</v>
      </c>
      <c r="J412" s="150">
        <v>3088.87</v>
      </c>
      <c r="K412" s="150">
        <v>-294.49099999999999</v>
      </c>
      <c r="L412" s="150">
        <v>-474.86099999999999</v>
      </c>
      <c r="M412" s="150">
        <v>-180.37</v>
      </c>
      <c r="N412" s="150">
        <v>14.3174293992</v>
      </c>
      <c r="O412" s="150">
        <v>100</v>
      </c>
      <c r="P412" s="150">
        <v>85.682570600800005</v>
      </c>
      <c r="Q412" s="150">
        <v>20.1711804541</v>
      </c>
      <c r="R412" s="150">
        <v>100</v>
      </c>
      <c r="S412" s="150">
        <v>79.828819545900004</v>
      </c>
      <c r="T412" s="150" t="s">
        <v>2842</v>
      </c>
      <c r="U412" s="150" t="s">
        <v>2842</v>
      </c>
      <c r="V412" s="150" t="s">
        <v>2842</v>
      </c>
    </row>
    <row r="413" spans="1:22">
      <c r="A413" s="150" t="s">
        <v>2886</v>
      </c>
      <c r="B413" s="150" t="s">
        <v>378</v>
      </c>
      <c r="C413" s="150" t="str">
        <f t="shared" si="12"/>
        <v>2010_Mozambique</v>
      </c>
      <c r="D413" s="150">
        <v>611.08100000000002</v>
      </c>
      <c r="E413" s="150">
        <v>2944.3310000000001</v>
      </c>
      <c r="F413" s="150">
        <f t="shared" si="13"/>
        <v>2944331000</v>
      </c>
      <c r="G413" s="150">
        <v>2333.25</v>
      </c>
      <c r="H413" s="150">
        <v>1238.799</v>
      </c>
      <c r="I413" s="150">
        <v>4751.2290000000003</v>
      </c>
      <c r="J413" s="150">
        <v>3512.43</v>
      </c>
      <c r="K413" s="150">
        <v>-627.71799999999996</v>
      </c>
      <c r="L413" s="150">
        <v>-1806.8979999999999</v>
      </c>
      <c r="M413" s="150">
        <v>-1179.18</v>
      </c>
      <c r="N413" s="150">
        <v>20.754493974999999</v>
      </c>
      <c r="O413" s="150">
        <v>100</v>
      </c>
      <c r="P413" s="150">
        <v>79.245506024999997</v>
      </c>
      <c r="Q413" s="150">
        <v>26.073232841399999</v>
      </c>
      <c r="R413" s="150">
        <v>100</v>
      </c>
      <c r="S413" s="150">
        <v>73.926767158600001</v>
      </c>
      <c r="T413" s="150" t="s">
        <v>2842</v>
      </c>
      <c r="U413" s="150" t="s">
        <v>2842</v>
      </c>
      <c r="V413" s="150" t="s">
        <v>2842</v>
      </c>
    </row>
    <row r="414" spans="1:22">
      <c r="A414" s="150" t="s">
        <v>2886</v>
      </c>
      <c r="B414" s="150" t="s">
        <v>387</v>
      </c>
      <c r="C414" s="150" t="str">
        <f t="shared" si="12"/>
        <v>2010_Niger</v>
      </c>
      <c r="D414" s="150">
        <v>119.032</v>
      </c>
      <c r="E414" s="150">
        <v>1270.1679999999999</v>
      </c>
      <c r="F414" s="150">
        <f t="shared" si="13"/>
        <v>1270168000</v>
      </c>
      <c r="G414" s="150">
        <v>1151.136</v>
      </c>
      <c r="H414" s="150">
        <v>842.92399999999998</v>
      </c>
      <c r="I414" s="150">
        <v>2807.366</v>
      </c>
      <c r="J414" s="150">
        <v>1964.442</v>
      </c>
      <c r="K414" s="150">
        <v>-723.89200000000005</v>
      </c>
      <c r="L414" s="150">
        <v>-1537.1980000000001</v>
      </c>
      <c r="M414" s="150">
        <v>-813.30600000000004</v>
      </c>
      <c r="N414" s="150">
        <v>9.3713587494000006</v>
      </c>
      <c r="O414" s="150">
        <v>100</v>
      </c>
      <c r="P414" s="150">
        <v>90.628641250599998</v>
      </c>
      <c r="Q414" s="150">
        <v>30.025440216900002</v>
      </c>
      <c r="R414" s="150">
        <v>100</v>
      </c>
      <c r="S414" s="150">
        <v>69.974559783100005</v>
      </c>
      <c r="T414" s="150" t="s">
        <v>2842</v>
      </c>
      <c r="U414" s="150" t="s">
        <v>2842</v>
      </c>
      <c r="V414" s="150" t="s">
        <v>2842</v>
      </c>
    </row>
    <row r="415" spans="1:22">
      <c r="A415" s="150" t="s">
        <v>2886</v>
      </c>
      <c r="B415" s="150" t="s">
        <v>406</v>
      </c>
      <c r="C415" s="150" t="str">
        <f t="shared" si="12"/>
        <v>2010_Nigeria</v>
      </c>
      <c r="D415" s="150">
        <v>3091.9380000000001</v>
      </c>
      <c r="E415" s="150">
        <v>80975.024000000005</v>
      </c>
      <c r="F415" s="150">
        <f t="shared" si="13"/>
        <v>80975024000</v>
      </c>
      <c r="G415" s="150">
        <v>77883.085999999996</v>
      </c>
      <c r="H415" s="150">
        <v>21411.481</v>
      </c>
      <c r="I415" s="150">
        <v>67785.513000000006</v>
      </c>
      <c r="J415" s="150">
        <v>46374.031999999999</v>
      </c>
      <c r="K415" s="150">
        <v>-18319.543000000001</v>
      </c>
      <c r="L415" s="150">
        <v>13189.511</v>
      </c>
      <c r="M415" s="150">
        <v>31509.054</v>
      </c>
      <c r="N415" s="150">
        <v>3.8183847899000001</v>
      </c>
      <c r="O415" s="150">
        <v>100</v>
      </c>
      <c r="P415" s="150">
        <v>96.181615210100006</v>
      </c>
      <c r="Q415" s="150">
        <v>31.587104754999999</v>
      </c>
      <c r="R415" s="150">
        <v>100</v>
      </c>
      <c r="S415" s="150">
        <v>68.412895245000001</v>
      </c>
      <c r="T415" s="150" t="s">
        <v>2842</v>
      </c>
      <c r="U415" s="150" t="s">
        <v>2842</v>
      </c>
      <c r="V415" s="150" t="s">
        <v>2842</v>
      </c>
    </row>
    <row r="416" spans="1:22">
      <c r="A416" s="150" t="s">
        <v>2886</v>
      </c>
      <c r="B416" s="150" t="s">
        <v>429</v>
      </c>
      <c r="C416" s="150" t="str">
        <f t="shared" si="12"/>
        <v>2010_Norway</v>
      </c>
      <c r="D416" s="150">
        <v>39721.082331999998</v>
      </c>
      <c r="E416" s="150">
        <v>172106.14989299999</v>
      </c>
      <c r="F416" s="150">
        <f t="shared" si="13"/>
        <v>172106149893</v>
      </c>
      <c r="G416" s="150">
        <v>132385.067561</v>
      </c>
      <c r="H416" s="150">
        <v>42911.323292000001</v>
      </c>
      <c r="I416" s="150">
        <v>117219.17322</v>
      </c>
      <c r="J416" s="150">
        <v>74307.849927999996</v>
      </c>
      <c r="K416" s="150">
        <v>-3190.2409600000001</v>
      </c>
      <c r="L416" s="150">
        <v>54886.976672999997</v>
      </c>
      <c r="M416" s="150">
        <v>58077.217633</v>
      </c>
      <c r="N416" s="150">
        <v>23.079409048799999</v>
      </c>
      <c r="O416" s="150">
        <v>100</v>
      </c>
      <c r="P416" s="150">
        <v>76.920590951199998</v>
      </c>
      <c r="Q416" s="150">
        <v>36.607768262800001</v>
      </c>
      <c r="R416" s="150">
        <v>100</v>
      </c>
      <c r="S416" s="150">
        <v>63.392231737199999</v>
      </c>
      <c r="T416" s="150" t="s">
        <v>2842</v>
      </c>
      <c r="U416" s="150" t="s">
        <v>2842</v>
      </c>
      <c r="V416" s="150" t="s">
        <v>2842</v>
      </c>
    </row>
    <row r="417" spans="1:22">
      <c r="A417" s="150" t="s">
        <v>2886</v>
      </c>
      <c r="B417" s="150" t="s">
        <v>442</v>
      </c>
      <c r="C417" s="150" t="str">
        <f t="shared" si="12"/>
        <v>2010_Peru</v>
      </c>
      <c r="D417" s="150">
        <v>3692.748</v>
      </c>
      <c r="E417" s="150">
        <v>39257.548000000003</v>
      </c>
      <c r="F417" s="150">
        <f t="shared" si="13"/>
        <v>39257548000</v>
      </c>
      <c r="G417" s="150">
        <v>35564.800000000003</v>
      </c>
      <c r="H417" s="150">
        <v>6038.232</v>
      </c>
      <c r="I417" s="150">
        <v>34853.531999999999</v>
      </c>
      <c r="J417" s="150">
        <v>28815.3</v>
      </c>
      <c r="K417" s="150">
        <v>-2345.4839999999999</v>
      </c>
      <c r="L417" s="150">
        <v>4404.0159999999996</v>
      </c>
      <c r="M417" s="150">
        <v>6749.5</v>
      </c>
      <c r="N417" s="150">
        <v>9.4064662419000005</v>
      </c>
      <c r="O417" s="150">
        <v>100</v>
      </c>
      <c r="P417" s="150">
        <v>90.593533758099994</v>
      </c>
      <c r="Q417" s="150">
        <v>17.324591378600001</v>
      </c>
      <c r="R417" s="150">
        <v>100</v>
      </c>
      <c r="S417" s="150">
        <v>82.675408621399995</v>
      </c>
      <c r="T417" s="150" t="s">
        <v>2842</v>
      </c>
      <c r="U417" s="150" t="s">
        <v>2842</v>
      </c>
      <c r="V417" s="150" t="s">
        <v>2842</v>
      </c>
    </row>
    <row r="418" spans="1:22">
      <c r="A418" s="150" t="s">
        <v>2886</v>
      </c>
      <c r="B418" s="150" t="s">
        <v>481</v>
      </c>
      <c r="C418" s="150" t="str">
        <f t="shared" si="12"/>
        <v>2010_Sierra Leone</v>
      </c>
      <c r="D418" s="150">
        <v>60.029000000000003</v>
      </c>
      <c r="E418" s="150">
        <v>422.91</v>
      </c>
      <c r="F418" s="150">
        <f t="shared" si="13"/>
        <v>422910000</v>
      </c>
      <c r="G418" s="150">
        <v>362.88099999999997</v>
      </c>
      <c r="H418" s="150">
        <v>257.67599999999999</v>
      </c>
      <c r="I418" s="150">
        <v>1138.4259999999999</v>
      </c>
      <c r="J418" s="150">
        <v>880.75</v>
      </c>
      <c r="K418" s="150">
        <v>-197.64699999999999</v>
      </c>
      <c r="L418" s="150">
        <v>-715.51599999999996</v>
      </c>
      <c r="M418" s="150">
        <v>-517.86900000000003</v>
      </c>
      <c r="N418" s="150">
        <v>14.1942730132</v>
      </c>
      <c r="O418" s="150">
        <v>100</v>
      </c>
      <c r="P418" s="150">
        <v>85.805726986799996</v>
      </c>
      <c r="Q418" s="150">
        <v>22.6344092633</v>
      </c>
      <c r="R418" s="150">
        <v>100</v>
      </c>
      <c r="S418" s="150">
        <v>77.3655907367</v>
      </c>
      <c r="T418" s="150" t="s">
        <v>2842</v>
      </c>
      <c r="U418" s="150" t="s">
        <v>2842</v>
      </c>
      <c r="V418" s="150" t="s">
        <v>2842</v>
      </c>
    </row>
    <row r="419" spans="1:22">
      <c r="A419" s="150" t="s">
        <v>2886</v>
      </c>
      <c r="B419" s="150" t="s">
        <v>2844</v>
      </c>
      <c r="C419" s="150" t="str">
        <f t="shared" si="12"/>
        <v>2010_Timor-Leste</v>
      </c>
      <c r="D419" s="150">
        <v>74.64</v>
      </c>
      <c r="E419" s="150">
        <v>103.42</v>
      </c>
      <c r="F419" s="150">
        <f t="shared" si="13"/>
        <v>103420000</v>
      </c>
      <c r="G419" s="150">
        <v>28.78</v>
      </c>
      <c r="H419" s="150">
        <v>1036.4849999999999</v>
      </c>
      <c r="I419" s="150">
        <v>1342.7439999999999</v>
      </c>
      <c r="J419" s="150">
        <v>306.25900000000001</v>
      </c>
      <c r="K419" s="150">
        <v>-961.84500000000003</v>
      </c>
      <c r="L419" s="150">
        <v>-1239.3240000000001</v>
      </c>
      <c r="M419" s="150">
        <v>-277.47899999999998</v>
      </c>
      <c r="N419" s="150">
        <v>72.171726938700004</v>
      </c>
      <c r="O419" s="150">
        <v>100</v>
      </c>
      <c r="P419" s="150">
        <v>27.828273061299999</v>
      </c>
      <c r="Q419" s="150">
        <v>77.191556990799995</v>
      </c>
      <c r="R419" s="150">
        <v>100</v>
      </c>
      <c r="S419" s="150">
        <v>22.808443009200001</v>
      </c>
      <c r="T419" s="150" t="s">
        <v>2842</v>
      </c>
      <c r="U419" s="150" t="s">
        <v>2842</v>
      </c>
      <c r="V419" s="150" t="s">
        <v>2842</v>
      </c>
    </row>
    <row r="420" spans="1:22">
      <c r="A420" s="150" t="s">
        <v>2886</v>
      </c>
      <c r="B420" s="150" t="s">
        <v>510</v>
      </c>
      <c r="C420" s="150" t="str">
        <f t="shared" si="12"/>
        <v>2010_Togo</v>
      </c>
      <c r="D420" s="150">
        <v>320.21899999999999</v>
      </c>
      <c r="E420" s="150">
        <v>1296.3800000000001</v>
      </c>
      <c r="F420" s="150">
        <f t="shared" si="13"/>
        <v>1296380000</v>
      </c>
      <c r="G420" s="150">
        <v>976.16099999999994</v>
      </c>
      <c r="H420" s="150">
        <v>397.93099999999998</v>
      </c>
      <c r="I420" s="150">
        <v>1828.356</v>
      </c>
      <c r="J420" s="150">
        <v>1430.425</v>
      </c>
      <c r="K420" s="150">
        <v>-77.712000000000003</v>
      </c>
      <c r="L420" s="150">
        <v>-531.976</v>
      </c>
      <c r="M420" s="150">
        <v>-454.26400000000001</v>
      </c>
      <c r="N420" s="150">
        <v>24.701013591700001</v>
      </c>
      <c r="O420" s="150">
        <v>100</v>
      </c>
      <c r="P420" s="150">
        <v>75.298986408299996</v>
      </c>
      <c r="Q420" s="150">
        <v>21.764415682700001</v>
      </c>
      <c r="R420" s="150">
        <v>100</v>
      </c>
      <c r="S420" s="150">
        <v>78.235584317299995</v>
      </c>
      <c r="T420" s="150" t="s">
        <v>2842</v>
      </c>
      <c r="U420" s="150" t="s">
        <v>2842</v>
      </c>
      <c r="V420" s="150" t="s">
        <v>2842</v>
      </c>
    </row>
    <row r="421" spans="1:22">
      <c r="A421" s="150" t="s">
        <v>2886</v>
      </c>
      <c r="B421" s="150" t="s">
        <v>2845</v>
      </c>
      <c r="C421" s="150" t="str">
        <f t="shared" si="12"/>
        <v>2010_Trinidad and Tobago</v>
      </c>
      <c r="D421" s="150">
        <v>874.2</v>
      </c>
      <c r="E421" s="150">
        <v>12113.1</v>
      </c>
      <c r="F421" s="150">
        <f t="shared" si="13"/>
        <v>12113100000</v>
      </c>
      <c r="G421" s="150">
        <v>11238.9</v>
      </c>
      <c r="H421" s="150">
        <v>386.6</v>
      </c>
      <c r="I421" s="150">
        <v>6890.1</v>
      </c>
      <c r="J421" s="150">
        <v>6503.5</v>
      </c>
      <c r="K421" s="150">
        <v>487.6</v>
      </c>
      <c r="L421" s="150">
        <v>5223</v>
      </c>
      <c r="M421" s="150">
        <v>4735.3999999999996</v>
      </c>
      <c r="N421" s="150">
        <v>7.2169799638000001</v>
      </c>
      <c r="O421" s="150">
        <v>100</v>
      </c>
      <c r="P421" s="150">
        <v>92.7830200362</v>
      </c>
      <c r="Q421" s="150">
        <v>5.6109490427999997</v>
      </c>
      <c r="R421" s="150">
        <v>100</v>
      </c>
      <c r="S421" s="150">
        <v>94.389050957199998</v>
      </c>
      <c r="T421" s="150" t="s">
        <v>2842</v>
      </c>
      <c r="U421" s="150" t="s">
        <v>2842</v>
      </c>
      <c r="V421" s="150" t="s">
        <v>2842</v>
      </c>
    </row>
    <row r="422" spans="1:22">
      <c r="A422" s="150" t="s">
        <v>2886</v>
      </c>
      <c r="B422" s="150" t="s">
        <v>492</v>
      </c>
      <c r="C422" s="150" t="str">
        <f t="shared" si="12"/>
        <v>2010_Tanzania</v>
      </c>
      <c r="D422" s="150">
        <v>2045.7470000000001</v>
      </c>
      <c r="E422" s="150">
        <v>6370.027</v>
      </c>
      <c r="F422" s="150">
        <f t="shared" si="13"/>
        <v>6370027000</v>
      </c>
      <c r="G422" s="150">
        <v>4324.28</v>
      </c>
      <c r="H422" s="150">
        <v>1888.875</v>
      </c>
      <c r="I422" s="150">
        <v>9054.393</v>
      </c>
      <c r="J422" s="150">
        <v>7165.518</v>
      </c>
      <c r="K422" s="150">
        <v>156.87200000000001</v>
      </c>
      <c r="L422" s="150">
        <v>-2684.366</v>
      </c>
      <c r="M422" s="150">
        <v>-2841.2379999999998</v>
      </c>
      <c r="N422" s="150">
        <v>32.115201395500002</v>
      </c>
      <c r="O422" s="150">
        <v>100</v>
      </c>
      <c r="P422" s="150">
        <v>67.884798604500006</v>
      </c>
      <c r="Q422" s="150">
        <v>20.861420528099998</v>
      </c>
      <c r="R422" s="150">
        <v>100</v>
      </c>
      <c r="S422" s="150">
        <v>79.138579471900002</v>
      </c>
      <c r="T422" s="150" t="s">
        <v>2842</v>
      </c>
      <c r="U422" s="150" t="s">
        <v>2842</v>
      </c>
      <c r="V422" s="150" t="s">
        <v>2842</v>
      </c>
    </row>
    <row r="423" spans="1:22">
      <c r="A423" s="150" t="s">
        <v>2886</v>
      </c>
      <c r="B423" s="150" t="s">
        <v>522</v>
      </c>
      <c r="C423" s="150" t="str">
        <f t="shared" si="12"/>
        <v>2010_Yemen</v>
      </c>
      <c r="D423" s="150">
        <v>1611.7</v>
      </c>
      <c r="E423" s="150">
        <v>9261.4699999999993</v>
      </c>
      <c r="F423" s="150">
        <f t="shared" si="13"/>
        <v>9261470000</v>
      </c>
      <c r="G423" s="150">
        <v>7649.77</v>
      </c>
      <c r="H423" s="150">
        <v>2348.5</v>
      </c>
      <c r="I423" s="150">
        <v>11048.98</v>
      </c>
      <c r="J423" s="150">
        <v>8700.48</v>
      </c>
      <c r="K423" s="150">
        <v>-736.8</v>
      </c>
      <c r="L423" s="150">
        <v>-1787.51</v>
      </c>
      <c r="M423" s="150">
        <v>-1050.71</v>
      </c>
      <c r="N423" s="150">
        <v>17.402205049500001</v>
      </c>
      <c r="O423" s="150">
        <v>100</v>
      </c>
      <c r="P423" s="150">
        <v>82.597794950500003</v>
      </c>
      <c r="Q423" s="150">
        <v>21.255355697999999</v>
      </c>
      <c r="R423" s="150">
        <v>100</v>
      </c>
      <c r="S423" s="150">
        <v>78.744644301999998</v>
      </c>
      <c r="T423" s="150" t="s">
        <v>2842</v>
      </c>
      <c r="U423" s="150" t="s">
        <v>2842</v>
      </c>
      <c r="V423" s="150" t="s">
        <v>2842</v>
      </c>
    </row>
    <row r="424" spans="1:22">
      <c r="A424" s="150" t="s">
        <v>2886</v>
      </c>
      <c r="B424" s="150" t="s">
        <v>534</v>
      </c>
      <c r="C424" s="150" t="str">
        <f t="shared" si="12"/>
        <v>2010_Zambia</v>
      </c>
      <c r="D424" s="150">
        <v>310.89999999999998</v>
      </c>
      <c r="E424" s="150">
        <v>7724.5</v>
      </c>
      <c r="F424" s="150">
        <f t="shared" si="13"/>
        <v>7724500000</v>
      </c>
      <c r="G424" s="150">
        <v>7413.6</v>
      </c>
      <c r="H424" s="150">
        <v>877.79499999999996</v>
      </c>
      <c r="I424" s="150">
        <v>5587.6850000000004</v>
      </c>
      <c r="J424" s="150">
        <v>4709.8900000000003</v>
      </c>
      <c r="K424" s="150">
        <v>-566.89499999999998</v>
      </c>
      <c r="L424" s="150">
        <v>2136.8150000000001</v>
      </c>
      <c r="M424" s="150">
        <v>2703.71</v>
      </c>
      <c r="N424" s="150">
        <v>4.0248559776999997</v>
      </c>
      <c r="O424" s="150">
        <v>100</v>
      </c>
      <c r="P424" s="150">
        <v>95.9751440223</v>
      </c>
      <c r="Q424" s="150">
        <v>15.709457494500001</v>
      </c>
      <c r="R424" s="150">
        <v>100</v>
      </c>
      <c r="S424" s="150">
        <v>84.290542505499999</v>
      </c>
      <c r="T424" s="150" t="s">
        <v>2842</v>
      </c>
      <c r="U424" s="150" t="s">
        <v>2842</v>
      </c>
      <c r="V424" s="150" t="s">
        <v>2842</v>
      </c>
    </row>
    <row r="425" spans="1:22">
      <c r="A425" s="150" t="s">
        <v>2887</v>
      </c>
      <c r="B425" s="150" t="s">
        <v>16</v>
      </c>
      <c r="C425" s="150" t="str">
        <f t="shared" si="12"/>
        <v>2011_Afghanistan</v>
      </c>
      <c r="D425" s="150">
        <v>3475.7759999999998</v>
      </c>
      <c r="E425" s="150">
        <v>6315.7759999999998</v>
      </c>
      <c r="F425" s="150">
        <f t="shared" si="13"/>
        <v>6315776000</v>
      </c>
      <c r="G425" s="150">
        <v>2840</v>
      </c>
      <c r="H425" s="150">
        <v>1288.0440000000001</v>
      </c>
      <c r="I425" s="150">
        <v>11487.044</v>
      </c>
      <c r="J425" s="150">
        <v>10199</v>
      </c>
      <c r="K425" s="150">
        <v>2187.732</v>
      </c>
      <c r="L425" s="150">
        <v>-5171.268</v>
      </c>
      <c r="M425" s="150">
        <v>-7359</v>
      </c>
      <c r="N425" s="150">
        <v>55.033237404200001</v>
      </c>
      <c r="O425" s="150">
        <v>100</v>
      </c>
      <c r="P425" s="150">
        <v>44.966762595799999</v>
      </c>
      <c r="Q425" s="150">
        <v>11.213015289199999</v>
      </c>
      <c r="R425" s="150">
        <v>100</v>
      </c>
      <c r="S425" s="150">
        <v>88.786984710799999</v>
      </c>
      <c r="T425" s="150" t="s">
        <v>2842</v>
      </c>
      <c r="U425" s="150" t="s">
        <v>2842</v>
      </c>
      <c r="V425" s="150" t="s">
        <v>2842</v>
      </c>
    </row>
    <row r="426" spans="1:22">
      <c r="A426" s="150" t="s">
        <v>2887</v>
      </c>
      <c r="B426" s="150" t="s">
        <v>33</v>
      </c>
      <c r="C426" s="150" t="str">
        <f t="shared" si="12"/>
        <v>2011_Albania</v>
      </c>
      <c r="D426" s="150">
        <v>2436.9699999999998</v>
      </c>
      <c r="E426" s="150">
        <v>4391.29</v>
      </c>
      <c r="F426" s="150">
        <f t="shared" si="13"/>
        <v>4391290000</v>
      </c>
      <c r="G426" s="150">
        <v>1954.32</v>
      </c>
      <c r="H426" s="150">
        <v>2248.3589999999999</v>
      </c>
      <c r="I426" s="150">
        <v>7323.8689999999997</v>
      </c>
      <c r="J426" s="150">
        <v>5075.51</v>
      </c>
      <c r="K426" s="150">
        <v>188.61099999999999</v>
      </c>
      <c r="L426" s="150">
        <v>-2932.5790000000002</v>
      </c>
      <c r="M426" s="150">
        <v>-3121.19</v>
      </c>
      <c r="N426" s="150">
        <v>55.495537757699999</v>
      </c>
      <c r="O426" s="150">
        <v>100</v>
      </c>
      <c r="P426" s="150">
        <v>44.504462242300001</v>
      </c>
      <c r="Q426" s="150">
        <v>30.699060837899999</v>
      </c>
      <c r="R426" s="150">
        <v>100</v>
      </c>
      <c r="S426" s="150">
        <v>69.300939162099993</v>
      </c>
      <c r="T426" s="150" t="s">
        <v>2842</v>
      </c>
      <c r="U426" s="150" t="s">
        <v>2842</v>
      </c>
      <c r="V426" s="150" t="s">
        <v>2842</v>
      </c>
    </row>
    <row r="427" spans="1:22">
      <c r="A427" s="150" t="s">
        <v>2887</v>
      </c>
      <c r="B427" s="150" t="s">
        <v>48</v>
      </c>
      <c r="C427" s="150" t="str">
        <f t="shared" si="12"/>
        <v>2011_Azerbaijan</v>
      </c>
      <c r="D427" s="150">
        <v>2731.6889999999999</v>
      </c>
      <c r="E427" s="150">
        <v>37226.525999999998</v>
      </c>
      <c r="F427" s="150">
        <f t="shared" si="13"/>
        <v>37226526000</v>
      </c>
      <c r="G427" s="150">
        <v>34494.837</v>
      </c>
      <c r="H427" s="150">
        <v>5728.6559999999999</v>
      </c>
      <c r="I427" s="150">
        <v>15895.126</v>
      </c>
      <c r="J427" s="150">
        <v>10166.469999999999</v>
      </c>
      <c r="K427" s="150">
        <v>-2996.9670000000001</v>
      </c>
      <c r="L427" s="150">
        <v>21331.4</v>
      </c>
      <c r="M427" s="150">
        <v>24328.366999999998</v>
      </c>
      <c r="N427" s="150">
        <v>7.3380175201000002</v>
      </c>
      <c r="O427" s="150">
        <v>100</v>
      </c>
      <c r="P427" s="150">
        <v>92.661982479900004</v>
      </c>
      <c r="Q427" s="150">
        <v>36.040330853599997</v>
      </c>
      <c r="R427" s="150">
        <v>100</v>
      </c>
      <c r="S427" s="150">
        <v>63.959669146400003</v>
      </c>
      <c r="T427" s="150" t="s">
        <v>2842</v>
      </c>
      <c r="U427" s="150" t="s">
        <v>2842</v>
      </c>
      <c r="V427" s="150" t="s">
        <v>2842</v>
      </c>
    </row>
    <row r="428" spans="1:22">
      <c r="A428" s="150" t="s">
        <v>2887</v>
      </c>
      <c r="B428" s="150" t="s">
        <v>93</v>
      </c>
      <c r="C428" s="150" t="str">
        <f t="shared" si="12"/>
        <v>2011_Burkina Faso</v>
      </c>
      <c r="D428" s="150">
        <v>419.66634599999998</v>
      </c>
      <c r="E428" s="150">
        <v>2814.5706599999999</v>
      </c>
      <c r="F428" s="150">
        <f t="shared" si="13"/>
        <v>2814570660</v>
      </c>
      <c r="G428" s="150">
        <v>2394.9043139999999</v>
      </c>
      <c r="H428" s="150">
        <v>1131.2947859999999</v>
      </c>
      <c r="I428" s="150">
        <v>3511.5976059999998</v>
      </c>
      <c r="J428" s="150">
        <v>2380.3028199999999</v>
      </c>
      <c r="K428" s="150">
        <v>-711.62843999999996</v>
      </c>
      <c r="L428" s="150">
        <v>-697.02694599999995</v>
      </c>
      <c r="M428" s="150">
        <v>14.601494000000001</v>
      </c>
      <c r="N428" s="150">
        <v>14.9104924586</v>
      </c>
      <c r="O428" s="150">
        <v>100</v>
      </c>
      <c r="P428" s="150">
        <v>85.089507541399996</v>
      </c>
      <c r="Q428" s="150">
        <v>32.215957320000001</v>
      </c>
      <c r="R428" s="150">
        <v>100</v>
      </c>
      <c r="S428" s="150">
        <v>67.784042679999999</v>
      </c>
      <c r="T428" s="150" t="s">
        <v>2842</v>
      </c>
      <c r="U428" s="150" t="s">
        <v>2842</v>
      </c>
      <c r="V428" s="150" t="s">
        <v>2842</v>
      </c>
    </row>
    <row r="429" spans="1:22">
      <c r="A429" s="150" t="s">
        <v>2887</v>
      </c>
      <c r="B429" s="150" t="s">
        <v>2890</v>
      </c>
      <c r="C429" s="150" t="str">
        <f t="shared" si="12"/>
        <v>2011_ Cameroon</v>
      </c>
      <c r="D429" s="150">
        <v>1858.086</v>
      </c>
      <c r="E429" s="150">
        <v>7510.9989999999998</v>
      </c>
      <c r="F429" s="150">
        <f t="shared" si="13"/>
        <v>7510999000</v>
      </c>
      <c r="G429" s="150">
        <v>5652.9129999999996</v>
      </c>
      <c r="H429" s="150">
        <v>1981.615</v>
      </c>
      <c r="I429" s="150">
        <v>8214.0990000000002</v>
      </c>
      <c r="J429" s="150">
        <v>6232.4840000000004</v>
      </c>
      <c r="K429" s="150">
        <v>-123.529</v>
      </c>
      <c r="L429" s="150">
        <v>-703.1</v>
      </c>
      <c r="M429" s="150">
        <v>-579.57100000000003</v>
      </c>
      <c r="N429" s="150">
        <v>24.738200604199999</v>
      </c>
      <c r="O429" s="150">
        <v>100</v>
      </c>
      <c r="P429" s="150">
        <v>75.261799395799997</v>
      </c>
      <c r="Q429" s="150">
        <v>24.124557057299999</v>
      </c>
      <c r="R429" s="150">
        <v>100</v>
      </c>
      <c r="S429" s="150">
        <v>75.875442942700005</v>
      </c>
      <c r="T429" s="150" t="s">
        <v>2842</v>
      </c>
      <c r="U429" s="150" t="s">
        <v>2842</v>
      </c>
      <c r="V429" s="150" t="s">
        <v>2842</v>
      </c>
    </row>
    <row r="430" spans="1:22">
      <c r="A430" s="150" t="s">
        <v>2887</v>
      </c>
      <c r="B430" s="150" t="s">
        <v>122</v>
      </c>
      <c r="C430" s="150" t="str">
        <f t="shared" si="12"/>
        <v>2011_Central African Republic</v>
      </c>
      <c r="D430" s="150">
        <v>73.961675560000003</v>
      </c>
      <c r="E430" s="150">
        <v>265.32956389999998</v>
      </c>
      <c r="F430" s="150">
        <f t="shared" si="13"/>
        <v>265329563.89999998</v>
      </c>
      <c r="G430" s="150">
        <v>191.36788834000001</v>
      </c>
      <c r="H430" s="150">
        <v>186.06977404</v>
      </c>
      <c r="I430" s="150">
        <v>491.87693115000002</v>
      </c>
      <c r="J430" s="150">
        <v>305.80715710999999</v>
      </c>
      <c r="K430" s="150">
        <v>-112.10809848</v>
      </c>
      <c r="L430" s="150">
        <v>-226.54736725000001</v>
      </c>
      <c r="M430" s="150">
        <v>-114.43926877</v>
      </c>
      <c r="N430" s="150">
        <v>27.875399360999999</v>
      </c>
      <c r="O430" s="150">
        <v>100</v>
      </c>
      <c r="P430" s="150">
        <v>72.124600638999993</v>
      </c>
      <c r="Q430" s="150">
        <v>37.828522188500003</v>
      </c>
      <c r="R430" s="150">
        <v>100</v>
      </c>
      <c r="S430" s="150">
        <v>62.171477811499997</v>
      </c>
      <c r="T430" s="150" t="s">
        <v>2842</v>
      </c>
      <c r="U430" s="150" t="s">
        <v>2842</v>
      </c>
      <c r="V430" s="150" t="s">
        <v>2842</v>
      </c>
    </row>
    <row r="431" spans="1:22">
      <c r="A431" s="150" t="s">
        <v>2887</v>
      </c>
      <c r="B431" s="150" t="s">
        <v>2891</v>
      </c>
      <c r="C431" s="150" t="str">
        <f t="shared" si="12"/>
        <v>2011_ Chad</v>
      </c>
      <c r="D431" s="150">
        <v>419.99972200000002</v>
      </c>
      <c r="E431" s="150">
        <v>4887.2973380000003</v>
      </c>
      <c r="F431" s="150">
        <f t="shared" si="13"/>
        <v>4887297338</v>
      </c>
      <c r="G431" s="150">
        <v>4467.2976159999998</v>
      </c>
      <c r="H431" s="150">
        <v>2374.7497309999999</v>
      </c>
      <c r="I431" s="150">
        <v>5059.6134840000004</v>
      </c>
      <c r="J431" s="150">
        <v>2684.8637530000001</v>
      </c>
      <c r="K431" s="150">
        <v>-1954.7500090000001</v>
      </c>
      <c r="L431" s="150">
        <v>-172.316146</v>
      </c>
      <c r="M431" s="150">
        <v>1782.433863</v>
      </c>
      <c r="N431" s="150">
        <v>8.5937010367000006</v>
      </c>
      <c r="O431" s="150">
        <v>100</v>
      </c>
      <c r="P431" s="150">
        <v>91.406298963300003</v>
      </c>
      <c r="Q431" s="150">
        <v>46.935398099300002</v>
      </c>
      <c r="R431" s="150">
        <v>100</v>
      </c>
      <c r="S431" s="150">
        <v>53.064601900699998</v>
      </c>
      <c r="T431" s="150" t="s">
        <v>2842</v>
      </c>
      <c r="U431" s="150" t="s">
        <v>2842</v>
      </c>
      <c r="V431" s="150" t="s">
        <v>2842</v>
      </c>
    </row>
    <row r="432" spans="1:22">
      <c r="A432" s="150" t="s">
        <v>2887</v>
      </c>
      <c r="B432" s="150" t="s">
        <v>458</v>
      </c>
      <c r="C432" s="150" t="str">
        <f t="shared" si="12"/>
        <v>2011_Republic of the Congo</v>
      </c>
      <c r="D432" s="150">
        <v>473.43949341000001</v>
      </c>
      <c r="E432" s="150">
        <v>12052.99809691</v>
      </c>
      <c r="F432" s="150">
        <f t="shared" si="13"/>
        <v>12052998096.91</v>
      </c>
      <c r="G432" s="150">
        <v>11579.5586035</v>
      </c>
      <c r="H432" s="150">
        <v>5460.4485171599999</v>
      </c>
      <c r="I432" s="150">
        <v>10703.88627279</v>
      </c>
      <c r="J432" s="150">
        <v>5243.4377556299996</v>
      </c>
      <c r="K432" s="150">
        <v>-4987.0090237499999</v>
      </c>
      <c r="L432" s="150">
        <v>1349.1118241199999</v>
      </c>
      <c r="M432" s="150">
        <v>6336.12084787</v>
      </c>
      <c r="N432" s="150">
        <v>3.9279811513</v>
      </c>
      <c r="O432" s="150">
        <v>100</v>
      </c>
      <c r="P432" s="150">
        <v>96.072018848699997</v>
      </c>
      <c r="Q432" s="150">
        <v>51.013700799900001</v>
      </c>
      <c r="R432" s="150">
        <v>100</v>
      </c>
      <c r="S432" s="150">
        <v>48.986299200099999</v>
      </c>
      <c r="T432" s="150" t="s">
        <v>2842</v>
      </c>
      <c r="U432" s="150" t="s">
        <v>2842</v>
      </c>
      <c r="V432" s="150" t="s">
        <v>2842</v>
      </c>
    </row>
    <row r="433" spans="1:22">
      <c r="A433" s="150" t="s">
        <v>2887</v>
      </c>
      <c r="B433" s="150" t="s">
        <v>165</v>
      </c>
      <c r="C433" s="150" t="str">
        <f t="shared" si="12"/>
        <v>2011_Democratic Republic of Congo</v>
      </c>
      <c r="D433" s="150">
        <v>739.36099999999999</v>
      </c>
      <c r="E433" s="150">
        <v>10211.288</v>
      </c>
      <c r="F433" s="150">
        <f t="shared" si="13"/>
        <v>10211288000</v>
      </c>
      <c r="G433" s="150">
        <v>9471.9269999999997</v>
      </c>
      <c r="H433" s="150">
        <v>2889.3020000000001</v>
      </c>
      <c r="I433" s="150">
        <v>11804.884</v>
      </c>
      <c r="J433" s="150">
        <v>8915.5820000000003</v>
      </c>
      <c r="K433" s="150">
        <v>-2149.9409999999998</v>
      </c>
      <c r="L433" s="150">
        <v>-1593.596</v>
      </c>
      <c r="M433" s="150">
        <v>556.34500000000003</v>
      </c>
      <c r="N433" s="150">
        <v>7.2406242973000001</v>
      </c>
      <c r="O433" s="150">
        <v>100</v>
      </c>
      <c r="P433" s="150">
        <v>92.759375702699998</v>
      </c>
      <c r="Q433" s="150">
        <v>24.475479809900001</v>
      </c>
      <c r="R433" s="150">
        <v>100</v>
      </c>
      <c r="S433" s="150">
        <v>75.524520190100006</v>
      </c>
      <c r="T433" s="150" t="s">
        <v>2842</v>
      </c>
      <c r="U433" s="150" t="s">
        <v>2842</v>
      </c>
      <c r="V433" s="150" t="s">
        <v>2842</v>
      </c>
    </row>
    <row r="434" spans="1:22">
      <c r="A434" s="150" t="s">
        <v>2887</v>
      </c>
      <c r="B434" s="150" t="s">
        <v>2892</v>
      </c>
      <c r="C434" s="150" t="str">
        <f t="shared" si="12"/>
        <v>2011_ Equatorial Guinea</v>
      </c>
      <c r="D434" s="150">
        <v>57.139741999999998</v>
      </c>
      <c r="E434" s="150">
        <v>15404.712918220001</v>
      </c>
      <c r="F434" s="150">
        <f t="shared" si="13"/>
        <v>15404712918.220001</v>
      </c>
      <c r="G434" s="150">
        <v>15347.573176219999</v>
      </c>
      <c r="H434" s="150">
        <v>2612.3941966500001</v>
      </c>
      <c r="I434" s="150">
        <v>8480.3736653899996</v>
      </c>
      <c r="J434" s="150">
        <v>5867.9794687399999</v>
      </c>
      <c r="K434" s="150">
        <v>-2555.2544546499998</v>
      </c>
      <c r="L434" s="150">
        <v>6924.3392528300001</v>
      </c>
      <c r="M434" s="150">
        <v>9479.5937074800004</v>
      </c>
      <c r="N434" s="150">
        <v>0.37092377059999998</v>
      </c>
      <c r="O434" s="150">
        <v>100</v>
      </c>
      <c r="P434" s="150">
        <v>99.629076229399999</v>
      </c>
      <c r="Q434" s="150">
        <v>30.805177928799999</v>
      </c>
      <c r="R434" s="150">
        <v>100</v>
      </c>
      <c r="S434" s="150">
        <v>69.194822071199994</v>
      </c>
      <c r="T434" s="150" t="s">
        <v>2842</v>
      </c>
      <c r="U434" s="150" t="s">
        <v>2842</v>
      </c>
      <c r="V434" s="150" t="s">
        <v>2842</v>
      </c>
    </row>
    <row r="435" spans="1:22">
      <c r="A435" s="150" t="s">
        <v>2887</v>
      </c>
      <c r="B435" s="150" t="s">
        <v>2893</v>
      </c>
      <c r="C435" s="150" t="str">
        <f t="shared" si="12"/>
        <v>2011_ Gabon</v>
      </c>
      <c r="D435" s="150" t="s">
        <v>561</v>
      </c>
      <c r="E435" s="150" t="s">
        <v>2842</v>
      </c>
      <c r="F435" s="150" t="str">
        <f t="shared" si="13"/>
        <v>..</v>
      </c>
      <c r="G435" s="150">
        <v>9893.0628610599997</v>
      </c>
      <c r="H435" s="150" t="s">
        <v>561</v>
      </c>
      <c r="I435" s="150" t="s">
        <v>561</v>
      </c>
      <c r="J435" s="150">
        <v>2891.7107822900002</v>
      </c>
      <c r="K435" s="150" t="s">
        <v>561</v>
      </c>
      <c r="L435" s="150" t="s">
        <v>561</v>
      </c>
      <c r="M435" s="150">
        <v>7001.3520787699999</v>
      </c>
      <c r="N435" s="150" t="s">
        <v>561</v>
      </c>
      <c r="O435" s="150" t="s">
        <v>561</v>
      </c>
      <c r="P435" s="150">
        <v>98.129151601900006</v>
      </c>
      <c r="Q435" s="150" t="s">
        <v>561</v>
      </c>
      <c r="R435" s="150" t="s">
        <v>561</v>
      </c>
      <c r="S435" s="150">
        <v>53.317442950900002</v>
      </c>
      <c r="T435" s="150" t="s">
        <v>2842</v>
      </c>
      <c r="U435" s="150" t="s">
        <v>2842</v>
      </c>
      <c r="V435" s="150" t="s">
        <v>2842</v>
      </c>
    </row>
    <row r="436" spans="1:22">
      <c r="A436" s="150" t="s">
        <v>2887</v>
      </c>
      <c r="B436" s="150" t="s">
        <v>189</v>
      </c>
      <c r="C436" s="150" t="str">
        <f t="shared" si="12"/>
        <v>2011_Ghana</v>
      </c>
      <c r="D436" s="150">
        <v>1871.12</v>
      </c>
      <c r="E436" s="150">
        <v>14656.53</v>
      </c>
      <c r="F436" s="150">
        <f t="shared" si="13"/>
        <v>14656530000</v>
      </c>
      <c r="G436" s="150">
        <v>12785.41</v>
      </c>
      <c r="H436" s="150">
        <v>3666.55</v>
      </c>
      <c r="I436" s="150">
        <v>19509.21</v>
      </c>
      <c r="J436" s="150">
        <v>15842.66</v>
      </c>
      <c r="K436" s="150">
        <v>-1795.43</v>
      </c>
      <c r="L436" s="150">
        <v>-4852.68</v>
      </c>
      <c r="M436" s="150">
        <v>-3057.25</v>
      </c>
      <c r="N436" s="150">
        <v>12.766459728199999</v>
      </c>
      <c r="O436" s="150">
        <v>100</v>
      </c>
      <c r="P436" s="150">
        <v>87.233540271799995</v>
      </c>
      <c r="Q436" s="150">
        <v>18.793943988500001</v>
      </c>
      <c r="R436" s="150">
        <v>100</v>
      </c>
      <c r="S436" s="150">
        <v>81.206056011499996</v>
      </c>
      <c r="T436" s="150" t="s">
        <v>2842</v>
      </c>
      <c r="U436" s="150" t="s">
        <v>2842</v>
      </c>
      <c r="V436" s="150" t="s">
        <v>2842</v>
      </c>
    </row>
    <row r="437" spans="1:22">
      <c r="A437" s="150" t="s">
        <v>2887</v>
      </c>
      <c r="B437" s="150" t="s">
        <v>213</v>
      </c>
      <c r="C437" s="150" t="str">
        <f t="shared" si="12"/>
        <v>2011_Guatemala</v>
      </c>
      <c r="D437" s="150">
        <v>2238.6239059999998</v>
      </c>
      <c r="E437" s="150">
        <v>12757.323906</v>
      </c>
      <c r="F437" s="150">
        <f t="shared" si="13"/>
        <v>12757323906</v>
      </c>
      <c r="G437" s="150">
        <v>10518.7</v>
      </c>
      <c r="H437" s="150">
        <v>2388.337</v>
      </c>
      <c r="I437" s="150">
        <v>17870.337</v>
      </c>
      <c r="J437" s="150">
        <v>15482</v>
      </c>
      <c r="K437" s="150">
        <v>-149.71309400000001</v>
      </c>
      <c r="L437" s="150">
        <v>-5113.0130939999999</v>
      </c>
      <c r="M437" s="150">
        <v>-4963.3</v>
      </c>
      <c r="N437" s="150">
        <v>17.547754705399999</v>
      </c>
      <c r="O437" s="150">
        <v>100</v>
      </c>
      <c r="P437" s="150">
        <v>82.452245294600004</v>
      </c>
      <c r="Q437" s="150">
        <v>13.3648123144</v>
      </c>
      <c r="R437" s="150">
        <v>100</v>
      </c>
      <c r="S437" s="150">
        <v>86.635187685600002</v>
      </c>
      <c r="T437" s="150" t="s">
        <v>2842</v>
      </c>
      <c r="U437" s="150" t="s">
        <v>2842</v>
      </c>
      <c r="V437" s="150" t="s">
        <v>2842</v>
      </c>
    </row>
    <row r="438" spans="1:22">
      <c r="A438" s="150" t="s">
        <v>2887</v>
      </c>
      <c r="B438" s="150" t="s">
        <v>2894</v>
      </c>
      <c r="C438" s="150" t="str">
        <f t="shared" si="12"/>
        <v>2011_ Guinea</v>
      </c>
      <c r="D438" s="150">
        <v>77.38</v>
      </c>
      <c r="E438" s="150">
        <v>1510.1</v>
      </c>
      <c r="F438" s="150">
        <f t="shared" si="13"/>
        <v>1510100000</v>
      </c>
      <c r="G438" s="150">
        <v>1432.72</v>
      </c>
      <c r="H438" s="150">
        <v>571.98</v>
      </c>
      <c r="I438" s="150">
        <v>2677.55</v>
      </c>
      <c r="J438" s="150">
        <v>2105.5700000000002</v>
      </c>
      <c r="K438" s="150">
        <v>-494.6</v>
      </c>
      <c r="L438" s="150">
        <v>-1167.45</v>
      </c>
      <c r="M438" s="150">
        <v>-672.85</v>
      </c>
      <c r="N438" s="150">
        <v>5.1241639627</v>
      </c>
      <c r="O438" s="150">
        <v>100</v>
      </c>
      <c r="P438" s="150">
        <v>94.875836037300004</v>
      </c>
      <c r="Q438" s="150">
        <v>21.362066067899999</v>
      </c>
      <c r="R438" s="150">
        <v>100</v>
      </c>
      <c r="S438" s="150">
        <v>78.637933932099997</v>
      </c>
      <c r="T438" s="150" t="s">
        <v>2842</v>
      </c>
      <c r="U438" s="150" t="s">
        <v>2842</v>
      </c>
      <c r="V438" s="150" t="s">
        <v>2842</v>
      </c>
    </row>
    <row r="439" spans="1:22">
      <c r="A439" s="150" t="s">
        <v>2887</v>
      </c>
      <c r="B439" s="150" t="s">
        <v>237</v>
      </c>
      <c r="C439" s="150" t="str">
        <f t="shared" si="12"/>
        <v>2011_Indonesia</v>
      </c>
      <c r="D439" s="150">
        <v>20690.338</v>
      </c>
      <c r="E439" s="150">
        <v>221690.33799999999</v>
      </c>
      <c r="F439" s="150">
        <f t="shared" si="13"/>
        <v>221690338000</v>
      </c>
      <c r="G439" s="150">
        <v>201000</v>
      </c>
      <c r="H439" s="150">
        <v>31322.565999999999</v>
      </c>
      <c r="I439" s="150">
        <v>197322.56599999999</v>
      </c>
      <c r="J439" s="150">
        <v>166000</v>
      </c>
      <c r="K439" s="150">
        <v>-10632.227999999999</v>
      </c>
      <c r="L439" s="150">
        <v>24367.772000000001</v>
      </c>
      <c r="M439" s="150">
        <v>35000</v>
      </c>
      <c r="N439" s="150">
        <v>9.3329904165999995</v>
      </c>
      <c r="O439" s="150">
        <v>100</v>
      </c>
      <c r="P439" s="150">
        <v>90.667009583400002</v>
      </c>
      <c r="Q439" s="150">
        <v>15.8737880998</v>
      </c>
      <c r="R439" s="150">
        <v>100</v>
      </c>
      <c r="S439" s="150">
        <v>84.126211900200005</v>
      </c>
      <c r="T439" s="150" t="s">
        <v>2842</v>
      </c>
      <c r="U439" s="150" t="s">
        <v>2842</v>
      </c>
      <c r="V439" s="150" t="s">
        <v>2842</v>
      </c>
    </row>
    <row r="440" spans="1:22">
      <c r="A440" s="150" t="s">
        <v>2887</v>
      </c>
      <c r="B440" s="150" t="s">
        <v>245</v>
      </c>
      <c r="C440" s="150" t="str">
        <f t="shared" si="12"/>
        <v>2011_Iraq</v>
      </c>
      <c r="D440" s="150">
        <v>2822</v>
      </c>
      <c r="E440" s="150">
        <v>82506</v>
      </c>
      <c r="F440" s="150">
        <f t="shared" si="13"/>
        <v>82506000000</v>
      </c>
      <c r="G440" s="150">
        <v>79684</v>
      </c>
      <c r="H440" s="150">
        <v>11124</v>
      </c>
      <c r="I440" s="150">
        <v>51757</v>
      </c>
      <c r="J440" s="150">
        <v>40633</v>
      </c>
      <c r="K440" s="150">
        <v>-8302</v>
      </c>
      <c r="L440" s="150">
        <v>30749</v>
      </c>
      <c r="M440" s="150">
        <v>39051</v>
      </c>
      <c r="N440" s="150">
        <v>3.4203573073000002</v>
      </c>
      <c r="O440" s="150">
        <v>100</v>
      </c>
      <c r="P440" s="150">
        <v>96.579642692700006</v>
      </c>
      <c r="Q440" s="150">
        <v>21.4927449427</v>
      </c>
      <c r="R440" s="150">
        <v>100</v>
      </c>
      <c r="S440" s="150">
        <v>78.5072550573</v>
      </c>
      <c r="T440" s="150" t="s">
        <v>2842</v>
      </c>
      <c r="U440" s="150" t="s">
        <v>2842</v>
      </c>
      <c r="V440" s="150" t="s">
        <v>2842</v>
      </c>
    </row>
    <row r="441" spans="1:22">
      <c r="A441" s="150" t="s">
        <v>2887</v>
      </c>
      <c r="B441" s="150" t="s">
        <v>273</v>
      </c>
      <c r="C441" s="150" t="str">
        <f t="shared" si="12"/>
        <v>2011_Kazakhstan</v>
      </c>
      <c r="D441" s="150">
        <v>4334.5362400000004</v>
      </c>
      <c r="E441" s="150">
        <v>89531.64</v>
      </c>
      <c r="F441" s="150">
        <f t="shared" si="13"/>
        <v>89531640000</v>
      </c>
      <c r="G441" s="150">
        <v>85197.103759999998</v>
      </c>
      <c r="H441" s="150">
        <v>10928.441800000001</v>
      </c>
      <c r="I441" s="150">
        <v>51322.7</v>
      </c>
      <c r="J441" s="150">
        <v>40394.258199999997</v>
      </c>
      <c r="K441" s="150">
        <v>-6593.9055600000002</v>
      </c>
      <c r="L441" s="150">
        <v>38208.94</v>
      </c>
      <c r="M441" s="150">
        <v>44802.845560000002</v>
      </c>
      <c r="N441" s="150">
        <v>4.8413457409999996</v>
      </c>
      <c r="O441" s="150">
        <v>100</v>
      </c>
      <c r="P441" s="150">
        <v>95.158654259000002</v>
      </c>
      <c r="Q441" s="150">
        <v>21.293583151299998</v>
      </c>
      <c r="R441" s="150">
        <v>100</v>
      </c>
      <c r="S441" s="150">
        <v>78.706416848700002</v>
      </c>
      <c r="T441" s="150" t="s">
        <v>2842</v>
      </c>
      <c r="U441" s="150" t="s">
        <v>2842</v>
      </c>
      <c r="V441" s="150" t="s">
        <v>2842</v>
      </c>
    </row>
    <row r="442" spans="1:22">
      <c r="A442" s="150" t="s">
        <v>2887</v>
      </c>
      <c r="B442" s="150" t="s">
        <v>2895</v>
      </c>
      <c r="C442" s="150" t="str">
        <f t="shared" si="12"/>
        <v>2011_Kyrgyzstan</v>
      </c>
      <c r="D442" s="150">
        <v>1143.7860000000001</v>
      </c>
      <c r="E442" s="150">
        <v>3410.748</v>
      </c>
      <c r="F442" s="150">
        <f t="shared" si="13"/>
        <v>3410748000</v>
      </c>
      <c r="G442" s="150">
        <v>2266.962</v>
      </c>
      <c r="H442" s="150">
        <v>1137.9570000000001</v>
      </c>
      <c r="I442" s="150">
        <v>5073.8999999999996</v>
      </c>
      <c r="J442" s="150">
        <v>3935.9430000000002</v>
      </c>
      <c r="K442" s="150">
        <v>5.8289999999999997</v>
      </c>
      <c r="L442" s="150">
        <v>-1663.152</v>
      </c>
      <c r="M442" s="150">
        <v>-1668.981</v>
      </c>
      <c r="N442" s="150">
        <v>33.534755426099998</v>
      </c>
      <c r="O442" s="150">
        <v>100</v>
      </c>
      <c r="P442" s="150">
        <v>66.465244573899994</v>
      </c>
      <c r="Q442" s="150">
        <v>22.427659197099999</v>
      </c>
      <c r="R442" s="150">
        <v>100</v>
      </c>
      <c r="S442" s="150">
        <v>77.572340802900001</v>
      </c>
      <c r="T442" s="150" t="s">
        <v>2842</v>
      </c>
      <c r="U442" s="150" t="s">
        <v>2842</v>
      </c>
      <c r="V442" s="150" t="s">
        <v>2842</v>
      </c>
    </row>
    <row r="443" spans="1:22">
      <c r="A443" s="150" t="s">
        <v>2887</v>
      </c>
      <c r="B443" s="150" t="s">
        <v>294</v>
      </c>
      <c r="C443" s="150" t="str">
        <f t="shared" si="12"/>
        <v>2011_Liberia</v>
      </c>
      <c r="D443" s="150">
        <v>604.07799999999997</v>
      </c>
      <c r="E443" s="150">
        <v>1249.7370000000001</v>
      </c>
      <c r="F443" s="150">
        <f t="shared" si="13"/>
        <v>1249737000</v>
      </c>
      <c r="G443" s="150">
        <v>645.65899999999999</v>
      </c>
      <c r="H443" s="150">
        <v>1242.7729999999999</v>
      </c>
      <c r="I443" s="150">
        <v>3311.2089999999998</v>
      </c>
      <c r="J443" s="150">
        <v>2068.4360000000001</v>
      </c>
      <c r="K443" s="150">
        <v>-638.69500000000005</v>
      </c>
      <c r="L443" s="150">
        <v>-2061.4720000000002</v>
      </c>
      <c r="M443" s="150">
        <v>-1422.777</v>
      </c>
      <c r="N443" s="150">
        <v>48.336409980699997</v>
      </c>
      <c r="O443" s="150">
        <v>100</v>
      </c>
      <c r="P443" s="150">
        <v>51.663590019300003</v>
      </c>
      <c r="Q443" s="150">
        <v>37.532303155699999</v>
      </c>
      <c r="R443" s="150">
        <v>100</v>
      </c>
      <c r="S443" s="150">
        <v>62.467696844300001</v>
      </c>
      <c r="T443" s="150" t="s">
        <v>2842</v>
      </c>
      <c r="U443" s="150" t="s">
        <v>2842</v>
      </c>
      <c r="V443" s="150" t="s">
        <v>2842</v>
      </c>
    </row>
    <row r="444" spans="1:22">
      <c r="A444" s="150" t="s">
        <v>2887</v>
      </c>
      <c r="B444" s="150" t="s">
        <v>309</v>
      </c>
      <c r="C444" s="150" t="str">
        <f t="shared" si="12"/>
        <v>2011_Madagascar</v>
      </c>
      <c r="D444" s="150">
        <v>1102.78</v>
      </c>
      <c r="E444" s="150">
        <v>2692.5507909399998</v>
      </c>
      <c r="F444" s="150">
        <f t="shared" si="13"/>
        <v>2692550790.9400001</v>
      </c>
      <c r="G444" s="150">
        <v>1589.7707909400001</v>
      </c>
      <c r="H444" s="150">
        <v>1179.3599999999999</v>
      </c>
      <c r="I444" s="150">
        <v>3644.0484408900002</v>
      </c>
      <c r="J444" s="150">
        <v>2464.68844089</v>
      </c>
      <c r="K444" s="150">
        <v>-76.58</v>
      </c>
      <c r="L444" s="150">
        <v>-951.49764994999998</v>
      </c>
      <c r="M444" s="150">
        <v>-874.91764995000005</v>
      </c>
      <c r="N444" s="150">
        <v>40.956701864700001</v>
      </c>
      <c r="O444" s="150">
        <v>100</v>
      </c>
      <c r="P444" s="150">
        <v>59.043298135299999</v>
      </c>
      <c r="Q444" s="150">
        <v>32.3640044618</v>
      </c>
      <c r="R444" s="150">
        <v>100</v>
      </c>
      <c r="S444" s="150">
        <v>67.635995538200007</v>
      </c>
      <c r="T444" s="150" t="s">
        <v>2842</v>
      </c>
      <c r="U444" s="150" t="s">
        <v>2842</v>
      </c>
      <c r="V444" s="150" t="s">
        <v>2842</v>
      </c>
    </row>
    <row r="445" spans="1:22">
      <c r="A445" s="150" t="s">
        <v>2887</v>
      </c>
      <c r="B445" s="150" t="s">
        <v>322</v>
      </c>
      <c r="C445" s="150" t="str">
        <f t="shared" si="12"/>
        <v>2011_Mali</v>
      </c>
      <c r="D445" s="150">
        <v>409.55023</v>
      </c>
      <c r="E445" s="150">
        <v>2800.6590000000001</v>
      </c>
      <c r="F445" s="150">
        <f t="shared" si="13"/>
        <v>2800659000</v>
      </c>
      <c r="G445" s="150">
        <v>2391.1087699999998</v>
      </c>
      <c r="H445" s="150">
        <v>1115.6382000000001</v>
      </c>
      <c r="I445" s="150">
        <v>3850.98</v>
      </c>
      <c r="J445" s="150">
        <v>2735.3418000000001</v>
      </c>
      <c r="K445" s="150">
        <v>-706.08797000000004</v>
      </c>
      <c r="L445" s="150">
        <v>-1050.3209999999999</v>
      </c>
      <c r="M445" s="150">
        <v>-344.23302999999999</v>
      </c>
      <c r="N445" s="150">
        <v>14.623352218200001</v>
      </c>
      <c r="O445" s="150">
        <v>100</v>
      </c>
      <c r="P445" s="150">
        <v>85.376647781800003</v>
      </c>
      <c r="Q445" s="150">
        <v>28.970241341200001</v>
      </c>
      <c r="R445" s="150">
        <v>100</v>
      </c>
      <c r="S445" s="150">
        <v>71.029758658800006</v>
      </c>
      <c r="T445" s="150" t="s">
        <v>2842</v>
      </c>
      <c r="U445" s="150" t="s">
        <v>2842</v>
      </c>
      <c r="V445" s="150" t="s">
        <v>2842</v>
      </c>
    </row>
    <row r="446" spans="1:22">
      <c r="A446" s="150" t="s">
        <v>2887</v>
      </c>
      <c r="B446" s="150" t="s">
        <v>338</v>
      </c>
      <c r="C446" s="150" t="str">
        <f t="shared" si="12"/>
        <v>2011_Mauritania</v>
      </c>
      <c r="D446" s="150">
        <v>209.6</v>
      </c>
      <c r="E446" s="150">
        <v>2891.3440070299998</v>
      </c>
      <c r="F446" s="150">
        <f t="shared" si="13"/>
        <v>2891344007.0299997</v>
      </c>
      <c r="G446" s="150">
        <v>2681.7440070299999</v>
      </c>
      <c r="H446" s="150">
        <v>761.4</v>
      </c>
      <c r="I446" s="150">
        <v>3243.3602083000001</v>
      </c>
      <c r="J446" s="150">
        <v>2481.9602083</v>
      </c>
      <c r="K446" s="150">
        <v>-551.79999999999995</v>
      </c>
      <c r="L446" s="150">
        <v>-352.01620127000001</v>
      </c>
      <c r="M446" s="150">
        <v>199.78379873</v>
      </c>
      <c r="N446" s="150">
        <v>7.2492238727</v>
      </c>
      <c r="O446" s="150">
        <v>100</v>
      </c>
      <c r="P446" s="150">
        <v>92.7507761273</v>
      </c>
      <c r="Q446" s="150">
        <v>23.475653368700002</v>
      </c>
      <c r="R446" s="150">
        <v>100</v>
      </c>
      <c r="S446" s="150">
        <v>76.524346631300006</v>
      </c>
      <c r="T446" s="150" t="s">
        <v>2842</v>
      </c>
      <c r="U446" s="150" t="s">
        <v>2842</v>
      </c>
      <c r="V446" s="150" t="s">
        <v>2842</v>
      </c>
    </row>
    <row r="447" spans="1:22">
      <c r="A447" s="150" t="s">
        <v>2887</v>
      </c>
      <c r="B447" s="150" t="s">
        <v>357</v>
      </c>
      <c r="C447" s="150" t="str">
        <f t="shared" si="12"/>
        <v>2011_Mongolia</v>
      </c>
      <c r="D447" s="150">
        <v>621.65700000000004</v>
      </c>
      <c r="E447" s="150">
        <v>5439.1570000000002</v>
      </c>
      <c r="F447" s="150">
        <f t="shared" si="13"/>
        <v>5439157000</v>
      </c>
      <c r="G447" s="150">
        <v>4817.5</v>
      </c>
      <c r="H447" s="150">
        <v>1782.2</v>
      </c>
      <c r="I447" s="150">
        <v>7592.59</v>
      </c>
      <c r="J447" s="150">
        <v>5810.39</v>
      </c>
      <c r="K447" s="150">
        <v>-1160.5429999999999</v>
      </c>
      <c r="L447" s="150">
        <v>-2153.433</v>
      </c>
      <c r="M447" s="150">
        <v>-992.89</v>
      </c>
      <c r="N447" s="150">
        <v>11.429289502</v>
      </c>
      <c r="O447" s="150">
        <v>100</v>
      </c>
      <c r="P447" s="150">
        <v>88.570710497999997</v>
      </c>
      <c r="Q447" s="150">
        <v>23.472886063899999</v>
      </c>
      <c r="R447" s="150">
        <v>100</v>
      </c>
      <c r="S447" s="150">
        <v>76.527113936099994</v>
      </c>
      <c r="T447" s="150" t="s">
        <v>2842</v>
      </c>
      <c r="U447" s="150" t="s">
        <v>2842</v>
      </c>
      <c r="V447" s="150" t="s">
        <v>2842</v>
      </c>
    </row>
    <row r="448" spans="1:22">
      <c r="A448" s="150" t="s">
        <v>2887</v>
      </c>
      <c r="B448" s="150" t="s">
        <v>378</v>
      </c>
      <c r="C448" s="150" t="str">
        <f t="shared" si="12"/>
        <v>2011_Mozambique</v>
      </c>
      <c r="D448" s="150">
        <v>729.08299999999997</v>
      </c>
      <c r="E448" s="150">
        <v>3847.357</v>
      </c>
      <c r="F448" s="150">
        <f t="shared" si="13"/>
        <v>3847357000</v>
      </c>
      <c r="G448" s="150">
        <v>3118.2739999999999</v>
      </c>
      <c r="H448" s="150">
        <v>2164.7069999999999</v>
      </c>
      <c r="I448" s="150">
        <v>7532.2910000000002</v>
      </c>
      <c r="J448" s="150">
        <v>5367.5839999999998</v>
      </c>
      <c r="K448" s="150">
        <v>-1435.624</v>
      </c>
      <c r="L448" s="150">
        <v>-3684.9340000000002</v>
      </c>
      <c r="M448" s="150">
        <v>-2249.31</v>
      </c>
      <c r="N448" s="150">
        <v>18.950229989099999</v>
      </c>
      <c r="O448" s="150">
        <v>100</v>
      </c>
      <c r="P448" s="150">
        <v>81.049770010900005</v>
      </c>
      <c r="Q448" s="150">
        <v>28.7390250855</v>
      </c>
      <c r="R448" s="150">
        <v>100</v>
      </c>
      <c r="S448" s="150">
        <v>71.260974914499997</v>
      </c>
      <c r="T448" s="150" t="s">
        <v>2842</v>
      </c>
      <c r="U448" s="150" t="s">
        <v>2842</v>
      </c>
      <c r="V448" s="150" t="s">
        <v>2842</v>
      </c>
    </row>
    <row r="449" spans="1:22">
      <c r="A449" s="150" t="s">
        <v>2887</v>
      </c>
      <c r="B449" s="150" t="s">
        <v>387</v>
      </c>
      <c r="C449" s="150" t="str">
        <f t="shared" si="12"/>
        <v>2011_Niger</v>
      </c>
      <c r="D449" s="150">
        <v>73.733659000000003</v>
      </c>
      <c r="E449" s="150">
        <v>1344.0904849999999</v>
      </c>
      <c r="F449" s="150">
        <f t="shared" si="13"/>
        <v>1344090485</v>
      </c>
      <c r="G449" s="150">
        <v>1270.356826</v>
      </c>
      <c r="H449" s="150">
        <v>865.02222300000005</v>
      </c>
      <c r="I449" s="150">
        <v>3060.8531079999998</v>
      </c>
      <c r="J449" s="150">
        <v>2195.8308849999999</v>
      </c>
      <c r="K449" s="150">
        <v>-791.28856399999995</v>
      </c>
      <c r="L449" s="150">
        <v>-1716.7626230000001</v>
      </c>
      <c r="M449" s="150">
        <v>-925.47405900000001</v>
      </c>
      <c r="N449" s="150">
        <v>5.4857660122</v>
      </c>
      <c r="O449" s="150">
        <v>100</v>
      </c>
      <c r="P449" s="150">
        <v>94.514233987799997</v>
      </c>
      <c r="Q449" s="150">
        <v>28.260821165799999</v>
      </c>
      <c r="R449" s="150">
        <v>100</v>
      </c>
      <c r="S449" s="150">
        <v>71.739178834200004</v>
      </c>
      <c r="T449" s="150" t="s">
        <v>2842</v>
      </c>
      <c r="U449" s="150" t="s">
        <v>2842</v>
      </c>
      <c r="V449" s="150" t="s">
        <v>2842</v>
      </c>
    </row>
    <row r="450" spans="1:22">
      <c r="A450" s="150" t="s">
        <v>2887</v>
      </c>
      <c r="B450" s="150" t="s">
        <v>406</v>
      </c>
      <c r="C450" s="150" t="str">
        <f t="shared" si="12"/>
        <v>2011_Nigeria</v>
      </c>
      <c r="D450" s="150">
        <v>3386.875</v>
      </c>
      <c r="E450" s="150">
        <v>99755.752999999997</v>
      </c>
      <c r="F450" s="150">
        <f t="shared" si="13"/>
        <v>99755753000</v>
      </c>
      <c r="G450" s="150">
        <v>96368.877999999997</v>
      </c>
      <c r="H450" s="150">
        <v>24573.304</v>
      </c>
      <c r="I450" s="150">
        <v>86226.123000000007</v>
      </c>
      <c r="J450" s="150">
        <v>61652.819000000003</v>
      </c>
      <c r="K450" s="150">
        <v>-21186.429</v>
      </c>
      <c r="L450" s="150">
        <v>13529.63</v>
      </c>
      <c r="M450" s="150">
        <v>34716.059000000001</v>
      </c>
      <c r="N450" s="150">
        <v>3.3951675950000002</v>
      </c>
      <c r="O450" s="150">
        <v>100</v>
      </c>
      <c r="P450" s="150">
        <v>96.604832404999996</v>
      </c>
      <c r="Q450" s="150">
        <v>28.4986766713</v>
      </c>
      <c r="R450" s="150">
        <v>100</v>
      </c>
      <c r="S450" s="150">
        <v>71.501323328699996</v>
      </c>
      <c r="T450" s="150" t="s">
        <v>2842</v>
      </c>
      <c r="U450" s="150" t="s">
        <v>2842</v>
      </c>
      <c r="V450" s="150" t="s">
        <v>2842</v>
      </c>
    </row>
    <row r="451" spans="1:22">
      <c r="A451" s="150" t="s">
        <v>2887</v>
      </c>
      <c r="B451" s="150" t="s">
        <v>429</v>
      </c>
      <c r="C451" s="150" t="str">
        <f t="shared" si="12"/>
        <v>2011_Norway</v>
      </c>
      <c r="D451" s="150">
        <v>42255.928240000001</v>
      </c>
      <c r="E451" s="150">
        <v>203746.96908000001</v>
      </c>
      <c r="F451" s="150">
        <f t="shared" si="13"/>
        <v>203746969080</v>
      </c>
      <c r="G451" s="150">
        <v>161491.04084</v>
      </c>
      <c r="H451" s="150">
        <v>47177.412763</v>
      </c>
      <c r="I451" s="150">
        <v>137263.149148</v>
      </c>
      <c r="J451" s="150">
        <v>90085.736384999997</v>
      </c>
      <c r="K451" s="150">
        <v>-4921.4845230000001</v>
      </c>
      <c r="L451" s="150">
        <v>66483.819931999999</v>
      </c>
      <c r="M451" s="150">
        <v>71405.304455000005</v>
      </c>
      <c r="N451" s="150">
        <v>20.739414397600001</v>
      </c>
      <c r="O451" s="150">
        <v>100</v>
      </c>
      <c r="P451" s="150">
        <v>79.260585602399999</v>
      </c>
      <c r="Q451" s="150">
        <v>34.370049831899998</v>
      </c>
      <c r="R451" s="150">
        <v>100</v>
      </c>
      <c r="S451" s="150">
        <v>65.629950168099995</v>
      </c>
      <c r="T451" s="150" t="s">
        <v>2842</v>
      </c>
      <c r="U451" s="150" t="s">
        <v>2842</v>
      </c>
      <c r="V451" s="150" t="s">
        <v>2842</v>
      </c>
    </row>
    <row r="452" spans="1:22">
      <c r="A452" s="150" t="s">
        <v>2887</v>
      </c>
      <c r="B452" s="150" t="s">
        <v>442</v>
      </c>
      <c r="C452" s="150" t="str">
        <f t="shared" si="12"/>
        <v>2011_Peru</v>
      </c>
      <c r="D452" s="150">
        <v>4364.3530000000001</v>
      </c>
      <c r="E452" s="150">
        <v>50632.851000000002</v>
      </c>
      <c r="F452" s="150">
        <f t="shared" si="13"/>
        <v>50632851000</v>
      </c>
      <c r="G452" s="150">
        <v>46268.498</v>
      </c>
      <c r="H452" s="150">
        <v>6496.8310000000001</v>
      </c>
      <c r="I452" s="150">
        <v>43463.542000000001</v>
      </c>
      <c r="J452" s="150">
        <v>36966.711000000003</v>
      </c>
      <c r="K452" s="150">
        <v>-2132.4780000000001</v>
      </c>
      <c r="L452" s="150">
        <v>7169.3090000000002</v>
      </c>
      <c r="M452" s="150">
        <v>9301.7870000000003</v>
      </c>
      <c r="N452" s="150">
        <v>8.6196074560000007</v>
      </c>
      <c r="O452" s="150">
        <v>100</v>
      </c>
      <c r="P452" s="150">
        <v>91.380392544000003</v>
      </c>
      <c r="Q452" s="150">
        <v>14.9477716289</v>
      </c>
      <c r="R452" s="150">
        <v>100</v>
      </c>
      <c r="S452" s="150">
        <v>85.0522283711</v>
      </c>
      <c r="T452" s="150" t="s">
        <v>2842</v>
      </c>
      <c r="U452" s="150" t="s">
        <v>2842</v>
      </c>
      <c r="V452" s="150" t="s">
        <v>2842</v>
      </c>
    </row>
    <row r="453" spans="1:22">
      <c r="A453" s="150" t="s">
        <v>2887</v>
      </c>
      <c r="B453" s="150" t="s">
        <v>481</v>
      </c>
      <c r="C453" s="150" t="str">
        <f t="shared" si="12"/>
        <v>2011_Sierra Leone</v>
      </c>
      <c r="D453" s="150">
        <v>160.011</v>
      </c>
      <c r="E453" s="150">
        <v>545.726</v>
      </c>
      <c r="F453" s="150">
        <f t="shared" si="13"/>
        <v>545726000</v>
      </c>
      <c r="G453" s="150">
        <v>385.71499999999997</v>
      </c>
      <c r="H453" s="150">
        <v>435.166</v>
      </c>
      <c r="I453" s="150">
        <v>2491.1950000000002</v>
      </c>
      <c r="J453" s="150">
        <v>2056.029</v>
      </c>
      <c r="K453" s="150">
        <v>-275.15499999999997</v>
      </c>
      <c r="L453" s="150">
        <v>-1945.4690000000001</v>
      </c>
      <c r="M453" s="150">
        <v>-1670.3140000000001</v>
      </c>
      <c r="N453" s="150">
        <v>29.320758036099999</v>
      </c>
      <c r="O453" s="150">
        <v>100</v>
      </c>
      <c r="P453" s="150">
        <v>70.679241963899997</v>
      </c>
      <c r="Q453" s="150">
        <v>17.4681628696</v>
      </c>
      <c r="R453" s="150">
        <v>100</v>
      </c>
      <c r="S453" s="150">
        <v>82.531837130400007</v>
      </c>
      <c r="T453" s="150" t="s">
        <v>2842</v>
      </c>
      <c r="U453" s="150" t="s">
        <v>2842</v>
      </c>
      <c r="V453" s="150" t="s">
        <v>2842</v>
      </c>
    </row>
    <row r="454" spans="1:22">
      <c r="A454" s="150" t="s">
        <v>2887</v>
      </c>
      <c r="B454" s="150" t="s">
        <v>2844</v>
      </c>
      <c r="C454" s="150" t="str">
        <f t="shared" ref="C454:C517" si="14">$A454&amp;"_"&amp;$B454</f>
        <v>2011_Timor-Leste</v>
      </c>
      <c r="D454" s="150">
        <v>79.456000000000003</v>
      </c>
      <c r="E454" s="150">
        <v>104.52200000000001</v>
      </c>
      <c r="F454" s="150">
        <f t="shared" ref="F454:F517" si="15">IFERROR($E454*1000000,"..")</f>
        <v>104522000</v>
      </c>
      <c r="G454" s="150">
        <v>25.065999999999999</v>
      </c>
      <c r="H454" s="150">
        <v>1485.1279999999999</v>
      </c>
      <c r="I454" s="150">
        <v>1859.0650000000001</v>
      </c>
      <c r="J454" s="150">
        <v>373.93700000000001</v>
      </c>
      <c r="K454" s="150">
        <v>-1405.672</v>
      </c>
      <c r="L454" s="150">
        <v>-1754.5429999999999</v>
      </c>
      <c r="M454" s="150">
        <v>-348.87099999999998</v>
      </c>
      <c r="N454" s="150">
        <v>76.018445877399998</v>
      </c>
      <c r="O454" s="150">
        <v>100</v>
      </c>
      <c r="P454" s="150">
        <v>23.981554122599999</v>
      </c>
      <c r="Q454" s="150">
        <v>79.885749019000002</v>
      </c>
      <c r="R454" s="150">
        <v>100</v>
      </c>
      <c r="S454" s="150">
        <v>20.114250981000001</v>
      </c>
      <c r="T454" s="150" t="s">
        <v>2842</v>
      </c>
      <c r="U454" s="150" t="s">
        <v>2842</v>
      </c>
      <c r="V454" s="150" t="s">
        <v>2842</v>
      </c>
    </row>
    <row r="455" spans="1:22">
      <c r="A455" s="150" t="s">
        <v>2887</v>
      </c>
      <c r="B455" s="150" t="s">
        <v>510</v>
      </c>
      <c r="C455" s="150" t="str">
        <f t="shared" si="14"/>
        <v>2011_Togo</v>
      </c>
      <c r="D455" s="150">
        <v>1008.7062089999999</v>
      </c>
      <c r="E455" s="150">
        <v>2191.4998529999998</v>
      </c>
      <c r="F455" s="150">
        <f t="shared" si="15"/>
        <v>2191499853</v>
      </c>
      <c r="G455" s="150">
        <v>1182.7936440000001</v>
      </c>
      <c r="H455" s="150">
        <v>1370.572533</v>
      </c>
      <c r="I455" s="150">
        <v>3394.2115840000001</v>
      </c>
      <c r="J455" s="150">
        <v>2023.6390510000001</v>
      </c>
      <c r="K455" s="150">
        <v>-361.86632400000002</v>
      </c>
      <c r="L455" s="150">
        <v>-1202.7117310000001</v>
      </c>
      <c r="M455" s="150">
        <v>-840.84540700000002</v>
      </c>
      <c r="N455" s="150">
        <v>46.028121225699998</v>
      </c>
      <c r="O455" s="150">
        <v>100</v>
      </c>
      <c r="P455" s="150">
        <v>53.971878774300002</v>
      </c>
      <c r="Q455" s="150">
        <v>40.3797022985</v>
      </c>
      <c r="R455" s="150">
        <v>100</v>
      </c>
      <c r="S455" s="150">
        <v>59.6202977015</v>
      </c>
      <c r="T455" s="150" t="s">
        <v>2842</v>
      </c>
      <c r="U455" s="150" t="s">
        <v>2842</v>
      </c>
      <c r="V455" s="150" t="s">
        <v>2842</v>
      </c>
    </row>
    <row r="456" spans="1:22">
      <c r="A456" s="150" t="s">
        <v>2887</v>
      </c>
      <c r="B456" s="150" t="s">
        <v>2845</v>
      </c>
      <c r="C456" s="150" t="str">
        <f t="shared" si="14"/>
        <v>2011_Trinidad and Tobago</v>
      </c>
      <c r="D456" s="150">
        <v>5812.2340000000004</v>
      </c>
      <c r="E456" s="150">
        <v>20756.13</v>
      </c>
      <c r="F456" s="150">
        <f t="shared" si="15"/>
        <v>20756130000</v>
      </c>
      <c r="G456" s="150">
        <v>14943.896000000001</v>
      </c>
      <c r="H456" s="150">
        <v>5504</v>
      </c>
      <c r="I456" s="150">
        <v>15014.879000000001</v>
      </c>
      <c r="J456" s="150">
        <v>9510.8790000000008</v>
      </c>
      <c r="K456" s="150">
        <v>308.23399999999998</v>
      </c>
      <c r="L456" s="150">
        <v>5741.2510000000002</v>
      </c>
      <c r="M456" s="150">
        <v>5433.0169999999998</v>
      </c>
      <c r="N456" s="150">
        <v>28.002493721099999</v>
      </c>
      <c r="O456" s="150">
        <v>100</v>
      </c>
      <c r="P456" s="150">
        <v>71.997506278900005</v>
      </c>
      <c r="Q456" s="150">
        <v>36.656972060800001</v>
      </c>
      <c r="R456" s="150">
        <v>100</v>
      </c>
      <c r="S456" s="150">
        <v>63.343027939199999</v>
      </c>
      <c r="T456" s="150" t="s">
        <v>2842</v>
      </c>
      <c r="U456" s="150" t="s">
        <v>2842</v>
      </c>
      <c r="V456" s="150" t="s">
        <v>2842</v>
      </c>
    </row>
    <row r="457" spans="1:22">
      <c r="A457" s="150" t="s">
        <v>2887</v>
      </c>
      <c r="B457" s="150" t="s">
        <v>492</v>
      </c>
      <c r="C457" s="150" t="str">
        <f t="shared" si="14"/>
        <v>2011_Tanzania</v>
      </c>
      <c r="D457" s="150">
        <v>2300.335</v>
      </c>
      <c r="E457" s="150">
        <v>7398.2359999999999</v>
      </c>
      <c r="F457" s="150">
        <f t="shared" si="15"/>
        <v>7398236000</v>
      </c>
      <c r="G457" s="150">
        <v>5097.9009999999998</v>
      </c>
      <c r="H457" s="150">
        <v>2208.09</v>
      </c>
      <c r="I457" s="150">
        <v>12035.574000000001</v>
      </c>
      <c r="J457" s="150">
        <v>9827.4840000000004</v>
      </c>
      <c r="K457" s="150">
        <v>92.245000000000005</v>
      </c>
      <c r="L457" s="150">
        <v>-4637.3379999999997</v>
      </c>
      <c r="M457" s="150">
        <v>-4729.5829999999996</v>
      </c>
      <c r="N457" s="150">
        <v>31.0930200118</v>
      </c>
      <c r="O457" s="150">
        <v>100</v>
      </c>
      <c r="P457" s="150">
        <v>68.906979988200007</v>
      </c>
      <c r="Q457" s="150">
        <v>18.346362209199999</v>
      </c>
      <c r="R457" s="150">
        <v>100</v>
      </c>
      <c r="S457" s="150">
        <v>81.653637790800005</v>
      </c>
      <c r="T457" s="150" t="s">
        <v>2842</v>
      </c>
      <c r="U457" s="150" t="s">
        <v>2842</v>
      </c>
      <c r="V457" s="150" t="s">
        <v>2842</v>
      </c>
    </row>
    <row r="458" spans="1:22">
      <c r="A458" s="150" t="s">
        <v>2887</v>
      </c>
      <c r="B458" s="150" t="s">
        <v>522</v>
      </c>
      <c r="C458" s="150" t="str">
        <f t="shared" si="14"/>
        <v>2011_Yemen</v>
      </c>
      <c r="D458" s="150">
        <v>1247.8699999999999</v>
      </c>
      <c r="E458" s="150">
        <v>9910.02</v>
      </c>
      <c r="F458" s="150">
        <f t="shared" si="15"/>
        <v>9910020000</v>
      </c>
      <c r="G458" s="150">
        <v>8662.15</v>
      </c>
      <c r="H458" s="150">
        <v>2273.1</v>
      </c>
      <c r="I458" s="150">
        <v>10521.52</v>
      </c>
      <c r="J458" s="150">
        <v>8248.42</v>
      </c>
      <c r="K458" s="150">
        <v>-1025.23</v>
      </c>
      <c r="L458" s="150">
        <v>-611.5</v>
      </c>
      <c r="M458" s="150">
        <v>413.73</v>
      </c>
      <c r="N458" s="150">
        <v>12.592002841599999</v>
      </c>
      <c r="O458" s="150">
        <v>100</v>
      </c>
      <c r="P458" s="150">
        <v>87.407997158399994</v>
      </c>
      <c r="Q458" s="150">
        <v>21.6042929159</v>
      </c>
      <c r="R458" s="150">
        <v>100</v>
      </c>
      <c r="S458" s="150">
        <v>78.395707084099996</v>
      </c>
      <c r="T458" s="150" t="s">
        <v>2842</v>
      </c>
      <c r="U458" s="150" t="s">
        <v>2842</v>
      </c>
      <c r="V458" s="150" t="s">
        <v>2842</v>
      </c>
    </row>
    <row r="459" spans="1:22">
      <c r="A459" s="150" t="s">
        <v>2887</v>
      </c>
      <c r="B459" s="150" t="s">
        <v>534</v>
      </c>
      <c r="C459" s="150" t="str">
        <f t="shared" si="14"/>
        <v>2011_Zambia</v>
      </c>
      <c r="D459" s="150">
        <v>375.21</v>
      </c>
      <c r="E459" s="150">
        <v>9034.9809999999998</v>
      </c>
      <c r="F459" s="150">
        <f t="shared" si="15"/>
        <v>9034981000</v>
      </c>
      <c r="G459" s="150">
        <v>8659.7710000000006</v>
      </c>
      <c r="H459" s="150">
        <v>1103.578</v>
      </c>
      <c r="I459" s="150">
        <v>7557.8180000000002</v>
      </c>
      <c r="J459" s="150">
        <v>6454.24</v>
      </c>
      <c r="K459" s="150">
        <v>-728.36800000000005</v>
      </c>
      <c r="L459" s="150">
        <v>1477.163</v>
      </c>
      <c r="M459" s="150">
        <v>2205.5309999999999</v>
      </c>
      <c r="N459" s="150">
        <v>4.1528587609000001</v>
      </c>
      <c r="O459" s="150">
        <v>100</v>
      </c>
      <c r="P459" s="150">
        <v>95.847141239099997</v>
      </c>
      <c r="Q459" s="150">
        <v>14.6018070295</v>
      </c>
      <c r="R459" s="150">
        <v>100</v>
      </c>
      <c r="S459" s="150">
        <v>85.398192970500006</v>
      </c>
      <c r="T459" s="150" t="s">
        <v>2842</v>
      </c>
      <c r="U459" s="150" t="s">
        <v>2842</v>
      </c>
      <c r="V459" s="150" t="s">
        <v>2842</v>
      </c>
    </row>
    <row r="460" spans="1:22">
      <c r="A460" s="150" t="s">
        <v>2888</v>
      </c>
      <c r="B460" s="150" t="s">
        <v>16</v>
      </c>
      <c r="C460" s="150" t="str">
        <f t="shared" si="14"/>
        <v>2012_Afghanistan</v>
      </c>
      <c r="D460" s="150">
        <v>3055.8809999999999</v>
      </c>
      <c r="E460" s="150">
        <v>5840.8810000000003</v>
      </c>
      <c r="F460" s="150">
        <f t="shared" si="15"/>
        <v>5840881000</v>
      </c>
      <c r="G460" s="150">
        <v>2785</v>
      </c>
      <c r="H460" s="150">
        <v>2238.877</v>
      </c>
      <c r="I460" s="150">
        <v>13898.877</v>
      </c>
      <c r="J460" s="150">
        <v>11660</v>
      </c>
      <c r="K460" s="150">
        <v>817.00400000000002</v>
      </c>
      <c r="L460" s="150">
        <v>-8057.9960000000001</v>
      </c>
      <c r="M460" s="150">
        <v>-8875</v>
      </c>
      <c r="N460" s="150">
        <v>52.318836832999999</v>
      </c>
      <c r="O460" s="150">
        <v>100</v>
      </c>
      <c r="P460" s="150">
        <v>47.681163167000001</v>
      </c>
      <c r="Q460" s="150">
        <v>16.108330191</v>
      </c>
      <c r="R460" s="150">
        <v>100</v>
      </c>
      <c r="S460" s="150">
        <v>83.891669809000007</v>
      </c>
      <c r="T460" s="150" t="s">
        <v>2842</v>
      </c>
      <c r="U460" s="150" t="s">
        <v>2842</v>
      </c>
      <c r="V460" s="150" t="s">
        <v>2842</v>
      </c>
    </row>
    <row r="461" spans="1:22">
      <c r="A461" s="150" t="s">
        <v>2888</v>
      </c>
      <c r="B461" s="150" t="s">
        <v>33</v>
      </c>
      <c r="C461" s="150" t="str">
        <f t="shared" si="14"/>
        <v>2012_Albania</v>
      </c>
      <c r="D461" s="150">
        <v>2141.4259999999999</v>
      </c>
      <c r="E461" s="150">
        <v>4101.21</v>
      </c>
      <c r="F461" s="150">
        <f t="shared" si="15"/>
        <v>4101210000</v>
      </c>
      <c r="G461" s="150">
        <v>1959.7840000000001</v>
      </c>
      <c r="H461" s="150">
        <v>1871.6010000000001</v>
      </c>
      <c r="I461" s="150">
        <v>6398.5940000000001</v>
      </c>
      <c r="J461" s="150">
        <v>4526.9930000000004</v>
      </c>
      <c r="K461" s="150">
        <v>269.82499999999999</v>
      </c>
      <c r="L461" s="150">
        <v>-2297.384</v>
      </c>
      <c r="M461" s="150">
        <v>-2567.2089999999998</v>
      </c>
      <c r="N461" s="150">
        <v>52.214492796000002</v>
      </c>
      <c r="O461" s="150">
        <v>100</v>
      </c>
      <c r="P461" s="150">
        <v>47.785507203999998</v>
      </c>
      <c r="Q461" s="150">
        <v>29.2501915265</v>
      </c>
      <c r="R461" s="150">
        <v>100</v>
      </c>
      <c r="S461" s="150">
        <v>70.749808473499996</v>
      </c>
      <c r="T461" s="150" t="s">
        <v>2842</v>
      </c>
      <c r="U461" s="150" t="s">
        <v>2842</v>
      </c>
      <c r="V461" s="150" t="s">
        <v>2842</v>
      </c>
    </row>
    <row r="462" spans="1:22">
      <c r="A462" s="150" t="s">
        <v>2888</v>
      </c>
      <c r="B462" s="150" t="s">
        <v>48</v>
      </c>
      <c r="C462" s="150" t="str">
        <f t="shared" si="14"/>
        <v>2012_Azerbaijan</v>
      </c>
      <c r="D462" s="150">
        <v>4280.835</v>
      </c>
      <c r="E462" s="150">
        <v>36914.839999999997</v>
      </c>
      <c r="F462" s="150">
        <f t="shared" si="15"/>
        <v>36914840000</v>
      </c>
      <c r="G462" s="150">
        <v>32634.005000000001</v>
      </c>
      <c r="H462" s="150">
        <v>7204.598</v>
      </c>
      <c r="I462" s="150">
        <v>17622.07</v>
      </c>
      <c r="J462" s="150">
        <v>10417.472</v>
      </c>
      <c r="K462" s="150">
        <v>-2923.7629999999999</v>
      </c>
      <c r="L462" s="150">
        <v>19292.77</v>
      </c>
      <c r="M462" s="150">
        <v>22216.532999999999</v>
      </c>
      <c r="N462" s="150">
        <v>11.596515114200001</v>
      </c>
      <c r="O462" s="150">
        <v>100</v>
      </c>
      <c r="P462" s="150">
        <v>88.403484885799998</v>
      </c>
      <c r="Q462" s="150">
        <v>40.883948367000002</v>
      </c>
      <c r="R462" s="150">
        <v>100</v>
      </c>
      <c r="S462" s="150">
        <v>59.116051632999998</v>
      </c>
      <c r="T462" s="150" t="s">
        <v>2842</v>
      </c>
      <c r="U462" s="150" t="s">
        <v>2842</v>
      </c>
      <c r="V462" s="150" t="s">
        <v>2842</v>
      </c>
    </row>
    <row r="463" spans="1:22">
      <c r="A463" s="150" t="s">
        <v>2888</v>
      </c>
      <c r="B463" s="150" t="s">
        <v>93</v>
      </c>
      <c r="C463" s="150" t="str">
        <f t="shared" si="14"/>
        <v>2012_Burkina Faso</v>
      </c>
      <c r="D463" s="150">
        <v>425.4597</v>
      </c>
      <c r="E463" s="150">
        <v>3289.0651419999999</v>
      </c>
      <c r="F463" s="150">
        <f t="shared" si="15"/>
        <v>3289065142</v>
      </c>
      <c r="G463" s="150">
        <v>2863.605442</v>
      </c>
      <c r="H463" s="150">
        <v>1208.4444800000001</v>
      </c>
      <c r="I463" s="150">
        <v>3874.8792899999999</v>
      </c>
      <c r="J463" s="150">
        <v>2666.4348100000002</v>
      </c>
      <c r="K463" s="150">
        <v>-782.98478</v>
      </c>
      <c r="L463" s="150">
        <v>-585.81414800000005</v>
      </c>
      <c r="M463" s="150">
        <v>197.17063200000001</v>
      </c>
      <c r="N463" s="150">
        <v>12.9355814382</v>
      </c>
      <c r="O463" s="150">
        <v>100</v>
      </c>
      <c r="P463" s="150">
        <v>87.064418561799997</v>
      </c>
      <c r="Q463" s="150">
        <v>31.186635493899999</v>
      </c>
      <c r="R463" s="150">
        <v>100</v>
      </c>
      <c r="S463" s="150">
        <v>68.813364506100001</v>
      </c>
      <c r="T463" s="150" t="s">
        <v>2842</v>
      </c>
      <c r="U463" s="150" t="s">
        <v>2842</v>
      </c>
      <c r="V463" s="150" t="s">
        <v>2842</v>
      </c>
    </row>
    <row r="464" spans="1:22">
      <c r="A464" s="150" t="s">
        <v>2888</v>
      </c>
      <c r="B464" s="150" t="s">
        <v>2890</v>
      </c>
      <c r="C464" s="150" t="str">
        <f t="shared" si="14"/>
        <v>2012_ Cameroon</v>
      </c>
      <c r="D464" s="150">
        <v>1628.1969999999999</v>
      </c>
      <c r="E464" s="150">
        <v>7385.3109999999997</v>
      </c>
      <c r="F464" s="150">
        <f t="shared" si="15"/>
        <v>7385311000</v>
      </c>
      <c r="G464" s="150">
        <v>5757.1139999999996</v>
      </c>
      <c r="H464" s="150">
        <v>2128.6410000000001</v>
      </c>
      <c r="I464" s="150">
        <v>8159.8580000000002</v>
      </c>
      <c r="J464" s="150">
        <v>6031.2169999999996</v>
      </c>
      <c r="K464" s="150">
        <v>-500.44400000000002</v>
      </c>
      <c r="L464" s="150">
        <v>-774.54700000000003</v>
      </c>
      <c r="M464" s="150">
        <v>-274.10300000000001</v>
      </c>
      <c r="N464" s="150">
        <v>22.046424314399999</v>
      </c>
      <c r="O464" s="150">
        <v>100</v>
      </c>
      <c r="P464" s="150">
        <v>77.953575685600001</v>
      </c>
      <c r="Q464" s="150">
        <v>26.0867407251</v>
      </c>
      <c r="R464" s="150">
        <v>100</v>
      </c>
      <c r="S464" s="150">
        <v>73.9132592749</v>
      </c>
      <c r="T464" s="150" t="s">
        <v>2842</v>
      </c>
      <c r="U464" s="150" t="s">
        <v>2842</v>
      </c>
      <c r="V464" s="150" t="s">
        <v>2842</v>
      </c>
    </row>
    <row r="465" spans="1:22">
      <c r="A465" s="150" t="s">
        <v>2888</v>
      </c>
      <c r="B465" s="150" t="s">
        <v>122</v>
      </c>
      <c r="C465" s="150" t="str">
        <f t="shared" si="14"/>
        <v>2012_Central African Republic</v>
      </c>
      <c r="D465" s="150">
        <v>68.948361199999994</v>
      </c>
      <c r="E465" s="150">
        <v>252.28832166999999</v>
      </c>
      <c r="F465" s="150">
        <f t="shared" si="15"/>
        <v>252288321.66999999</v>
      </c>
      <c r="G465" s="150">
        <v>183.33996046999999</v>
      </c>
      <c r="H465" s="150">
        <v>178.83481187000001</v>
      </c>
      <c r="I465" s="150">
        <v>474.01998327000001</v>
      </c>
      <c r="J465" s="150">
        <v>295.1851714</v>
      </c>
      <c r="K465" s="150">
        <v>-109.88645067</v>
      </c>
      <c r="L465" s="150">
        <v>-221.7316616</v>
      </c>
      <c r="M465" s="150">
        <v>-111.84521092999999</v>
      </c>
      <c r="N465" s="150">
        <v>27.3291925459</v>
      </c>
      <c r="O465" s="150">
        <v>100</v>
      </c>
      <c r="P465" s="150">
        <v>72.6708074541</v>
      </c>
      <c r="Q465" s="150">
        <v>37.727272727299997</v>
      </c>
      <c r="R465" s="150">
        <v>100</v>
      </c>
      <c r="S465" s="150">
        <v>62.272727272700003</v>
      </c>
      <c r="T465" s="150" t="s">
        <v>2842</v>
      </c>
      <c r="U465" s="150" t="s">
        <v>2842</v>
      </c>
      <c r="V465" s="150" t="s">
        <v>2842</v>
      </c>
    </row>
    <row r="466" spans="1:22">
      <c r="A466" s="150" t="s">
        <v>2888</v>
      </c>
      <c r="B466" s="150" t="s">
        <v>2891</v>
      </c>
      <c r="C466" s="150" t="str">
        <f t="shared" si="14"/>
        <v>2012_ Chad</v>
      </c>
      <c r="D466" s="150">
        <v>415.25009299999999</v>
      </c>
      <c r="E466" s="150">
        <v>4710.7088379999996</v>
      </c>
      <c r="F466" s="150">
        <f t="shared" si="15"/>
        <v>4710708838</v>
      </c>
      <c r="G466" s="150">
        <v>4295.4587449999999</v>
      </c>
      <c r="H466" s="150">
        <v>2473.1470169999998</v>
      </c>
      <c r="I466" s="150">
        <v>5378.2817750000004</v>
      </c>
      <c r="J466" s="150">
        <v>2905.1347580000001</v>
      </c>
      <c r="K466" s="150">
        <v>-2057.8969240000001</v>
      </c>
      <c r="L466" s="150">
        <v>-667.57293700000002</v>
      </c>
      <c r="M466" s="150">
        <v>1390.323987</v>
      </c>
      <c r="N466" s="150">
        <v>8.8150235406000004</v>
      </c>
      <c r="O466" s="150">
        <v>100</v>
      </c>
      <c r="P466" s="150">
        <v>91.184976459400005</v>
      </c>
      <c r="Q466" s="150">
        <v>45.983961429799997</v>
      </c>
      <c r="R466" s="150">
        <v>100</v>
      </c>
      <c r="S466" s="150">
        <v>54.016038570200003</v>
      </c>
      <c r="T466" s="150" t="s">
        <v>2842</v>
      </c>
      <c r="U466" s="150" t="s">
        <v>2842</v>
      </c>
      <c r="V466" s="150" t="s">
        <v>2842</v>
      </c>
    </row>
    <row r="467" spans="1:22">
      <c r="A467" s="150" t="s">
        <v>2888</v>
      </c>
      <c r="B467" s="150" t="s">
        <v>458</v>
      </c>
      <c r="C467" s="150" t="str">
        <f t="shared" si="14"/>
        <v>2012_Republic of the Congo</v>
      </c>
      <c r="D467" s="150">
        <v>488.5148092</v>
      </c>
      <c r="E467" s="150">
        <v>11042.902725989999</v>
      </c>
      <c r="F467" s="150">
        <f t="shared" si="15"/>
        <v>11042902725.99</v>
      </c>
      <c r="G467" s="150">
        <v>10554.38791679</v>
      </c>
      <c r="H467" s="150">
        <v>5137.2405377100004</v>
      </c>
      <c r="I467" s="150">
        <v>10651.934177810001</v>
      </c>
      <c r="J467" s="150">
        <v>5514.6936401000003</v>
      </c>
      <c r="K467" s="150">
        <v>-4648.7257285100004</v>
      </c>
      <c r="L467" s="150">
        <v>390.96854818000003</v>
      </c>
      <c r="M467" s="150">
        <v>5039.6942766900002</v>
      </c>
      <c r="N467" s="150">
        <v>4.4237898432999998</v>
      </c>
      <c r="O467" s="150">
        <v>100</v>
      </c>
      <c r="P467" s="150">
        <v>95.5762101567</v>
      </c>
      <c r="Q467" s="150">
        <v>48.228241481399998</v>
      </c>
      <c r="R467" s="150">
        <v>100</v>
      </c>
      <c r="S467" s="150">
        <v>51.771758518600002</v>
      </c>
      <c r="T467" s="150" t="s">
        <v>2842</v>
      </c>
      <c r="U467" s="150" t="s">
        <v>2842</v>
      </c>
      <c r="V467" s="150" t="s">
        <v>2842</v>
      </c>
    </row>
    <row r="468" spans="1:22">
      <c r="A468" s="150" t="s">
        <v>2888</v>
      </c>
      <c r="B468" s="150" t="s">
        <v>165</v>
      </c>
      <c r="C468" s="150" t="str">
        <f t="shared" si="14"/>
        <v>2012_Democratic Republic of Congo</v>
      </c>
      <c r="D468" s="150">
        <v>287.69200000000001</v>
      </c>
      <c r="E468" s="150">
        <v>8821.8629999999994</v>
      </c>
      <c r="F468" s="150">
        <f t="shared" si="15"/>
        <v>8821863000</v>
      </c>
      <c r="G468" s="150">
        <v>8534.1710000000003</v>
      </c>
      <c r="H468" s="150">
        <v>2289.0340000000001</v>
      </c>
      <c r="I468" s="150">
        <v>10644.736000000001</v>
      </c>
      <c r="J468" s="150">
        <v>8355.7019999999993</v>
      </c>
      <c r="K468" s="150">
        <v>-2001.3420000000001</v>
      </c>
      <c r="L468" s="150">
        <v>-1822.873</v>
      </c>
      <c r="M468" s="150">
        <v>178.46899999999999</v>
      </c>
      <c r="N468" s="150">
        <v>3.2611252294000002</v>
      </c>
      <c r="O468" s="150">
        <v>100</v>
      </c>
      <c r="P468" s="150">
        <v>96.738874770600006</v>
      </c>
      <c r="Q468" s="150">
        <v>21.503905780299998</v>
      </c>
      <c r="R468" s="150">
        <v>100</v>
      </c>
      <c r="S468" s="150">
        <v>78.496094219699998</v>
      </c>
      <c r="T468" s="150" t="s">
        <v>2842</v>
      </c>
      <c r="U468" s="150" t="s">
        <v>2842</v>
      </c>
      <c r="V468" s="150" t="s">
        <v>2842</v>
      </c>
    </row>
    <row r="469" spans="1:22">
      <c r="A469" s="150" t="s">
        <v>2888</v>
      </c>
      <c r="B469" s="150" t="s">
        <v>2892</v>
      </c>
      <c r="C469" s="150" t="str">
        <f t="shared" si="14"/>
        <v>2012_ Equatorial Guinea</v>
      </c>
      <c r="D469" s="150">
        <v>59.350435920000002</v>
      </c>
      <c r="E469" s="150">
        <v>17219.265582420001</v>
      </c>
      <c r="F469" s="150">
        <f t="shared" si="15"/>
        <v>17219265582.420002</v>
      </c>
      <c r="G469" s="150">
        <v>17159.9151465</v>
      </c>
      <c r="H469" s="150">
        <v>3078.7793789500001</v>
      </c>
      <c r="I469" s="150">
        <v>10171.45028567</v>
      </c>
      <c r="J469" s="150">
        <v>7092.6709067199999</v>
      </c>
      <c r="K469" s="150">
        <v>-3019.42894303</v>
      </c>
      <c r="L469" s="150">
        <v>7047.81529675</v>
      </c>
      <c r="M469" s="150">
        <v>10067.24423978</v>
      </c>
      <c r="N469" s="150">
        <v>0.3446746067</v>
      </c>
      <c r="O469" s="150">
        <v>100</v>
      </c>
      <c r="P469" s="150">
        <v>99.655325393300004</v>
      </c>
      <c r="Q469" s="150">
        <v>30.268833769800001</v>
      </c>
      <c r="R469" s="150">
        <v>100</v>
      </c>
      <c r="S469" s="150">
        <v>69.731166230200003</v>
      </c>
      <c r="T469" s="150" t="s">
        <v>2842</v>
      </c>
      <c r="U469" s="150" t="s">
        <v>2842</v>
      </c>
      <c r="V469" s="150" t="s">
        <v>2842</v>
      </c>
    </row>
    <row r="470" spans="1:22">
      <c r="A470" s="150" t="s">
        <v>2888</v>
      </c>
      <c r="B470" s="150" t="s">
        <v>2893</v>
      </c>
      <c r="C470" s="150" t="str">
        <f t="shared" si="14"/>
        <v>2012_ Gabon</v>
      </c>
      <c r="D470" s="150">
        <v>179.61831599999999</v>
      </c>
      <c r="E470" s="150">
        <v>9879.3335819999993</v>
      </c>
      <c r="F470" s="150">
        <f t="shared" si="15"/>
        <v>9879333582</v>
      </c>
      <c r="G470" s="150">
        <v>9699.7152659999992</v>
      </c>
      <c r="H470" s="150">
        <v>2515.0102430000002</v>
      </c>
      <c r="I470" s="150">
        <v>5431.264811</v>
      </c>
      <c r="J470" s="150">
        <v>2916.2545679999998</v>
      </c>
      <c r="K470" s="150">
        <v>-2335.3919270000001</v>
      </c>
      <c r="L470" s="150">
        <v>4448.0687710000002</v>
      </c>
      <c r="M470" s="150">
        <v>6783.4606979999999</v>
      </c>
      <c r="N470" s="150">
        <v>1.8181217842999999</v>
      </c>
      <c r="O470" s="150">
        <v>100</v>
      </c>
      <c r="P470" s="150">
        <v>98.181878215699996</v>
      </c>
      <c r="Q470" s="150">
        <v>46.306161281400001</v>
      </c>
      <c r="R470" s="150">
        <v>100</v>
      </c>
      <c r="S470" s="150">
        <v>53.693838718599999</v>
      </c>
      <c r="T470" s="150" t="s">
        <v>2842</v>
      </c>
      <c r="U470" s="150" t="s">
        <v>2842</v>
      </c>
      <c r="V470" s="150" t="s">
        <v>2842</v>
      </c>
    </row>
    <row r="471" spans="1:22">
      <c r="A471" s="150" t="s">
        <v>2888</v>
      </c>
      <c r="B471" s="150" t="s">
        <v>189</v>
      </c>
      <c r="C471" s="150" t="str">
        <f t="shared" si="14"/>
        <v>2012_Ghana</v>
      </c>
      <c r="D471" s="150">
        <v>3259.41</v>
      </c>
      <c r="E471" s="150">
        <v>16802.810000000001</v>
      </c>
      <c r="F471" s="150">
        <f t="shared" si="15"/>
        <v>16802810000.000002</v>
      </c>
      <c r="G471" s="150">
        <v>13543.4</v>
      </c>
      <c r="H471" s="150">
        <v>4236.43</v>
      </c>
      <c r="I471" s="150">
        <v>21999.63</v>
      </c>
      <c r="J471" s="150">
        <v>17763.2</v>
      </c>
      <c r="K471" s="150">
        <v>-977.02</v>
      </c>
      <c r="L471" s="150">
        <v>-5196.82</v>
      </c>
      <c r="M471" s="150">
        <v>-4219.8</v>
      </c>
      <c r="N471" s="150">
        <v>19.398005452700001</v>
      </c>
      <c r="O471" s="150">
        <v>100</v>
      </c>
      <c r="P471" s="150">
        <v>80.601994547299995</v>
      </c>
      <c r="Q471" s="150">
        <v>19.256823864800001</v>
      </c>
      <c r="R471" s="150">
        <v>100</v>
      </c>
      <c r="S471" s="150">
        <v>80.743176135200002</v>
      </c>
      <c r="T471" s="150" t="s">
        <v>2842</v>
      </c>
      <c r="U471" s="150" t="s">
        <v>2842</v>
      </c>
      <c r="V471" s="150" t="s">
        <v>2842</v>
      </c>
    </row>
    <row r="472" spans="1:22">
      <c r="A472" s="150" t="s">
        <v>2888</v>
      </c>
      <c r="B472" s="150" t="s">
        <v>213</v>
      </c>
      <c r="C472" s="150" t="str">
        <f t="shared" si="14"/>
        <v>2012_Guatemala</v>
      </c>
      <c r="D472" s="150">
        <v>2430.2436299999999</v>
      </c>
      <c r="E472" s="150">
        <v>12532.94363</v>
      </c>
      <c r="F472" s="150">
        <f t="shared" si="15"/>
        <v>12532943630</v>
      </c>
      <c r="G472" s="150">
        <v>10102.700000000001</v>
      </c>
      <c r="H472" s="150">
        <v>2415.4639999999999</v>
      </c>
      <c r="I472" s="150">
        <v>18253.164000000001</v>
      </c>
      <c r="J472" s="150">
        <v>15837.7</v>
      </c>
      <c r="K472" s="150">
        <v>14.779629999999999</v>
      </c>
      <c r="L472" s="150">
        <v>-5720.22037</v>
      </c>
      <c r="M472" s="150">
        <v>-5735</v>
      </c>
      <c r="N472" s="150">
        <v>19.3908446551</v>
      </c>
      <c r="O472" s="150">
        <v>100</v>
      </c>
      <c r="P472" s="150">
        <v>80.609155344900003</v>
      </c>
      <c r="Q472" s="150">
        <v>13.233124953000001</v>
      </c>
      <c r="R472" s="150">
        <v>100</v>
      </c>
      <c r="S472" s="150">
        <v>86.766875046999999</v>
      </c>
      <c r="T472" s="150" t="s">
        <v>2842</v>
      </c>
      <c r="U472" s="150" t="s">
        <v>2842</v>
      </c>
      <c r="V472" s="150" t="s">
        <v>2842</v>
      </c>
    </row>
    <row r="473" spans="1:22">
      <c r="A473" s="150" t="s">
        <v>2888</v>
      </c>
      <c r="B473" s="150" t="s">
        <v>2894</v>
      </c>
      <c r="C473" s="150" t="str">
        <f t="shared" si="14"/>
        <v>2012_ Guinea</v>
      </c>
      <c r="D473" s="150">
        <v>159.06</v>
      </c>
      <c r="E473" s="150">
        <v>2086.65</v>
      </c>
      <c r="F473" s="150">
        <f t="shared" si="15"/>
        <v>2086650000</v>
      </c>
      <c r="G473" s="150">
        <v>1927.59</v>
      </c>
      <c r="H473" s="150">
        <v>881.78</v>
      </c>
      <c r="I473" s="150">
        <v>3135.74</v>
      </c>
      <c r="J473" s="150">
        <v>2253.96</v>
      </c>
      <c r="K473" s="150">
        <v>-722.72</v>
      </c>
      <c r="L473" s="150">
        <v>-1049.0899999999999</v>
      </c>
      <c r="M473" s="150">
        <v>-326.37</v>
      </c>
      <c r="N473" s="150">
        <v>7.6227445906</v>
      </c>
      <c r="O473" s="150">
        <v>100</v>
      </c>
      <c r="P473" s="150">
        <v>92.377255409399993</v>
      </c>
      <c r="Q473" s="150">
        <v>28.1203160976</v>
      </c>
      <c r="R473" s="150">
        <v>100</v>
      </c>
      <c r="S473" s="150">
        <v>71.879683902400004</v>
      </c>
      <c r="T473" s="150" t="s">
        <v>2842</v>
      </c>
      <c r="U473" s="150" t="s">
        <v>2842</v>
      </c>
      <c r="V473" s="150" t="s">
        <v>2842</v>
      </c>
    </row>
    <row r="474" spans="1:22">
      <c r="A474" s="150" t="s">
        <v>2888</v>
      </c>
      <c r="B474" s="150" t="s">
        <v>237</v>
      </c>
      <c r="C474" s="150" t="str">
        <f t="shared" si="14"/>
        <v>2012_Indonesia</v>
      </c>
      <c r="D474" s="150">
        <v>23113.207999999999</v>
      </c>
      <c r="E474" s="150">
        <v>211113.20800000001</v>
      </c>
      <c r="F474" s="150">
        <f t="shared" si="15"/>
        <v>211113208000</v>
      </c>
      <c r="G474" s="150">
        <v>188000</v>
      </c>
      <c r="H474" s="150">
        <v>33887.398000000001</v>
      </c>
      <c r="I474" s="150">
        <v>213887.39799999999</v>
      </c>
      <c r="J474" s="150">
        <v>180000</v>
      </c>
      <c r="K474" s="150">
        <v>-10774.19</v>
      </c>
      <c r="L474" s="150">
        <v>-2774.19</v>
      </c>
      <c r="M474" s="150">
        <v>8000</v>
      </c>
      <c r="N474" s="150">
        <v>10.9482529392</v>
      </c>
      <c r="O474" s="150">
        <v>100</v>
      </c>
      <c r="P474" s="150">
        <v>89.051747060799997</v>
      </c>
      <c r="Q474" s="150">
        <v>15.843569241000001</v>
      </c>
      <c r="R474" s="150">
        <v>100</v>
      </c>
      <c r="S474" s="150">
        <v>84.156430759000003</v>
      </c>
      <c r="T474" s="150" t="s">
        <v>2842</v>
      </c>
      <c r="U474" s="150" t="s">
        <v>2842</v>
      </c>
      <c r="V474" s="150" t="s">
        <v>2842</v>
      </c>
    </row>
    <row r="475" spans="1:22">
      <c r="A475" s="150" t="s">
        <v>2888</v>
      </c>
      <c r="B475" s="150" t="s">
        <v>245</v>
      </c>
      <c r="C475" s="150" t="str">
        <f t="shared" si="14"/>
        <v>2012_Iraq</v>
      </c>
      <c r="D475" s="150">
        <v>2833</v>
      </c>
      <c r="E475" s="150">
        <v>97040</v>
      </c>
      <c r="F475" s="150">
        <f t="shared" si="15"/>
        <v>97040000000</v>
      </c>
      <c r="G475" s="150">
        <v>94207</v>
      </c>
      <c r="H475" s="150">
        <v>13291</v>
      </c>
      <c r="I475" s="150">
        <v>63446</v>
      </c>
      <c r="J475" s="150">
        <v>50155</v>
      </c>
      <c r="K475" s="150">
        <v>-10458</v>
      </c>
      <c r="L475" s="150">
        <v>33594</v>
      </c>
      <c r="M475" s="150">
        <v>44052</v>
      </c>
      <c r="N475" s="150">
        <v>2.9194146744</v>
      </c>
      <c r="O475" s="150">
        <v>100</v>
      </c>
      <c r="P475" s="150">
        <v>97.080585325599998</v>
      </c>
      <c r="Q475" s="150">
        <v>20.948523153499998</v>
      </c>
      <c r="R475" s="150">
        <v>100</v>
      </c>
      <c r="S475" s="150">
        <v>79.051476846499995</v>
      </c>
      <c r="T475" s="150" t="s">
        <v>2842</v>
      </c>
      <c r="U475" s="150" t="s">
        <v>2842</v>
      </c>
      <c r="V475" s="150" t="s">
        <v>2842</v>
      </c>
    </row>
    <row r="476" spans="1:22">
      <c r="A476" s="150" t="s">
        <v>2888</v>
      </c>
      <c r="B476" s="150" t="s">
        <v>273</v>
      </c>
      <c r="C476" s="150" t="str">
        <f t="shared" si="14"/>
        <v>2012_Kazakhstan</v>
      </c>
      <c r="D476" s="150">
        <v>4820.7964300000003</v>
      </c>
      <c r="E476" s="150">
        <v>91759.34</v>
      </c>
      <c r="F476" s="150">
        <f t="shared" si="15"/>
        <v>91759340000</v>
      </c>
      <c r="G476" s="150">
        <v>86938.543569999994</v>
      </c>
      <c r="H476" s="150">
        <v>12735.2682</v>
      </c>
      <c r="I476" s="150">
        <v>61562</v>
      </c>
      <c r="J476" s="150">
        <v>48826.731800000001</v>
      </c>
      <c r="K476" s="150">
        <v>-7914.4717700000001</v>
      </c>
      <c r="L476" s="150">
        <v>30197.34</v>
      </c>
      <c r="M476" s="150">
        <v>38111.81177</v>
      </c>
      <c r="N476" s="150">
        <v>5.2537392160999996</v>
      </c>
      <c r="O476" s="150">
        <v>100</v>
      </c>
      <c r="P476" s="150">
        <v>94.746260783899999</v>
      </c>
      <c r="Q476" s="150">
        <v>20.686898086500001</v>
      </c>
      <c r="R476" s="150">
        <v>100</v>
      </c>
      <c r="S476" s="150">
        <v>79.313101913500006</v>
      </c>
      <c r="T476" s="150" t="s">
        <v>2842</v>
      </c>
      <c r="U476" s="150" t="s">
        <v>2842</v>
      </c>
      <c r="V476" s="150" t="s">
        <v>2842</v>
      </c>
    </row>
    <row r="477" spans="1:22">
      <c r="A477" s="150" t="s">
        <v>2888</v>
      </c>
      <c r="B477" s="150" t="s">
        <v>2895</v>
      </c>
      <c r="C477" s="150" t="str">
        <f t="shared" si="14"/>
        <v>2012_Kyrgyzstan</v>
      </c>
      <c r="D477" s="150">
        <v>1230.0650000000001</v>
      </c>
      <c r="E477" s="150">
        <v>3150.6869999999999</v>
      </c>
      <c r="F477" s="150">
        <f t="shared" si="15"/>
        <v>3150687000</v>
      </c>
      <c r="G477" s="150">
        <v>1920.6220000000001</v>
      </c>
      <c r="H477" s="150">
        <v>1531.7639999999999</v>
      </c>
      <c r="I477" s="150">
        <v>6498.2860000000001</v>
      </c>
      <c r="J477" s="150">
        <v>4966.5219999999999</v>
      </c>
      <c r="K477" s="150">
        <v>-301.69900000000001</v>
      </c>
      <c r="L477" s="150">
        <v>-3347.5990000000002</v>
      </c>
      <c r="M477" s="150">
        <v>-3045.9</v>
      </c>
      <c r="N477" s="150">
        <v>39.041167846900002</v>
      </c>
      <c r="O477" s="150">
        <v>100</v>
      </c>
      <c r="P477" s="150">
        <v>60.958832153099998</v>
      </c>
      <c r="Q477" s="150">
        <v>23.571815706500001</v>
      </c>
      <c r="R477" s="150">
        <v>100</v>
      </c>
      <c r="S477" s="150">
        <v>76.428184293499996</v>
      </c>
      <c r="T477" s="150" t="s">
        <v>2842</v>
      </c>
      <c r="U477" s="150" t="s">
        <v>2842</v>
      </c>
      <c r="V477" s="150" t="s">
        <v>2842</v>
      </c>
    </row>
    <row r="478" spans="1:22">
      <c r="A478" s="150" t="s">
        <v>2888</v>
      </c>
      <c r="B478" s="150" t="s">
        <v>294</v>
      </c>
      <c r="C478" s="150" t="str">
        <f t="shared" si="14"/>
        <v>2012_Liberia</v>
      </c>
      <c r="D478" s="150">
        <v>506.78621800000002</v>
      </c>
      <c r="E478" s="150">
        <v>1288.5438019999999</v>
      </c>
      <c r="F478" s="150">
        <f t="shared" si="15"/>
        <v>1288543802</v>
      </c>
      <c r="G478" s="150">
        <v>781.75758399999995</v>
      </c>
      <c r="H478" s="150">
        <v>975.94707800000003</v>
      </c>
      <c r="I478" s="150">
        <v>3108.1674480000001</v>
      </c>
      <c r="J478" s="150">
        <v>2132.22037</v>
      </c>
      <c r="K478" s="150">
        <v>-469.16086000000001</v>
      </c>
      <c r="L478" s="150">
        <v>-1819.623646</v>
      </c>
      <c r="M478" s="150">
        <v>-1350.4627860000001</v>
      </c>
      <c r="N478" s="150">
        <v>39.3301506098</v>
      </c>
      <c r="O478" s="150">
        <v>100</v>
      </c>
      <c r="P478" s="150">
        <v>60.6698493902</v>
      </c>
      <c r="Q478" s="150">
        <v>31.3994369457</v>
      </c>
      <c r="R478" s="150">
        <v>100</v>
      </c>
      <c r="S478" s="150">
        <v>68.600563054299997</v>
      </c>
      <c r="T478" s="150" t="s">
        <v>2842</v>
      </c>
      <c r="U478" s="150" t="s">
        <v>2842</v>
      </c>
      <c r="V478" s="150" t="s">
        <v>2842</v>
      </c>
    </row>
    <row r="479" spans="1:22">
      <c r="A479" s="150" t="s">
        <v>2888</v>
      </c>
      <c r="B479" s="150" t="s">
        <v>309</v>
      </c>
      <c r="C479" s="150" t="str">
        <f t="shared" si="14"/>
        <v>2012_Madagascar</v>
      </c>
      <c r="D479" s="150">
        <v>1358.29981</v>
      </c>
      <c r="E479" s="150">
        <v>2873.9925544500002</v>
      </c>
      <c r="F479" s="150">
        <f t="shared" si="15"/>
        <v>2873992554.4500003</v>
      </c>
      <c r="G479" s="150">
        <v>1515.69274445</v>
      </c>
      <c r="H479" s="150">
        <v>1369.8333270000001</v>
      </c>
      <c r="I479" s="150">
        <v>3994.64218153</v>
      </c>
      <c r="J479" s="150">
        <v>2624.8088545300002</v>
      </c>
      <c r="K479" s="150">
        <v>-11.533517</v>
      </c>
      <c r="L479" s="150">
        <v>-1120.6496270800001</v>
      </c>
      <c r="M479" s="150">
        <v>-1109.11611008</v>
      </c>
      <c r="N479" s="150">
        <v>47.261772056300003</v>
      </c>
      <c r="O479" s="150">
        <v>100</v>
      </c>
      <c r="P479" s="150">
        <v>52.738227943699997</v>
      </c>
      <c r="Q479" s="150">
        <v>34.291765438600002</v>
      </c>
      <c r="R479" s="150">
        <v>100</v>
      </c>
      <c r="S479" s="150">
        <v>65.708234561400005</v>
      </c>
      <c r="T479" s="150" t="s">
        <v>2842</v>
      </c>
      <c r="U479" s="150" t="s">
        <v>2842</v>
      </c>
      <c r="V479" s="150" t="s">
        <v>2842</v>
      </c>
    </row>
    <row r="480" spans="1:22">
      <c r="A480" s="150" t="s">
        <v>2888</v>
      </c>
      <c r="B480" s="150" t="s">
        <v>322</v>
      </c>
      <c r="C480" s="150" t="str">
        <f t="shared" si="14"/>
        <v>2012_Mali</v>
      </c>
      <c r="D480" s="150">
        <v>340.24359299999998</v>
      </c>
      <c r="E480" s="150">
        <v>3343.2616630000002</v>
      </c>
      <c r="F480" s="150">
        <f t="shared" si="15"/>
        <v>3343261663</v>
      </c>
      <c r="G480" s="150">
        <v>3003.0180700000001</v>
      </c>
      <c r="H480" s="150">
        <v>1049.30287</v>
      </c>
      <c r="I480" s="150">
        <v>3953.9778369999999</v>
      </c>
      <c r="J480" s="150">
        <v>2904.6749669999999</v>
      </c>
      <c r="K480" s="150">
        <v>-709.05927699999995</v>
      </c>
      <c r="L480" s="150">
        <v>-610.71617400000002</v>
      </c>
      <c r="M480" s="150">
        <v>98.343102999999999</v>
      </c>
      <c r="N480" s="150">
        <v>10.1769956197</v>
      </c>
      <c r="O480" s="150">
        <v>100</v>
      </c>
      <c r="P480" s="150">
        <v>89.823004380300006</v>
      </c>
      <c r="Q480" s="150">
        <v>26.5379046939</v>
      </c>
      <c r="R480" s="150">
        <v>100</v>
      </c>
      <c r="S480" s="150">
        <v>73.462095306099997</v>
      </c>
      <c r="T480" s="150" t="s">
        <v>2842</v>
      </c>
      <c r="U480" s="150" t="s">
        <v>2842</v>
      </c>
      <c r="V480" s="150" t="s">
        <v>2842</v>
      </c>
    </row>
    <row r="481" spans="1:22">
      <c r="A481" s="150" t="s">
        <v>2888</v>
      </c>
      <c r="B481" s="150" t="s">
        <v>338</v>
      </c>
      <c r="C481" s="150" t="str">
        <f t="shared" si="14"/>
        <v>2012_Mauritania</v>
      </c>
      <c r="D481" s="150">
        <v>160.86515714000001</v>
      </c>
      <c r="E481" s="150">
        <v>2801.8651571400001</v>
      </c>
      <c r="F481" s="150">
        <f t="shared" si="15"/>
        <v>2801865157.1399999</v>
      </c>
      <c r="G481" s="150">
        <v>2641</v>
      </c>
      <c r="H481" s="150">
        <v>1024.6704967799999</v>
      </c>
      <c r="I481" s="150">
        <v>4153.4704967799998</v>
      </c>
      <c r="J481" s="150">
        <v>3128.8</v>
      </c>
      <c r="K481" s="150">
        <v>-863.80533964000006</v>
      </c>
      <c r="L481" s="150">
        <v>-1351.60533964</v>
      </c>
      <c r="M481" s="150">
        <v>-487.8</v>
      </c>
      <c r="N481" s="150">
        <v>5.7413597056999999</v>
      </c>
      <c r="O481" s="150">
        <v>100</v>
      </c>
      <c r="P481" s="150">
        <v>94.258640294299994</v>
      </c>
      <c r="Q481" s="150">
        <v>24.670224516400001</v>
      </c>
      <c r="R481" s="150">
        <v>100</v>
      </c>
      <c r="S481" s="150">
        <v>75.329775483600002</v>
      </c>
      <c r="T481" s="150" t="s">
        <v>2842</v>
      </c>
      <c r="U481" s="150" t="s">
        <v>2842</v>
      </c>
      <c r="V481" s="150" t="s">
        <v>2842</v>
      </c>
    </row>
    <row r="482" spans="1:22">
      <c r="A482" s="150" t="s">
        <v>2888</v>
      </c>
      <c r="B482" s="150" t="s">
        <v>357</v>
      </c>
      <c r="C482" s="150" t="str">
        <f t="shared" si="14"/>
        <v>2012_Mongolia</v>
      </c>
      <c r="D482" s="150">
        <v>960.90899999999999</v>
      </c>
      <c r="E482" s="150">
        <v>5345.5780000000004</v>
      </c>
      <c r="F482" s="150">
        <f t="shared" si="15"/>
        <v>5345578000</v>
      </c>
      <c r="G482" s="150">
        <v>4384.6689999999999</v>
      </c>
      <c r="H482" s="150">
        <v>2061.2040000000002</v>
      </c>
      <c r="I482" s="150">
        <v>7999.1949999999997</v>
      </c>
      <c r="J482" s="150">
        <v>5937.991</v>
      </c>
      <c r="K482" s="150">
        <v>-1100.2950000000001</v>
      </c>
      <c r="L482" s="150">
        <v>-2653.6170000000002</v>
      </c>
      <c r="M482" s="150">
        <v>-1553.3219999999999</v>
      </c>
      <c r="N482" s="150">
        <v>17.9757736207</v>
      </c>
      <c r="O482" s="150">
        <v>100</v>
      </c>
      <c r="P482" s="150">
        <v>82.024226379300003</v>
      </c>
      <c r="Q482" s="150">
        <v>25.767642869100001</v>
      </c>
      <c r="R482" s="150">
        <v>100</v>
      </c>
      <c r="S482" s="150">
        <v>74.232357130899999</v>
      </c>
      <c r="T482" s="150" t="s">
        <v>2842</v>
      </c>
      <c r="U482" s="150" t="s">
        <v>2842</v>
      </c>
      <c r="V482" s="150" t="s">
        <v>2842</v>
      </c>
    </row>
    <row r="483" spans="1:22">
      <c r="A483" s="150" t="s">
        <v>2888</v>
      </c>
      <c r="B483" s="150" t="s">
        <v>378</v>
      </c>
      <c r="C483" s="150" t="str">
        <f t="shared" si="14"/>
        <v>2012_Mozambique</v>
      </c>
      <c r="D483" s="150">
        <v>1100.354</v>
      </c>
      <c r="E483" s="150">
        <v>4955.8919999999998</v>
      </c>
      <c r="F483" s="150">
        <f t="shared" si="15"/>
        <v>4955892000</v>
      </c>
      <c r="G483" s="150">
        <v>3855.538</v>
      </c>
      <c r="H483" s="150">
        <v>4171.0320000000002</v>
      </c>
      <c r="I483" s="150">
        <v>12069.187</v>
      </c>
      <c r="J483" s="150">
        <v>7898.1549999999997</v>
      </c>
      <c r="K483" s="150">
        <v>-3070.6779999999999</v>
      </c>
      <c r="L483" s="150">
        <v>-7113.2950000000001</v>
      </c>
      <c r="M483" s="150">
        <v>-4042.6170000000002</v>
      </c>
      <c r="N483" s="150">
        <v>22.202945504100001</v>
      </c>
      <c r="O483" s="150">
        <v>100</v>
      </c>
      <c r="P483" s="150">
        <v>77.797054495899999</v>
      </c>
      <c r="Q483" s="150">
        <v>34.559345215199997</v>
      </c>
      <c r="R483" s="150">
        <v>100</v>
      </c>
      <c r="S483" s="150">
        <v>65.440654784800003</v>
      </c>
      <c r="T483" s="150" t="s">
        <v>2842</v>
      </c>
      <c r="U483" s="150" t="s">
        <v>2842</v>
      </c>
      <c r="V483" s="150" t="s">
        <v>2842</v>
      </c>
    </row>
    <row r="484" spans="1:22">
      <c r="A484" s="150" t="s">
        <v>2888</v>
      </c>
      <c r="B484" s="150" t="s">
        <v>387</v>
      </c>
      <c r="C484" s="150" t="str">
        <f t="shared" si="14"/>
        <v>2012_Niger</v>
      </c>
      <c r="D484" s="150" t="s">
        <v>561</v>
      </c>
      <c r="E484" s="150" t="s">
        <v>2842</v>
      </c>
      <c r="F484" s="150" t="str">
        <f t="shared" si="15"/>
        <v>..</v>
      </c>
      <c r="G484" s="150">
        <v>1524.4281960000001</v>
      </c>
      <c r="H484" s="150" t="s">
        <v>561</v>
      </c>
      <c r="I484" s="150" t="s">
        <v>561</v>
      </c>
      <c r="J484" s="150">
        <v>1935.13863821</v>
      </c>
      <c r="K484" s="150" t="s">
        <v>561</v>
      </c>
      <c r="L484" s="150" t="s">
        <v>561</v>
      </c>
      <c r="M484" s="150">
        <v>-410.71044221</v>
      </c>
      <c r="N484" s="150" t="s">
        <v>561</v>
      </c>
      <c r="O484" s="150" t="s">
        <v>561</v>
      </c>
      <c r="P484" s="150">
        <v>95.195949864400006</v>
      </c>
      <c r="Q484" s="150" t="s">
        <v>561</v>
      </c>
      <c r="R484" s="150" t="s">
        <v>561</v>
      </c>
      <c r="S484" s="150">
        <v>67.660763854500004</v>
      </c>
      <c r="T484" s="150" t="s">
        <v>2842</v>
      </c>
      <c r="U484" s="150" t="s">
        <v>2842</v>
      </c>
      <c r="V484" s="150" t="s">
        <v>2842</v>
      </c>
    </row>
    <row r="485" spans="1:22">
      <c r="A485" s="150" t="s">
        <v>2888</v>
      </c>
      <c r="B485" s="150" t="s">
        <v>406</v>
      </c>
      <c r="C485" s="150" t="str">
        <f t="shared" si="14"/>
        <v>2012_Nigeria</v>
      </c>
      <c r="D485" s="150">
        <v>2410.8319999999999</v>
      </c>
      <c r="E485" s="150">
        <v>98087.456999999995</v>
      </c>
      <c r="F485" s="150">
        <f t="shared" si="15"/>
        <v>98087457000</v>
      </c>
      <c r="G485" s="150">
        <v>95676.625</v>
      </c>
      <c r="H485" s="150">
        <v>24044.28</v>
      </c>
      <c r="I485" s="150">
        <v>77403.065000000002</v>
      </c>
      <c r="J485" s="150">
        <v>53358.785000000003</v>
      </c>
      <c r="K485" s="150">
        <v>-21633.448</v>
      </c>
      <c r="L485" s="150">
        <v>20684.392</v>
      </c>
      <c r="M485" s="150">
        <v>42317.84</v>
      </c>
      <c r="N485" s="150">
        <v>2.4578392322</v>
      </c>
      <c r="O485" s="150">
        <v>100</v>
      </c>
      <c r="P485" s="150">
        <v>97.542160767799999</v>
      </c>
      <c r="Q485" s="150">
        <v>31.063731132600001</v>
      </c>
      <c r="R485" s="150">
        <v>100</v>
      </c>
      <c r="S485" s="150">
        <v>68.936268867400003</v>
      </c>
      <c r="T485" s="150" t="s">
        <v>2842</v>
      </c>
      <c r="U485" s="150" t="s">
        <v>2842</v>
      </c>
      <c r="V485" s="150" t="s">
        <v>2842</v>
      </c>
    </row>
    <row r="486" spans="1:22">
      <c r="A486" s="150" t="s">
        <v>2888</v>
      </c>
      <c r="B486" s="150" t="s">
        <v>429</v>
      </c>
      <c r="C486" s="150" t="str">
        <f t="shared" si="14"/>
        <v>2012_Norway</v>
      </c>
      <c r="D486" s="150">
        <v>42903.824402999999</v>
      </c>
      <c r="E486" s="150">
        <v>203375.30075900001</v>
      </c>
      <c r="F486" s="150">
        <f t="shared" si="15"/>
        <v>203375300759</v>
      </c>
      <c r="G486" s="150">
        <v>160471.476356</v>
      </c>
      <c r="H486" s="150">
        <v>48539.062975000001</v>
      </c>
      <c r="I486" s="150">
        <v>136756.16490900001</v>
      </c>
      <c r="J486" s="150">
        <v>88217.101934000006</v>
      </c>
      <c r="K486" s="150">
        <v>-5635.2385720000002</v>
      </c>
      <c r="L486" s="150">
        <v>66619.135850000006</v>
      </c>
      <c r="M486" s="150">
        <v>72254.374421999994</v>
      </c>
      <c r="N486" s="150">
        <v>21.095887378099999</v>
      </c>
      <c r="O486" s="150">
        <v>100</v>
      </c>
      <c r="P486" s="150">
        <v>78.904112621899998</v>
      </c>
      <c r="Q486" s="150">
        <v>35.493144318100001</v>
      </c>
      <c r="R486" s="150">
        <v>100</v>
      </c>
      <c r="S486" s="150">
        <v>64.506855681900007</v>
      </c>
      <c r="T486" s="150" t="s">
        <v>2842</v>
      </c>
      <c r="U486" s="150" t="s">
        <v>2842</v>
      </c>
      <c r="V486" s="150" t="s">
        <v>2842</v>
      </c>
    </row>
    <row r="487" spans="1:22">
      <c r="A487" s="150" t="s">
        <v>2888</v>
      </c>
      <c r="B487" s="150" t="s">
        <v>442</v>
      </c>
      <c r="C487" s="150" t="str">
        <f t="shared" si="14"/>
        <v>2012_Peru</v>
      </c>
      <c r="D487" s="150">
        <v>5129.9110000000001</v>
      </c>
      <c r="E487" s="150">
        <v>51063.296999999999</v>
      </c>
      <c r="F487" s="150">
        <f t="shared" si="15"/>
        <v>51063297000</v>
      </c>
      <c r="G487" s="150">
        <v>45933.385999999999</v>
      </c>
      <c r="H487" s="150">
        <v>7387.9309999999996</v>
      </c>
      <c r="I487" s="150">
        <v>48500.591</v>
      </c>
      <c r="J487" s="150">
        <v>41112.660000000003</v>
      </c>
      <c r="K487" s="150">
        <v>-2258.02</v>
      </c>
      <c r="L487" s="150">
        <v>2562.7060000000001</v>
      </c>
      <c r="M487" s="150">
        <v>4820.7259999999997</v>
      </c>
      <c r="N487" s="150">
        <v>10.046180527700001</v>
      </c>
      <c r="O487" s="150">
        <v>100</v>
      </c>
      <c r="P487" s="150">
        <v>89.953819472299998</v>
      </c>
      <c r="Q487" s="150">
        <v>15.232661804099999</v>
      </c>
      <c r="R487" s="150">
        <v>100</v>
      </c>
      <c r="S487" s="150">
        <v>84.767338195899995</v>
      </c>
      <c r="T487" s="150" t="s">
        <v>2842</v>
      </c>
      <c r="U487" s="150" t="s">
        <v>2842</v>
      </c>
      <c r="V487" s="150" t="s">
        <v>2842</v>
      </c>
    </row>
    <row r="488" spans="1:22">
      <c r="A488" s="150" t="s">
        <v>2888</v>
      </c>
      <c r="B488" s="150" t="s">
        <v>481</v>
      </c>
      <c r="C488" s="150" t="str">
        <f t="shared" si="14"/>
        <v>2012_Sierra Leone</v>
      </c>
      <c r="D488" s="150">
        <v>181.98</v>
      </c>
      <c r="E488" s="150">
        <v>1346.462</v>
      </c>
      <c r="F488" s="150">
        <f t="shared" si="15"/>
        <v>1346462000</v>
      </c>
      <c r="G488" s="150">
        <v>1164.482</v>
      </c>
      <c r="H488" s="150">
        <v>531.18200000000002</v>
      </c>
      <c r="I488" s="150">
        <v>2551.5520000000001</v>
      </c>
      <c r="J488" s="150">
        <v>2020.37</v>
      </c>
      <c r="K488" s="150">
        <v>-349.202</v>
      </c>
      <c r="L488" s="150">
        <v>-1205.0899999999999</v>
      </c>
      <c r="M488" s="150">
        <v>-855.88800000000003</v>
      </c>
      <c r="N488" s="150">
        <v>13.515420412899999</v>
      </c>
      <c r="O488" s="150">
        <v>100</v>
      </c>
      <c r="P488" s="150">
        <v>86.484579587100001</v>
      </c>
      <c r="Q488" s="150">
        <v>20.817996262699999</v>
      </c>
      <c r="R488" s="150">
        <v>100</v>
      </c>
      <c r="S488" s="150">
        <v>79.182003737299993</v>
      </c>
      <c r="T488" s="150" t="s">
        <v>2842</v>
      </c>
      <c r="U488" s="150" t="s">
        <v>2842</v>
      </c>
      <c r="V488" s="150" t="s">
        <v>2842</v>
      </c>
    </row>
    <row r="489" spans="1:22">
      <c r="A489" s="150" t="s">
        <v>2888</v>
      </c>
      <c r="B489" s="150" t="s">
        <v>2844</v>
      </c>
      <c r="C489" s="150" t="str">
        <f t="shared" si="14"/>
        <v>2012_Timor-Leste</v>
      </c>
      <c r="D489" s="150">
        <v>69.423000000000002</v>
      </c>
      <c r="E489" s="150">
        <v>102.68899999999999</v>
      </c>
      <c r="F489" s="150">
        <f t="shared" si="15"/>
        <v>102689000</v>
      </c>
      <c r="G489" s="150">
        <v>33.265999999999998</v>
      </c>
      <c r="H489" s="150">
        <v>991.00699999999995</v>
      </c>
      <c r="I489" s="150">
        <v>1663.1420000000001</v>
      </c>
      <c r="J489" s="150">
        <v>672.13499999999999</v>
      </c>
      <c r="K489" s="150">
        <v>-921.58399999999995</v>
      </c>
      <c r="L489" s="150">
        <v>-1560.453</v>
      </c>
      <c r="M489" s="150">
        <v>-638.86900000000003</v>
      </c>
      <c r="N489" s="150">
        <v>67.605098890799994</v>
      </c>
      <c r="O489" s="150">
        <v>100</v>
      </c>
      <c r="P489" s="150">
        <v>32.394901109199999</v>
      </c>
      <c r="Q489" s="150">
        <v>59.586433389299998</v>
      </c>
      <c r="R489" s="150">
        <v>100</v>
      </c>
      <c r="S489" s="150">
        <v>40.413566610700002</v>
      </c>
      <c r="T489" s="150" t="s">
        <v>2842</v>
      </c>
      <c r="U489" s="150" t="s">
        <v>2842</v>
      </c>
      <c r="V489" s="150" t="s">
        <v>2842</v>
      </c>
    </row>
    <row r="490" spans="1:22">
      <c r="A490" s="150" t="s">
        <v>2888</v>
      </c>
      <c r="B490" s="150" t="s">
        <v>510</v>
      </c>
      <c r="C490" s="150" t="str">
        <f t="shared" si="14"/>
        <v>2012_Togo</v>
      </c>
      <c r="D490" s="150" t="s">
        <v>561</v>
      </c>
      <c r="E490" s="150" t="s">
        <v>2842</v>
      </c>
      <c r="F490" s="150" t="str">
        <f t="shared" si="15"/>
        <v>..</v>
      </c>
      <c r="G490" s="150">
        <v>1204.1426186199999</v>
      </c>
      <c r="H490" s="150" t="s">
        <v>561</v>
      </c>
      <c r="I490" s="150" t="s">
        <v>561</v>
      </c>
      <c r="J490" s="150">
        <v>2060.48250547</v>
      </c>
      <c r="K490" s="150" t="s">
        <v>561</v>
      </c>
      <c r="L490" s="150" t="s">
        <v>561</v>
      </c>
      <c r="M490" s="150">
        <v>-856.33988684999997</v>
      </c>
      <c r="N490" s="150" t="s">
        <v>561</v>
      </c>
      <c r="O490" s="150" t="s">
        <v>561</v>
      </c>
      <c r="P490" s="150">
        <v>56.608626558700003</v>
      </c>
      <c r="Q490" s="150" t="s">
        <v>561</v>
      </c>
      <c r="R490" s="150" t="s">
        <v>561</v>
      </c>
      <c r="S490" s="150">
        <v>61.903775561700002</v>
      </c>
      <c r="T490" s="150" t="s">
        <v>2842</v>
      </c>
      <c r="U490" s="150" t="s">
        <v>2842</v>
      </c>
      <c r="V490" s="150" t="s">
        <v>2842</v>
      </c>
    </row>
    <row r="491" spans="1:22">
      <c r="A491" s="150" t="s">
        <v>2888</v>
      </c>
      <c r="B491" s="150" t="s">
        <v>2845</v>
      </c>
      <c r="C491" s="150" t="str">
        <f t="shared" si="14"/>
        <v>2012_Trinidad and Tobago</v>
      </c>
      <c r="D491" s="150" t="s">
        <v>561</v>
      </c>
      <c r="E491" s="150" t="s">
        <v>2842</v>
      </c>
      <c r="F491" s="150" t="str">
        <f t="shared" si="15"/>
        <v>..</v>
      </c>
      <c r="G491" s="150">
        <v>12983.37652476</v>
      </c>
      <c r="H491" s="150" t="s">
        <v>561</v>
      </c>
      <c r="I491" s="150" t="s">
        <v>561</v>
      </c>
      <c r="J491" s="150">
        <v>9064.9799845399994</v>
      </c>
      <c r="K491" s="150" t="s">
        <v>561</v>
      </c>
      <c r="L491" s="150" t="s">
        <v>561</v>
      </c>
      <c r="M491" s="150">
        <v>3918.3965402200001</v>
      </c>
      <c r="N491" s="150" t="s">
        <v>561</v>
      </c>
      <c r="O491" s="150" t="s">
        <v>561</v>
      </c>
      <c r="P491" s="150">
        <v>67.354139490099996</v>
      </c>
      <c r="Q491" s="150" t="s">
        <v>561</v>
      </c>
      <c r="R491" s="150" t="s">
        <v>561</v>
      </c>
      <c r="S491" s="150">
        <v>60.630438142099997</v>
      </c>
      <c r="T491" s="150" t="s">
        <v>2842</v>
      </c>
      <c r="U491" s="150" t="s">
        <v>2842</v>
      </c>
      <c r="V491" s="150" t="s">
        <v>2842</v>
      </c>
    </row>
    <row r="492" spans="1:22">
      <c r="A492" s="150" t="s">
        <v>2888</v>
      </c>
      <c r="B492" s="150" t="s">
        <v>492</v>
      </c>
      <c r="C492" s="150" t="str">
        <f t="shared" si="14"/>
        <v>2012_Tanzania</v>
      </c>
      <c r="D492" s="150">
        <v>2632.1419999999998</v>
      </c>
      <c r="E492" s="150">
        <v>8544.3950000000004</v>
      </c>
      <c r="F492" s="150">
        <f t="shared" si="15"/>
        <v>8544395000</v>
      </c>
      <c r="G492" s="150">
        <v>5912.2529999999997</v>
      </c>
      <c r="H492" s="150">
        <v>2359.5390000000002</v>
      </c>
      <c r="I492" s="150">
        <v>12684.419</v>
      </c>
      <c r="J492" s="150">
        <v>10324.879999999999</v>
      </c>
      <c r="K492" s="150">
        <v>272.60300000000001</v>
      </c>
      <c r="L492" s="150">
        <v>-4140.0240000000003</v>
      </c>
      <c r="M492" s="150">
        <v>-4412.6270000000004</v>
      </c>
      <c r="N492" s="150">
        <v>30.805481254099998</v>
      </c>
      <c r="O492" s="150">
        <v>100</v>
      </c>
      <c r="P492" s="150">
        <v>69.194518745899998</v>
      </c>
      <c r="Q492" s="150">
        <v>18.601868954299999</v>
      </c>
      <c r="R492" s="150">
        <v>100</v>
      </c>
      <c r="S492" s="150">
        <v>81.398131045699998</v>
      </c>
      <c r="T492" s="150" t="s">
        <v>2842</v>
      </c>
      <c r="U492" s="150" t="s">
        <v>2842</v>
      </c>
      <c r="V492" s="150" t="s">
        <v>2842</v>
      </c>
    </row>
    <row r="493" spans="1:22">
      <c r="A493" s="150" t="s">
        <v>2888</v>
      </c>
      <c r="B493" s="150" t="s">
        <v>522</v>
      </c>
      <c r="C493" s="150" t="str">
        <f t="shared" si="14"/>
        <v>2012_Yemen</v>
      </c>
      <c r="D493" s="150">
        <v>1158.6590619999999</v>
      </c>
      <c r="E493" s="150">
        <v>8351.0360259999998</v>
      </c>
      <c r="F493" s="150">
        <f t="shared" si="15"/>
        <v>8351036026</v>
      </c>
      <c r="G493" s="150">
        <v>7192.376964</v>
      </c>
      <c r="H493" s="150">
        <v>2498.5938719999999</v>
      </c>
      <c r="I493" s="150">
        <v>13463.657673</v>
      </c>
      <c r="J493" s="150">
        <v>10965.063801</v>
      </c>
      <c r="K493" s="150">
        <v>-1339.93481</v>
      </c>
      <c r="L493" s="150">
        <v>-5112.6216469999999</v>
      </c>
      <c r="M493" s="150">
        <v>-3772.6868370000002</v>
      </c>
      <c r="N493" s="150">
        <v>13.874434961</v>
      </c>
      <c r="O493" s="150">
        <v>100</v>
      </c>
      <c r="P493" s="150">
        <v>86.125565038999994</v>
      </c>
      <c r="Q493" s="150">
        <v>18.558061506600001</v>
      </c>
      <c r="R493" s="150">
        <v>100</v>
      </c>
      <c r="S493" s="150">
        <v>81.441938493400002</v>
      </c>
      <c r="T493" s="150" t="s">
        <v>2842</v>
      </c>
      <c r="U493" s="150" t="s">
        <v>2842</v>
      </c>
      <c r="V493" s="150" t="s">
        <v>2842</v>
      </c>
    </row>
    <row r="494" spans="1:22">
      <c r="A494" s="150" t="s">
        <v>2888</v>
      </c>
      <c r="B494" s="150" t="s">
        <v>534</v>
      </c>
      <c r="C494" s="150" t="str">
        <f t="shared" si="14"/>
        <v>2012_Zambia</v>
      </c>
      <c r="D494" s="150">
        <v>467.45800000000003</v>
      </c>
      <c r="E494" s="150">
        <v>9880.9410000000007</v>
      </c>
      <c r="F494" s="150">
        <f t="shared" si="15"/>
        <v>9880941000</v>
      </c>
      <c r="G494" s="150">
        <v>9413.4830000000002</v>
      </c>
      <c r="H494" s="150">
        <v>1249.5740000000001</v>
      </c>
      <c r="I494" s="150">
        <v>9210.3619999999992</v>
      </c>
      <c r="J494" s="150">
        <v>7960.7879999999996</v>
      </c>
      <c r="K494" s="150">
        <v>-782.11599999999999</v>
      </c>
      <c r="L494" s="150">
        <v>670.57899999999995</v>
      </c>
      <c r="M494" s="150">
        <v>1452.6949999999999</v>
      </c>
      <c r="N494" s="150">
        <v>4.7309056901000002</v>
      </c>
      <c r="O494" s="150">
        <v>100</v>
      </c>
      <c r="P494" s="150">
        <v>95.269094309899998</v>
      </c>
      <c r="Q494" s="150">
        <v>13.5670454647</v>
      </c>
      <c r="R494" s="150">
        <v>100</v>
      </c>
      <c r="S494" s="150">
        <v>86.432954535299999</v>
      </c>
      <c r="T494" s="150" t="s">
        <v>2842</v>
      </c>
      <c r="U494" s="150" t="s">
        <v>2842</v>
      </c>
      <c r="V494" s="150" t="s">
        <v>2842</v>
      </c>
    </row>
    <row r="495" spans="1:22">
      <c r="A495" s="150" t="s">
        <v>2889</v>
      </c>
      <c r="B495" s="150" t="s">
        <v>16</v>
      </c>
      <c r="C495" s="150" t="str">
        <f t="shared" si="14"/>
        <v>2013_Afghanistan</v>
      </c>
      <c r="D495" s="150" t="s">
        <v>561</v>
      </c>
      <c r="E495" s="150" t="s">
        <v>2842</v>
      </c>
      <c r="F495" s="150" t="str">
        <f t="shared" si="15"/>
        <v>..</v>
      </c>
      <c r="G495" s="150">
        <v>3343.8798769999999</v>
      </c>
      <c r="H495" s="150" t="s">
        <v>561</v>
      </c>
      <c r="I495" s="150" t="s">
        <v>561</v>
      </c>
      <c r="J495" s="150">
        <v>11216.4</v>
      </c>
      <c r="K495" s="150" t="s">
        <v>561</v>
      </c>
      <c r="L495" s="150" t="s">
        <v>561</v>
      </c>
      <c r="M495" s="150">
        <v>-7872.5201230000002</v>
      </c>
      <c r="N495" s="150" t="s">
        <v>561</v>
      </c>
      <c r="O495" s="150" t="s">
        <v>561</v>
      </c>
      <c r="P495" s="150">
        <v>50.818888282499998</v>
      </c>
      <c r="Q495" s="150" t="s">
        <v>561</v>
      </c>
      <c r="R495" s="150" t="s">
        <v>561</v>
      </c>
      <c r="S495" s="150">
        <v>83.030895085699996</v>
      </c>
      <c r="T495" s="150" t="s">
        <v>2842</v>
      </c>
      <c r="U495" s="150" t="s">
        <v>2842</v>
      </c>
      <c r="V495" s="150" t="s">
        <v>2842</v>
      </c>
    </row>
    <row r="496" spans="1:22">
      <c r="A496" s="150" t="s">
        <v>2889</v>
      </c>
      <c r="B496" s="150" t="s">
        <v>33</v>
      </c>
      <c r="C496" s="150" t="str">
        <f t="shared" si="14"/>
        <v>2013_Albania</v>
      </c>
      <c r="D496" s="150">
        <v>2202.4839999999999</v>
      </c>
      <c r="E496" s="150">
        <v>4500.3500000000004</v>
      </c>
      <c r="F496" s="150">
        <f t="shared" si="15"/>
        <v>4500350000</v>
      </c>
      <c r="G496" s="150">
        <v>2297.866</v>
      </c>
      <c r="H496" s="150">
        <v>2188.4140000000002</v>
      </c>
      <c r="I496" s="150">
        <v>6787.31</v>
      </c>
      <c r="J496" s="150">
        <v>4598.8959999999997</v>
      </c>
      <c r="K496" s="150">
        <v>14.07</v>
      </c>
      <c r="L496" s="150">
        <v>-2286.96</v>
      </c>
      <c r="M496" s="150">
        <v>-2301.0300000000002</v>
      </c>
      <c r="N496" s="150">
        <v>48.940282422499997</v>
      </c>
      <c r="O496" s="150">
        <v>100</v>
      </c>
      <c r="P496" s="150">
        <v>51.059717577500003</v>
      </c>
      <c r="Q496" s="150">
        <v>32.242729446600002</v>
      </c>
      <c r="R496" s="150">
        <v>100</v>
      </c>
      <c r="S496" s="150">
        <v>67.757270553400005</v>
      </c>
      <c r="T496" s="150" t="s">
        <v>2842</v>
      </c>
      <c r="U496" s="150" t="s">
        <v>2842</v>
      </c>
      <c r="V496" s="150" t="s">
        <v>2842</v>
      </c>
    </row>
    <row r="497" spans="1:22">
      <c r="A497" s="150" t="s">
        <v>2889</v>
      </c>
      <c r="B497" s="150" t="s">
        <v>48</v>
      </c>
      <c r="C497" s="150" t="str">
        <f t="shared" si="14"/>
        <v>2013_Azerbaijan</v>
      </c>
      <c r="D497" s="150">
        <v>4097.9040000000014</v>
      </c>
      <c r="E497" s="150">
        <v>35911.42</v>
      </c>
      <c r="F497" s="150">
        <f t="shared" si="15"/>
        <v>35911420000</v>
      </c>
      <c r="G497" s="150">
        <v>31813.516</v>
      </c>
      <c r="H497" s="150">
        <v>8266.2139999999999</v>
      </c>
      <c r="I497" s="150">
        <v>19492.830000000002</v>
      </c>
      <c r="J497" s="150">
        <v>11226.616</v>
      </c>
      <c r="K497" s="150">
        <v>-4168.3100000000004</v>
      </c>
      <c r="L497" s="150">
        <v>16418.59</v>
      </c>
      <c r="M497" s="150">
        <v>20586.900000000001</v>
      </c>
      <c r="N497" s="150">
        <v>11.4111444215</v>
      </c>
      <c r="O497" s="150">
        <v>100</v>
      </c>
      <c r="P497" s="150">
        <v>88.588855578500002</v>
      </c>
      <c r="Q497" s="150">
        <v>42.406433545100001</v>
      </c>
      <c r="R497" s="150">
        <v>100</v>
      </c>
      <c r="S497" s="150">
        <v>57.593566454899999</v>
      </c>
      <c r="T497" s="150" t="s">
        <v>2842</v>
      </c>
      <c r="U497" s="150" t="s">
        <v>2842</v>
      </c>
      <c r="V497" s="150" t="s">
        <v>2842</v>
      </c>
    </row>
    <row r="498" spans="1:22">
      <c r="A498" s="150" t="s">
        <v>2889</v>
      </c>
      <c r="B498" s="150" t="s">
        <v>93</v>
      </c>
      <c r="C498" s="150" t="str">
        <f t="shared" si="14"/>
        <v>2013_Burkina Faso</v>
      </c>
      <c r="D498" s="150" t="s">
        <v>561</v>
      </c>
      <c r="E498" s="150" t="s">
        <v>2842</v>
      </c>
      <c r="F498" s="150" t="str">
        <f t="shared" si="15"/>
        <v>..</v>
      </c>
      <c r="G498" s="150">
        <v>2833.0102409699998</v>
      </c>
      <c r="H498" s="150" t="s">
        <v>561</v>
      </c>
      <c r="I498" s="150" t="s">
        <v>561</v>
      </c>
      <c r="J498" s="150">
        <v>2999.7391612500001</v>
      </c>
      <c r="K498" s="150" t="s">
        <v>561</v>
      </c>
      <c r="L498" s="150" t="s">
        <v>561</v>
      </c>
      <c r="M498" s="150">
        <v>-166.72892028000001</v>
      </c>
      <c r="N498" s="150" t="s">
        <v>561</v>
      </c>
      <c r="O498" s="150" t="s">
        <v>561</v>
      </c>
      <c r="P498" s="150">
        <v>86.3000423899</v>
      </c>
      <c r="Q498" s="150" t="s">
        <v>561</v>
      </c>
      <c r="R498" s="150" t="s">
        <v>561</v>
      </c>
      <c r="S498" s="150">
        <v>70.528935807899998</v>
      </c>
      <c r="T498" s="150" t="s">
        <v>2842</v>
      </c>
      <c r="U498" s="150" t="s">
        <v>2842</v>
      </c>
      <c r="V498" s="150" t="s">
        <v>2842</v>
      </c>
    </row>
    <row r="499" spans="1:22">
      <c r="A499" s="150" t="s">
        <v>2889</v>
      </c>
      <c r="B499" s="150" t="s">
        <v>2890</v>
      </c>
      <c r="C499" s="150" t="str">
        <f t="shared" si="14"/>
        <v>2013_ Cameroon</v>
      </c>
      <c r="D499" s="150" t="s">
        <v>561</v>
      </c>
      <c r="E499" s="150" t="s">
        <v>2842</v>
      </c>
      <c r="F499" s="150" t="str">
        <f t="shared" si="15"/>
        <v>..</v>
      </c>
      <c r="G499" s="150">
        <v>5656.1371383799997</v>
      </c>
      <c r="H499" s="150" t="s">
        <v>561</v>
      </c>
      <c r="I499" s="150" t="s">
        <v>561</v>
      </c>
      <c r="J499" s="150">
        <v>6480.1348197699999</v>
      </c>
      <c r="K499" s="150" t="s">
        <v>561</v>
      </c>
      <c r="L499" s="150" t="s">
        <v>561</v>
      </c>
      <c r="M499" s="150">
        <v>-823.99768139000003</v>
      </c>
      <c r="N499" s="150" t="s">
        <v>561</v>
      </c>
      <c r="O499" s="150" t="s">
        <v>561</v>
      </c>
      <c r="P499" s="150">
        <v>76.840799901099999</v>
      </c>
      <c r="Q499" s="150" t="s">
        <v>561</v>
      </c>
      <c r="R499" s="150" t="s">
        <v>561</v>
      </c>
      <c r="S499" s="150">
        <v>74.486019402300002</v>
      </c>
      <c r="T499" s="150" t="s">
        <v>2842</v>
      </c>
      <c r="U499" s="150" t="s">
        <v>2842</v>
      </c>
      <c r="V499" s="150" t="s">
        <v>2842</v>
      </c>
    </row>
    <row r="500" spans="1:22">
      <c r="A500" s="150" t="s">
        <v>2889</v>
      </c>
      <c r="B500" s="150" t="s">
        <v>122</v>
      </c>
      <c r="C500" s="150" t="str">
        <f t="shared" si="14"/>
        <v>2013_Central African Republic</v>
      </c>
      <c r="D500" s="150" t="s">
        <v>561</v>
      </c>
      <c r="E500" s="150" t="s">
        <v>2842</v>
      </c>
      <c r="F500" s="150" t="str">
        <f t="shared" si="15"/>
        <v>..</v>
      </c>
      <c r="G500" s="150">
        <v>137.50496999999999</v>
      </c>
      <c r="H500" s="150" t="s">
        <v>561</v>
      </c>
      <c r="I500" s="150" t="s">
        <v>561</v>
      </c>
      <c r="J500" s="150">
        <v>230.61341483999999</v>
      </c>
      <c r="K500" s="150" t="s">
        <v>561</v>
      </c>
      <c r="L500" s="150" t="s">
        <v>561</v>
      </c>
      <c r="M500" s="150">
        <v>-93.108444840000004</v>
      </c>
      <c r="N500" s="150" t="s">
        <v>561</v>
      </c>
      <c r="O500" s="150" t="s">
        <v>561</v>
      </c>
      <c r="P500" s="150">
        <v>66.167788183400006</v>
      </c>
      <c r="Q500" s="150" t="s">
        <v>561</v>
      </c>
      <c r="R500" s="150" t="s">
        <v>561</v>
      </c>
      <c r="S500" s="150">
        <v>55.273772322600003</v>
      </c>
      <c r="T500" s="150" t="s">
        <v>2842</v>
      </c>
      <c r="U500" s="150" t="s">
        <v>2842</v>
      </c>
      <c r="V500" s="150" t="s">
        <v>2842</v>
      </c>
    </row>
    <row r="501" spans="1:22">
      <c r="A501" s="150" t="s">
        <v>2889</v>
      </c>
      <c r="B501" s="150" t="s">
        <v>2891</v>
      </c>
      <c r="C501" s="150" t="str">
        <f t="shared" si="14"/>
        <v>2013_ Chad</v>
      </c>
      <c r="D501" s="150" t="s">
        <v>561</v>
      </c>
      <c r="E501" s="150" t="s">
        <v>2842</v>
      </c>
      <c r="F501" s="150" t="str">
        <f t="shared" si="15"/>
        <v>..</v>
      </c>
      <c r="G501" s="150">
        <v>3921.9405978200002</v>
      </c>
      <c r="H501" s="150" t="s">
        <v>561</v>
      </c>
      <c r="I501" s="150" t="s">
        <v>561</v>
      </c>
      <c r="J501" s="150">
        <v>2711.45910933</v>
      </c>
      <c r="K501" s="150" t="s">
        <v>561</v>
      </c>
      <c r="L501" s="150" t="s">
        <v>561</v>
      </c>
      <c r="M501" s="150">
        <v>1210.4814884899999</v>
      </c>
      <c r="N501" s="150" t="s">
        <v>561</v>
      </c>
      <c r="O501" s="150" t="s">
        <v>561</v>
      </c>
      <c r="P501" s="150">
        <v>90.1824575598</v>
      </c>
      <c r="Q501" s="150" t="s">
        <v>561</v>
      </c>
      <c r="R501" s="150" t="s">
        <v>561</v>
      </c>
      <c r="S501" s="150">
        <v>51.478551794799998</v>
      </c>
      <c r="T501" s="150" t="s">
        <v>2842</v>
      </c>
      <c r="U501" s="150" t="s">
        <v>2842</v>
      </c>
      <c r="V501" s="150" t="s">
        <v>2842</v>
      </c>
    </row>
    <row r="502" spans="1:22">
      <c r="A502" s="150" t="s">
        <v>2889</v>
      </c>
      <c r="B502" s="150" t="s">
        <v>458</v>
      </c>
      <c r="C502" s="150" t="str">
        <f t="shared" si="14"/>
        <v>2013_Republic of the Congo</v>
      </c>
      <c r="D502" s="150" t="s">
        <v>561</v>
      </c>
      <c r="E502" s="150" t="s">
        <v>2842</v>
      </c>
      <c r="F502" s="150" t="str">
        <f t="shared" si="15"/>
        <v>..</v>
      </c>
      <c r="G502" s="150">
        <v>9757.8303226400003</v>
      </c>
      <c r="H502" s="150" t="s">
        <v>561</v>
      </c>
      <c r="I502" s="150" t="s">
        <v>561</v>
      </c>
      <c r="J502" s="150">
        <v>5514.6936400000004</v>
      </c>
      <c r="K502" s="150" t="s">
        <v>561</v>
      </c>
      <c r="L502" s="150" t="s">
        <v>561</v>
      </c>
      <c r="M502" s="150">
        <v>4243.1366826399999</v>
      </c>
      <c r="N502" s="150" t="s">
        <v>561</v>
      </c>
      <c r="O502" s="150" t="s">
        <v>561</v>
      </c>
      <c r="P502" s="150">
        <v>94.964273711199993</v>
      </c>
      <c r="Q502" s="150" t="s">
        <v>561</v>
      </c>
      <c r="R502" s="150" t="s">
        <v>561</v>
      </c>
      <c r="S502" s="150">
        <v>50.613709761800003</v>
      </c>
      <c r="T502" s="150" t="s">
        <v>2842</v>
      </c>
      <c r="U502" s="150" t="s">
        <v>2842</v>
      </c>
      <c r="V502" s="150" t="s">
        <v>2842</v>
      </c>
    </row>
    <row r="503" spans="1:22">
      <c r="A503" s="150" t="s">
        <v>2889</v>
      </c>
      <c r="B503" s="150" t="s">
        <v>165</v>
      </c>
      <c r="C503" s="150" t="str">
        <f t="shared" si="14"/>
        <v>2013_Democratic Republic of Congo</v>
      </c>
      <c r="D503" s="150" t="s">
        <v>561</v>
      </c>
      <c r="E503" s="150" t="s">
        <v>2842</v>
      </c>
      <c r="F503" s="150" t="str">
        <f t="shared" si="15"/>
        <v>..</v>
      </c>
      <c r="G503" s="150">
        <v>8534.1710000000003</v>
      </c>
      <c r="H503" s="150" t="s">
        <v>561</v>
      </c>
      <c r="I503" s="150" t="s">
        <v>561</v>
      </c>
      <c r="J503" s="150">
        <v>8629.6594426200008</v>
      </c>
      <c r="K503" s="150" t="s">
        <v>561</v>
      </c>
      <c r="L503" s="150" t="s">
        <v>561</v>
      </c>
      <c r="M503" s="150">
        <v>-95.488442620000001</v>
      </c>
      <c r="N503" s="150" t="s">
        <v>561</v>
      </c>
      <c r="O503" s="150" t="s">
        <v>561</v>
      </c>
      <c r="P503" s="150">
        <v>96.635304396899997</v>
      </c>
      <c r="Q503" s="150" t="s">
        <v>561</v>
      </c>
      <c r="R503" s="150" t="s">
        <v>561</v>
      </c>
      <c r="S503" s="150">
        <v>78.513016512199997</v>
      </c>
      <c r="T503" s="150" t="s">
        <v>2842</v>
      </c>
      <c r="U503" s="150" t="s">
        <v>2842</v>
      </c>
      <c r="V503" s="150" t="s">
        <v>2842</v>
      </c>
    </row>
    <row r="504" spans="1:22">
      <c r="A504" s="150" t="s">
        <v>2889</v>
      </c>
      <c r="B504" s="150" t="s">
        <v>2892</v>
      </c>
      <c r="C504" s="150" t="str">
        <f t="shared" si="14"/>
        <v>2013_ Equatorial Guinea</v>
      </c>
      <c r="D504" s="150" t="s">
        <v>561</v>
      </c>
      <c r="E504" s="150" t="s">
        <v>2842</v>
      </c>
      <c r="F504" s="150" t="str">
        <f t="shared" si="15"/>
        <v>..</v>
      </c>
      <c r="G504" s="150">
        <v>16052.823803220001</v>
      </c>
      <c r="H504" s="150" t="s">
        <v>561</v>
      </c>
      <c r="I504" s="150" t="s">
        <v>561</v>
      </c>
      <c r="J504" s="150">
        <v>6619.8261826600001</v>
      </c>
      <c r="K504" s="150" t="s">
        <v>561</v>
      </c>
      <c r="L504" s="150" t="s">
        <v>561</v>
      </c>
      <c r="M504" s="150">
        <v>9432.9976205599996</v>
      </c>
      <c r="N504" s="150" t="s">
        <v>561</v>
      </c>
      <c r="O504" s="150" t="s">
        <v>561</v>
      </c>
      <c r="P504" s="150">
        <v>99.619726913600005</v>
      </c>
      <c r="Q504" s="150" t="s">
        <v>561</v>
      </c>
      <c r="R504" s="150" t="s">
        <v>561</v>
      </c>
      <c r="S504" s="150">
        <v>67.2929930122</v>
      </c>
      <c r="T504" s="150" t="s">
        <v>2842</v>
      </c>
      <c r="U504" s="150" t="s">
        <v>2842</v>
      </c>
      <c r="V504" s="150" t="s">
        <v>2842</v>
      </c>
    </row>
    <row r="505" spans="1:22">
      <c r="A505" s="150" t="s">
        <v>2889</v>
      </c>
      <c r="B505" s="150" t="s">
        <v>2893</v>
      </c>
      <c r="C505" s="150" t="str">
        <f t="shared" si="14"/>
        <v>2013_ Gabon</v>
      </c>
      <c r="D505" s="150" t="s">
        <v>561</v>
      </c>
      <c r="E505" s="150" t="s">
        <v>2842</v>
      </c>
      <c r="F505" s="150" t="str">
        <f t="shared" si="15"/>
        <v>..</v>
      </c>
      <c r="G505" s="150">
        <v>9562.5829656799997</v>
      </c>
      <c r="H505" s="150" t="s">
        <v>561</v>
      </c>
      <c r="I505" s="150" t="s">
        <v>561</v>
      </c>
      <c r="J505" s="150">
        <v>3117.7770250799999</v>
      </c>
      <c r="K505" s="150" t="s">
        <v>561</v>
      </c>
      <c r="L505" s="150" t="s">
        <v>561</v>
      </c>
      <c r="M505" s="150">
        <v>6444.8059406000002</v>
      </c>
      <c r="N505" s="150" t="s">
        <v>561</v>
      </c>
      <c r="O505" s="150" t="s">
        <v>561</v>
      </c>
      <c r="P505" s="150">
        <v>98.079696474299993</v>
      </c>
      <c r="Q505" s="150" t="s">
        <v>561</v>
      </c>
      <c r="R505" s="150" t="s">
        <v>561</v>
      </c>
      <c r="S505" s="150">
        <v>54.206301637599999</v>
      </c>
      <c r="T505" s="150" t="s">
        <v>2842</v>
      </c>
      <c r="U505" s="150" t="s">
        <v>2842</v>
      </c>
      <c r="V505" s="150" t="s">
        <v>2842</v>
      </c>
    </row>
    <row r="506" spans="1:22">
      <c r="A506" s="150" t="s">
        <v>2889</v>
      </c>
      <c r="B506" s="150" t="s">
        <v>189</v>
      </c>
      <c r="C506" s="150" t="str">
        <f t="shared" si="14"/>
        <v>2013_Ghana</v>
      </c>
      <c r="D506" s="150">
        <v>2454.04</v>
      </c>
      <c r="E506" s="150">
        <v>16196.878204000001</v>
      </c>
      <c r="F506" s="150">
        <f t="shared" si="15"/>
        <v>16196878204</v>
      </c>
      <c r="G506" s="150">
        <v>13742.838204</v>
      </c>
      <c r="H506" s="150">
        <v>4897.8</v>
      </c>
      <c r="I506" s="150">
        <v>22498.069725000001</v>
      </c>
      <c r="J506" s="150">
        <v>17600.269724999998</v>
      </c>
      <c r="K506" s="150">
        <v>-2443.7600000000002</v>
      </c>
      <c r="L506" s="150">
        <v>-6301.1915209999997</v>
      </c>
      <c r="M506" s="150">
        <v>-3857.431521</v>
      </c>
      <c r="N506" s="150">
        <v>15.151314772499999</v>
      </c>
      <c r="O506" s="150">
        <v>100</v>
      </c>
      <c r="P506" s="150">
        <v>84.848685227499999</v>
      </c>
      <c r="Q506" s="150">
        <v>21.769867636899999</v>
      </c>
      <c r="R506" s="150">
        <v>100</v>
      </c>
      <c r="S506" s="150">
        <v>78.230132363099997</v>
      </c>
      <c r="T506" s="150" t="s">
        <v>2842</v>
      </c>
      <c r="U506" s="150" t="s">
        <v>2842</v>
      </c>
      <c r="V506" s="150" t="s">
        <v>2842</v>
      </c>
    </row>
    <row r="507" spans="1:22">
      <c r="A507" s="150" t="s">
        <v>2889</v>
      </c>
      <c r="B507" s="150" t="s">
        <v>213</v>
      </c>
      <c r="C507" s="150" t="str">
        <f t="shared" si="14"/>
        <v>2013_Guatemala</v>
      </c>
      <c r="D507" s="150">
        <v>2521.0623900000001</v>
      </c>
      <c r="E507" s="150">
        <v>12711.36239</v>
      </c>
      <c r="F507" s="150">
        <f t="shared" si="15"/>
        <v>12711362390</v>
      </c>
      <c r="G507" s="150">
        <v>10190.299999999999</v>
      </c>
      <c r="H507" s="150">
        <v>2578.7570000000001</v>
      </c>
      <c r="I507" s="150">
        <v>18934.357</v>
      </c>
      <c r="J507" s="150">
        <v>16355.6</v>
      </c>
      <c r="K507" s="150">
        <v>-57.694609999999997</v>
      </c>
      <c r="L507" s="150">
        <v>-6222.9946099999997</v>
      </c>
      <c r="M507" s="150">
        <v>-6165.3</v>
      </c>
      <c r="N507" s="150">
        <v>19.833140718100001</v>
      </c>
      <c r="O507" s="150">
        <v>100</v>
      </c>
      <c r="P507" s="150">
        <v>80.166859281900003</v>
      </c>
      <c r="Q507" s="150">
        <v>13.619459060600001</v>
      </c>
      <c r="R507" s="150">
        <v>100</v>
      </c>
      <c r="S507" s="150">
        <v>86.380540939400007</v>
      </c>
      <c r="T507" s="150" t="s">
        <v>2842</v>
      </c>
      <c r="U507" s="150" t="s">
        <v>2842</v>
      </c>
      <c r="V507" s="150" t="s">
        <v>2842</v>
      </c>
    </row>
    <row r="508" spans="1:22">
      <c r="A508" s="150" t="s">
        <v>2889</v>
      </c>
      <c r="B508" s="150" t="s">
        <v>2894</v>
      </c>
      <c r="C508" s="150" t="str">
        <f t="shared" si="14"/>
        <v>2013_ Guinea</v>
      </c>
      <c r="D508" s="150" t="s">
        <v>561</v>
      </c>
      <c r="E508" s="150" t="s">
        <v>2842</v>
      </c>
      <c r="F508" s="150" t="str">
        <f t="shared" si="15"/>
        <v>..</v>
      </c>
      <c r="G508" s="150">
        <v>1133.1757379999999</v>
      </c>
      <c r="H508" s="150" t="s">
        <v>561</v>
      </c>
      <c r="I508" s="150" t="s">
        <v>561</v>
      </c>
      <c r="J508" s="150">
        <v>1763.0871589999999</v>
      </c>
      <c r="K508" s="150" t="s">
        <v>561</v>
      </c>
      <c r="L508" s="150" t="s">
        <v>561</v>
      </c>
      <c r="M508" s="150">
        <v>-629.91142100000002</v>
      </c>
      <c r="N508" s="150" t="s">
        <v>561</v>
      </c>
      <c r="O508" s="150" t="s">
        <v>561</v>
      </c>
      <c r="P508" s="150">
        <v>92.191200615599996</v>
      </c>
      <c r="Q508" s="150" t="s">
        <v>561</v>
      </c>
      <c r="R508" s="150" t="s">
        <v>561</v>
      </c>
      <c r="S508" s="150">
        <v>70.249936367399997</v>
      </c>
      <c r="T508" s="150" t="s">
        <v>2842</v>
      </c>
      <c r="U508" s="150" t="s">
        <v>2842</v>
      </c>
      <c r="V508" s="150" t="s">
        <v>2842</v>
      </c>
    </row>
    <row r="509" spans="1:22">
      <c r="A509" s="150" t="s">
        <v>2889</v>
      </c>
      <c r="B509" s="150" t="s">
        <v>237</v>
      </c>
      <c r="C509" s="150" t="str">
        <f t="shared" si="14"/>
        <v>2013_Indonesia</v>
      </c>
      <c r="D509" s="150">
        <v>22342.677388</v>
      </c>
      <c r="E509" s="150">
        <v>205204.117719</v>
      </c>
      <c r="F509" s="150">
        <f t="shared" si="15"/>
        <v>205204117719</v>
      </c>
      <c r="G509" s="150">
        <v>182861.44033099999</v>
      </c>
      <c r="H509" s="150">
        <v>34854.892612000003</v>
      </c>
      <c r="I509" s="150">
        <v>212302.94607800001</v>
      </c>
      <c r="J509" s="150">
        <v>177448.05346600001</v>
      </c>
      <c r="K509" s="150">
        <v>-12512.215224</v>
      </c>
      <c r="L509" s="150">
        <v>-7098.8283590000001</v>
      </c>
      <c r="M509" s="150">
        <v>5413.3868650000004</v>
      </c>
      <c r="N509" s="150">
        <v>10.8880258527</v>
      </c>
      <c r="O509" s="150">
        <v>100</v>
      </c>
      <c r="P509" s="150">
        <v>89.111974147300003</v>
      </c>
      <c r="Q509" s="150">
        <v>16.417526584499999</v>
      </c>
      <c r="R509" s="150">
        <v>100</v>
      </c>
      <c r="S509" s="150">
        <v>83.582473415500004</v>
      </c>
      <c r="T509" s="150" t="s">
        <v>2842</v>
      </c>
      <c r="U509" s="150" t="s">
        <v>2842</v>
      </c>
      <c r="V509" s="150" t="s">
        <v>2842</v>
      </c>
    </row>
    <row r="510" spans="1:22">
      <c r="A510" s="150" t="s">
        <v>2889</v>
      </c>
      <c r="B510" s="150" t="s">
        <v>245</v>
      </c>
      <c r="C510" s="150" t="str">
        <f t="shared" si="14"/>
        <v>2013_Iraq</v>
      </c>
      <c r="D510" s="150" t="s">
        <v>561</v>
      </c>
      <c r="E510" s="150" t="s">
        <v>2842</v>
      </c>
      <c r="F510" s="150" t="str">
        <f t="shared" si="15"/>
        <v>..</v>
      </c>
      <c r="G510" s="150">
        <v>101715.528162</v>
      </c>
      <c r="H510" s="150" t="s">
        <v>561</v>
      </c>
      <c r="I510" s="150" t="s">
        <v>561</v>
      </c>
      <c r="J510" s="150">
        <v>58166.980831000001</v>
      </c>
      <c r="K510" s="150" t="s">
        <v>561</v>
      </c>
      <c r="L510" s="150" t="s">
        <v>561</v>
      </c>
      <c r="M510" s="150">
        <v>43548.547331000002</v>
      </c>
      <c r="N510" s="150" t="s">
        <v>561</v>
      </c>
      <c r="O510" s="150" t="s">
        <v>561</v>
      </c>
      <c r="P510" s="150">
        <v>97.0273341077</v>
      </c>
      <c r="Q510" s="150" t="s">
        <v>561</v>
      </c>
      <c r="R510" s="150" t="s">
        <v>561</v>
      </c>
      <c r="S510" s="150">
        <v>78.211830990699994</v>
      </c>
      <c r="T510" s="150" t="s">
        <v>2842</v>
      </c>
      <c r="U510" s="150" t="s">
        <v>2842</v>
      </c>
      <c r="V510" s="150" t="s">
        <v>2842</v>
      </c>
    </row>
    <row r="511" spans="1:22">
      <c r="A511" s="150" t="s">
        <v>2889</v>
      </c>
      <c r="B511" s="150" t="s">
        <v>273</v>
      </c>
      <c r="C511" s="150" t="str">
        <f t="shared" si="14"/>
        <v>2013_Kazakhstan</v>
      </c>
      <c r="D511" s="150">
        <v>5265.4342200000001</v>
      </c>
      <c r="E511" s="150">
        <v>88675.823000000004</v>
      </c>
      <c r="F511" s="150">
        <f t="shared" si="15"/>
        <v>88675823000</v>
      </c>
      <c r="G511" s="150">
        <v>83410.388779999994</v>
      </c>
      <c r="H511" s="150">
        <v>12102.52807</v>
      </c>
      <c r="I511" s="150">
        <v>61855.760170000001</v>
      </c>
      <c r="J511" s="150">
        <v>49753.232100000001</v>
      </c>
      <c r="K511" s="150">
        <v>-6837.0938500000002</v>
      </c>
      <c r="L511" s="150">
        <v>26820.062829999999</v>
      </c>
      <c r="M511" s="150">
        <v>33657.15668</v>
      </c>
      <c r="N511" s="150">
        <v>5.9378464634999997</v>
      </c>
      <c r="O511" s="150">
        <v>100</v>
      </c>
      <c r="P511" s="150">
        <v>94.062153536500006</v>
      </c>
      <c r="Q511" s="150">
        <v>19.565725223899999</v>
      </c>
      <c r="R511" s="150">
        <v>100</v>
      </c>
      <c r="S511" s="150">
        <v>80.434274776099997</v>
      </c>
      <c r="T511" s="150" t="s">
        <v>2842</v>
      </c>
      <c r="U511" s="150" t="s">
        <v>2842</v>
      </c>
      <c r="V511" s="150" t="s">
        <v>2842</v>
      </c>
    </row>
    <row r="512" spans="1:22">
      <c r="A512" s="150" t="s">
        <v>2889</v>
      </c>
      <c r="B512" s="150" t="s">
        <v>2895</v>
      </c>
      <c r="C512" s="150" t="str">
        <f t="shared" si="14"/>
        <v>2013_Kyrgyzstan</v>
      </c>
      <c r="D512" s="150">
        <v>1363.5528449999999</v>
      </c>
      <c r="E512" s="150">
        <v>3376.653241</v>
      </c>
      <c r="F512" s="150">
        <f t="shared" si="15"/>
        <v>3376653241</v>
      </c>
      <c r="G512" s="150">
        <v>2013.100396</v>
      </c>
      <c r="H512" s="150">
        <v>1318.2396329999999</v>
      </c>
      <c r="I512" s="150">
        <v>6716.0185529999999</v>
      </c>
      <c r="J512" s="150">
        <v>5397.7789199999997</v>
      </c>
      <c r="K512" s="150">
        <v>45.313212</v>
      </c>
      <c r="L512" s="150">
        <v>-3339.3653119999999</v>
      </c>
      <c r="M512" s="150">
        <v>-3384.6785239999999</v>
      </c>
      <c r="N512" s="150">
        <v>40.381784793400001</v>
      </c>
      <c r="O512" s="150">
        <v>100</v>
      </c>
      <c r="P512" s="150">
        <v>59.618215206599999</v>
      </c>
      <c r="Q512" s="150">
        <v>19.6282905206</v>
      </c>
      <c r="R512" s="150">
        <v>100</v>
      </c>
      <c r="S512" s="150">
        <v>80.371709479399996</v>
      </c>
      <c r="T512" s="150" t="s">
        <v>2842</v>
      </c>
      <c r="U512" s="150" t="s">
        <v>2842</v>
      </c>
      <c r="V512" s="150" t="s">
        <v>2842</v>
      </c>
    </row>
    <row r="513" spans="1:22">
      <c r="A513" s="150" t="s">
        <v>2889</v>
      </c>
      <c r="B513" s="150" t="s">
        <v>294</v>
      </c>
      <c r="C513" s="150" t="str">
        <f t="shared" si="14"/>
        <v>2013_Liberia</v>
      </c>
      <c r="D513" s="150">
        <v>373.16906799999998</v>
      </c>
      <c r="E513" s="150">
        <v>1329.6240319999999</v>
      </c>
      <c r="F513" s="150">
        <f t="shared" si="15"/>
        <v>1329624032</v>
      </c>
      <c r="G513" s="150">
        <v>956.45496400000002</v>
      </c>
      <c r="H513" s="150">
        <v>106.92813099999999</v>
      </c>
      <c r="I513" s="150">
        <v>2505.6166210000001</v>
      </c>
      <c r="J513" s="150">
        <v>2398.68849</v>
      </c>
      <c r="K513" s="150">
        <v>266.24093699999997</v>
      </c>
      <c r="L513" s="150">
        <v>-1175.992589</v>
      </c>
      <c r="M513" s="150">
        <v>-1442.233526</v>
      </c>
      <c r="N513" s="150">
        <v>28.065758366200001</v>
      </c>
      <c r="O513" s="150">
        <v>100</v>
      </c>
      <c r="P513" s="150">
        <v>71.934241633799999</v>
      </c>
      <c r="Q513" s="150">
        <v>4.2675375835000002</v>
      </c>
      <c r="R513" s="150">
        <v>100</v>
      </c>
      <c r="S513" s="150">
        <v>95.732462416499999</v>
      </c>
      <c r="T513" s="150" t="s">
        <v>2842</v>
      </c>
      <c r="U513" s="150" t="s">
        <v>2842</v>
      </c>
      <c r="V513" s="150" t="s">
        <v>2842</v>
      </c>
    </row>
    <row r="514" spans="1:22">
      <c r="A514" s="150" t="s">
        <v>2889</v>
      </c>
      <c r="B514" s="150" t="s">
        <v>309</v>
      </c>
      <c r="C514" s="150" t="str">
        <f t="shared" si="14"/>
        <v>2013_Madagascar</v>
      </c>
      <c r="D514" s="150" t="s">
        <v>561</v>
      </c>
      <c r="E514" s="150" t="s">
        <v>2842</v>
      </c>
      <c r="F514" s="150" t="str">
        <f t="shared" si="15"/>
        <v>..</v>
      </c>
      <c r="G514" s="150">
        <v>1899.7261012500001</v>
      </c>
      <c r="H514" s="150" t="s">
        <v>561</v>
      </c>
      <c r="I514" s="150" t="s">
        <v>561</v>
      </c>
      <c r="J514" s="150">
        <v>2714.5920913999998</v>
      </c>
      <c r="K514" s="150" t="s">
        <v>561</v>
      </c>
      <c r="L514" s="150" t="s">
        <v>561</v>
      </c>
      <c r="M514" s="150">
        <v>-814.86599015000002</v>
      </c>
      <c r="N514" s="150" t="s">
        <v>561</v>
      </c>
      <c r="O514" s="150" t="s">
        <v>561</v>
      </c>
      <c r="P514" s="150">
        <v>57.057707661000002</v>
      </c>
      <c r="Q514" s="150" t="s">
        <v>561</v>
      </c>
      <c r="R514" s="150" t="s">
        <v>561</v>
      </c>
      <c r="S514" s="150">
        <v>65.685910806300001</v>
      </c>
      <c r="T514" s="150" t="s">
        <v>2842</v>
      </c>
      <c r="U514" s="150" t="s">
        <v>2842</v>
      </c>
      <c r="V514" s="150" t="s">
        <v>2842</v>
      </c>
    </row>
    <row r="515" spans="1:22">
      <c r="A515" s="150" t="s">
        <v>2889</v>
      </c>
      <c r="B515" s="150" t="s">
        <v>322</v>
      </c>
      <c r="C515" s="150" t="str">
        <f t="shared" si="14"/>
        <v>2013_Mali</v>
      </c>
      <c r="D515" s="150" t="s">
        <v>561</v>
      </c>
      <c r="E515" s="150" t="s">
        <v>2842</v>
      </c>
      <c r="F515" s="150" t="str">
        <f t="shared" si="15"/>
        <v>..</v>
      </c>
      <c r="G515" s="150">
        <v>2690.6639057799998</v>
      </c>
      <c r="H515" s="150" t="s">
        <v>561</v>
      </c>
      <c r="I515" s="150" t="s">
        <v>561</v>
      </c>
      <c r="J515" s="150">
        <v>3271.5452111099999</v>
      </c>
      <c r="K515" s="150" t="s">
        <v>561</v>
      </c>
      <c r="L515" s="150" t="s">
        <v>561</v>
      </c>
      <c r="M515" s="150">
        <v>-580.88130533000003</v>
      </c>
      <c r="N515" s="150" t="s">
        <v>561</v>
      </c>
      <c r="O515" s="150" t="s">
        <v>561</v>
      </c>
      <c r="P515" s="150">
        <v>88.189669801500003</v>
      </c>
      <c r="Q515" s="150" t="s">
        <v>561</v>
      </c>
      <c r="R515" s="150" t="s">
        <v>561</v>
      </c>
      <c r="S515" s="150">
        <v>75.099619855900002</v>
      </c>
      <c r="T515" s="150" t="s">
        <v>2842</v>
      </c>
      <c r="U515" s="150" t="s">
        <v>2842</v>
      </c>
      <c r="V515" s="150" t="s">
        <v>2842</v>
      </c>
    </row>
    <row r="516" spans="1:22">
      <c r="A516" s="150" t="s">
        <v>2889</v>
      </c>
      <c r="B516" s="150" t="s">
        <v>338</v>
      </c>
      <c r="C516" s="150" t="str">
        <f t="shared" si="14"/>
        <v>2013_Mauritania</v>
      </c>
      <c r="D516" s="150">
        <v>186.33333332999999</v>
      </c>
      <c r="E516" s="150">
        <v>2837.8333333300002</v>
      </c>
      <c r="F516" s="150">
        <f t="shared" si="15"/>
        <v>2837833333.3300004</v>
      </c>
      <c r="G516" s="150">
        <v>2651.5</v>
      </c>
      <c r="H516" s="150">
        <v>1001.33333333</v>
      </c>
      <c r="I516" s="150">
        <v>4045.6333333299999</v>
      </c>
      <c r="J516" s="150">
        <v>3044.3</v>
      </c>
      <c r="K516" s="150">
        <v>-815</v>
      </c>
      <c r="L516" s="150">
        <v>-1207.8</v>
      </c>
      <c r="M516" s="150">
        <v>-392.8</v>
      </c>
      <c r="N516" s="150">
        <v>6.5660421682000001</v>
      </c>
      <c r="O516" s="150">
        <v>100</v>
      </c>
      <c r="P516" s="150">
        <v>93.433957831800001</v>
      </c>
      <c r="Q516" s="150">
        <v>24.750966062100002</v>
      </c>
      <c r="R516" s="150">
        <v>100</v>
      </c>
      <c r="S516" s="150">
        <v>75.249033937899995</v>
      </c>
      <c r="T516" s="150" t="s">
        <v>2842</v>
      </c>
      <c r="U516" s="150" t="s">
        <v>2842</v>
      </c>
      <c r="V516" s="150" t="s">
        <v>2842</v>
      </c>
    </row>
    <row r="517" spans="1:22">
      <c r="A517" s="150" t="s">
        <v>2889</v>
      </c>
      <c r="B517" s="150" t="s">
        <v>357</v>
      </c>
      <c r="C517" s="150" t="str">
        <f t="shared" si="14"/>
        <v>2013_Mongolia</v>
      </c>
      <c r="D517" s="150">
        <v>710.99758199999997</v>
      </c>
      <c r="E517" s="150">
        <v>4980.0672340000001</v>
      </c>
      <c r="F517" s="150">
        <f t="shared" si="15"/>
        <v>4980067234</v>
      </c>
      <c r="G517" s="150">
        <v>4269.0696520000001</v>
      </c>
      <c r="H517" s="150">
        <v>2023.7758719999999</v>
      </c>
      <c r="I517" s="150">
        <v>7613.566186</v>
      </c>
      <c r="J517" s="150">
        <v>5589.7903139999999</v>
      </c>
      <c r="K517" s="150">
        <v>-1312.77829</v>
      </c>
      <c r="L517" s="150">
        <v>-2633.4989519999999</v>
      </c>
      <c r="M517" s="150">
        <v>-1320.7206619999999</v>
      </c>
      <c r="N517" s="150">
        <v>14.276867130299999</v>
      </c>
      <c r="O517" s="150">
        <v>100</v>
      </c>
      <c r="P517" s="150">
        <v>85.723132869699995</v>
      </c>
      <c r="Q517" s="150">
        <v>26.581181834599999</v>
      </c>
      <c r="R517" s="150">
        <v>100</v>
      </c>
      <c r="S517" s="150">
        <v>73.418818165399998</v>
      </c>
      <c r="T517" s="150" t="s">
        <v>2842</v>
      </c>
      <c r="U517" s="150" t="s">
        <v>2842</v>
      </c>
      <c r="V517" s="150" t="s">
        <v>2842</v>
      </c>
    </row>
    <row r="518" spans="1:22">
      <c r="A518" s="150" t="s">
        <v>2889</v>
      </c>
      <c r="B518" s="150" t="s">
        <v>378</v>
      </c>
      <c r="C518" s="150" t="str">
        <f t="shared" ref="C518:C529" si="16">$A518&amp;"_"&amp;$B518</f>
        <v>2013_Mozambique</v>
      </c>
      <c r="D518" s="150">
        <v>1717.7351630000001</v>
      </c>
      <c r="E518" s="150">
        <v>5918.0408280000001</v>
      </c>
      <c r="F518" s="150">
        <f t="shared" ref="F518:F529" si="17">IFERROR($E518*1000000,"..")</f>
        <v>5918040828</v>
      </c>
      <c r="G518" s="150">
        <v>4200.3056649999999</v>
      </c>
      <c r="H518" s="150">
        <v>2974.9396820000002</v>
      </c>
      <c r="I518" s="150">
        <v>13986.091976</v>
      </c>
      <c r="J518" s="150">
        <v>11011.152294</v>
      </c>
      <c r="K518" s="150">
        <v>-1257.2045189999999</v>
      </c>
      <c r="L518" s="150">
        <v>-8068.0511479999996</v>
      </c>
      <c r="M518" s="150">
        <v>-6810.8466289999997</v>
      </c>
      <c r="N518" s="150">
        <v>29.0254023743</v>
      </c>
      <c r="O518" s="150">
        <v>100</v>
      </c>
      <c r="P518" s="150">
        <v>70.9745976257</v>
      </c>
      <c r="Q518" s="150">
        <v>21.2707001148</v>
      </c>
      <c r="R518" s="150">
        <v>100</v>
      </c>
      <c r="S518" s="150">
        <v>78.729299885200007</v>
      </c>
      <c r="T518" s="150" t="s">
        <v>2842</v>
      </c>
      <c r="U518" s="150" t="s">
        <v>2842</v>
      </c>
      <c r="V518" s="150" t="s">
        <v>2842</v>
      </c>
    </row>
    <row r="519" spans="1:22">
      <c r="A519" s="150" t="s">
        <v>2889</v>
      </c>
      <c r="B519" s="150" t="s">
        <v>387</v>
      </c>
      <c r="C519" s="150" t="str">
        <f t="shared" si="16"/>
        <v>2013_Niger</v>
      </c>
      <c r="D519" s="150" t="s">
        <v>561</v>
      </c>
      <c r="E519" s="150" t="s">
        <v>2842</v>
      </c>
      <c r="F519" s="150" t="str">
        <f t="shared" si="17"/>
        <v>..</v>
      </c>
      <c r="G519" s="150">
        <v>1575.2424692</v>
      </c>
      <c r="H519" s="150" t="s">
        <v>561</v>
      </c>
      <c r="I519" s="150" t="s">
        <v>561</v>
      </c>
      <c r="J519" s="150">
        <v>2105.5912643800002</v>
      </c>
      <c r="K519" s="150" t="s">
        <v>561</v>
      </c>
      <c r="L519" s="150" t="s">
        <v>561</v>
      </c>
      <c r="M519" s="150">
        <v>-530.34879518000002</v>
      </c>
      <c r="N519" s="150" t="s">
        <v>561</v>
      </c>
      <c r="O519" s="150" t="s">
        <v>561</v>
      </c>
      <c r="P519" s="150">
        <v>95.069659826099993</v>
      </c>
      <c r="Q519" s="150" t="s">
        <v>561</v>
      </c>
      <c r="R519" s="150" t="s">
        <v>561</v>
      </c>
      <c r="S519" s="150">
        <v>68.862683025699994</v>
      </c>
      <c r="T519" s="150" t="s">
        <v>2842</v>
      </c>
      <c r="U519" s="150" t="s">
        <v>2842</v>
      </c>
      <c r="V519" s="150" t="s">
        <v>2842</v>
      </c>
    </row>
    <row r="520" spans="1:22">
      <c r="A520" s="150" t="s">
        <v>2889</v>
      </c>
      <c r="B520" s="150" t="s">
        <v>406</v>
      </c>
      <c r="C520" s="150" t="str">
        <f t="shared" si="16"/>
        <v>2013_Nigeria</v>
      </c>
      <c r="D520" s="150">
        <v>2362.0885589999998</v>
      </c>
      <c r="E520" s="150">
        <v>97128.488918999996</v>
      </c>
      <c r="F520" s="150">
        <f t="shared" si="17"/>
        <v>97128488919</v>
      </c>
      <c r="G520" s="150">
        <v>94766.40036</v>
      </c>
      <c r="H520" s="150">
        <v>22244.656951000001</v>
      </c>
      <c r="I520" s="150">
        <v>73405.805875000005</v>
      </c>
      <c r="J520" s="150">
        <v>51161.148924000001</v>
      </c>
      <c r="K520" s="150">
        <v>-19882.568392000001</v>
      </c>
      <c r="L520" s="150">
        <v>23722.683044000001</v>
      </c>
      <c r="M520" s="150">
        <v>43605.251435999999</v>
      </c>
      <c r="N520" s="150">
        <v>2.4319214530000002</v>
      </c>
      <c r="O520" s="150">
        <v>100</v>
      </c>
      <c r="P520" s="150">
        <v>97.568078546999999</v>
      </c>
      <c r="Q520" s="150">
        <v>30.303675146500002</v>
      </c>
      <c r="R520" s="150">
        <v>100</v>
      </c>
      <c r="S520" s="150">
        <v>69.696324853500002</v>
      </c>
      <c r="T520" s="150" t="s">
        <v>2842</v>
      </c>
      <c r="U520" s="150" t="s">
        <v>2842</v>
      </c>
      <c r="V520" s="150" t="s">
        <v>2842</v>
      </c>
    </row>
    <row r="521" spans="1:22">
      <c r="A521" s="150" t="s">
        <v>2889</v>
      </c>
      <c r="B521" s="150" t="s">
        <v>429</v>
      </c>
      <c r="C521" s="150" t="str">
        <f t="shared" si="16"/>
        <v>2013_Norway</v>
      </c>
      <c r="D521" s="150">
        <v>40582.096657000002</v>
      </c>
      <c r="E521" s="150">
        <v>193897.71185699999</v>
      </c>
      <c r="F521" s="150">
        <f t="shared" si="17"/>
        <v>193897711857</v>
      </c>
      <c r="G521" s="150">
        <v>153315.6152</v>
      </c>
      <c r="H521" s="150">
        <v>49545.579772999998</v>
      </c>
      <c r="I521" s="150">
        <v>140839.45497300001</v>
      </c>
      <c r="J521" s="150">
        <v>91293.875199999995</v>
      </c>
      <c r="K521" s="150">
        <v>-8963.4831159999994</v>
      </c>
      <c r="L521" s="150">
        <v>53058.256884000002</v>
      </c>
      <c r="M521" s="150">
        <v>62021.74</v>
      </c>
      <c r="N521" s="150">
        <v>20.929641855100002</v>
      </c>
      <c r="O521" s="150">
        <v>100</v>
      </c>
      <c r="P521" s="150">
        <v>79.070358144899998</v>
      </c>
      <c r="Q521" s="150">
        <v>35.178764205299998</v>
      </c>
      <c r="R521" s="150">
        <v>100</v>
      </c>
      <c r="S521" s="150">
        <v>64.821235794700002</v>
      </c>
      <c r="T521" s="150" t="s">
        <v>2842</v>
      </c>
      <c r="U521" s="150" t="s">
        <v>2842</v>
      </c>
      <c r="V521" s="150" t="s">
        <v>2842</v>
      </c>
    </row>
    <row r="522" spans="1:22">
      <c r="A522" s="150" t="s">
        <v>2889</v>
      </c>
      <c r="B522" s="150" t="s">
        <v>442</v>
      </c>
      <c r="C522" s="150" t="str">
        <f t="shared" si="16"/>
        <v>2013_Peru</v>
      </c>
      <c r="D522" s="150">
        <v>6102.1704579999996</v>
      </c>
      <c r="E522" s="150">
        <v>47884.796297000001</v>
      </c>
      <c r="F522" s="150">
        <f t="shared" si="17"/>
        <v>47884796297</v>
      </c>
      <c r="G522" s="150">
        <v>41782.625839</v>
      </c>
      <c r="H522" s="150">
        <v>7675.1556270000001</v>
      </c>
      <c r="I522" s="150">
        <v>49868.804686000003</v>
      </c>
      <c r="J522" s="150">
        <v>42193.649059000003</v>
      </c>
      <c r="K522" s="150">
        <v>-1572.985169</v>
      </c>
      <c r="L522" s="150">
        <v>-1984.0083890000001</v>
      </c>
      <c r="M522" s="150">
        <v>-411.02321999999998</v>
      </c>
      <c r="N522" s="150">
        <v>12.743440360799999</v>
      </c>
      <c r="O522" s="150">
        <v>100</v>
      </c>
      <c r="P522" s="150">
        <v>87.256559639200006</v>
      </c>
      <c r="Q522" s="150">
        <v>15.390694995300001</v>
      </c>
      <c r="R522" s="150">
        <v>100</v>
      </c>
      <c r="S522" s="150">
        <v>84.609305004700005</v>
      </c>
      <c r="T522" s="150" t="s">
        <v>2842</v>
      </c>
      <c r="U522" s="150" t="s">
        <v>2842</v>
      </c>
      <c r="V522" s="150" t="s">
        <v>2842</v>
      </c>
    </row>
    <row r="523" spans="1:22">
      <c r="A523" s="150" t="s">
        <v>2889</v>
      </c>
      <c r="B523" s="150" t="s">
        <v>481</v>
      </c>
      <c r="C523" s="150" t="str">
        <f t="shared" si="16"/>
        <v>2013_Sierra Leone</v>
      </c>
      <c r="D523" s="150" t="s">
        <v>561</v>
      </c>
      <c r="E523" s="150" t="s">
        <v>2842</v>
      </c>
      <c r="F523" s="150" t="str">
        <f t="shared" si="17"/>
        <v>..</v>
      </c>
      <c r="G523" s="150">
        <v>1989.7921924499999</v>
      </c>
      <c r="H523" s="150" t="s">
        <v>561</v>
      </c>
      <c r="I523" s="150" t="s">
        <v>561</v>
      </c>
      <c r="J523" s="150">
        <v>2242.6402624299999</v>
      </c>
      <c r="K523" s="150" t="s">
        <v>561</v>
      </c>
      <c r="L523" s="150" t="s">
        <v>561</v>
      </c>
      <c r="M523" s="150">
        <v>-252.84806997999999</v>
      </c>
      <c r="N523" s="150" t="s">
        <v>561</v>
      </c>
      <c r="O523" s="150" t="s">
        <v>561</v>
      </c>
      <c r="P523" s="150">
        <v>91.164809317800007</v>
      </c>
      <c r="Q523" s="150" t="s">
        <v>561</v>
      </c>
      <c r="R523" s="150" t="s">
        <v>561</v>
      </c>
      <c r="S523" s="150">
        <v>80.284416730499998</v>
      </c>
      <c r="T523" s="150" t="s">
        <v>2842</v>
      </c>
      <c r="U523" s="150" t="s">
        <v>2842</v>
      </c>
      <c r="V523" s="150" t="s">
        <v>2842</v>
      </c>
    </row>
    <row r="524" spans="1:22">
      <c r="A524" s="150" t="s">
        <v>2889</v>
      </c>
      <c r="B524" s="150" t="s">
        <v>2844</v>
      </c>
      <c r="C524" s="150" t="str">
        <f t="shared" si="16"/>
        <v>2013_Timor-Leste</v>
      </c>
      <c r="D524" s="150" t="s">
        <v>561</v>
      </c>
      <c r="E524" s="150" t="s">
        <v>2842</v>
      </c>
      <c r="F524" s="150" t="str">
        <f t="shared" si="17"/>
        <v>..</v>
      </c>
      <c r="G524" s="150">
        <v>17.33308006</v>
      </c>
      <c r="H524" s="150" t="s">
        <v>561</v>
      </c>
      <c r="I524" s="150" t="s">
        <v>561</v>
      </c>
      <c r="J524" s="150">
        <v>853.09651940000003</v>
      </c>
      <c r="K524" s="150" t="s">
        <v>561</v>
      </c>
      <c r="L524" s="150" t="s">
        <v>561</v>
      </c>
      <c r="M524" s="150">
        <v>-835.76343933999999</v>
      </c>
      <c r="N524" s="150" t="s">
        <v>561</v>
      </c>
      <c r="O524" s="150" t="s">
        <v>561</v>
      </c>
      <c r="P524" s="150">
        <v>20.3143717188</v>
      </c>
      <c r="Q524" s="150" t="s">
        <v>561</v>
      </c>
      <c r="R524" s="150" t="s">
        <v>561</v>
      </c>
      <c r="S524" s="150">
        <v>45.281437009900003</v>
      </c>
      <c r="T524" s="150" t="s">
        <v>2842</v>
      </c>
      <c r="U524" s="150" t="s">
        <v>2842</v>
      </c>
      <c r="V524" s="150" t="s">
        <v>2842</v>
      </c>
    </row>
    <row r="525" spans="1:22">
      <c r="A525" s="150" t="s">
        <v>2889</v>
      </c>
      <c r="B525" s="150" t="s">
        <v>510</v>
      </c>
      <c r="C525" s="150" t="str">
        <f t="shared" si="16"/>
        <v>2013_Togo</v>
      </c>
      <c r="D525" s="150" t="s">
        <v>561</v>
      </c>
      <c r="E525" s="150" t="s">
        <v>2842</v>
      </c>
      <c r="F525" s="150" t="str">
        <f t="shared" si="17"/>
        <v>..</v>
      </c>
      <c r="G525" s="150">
        <v>1354.6604459499999</v>
      </c>
      <c r="H525" s="150" t="s">
        <v>561</v>
      </c>
      <c r="I525" s="150" t="s">
        <v>561</v>
      </c>
      <c r="J525" s="150">
        <v>2256.7189345699999</v>
      </c>
      <c r="K525" s="150" t="s">
        <v>561</v>
      </c>
      <c r="L525" s="150" t="s">
        <v>561</v>
      </c>
      <c r="M525" s="150">
        <v>-902.05848862000005</v>
      </c>
      <c r="N525" s="150" t="s">
        <v>561</v>
      </c>
      <c r="O525" s="150" t="s">
        <v>561</v>
      </c>
      <c r="P525" s="150">
        <v>59.086964454899999</v>
      </c>
      <c r="Q525" s="150" t="s">
        <v>561</v>
      </c>
      <c r="R525" s="150" t="s">
        <v>561</v>
      </c>
      <c r="S525" s="150">
        <v>63.750024591699997</v>
      </c>
      <c r="T525" s="150" t="s">
        <v>2842</v>
      </c>
      <c r="U525" s="150" t="s">
        <v>2842</v>
      </c>
      <c r="V525" s="150" t="s">
        <v>2842</v>
      </c>
    </row>
    <row r="526" spans="1:22">
      <c r="A526" s="150" t="s">
        <v>2889</v>
      </c>
      <c r="B526" s="150" t="s">
        <v>2845</v>
      </c>
      <c r="C526" s="150" t="str">
        <f t="shared" si="16"/>
        <v>2013_Trinidad and Tobago</v>
      </c>
      <c r="D526" s="150" t="s">
        <v>561</v>
      </c>
      <c r="E526" s="150" t="s">
        <v>2842</v>
      </c>
      <c r="F526" s="150" t="str">
        <f t="shared" si="17"/>
        <v>..</v>
      </c>
      <c r="G526" s="150">
        <v>12769.606581980001</v>
      </c>
      <c r="H526" s="150" t="s">
        <v>561</v>
      </c>
      <c r="I526" s="150" t="s">
        <v>561</v>
      </c>
      <c r="J526" s="150">
        <v>8870.7604133799996</v>
      </c>
      <c r="K526" s="150" t="s">
        <v>561</v>
      </c>
      <c r="L526" s="150" t="s">
        <v>561</v>
      </c>
      <c r="M526" s="150">
        <v>3898.8461686000001</v>
      </c>
      <c r="N526" s="150" t="s">
        <v>561</v>
      </c>
      <c r="O526" s="150" t="s">
        <v>561</v>
      </c>
      <c r="P526" s="150">
        <v>67.039060349400003</v>
      </c>
      <c r="Q526" s="150" t="s">
        <v>561</v>
      </c>
      <c r="R526" s="150" t="s">
        <v>561</v>
      </c>
      <c r="S526" s="150">
        <v>58.528555651600001</v>
      </c>
      <c r="T526" s="150" t="s">
        <v>2842</v>
      </c>
      <c r="U526" s="150" t="s">
        <v>2842</v>
      </c>
      <c r="V526" s="150" t="s">
        <v>2842</v>
      </c>
    </row>
    <row r="527" spans="1:22">
      <c r="A527" s="150" t="s">
        <v>2889</v>
      </c>
      <c r="B527" s="150" t="s">
        <v>492</v>
      </c>
      <c r="C527" s="150" t="str">
        <f t="shared" si="16"/>
        <v>2013_Tanzania</v>
      </c>
      <c r="D527" s="150">
        <v>3016.758421</v>
      </c>
      <c r="E527" s="150">
        <v>8386.5052620000006</v>
      </c>
      <c r="F527" s="150">
        <f t="shared" si="17"/>
        <v>8386505262.000001</v>
      </c>
      <c r="G527" s="150">
        <v>5369.7468410000001</v>
      </c>
      <c r="H527" s="150">
        <v>2496.0702219999998</v>
      </c>
      <c r="I527" s="150">
        <v>13531.240972</v>
      </c>
      <c r="J527" s="150">
        <v>11035.170749999999</v>
      </c>
      <c r="K527" s="150">
        <v>520.68819900000005</v>
      </c>
      <c r="L527" s="150">
        <v>-5144.7357099999999</v>
      </c>
      <c r="M527" s="150">
        <v>-5665.4239090000001</v>
      </c>
      <c r="N527" s="150">
        <v>35.971579659900002</v>
      </c>
      <c r="O527" s="150">
        <v>100</v>
      </c>
      <c r="P527" s="150">
        <v>64.028420340099998</v>
      </c>
      <c r="Q527" s="150">
        <v>18.446720645700001</v>
      </c>
      <c r="R527" s="150">
        <v>100</v>
      </c>
      <c r="S527" s="150">
        <v>81.553279354300003</v>
      </c>
      <c r="T527" s="150" t="s">
        <v>2842</v>
      </c>
      <c r="U527" s="150" t="s">
        <v>2842</v>
      </c>
      <c r="V527" s="150" t="s">
        <v>2842</v>
      </c>
    </row>
    <row r="528" spans="1:22">
      <c r="A528" s="150" t="s">
        <v>2889</v>
      </c>
      <c r="B528" s="150" t="s">
        <v>522</v>
      </c>
      <c r="C528" s="150" t="str">
        <f t="shared" si="16"/>
        <v>2013_Yemen</v>
      </c>
      <c r="D528" s="150">
        <v>1704.0626769999999</v>
      </c>
      <c r="E528" s="150">
        <v>9434.3144329999996</v>
      </c>
      <c r="F528" s="150">
        <f t="shared" si="17"/>
        <v>9434314433</v>
      </c>
      <c r="G528" s="150">
        <v>7730.2517559999997</v>
      </c>
      <c r="H528" s="150">
        <v>2425.2138829999999</v>
      </c>
      <c r="I528" s="150">
        <v>13085.059590999999</v>
      </c>
      <c r="J528" s="150">
        <v>10659.845708000001</v>
      </c>
      <c r="K528" s="150">
        <v>-721.151206</v>
      </c>
      <c r="L528" s="150">
        <v>-3650.7451580000002</v>
      </c>
      <c r="M528" s="150">
        <v>-2929.5939520000002</v>
      </c>
      <c r="N528" s="150">
        <v>18.062390108999999</v>
      </c>
      <c r="O528" s="150">
        <v>100</v>
      </c>
      <c r="P528" s="150">
        <v>81.937609890999994</v>
      </c>
      <c r="Q528" s="150">
        <v>18.534221156099999</v>
      </c>
      <c r="R528" s="150">
        <v>100</v>
      </c>
      <c r="S528" s="150">
        <v>81.465778843899997</v>
      </c>
      <c r="T528" s="150" t="s">
        <v>2842</v>
      </c>
      <c r="U528" s="150" t="s">
        <v>2842</v>
      </c>
      <c r="V528" s="150" t="s">
        <v>2842</v>
      </c>
    </row>
    <row r="529" spans="1:22">
      <c r="A529" s="150" t="s">
        <v>2889</v>
      </c>
      <c r="B529" s="150" t="s">
        <v>534</v>
      </c>
      <c r="C529" s="150" t="str">
        <f t="shared" si="16"/>
        <v>2013_Zambia</v>
      </c>
      <c r="D529" s="150" t="s">
        <v>561</v>
      </c>
      <c r="E529" s="150" t="s">
        <v>2842</v>
      </c>
      <c r="F529" s="150" t="str">
        <f t="shared" si="17"/>
        <v>..</v>
      </c>
      <c r="G529" s="150">
        <v>10649.30952938</v>
      </c>
      <c r="H529" s="150" t="s">
        <v>561</v>
      </c>
      <c r="I529" s="150" t="s">
        <v>561</v>
      </c>
      <c r="J529" s="150">
        <v>9187.3790054799993</v>
      </c>
      <c r="K529" s="150" t="s">
        <v>561</v>
      </c>
      <c r="L529" s="150" t="s">
        <v>561</v>
      </c>
      <c r="M529" s="150">
        <v>1461.9305239</v>
      </c>
      <c r="N529" s="150" t="s">
        <v>561</v>
      </c>
      <c r="O529" s="150" t="s">
        <v>561</v>
      </c>
      <c r="P529" s="150">
        <v>95.619393196399997</v>
      </c>
      <c r="Q529" s="150" t="s">
        <v>561</v>
      </c>
      <c r="R529" s="150" t="s">
        <v>561</v>
      </c>
      <c r="S529" s="150">
        <v>87.679539679200005</v>
      </c>
      <c r="T529" s="150" t="s">
        <v>2842</v>
      </c>
      <c r="U529" s="150" t="s">
        <v>2842</v>
      </c>
      <c r="V529" s="150" t="s">
        <v>2842</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H9" sqref="H9"/>
    </sheetView>
  </sheetViews>
  <sheetFormatPr defaultColWidth="8.85546875" defaultRowHeight="15"/>
  <cols>
    <col min="1" max="16384" width="8.85546875" style="151"/>
  </cols>
  <sheetData>
    <row r="1" spans="1:3">
      <c r="A1" s="152" t="s">
        <v>2896</v>
      </c>
      <c r="B1" s="152">
        <v>2010</v>
      </c>
      <c r="C1" s="152">
        <v>2013</v>
      </c>
    </row>
    <row r="2" spans="1:3">
      <c r="A2" s="151" t="s">
        <v>2897</v>
      </c>
      <c r="B2" s="151">
        <v>97</v>
      </c>
      <c r="C2" s="153">
        <f>VLOOKUP($A2,'[6]3.Components scores table'!$B$2:$D$59,3,FALSE)</f>
        <v>79.938388792646663</v>
      </c>
    </row>
    <row r="3" spans="1:3">
      <c r="A3" s="151" t="s">
        <v>429</v>
      </c>
      <c r="B3" s="151">
        <v>96.4</v>
      </c>
      <c r="C3" s="153">
        <f>VLOOKUP($A3,'[6]3.Components scores table'!$B$2:$D$59,3,FALSE)</f>
        <v>98.017483296506555</v>
      </c>
    </row>
    <row r="4" spans="1:3">
      <c r="A4" s="151" t="s">
        <v>2898</v>
      </c>
      <c r="B4" s="151">
        <v>89.7</v>
      </c>
      <c r="C4" s="153">
        <f>VLOOKUP($A4,'[6]3.Components scores table'!$B$2:$D$59,3,FALSE)</f>
        <v>55.536649065875352</v>
      </c>
    </row>
    <row r="5" spans="1:3">
      <c r="A5" s="151" t="s">
        <v>2899</v>
      </c>
      <c r="B5" s="151">
        <v>83.4</v>
      </c>
      <c r="C5" s="153">
        <f>VLOOKUP($A5,'[6]3.Components scores table'!$B$2:$D$59,3,FALSE)</f>
        <v>76.531116206327013</v>
      </c>
    </row>
    <row r="6" spans="1:3">
      <c r="A6" s="151" t="s">
        <v>2900</v>
      </c>
      <c r="B6" s="151">
        <v>80.599999999999994</v>
      </c>
      <c r="C6" s="153">
        <f>VLOOKUP($A6,'[6]3.Components scores table'!$B$2:$D$59,3,FALSE)</f>
        <v>75.18085549169885</v>
      </c>
    </row>
    <row r="7" spans="1:3">
      <c r="A7" s="151" t="s">
        <v>2901</v>
      </c>
      <c r="B7" s="151">
        <v>79.599999999999994</v>
      </c>
      <c r="C7" s="153">
        <f>VLOOKUP($A7,'[6]3.Components scores table'!$B$2:$D$59,3,FALSE)</f>
        <v>74.135087376707531</v>
      </c>
    </row>
    <row r="8" spans="1:3">
      <c r="A8" s="151" t="s">
        <v>273</v>
      </c>
      <c r="B8" s="151">
        <v>77.5</v>
      </c>
      <c r="C8" s="153">
        <f>VLOOKUP($A8,'[6]3.Components scores table'!$B$2:$D$59,3,FALSE)</f>
        <v>57.362887635782535</v>
      </c>
    </row>
    <row r="9" spans="1:3">
      <c r="A9" s="151" t="s">
        <v>442</v>
      </c>
      <c r="B9" s="151">
        <v>76.8</v>
      </c>
      <c r="C9" s="153">
        <f>VLOOKUP($A9,'[6]3.Components scores table'!$B$2:$D$59,3,FALSE)</f>
        <v>72.816147461462435</v>
      </c>
    </row>
    <row r="10" spans="1:3">
      <c r="A10" s="151" t="s">
        <v>48</v>
      </c>
      <c r="B10" s="151">
        <v>75.099999999999994</v>
      </c>
      <c r="C10" s="153">
        <f>VLOOKUP($A10,'[6]3.Components scores table'!$B$2:$D$59,3,FALSE)</f>
        <v>48.092853423547197</v>
      </c>
    </row>
    <row r="11" spans="1:3">
      <c r="A11" s="151" t="s">
        <v>2902</v>
      </c>
      <c r="B11" s="151">
        <v>73.599999999999994</v>
      </c>
      <c r="C11" s="153">
        <f>VLOOKUP($A11,'[6]3.Components scores table'!$B$2:$D$59,3,FALSE)</f>
        <v>58.161726438221336</v>
      </c>
    </row>
    <row r="12" spans="1:3">
      <c r="A12" s="151" t="s">
        <v>2903</v>
      </c>
      <c r="B12" s="151">
        <v>71.400000000000006</v>
      </c>
      <c r="C12" s="153" t="e">
        <f>VLOOKUP($A12,'[6]3.Components scores table'!$B$2:$D$59,3,FALSE)</f>
        <v>#N/A</v>
      </c>
    </row>
    <row r="13" spans="1:3">
      <c r="A13" s="151" t="s">
        <v>2844</v>
      </c>
      <c r="B13" s="151">
        <v>70.5</v>
      </c>
      <c r="C13" s="153">
        <f>VLOOKUP($A13,'[6]3.Components scores table'!$B$2:$D$59,3,FALSE)</f>
        <v>67.748854430370386</v>
      </c>
    </row>
    <row r="14" spans="1:3">
      <c r="A14" s="151" t="s">
        <v>245</v>
      </c>
      <c r="B14" s="151">
        <v>63.8</v>
      </c>
      <c r="C14" s="153">
        <f>VLOOKUP($A14,'[6]3.Components scores table'!$B$2:$D$59,3,FALSE)</f>
        <v>46.872798601284018</v>
      </c>
    </row>
    <row r="15" spans="1:3">
      <c r="A15" s="151" t="s">
        <v>2904</v>
      </c>
      <c r="B15" s="151">
        <v>63</v>
      </c>
      <c r="C15" s="153">
        <f>VLOOKUP($A15,'[6]3.Components scores table'!$B$2:$D$59,3,FALSE)</f>
        <v>55.974231071148758</v>
      </c>
    </row>
    <row r="16" spans="1:3">
      <c r="A16" s="151" t="s">
        <v>2845</v>
      </c>
      <c r="B16" s="151">
        <v>61.9</v>
      </c>
      <c r="C16" s="153">
        <f>VLOOKUP($A16,'[6]3.Components scores table'!$B$2:$D$59,3,FALSE)</f>
        <v>73.801508489070173</v>
      </c>
    </row>
    <row r="17" spans="1:3">
      <c r="A17" s="151" t="s">
        <v>522</v>
      </c>
      <c r="B17" s="151">
        <v>60.5</v>
      </c>
      <c r="C17" s="153">
        <f>VLOOKUP($A17,'[6]3.Components scores table'!$B$2:$D$59,3,FALSE)</f>
        <v>43.154597212929545</v>
      </c>
    </row>
    <row r="18" spans="1:3">
      <c r="A18" s="151" t="s">
        <v>294</v>
      </c>
      <c r="B18" s="151">
        <v>60.5</v>
      </c>
      <c r="C18" s="153">
        <f>VLOOKUP($A18,'[6]3.Components scores table'!$B$2:$D$59,3,FALSE)</f>
        <v>61.600874881317473</v>
      </c>
    </row>
    <row r="19" spans="1:3">
      <c r="A19" s="151" t="s">
        <v>2905</v>
      </c>
      <c r="B19" s="151">
        <v>58</v>
      </c>
      <c r="C19" s="153">
        <f>VLOOKUP($A19,'[6]3.Components scores table'!$B$2:$D$59,3,FALSE)</f>
        <v>55.546062062222191</v>
      </c>
    </row>
    <row r="20" spans="1:3">
      <c r="A20" s="151" t="s">
        <v>2906</v>
      </c>
      <c r="B20" s="151">
        <v>56.3</v>
      </c>
      <c r="C20" s="153">
        <f>VLOOKUP($A20,'[6]3.Components scores table'!$B$2:$D$59,3,FALSE)</f>
        <v>53.428170361039442</v>
      </c>
    </row>
    <row r="21" spans="1:3">
      <c r="A21" s="151" t="s">
        <v>2907</v>
      </c>
      <c r="B21" s="151">
        <v>51.1</v>
      </c>
      <c r="C21" s="153">
        <f>VLOOKUP($A21,'[6]3.Components scores table'!$B$2:$D$59,3,FALSE)</f>
        <v>43.047909604250449</v>
      </c>
    </row>
    <row r="22" spans="1:3">
      <c r="A22" s="151" t="s">
        <v>237</v>
      </c>
      <c r="B22" s="151">
        <v>50</v>
      </c>
      <c r="C22" s="153">
        <f>VLOOKUP($A22,'[6]3.Components scores table'!$B$2:$D$59,3,FALSE)</f>
        <v>65.756132994529537</v>
      </c>
    </row>
    <row r="23" spans="1:3">
      <c r="A23" s="151" t="s">
        <v>2908</v>
      </c>
      <c r="B23" s="151">
        <v>48.4</v>
      </c>
      <c r="C23" s="153">
        <f>VLOOKUP($A23,'[6]3.Components scores table'!$B$2:$D$59,3,FALSE)</f>
        <v>45.817659775943994</v>
      </c>
    </row>
    <row r="24" spans="1:3">
      <c r="A24" s="151" t="s">
        <v>406</v>
      </c>
      <c r="B24" s="151">
        <v>46.5</v>
      </c>
      <c r="C24" s="153">
        <f>VLOOKUP($A24,'[6]3.Components scores table'!$B$2:$D$59,3,FALSE)</f>
        <v>42.488706175328218</v>
      </c>
    </row>
    <row r="25" spans="1:3">
      <c r="A25" s="151" t="s">
        <v>2909</v>
      </c>
      <c r="B25" s="151">
        <v>46.3</v>
      </c>
      <c r="C25" s="153">
        <f>VLOOKUP($A25,'[6]3.Components scores table'!$B$2:$D$59,3,FALSE)</f>
        <v>46.767430696871045</v>
      </c>
    </row>
    <row r="26" spans="1:3">
      <c r="A26" s="151" t="s">
        <v>2910</v>
      </c>
      <c r="B26" s="151">
        <v>42.2</v>
      </c>
      <c r="C26" s="153">
        <f>VLOOKUP($A26,'[6]3.Components scores table'!$B$2:$D$59,3,FALSE)</f>
        <v>43.379103996937005</v>
      </c>
    </row>
    <row r="27" spans="1:3">
      <c r="A27" s="151" t="s">
        <v>185</v>
      </c>
      <c r="B27" s="151">
        <v>41.8</v>
      </c>
      <c r="C27" s="153">
        <f>VLOOKUP($A27,'[6]3.Components scores table'!$B$2:$D$59,3,FALSE)</f>
        <v>45.964036106201753</v>
      </c>
    </row>
    <row r="28" spans="1:3">
      <c r="A28" s="151" t="s">
        <v>96</v>
      </c>
      <c r="B28" s="151">
        <v>41.8</v>
      </c>
      <c r="C28" s="153">
        <f>VLOOKUP($A28,'[6]3.Components scores table'!$B$2:$D$59,3,FALSE)</f>
        <v>34.155297028034767</v>
      </c>
    </row>
    <row r="29" spans="1:3">
      <c r="A29" s="151" t="s">
        <v>534</v>
      </c>
      <c r="B29" s="151">
        <v>41.2</v>
      </c>
      <c r="C29" s="153">
        <f>VLOOKUP($A29,'[6]3.Components scores table'!$B$2:$D$59,3,FALSE)</f>
        <v>60.803011070373614</v>
      </c>
    </row>
    <row r="30" spans="1:3">
      <c r="A30" s="151" t="s">
        <v>481</v>
      </c>
      <c r="B30" s="151">
        <v>38.200000000000003</v>
      </c>
      <c r="C30" s="153">
        <f>VLOOKUP($A30,'[6]3.Components scores table'!$B$2:$D$59,3,FALSE)</f>
        <v>45.714033330666766</v>
      </c>
    </row>
    <row r="31" spans="1:3">
      <c r="A31" s="151" t="s">
        <v>357</v>
      </c>
      <c r="B31" s="151">
        <v>38.200000000000003</v>
      </c>
      <c r="C31" s="153">
        <f>VLOOKUP($A31,'[6]3.Components scores table'!$B$2:$D$59,3,FALSE)</f>
        <v>50.952530108834466</v>
      </c>
    </row>
    <row r="32" spans="1:3">
      <c r="A32" s="151" t="s">
        <v>2911</v>
      </c>
      <c r="B32" s="151">
        <v>37.4</v>
      </c>
      <c r="C32" s="153" t="e">
        <f>VLOOKUP($A32,'[6]3.Components scores table'!$B$2:$D$59,3,FALSE)</f>
        <v>#N/A</v>
      </c>
    </row>
    <row r="33" spans="1:3">
      <c r="A33" s="151" t="s">
        <v>2912</v>
      </c>
      <c r="B33" s="151">
        <v>36.1</v>
      </c>
      <c r="C33" s="153">
        <f>VLOOKUP($A33,'[6]3.Components scores table'!$B$2:$D$59,3,FALSE)</f>
        <v>27.969958975654741</v>
      </c>
    </row>
    <row r="34" spans="1:3">
      <c r="A34" s="151" t="s">
        <v>2913</v>
      </c>
      <c r="B34" s="151">
        <v>34.700000000000003</v>
      </c>
      <c r="C34" s="153">
        <f>VLOOKUP($A34,'[6]3.Components scores table'!$B$2:$D$59,3,FALSE)</f>
        <v>42.048886952000956</v>
      </c>
    </row>
    <row r="35" spans="1:3">
      <c r="A35" s="151" t="s">
        <v>2914</v>
      </c>
      <c r="B35" s="151">
        <v>32.4</v>
      </c>
      <c r="C35" s="153">
        <f>VLOOKUP($A35,'[6]3.Components scores table'!$B$2:$D$59,3,FALSE)</f>
        <v>33.812867933175617</v>
      </c>
    </row>
    <row r="36" spans="1:3">
      <c r="A36" s="151" t="s">
        <v>189</v>
      </c>
      <c r="B36" s="151">
        <v>32.299999999999997</v>
      </c>
      <c r="C36" s="153">
        <f>VLOOKUP($A36,'[6]3.Components scores table'!$B$2:$D$59,3,FALSE)</f>
        <v>62.723264193960979</v>
      </c>
    </row>
    <row r="37" spans="1:3">
      <c r="A37" s="151" t="s">
        <v>2915</v>
      </c>
      <c r="B37" s="151">
        <v>29.8</v>
      </c>
      <c r="C37" s="153">
        <f>VLOOKUP($A37,'[6]3.Components scores table'!$B$2:$D$59,3,FALSE)</f>
        <v>41.085619660713327</v>
      </c>
    </row>
    <row r="38" spans="1:3">
      <c r="A38" s="151" t="s">
        <v>492</v>
      </c>
      <c r="B38" s="151">
        <v>27.8</v>
      </c>
      <c r="C38" s="153">
        <f>VLOOKUP($A38,'[6]3.Components scores table'!$B$2:$D$59,3,FALSE)</f>
        <v>49.764112779291708</v>
      </c>
    </row>
    <row r="39" spans="1:3">
      <c r="A39" s="151" t="s">
        <v>2916</v>
      </c>
      <c r="B39" s="151">
        <v>22.8</v>
      </c>
      <c r="C39" s="153">
        <f>VLOOKUP($A39,'[6]3.Components scores table'!$B$2:$D$59,3,FALSE)</f>
        <v>38.402667237851141</v>
      </c>
    </row>
    <row r="40" spans="1:3">
      <c r="A40" s="151" t="s">
        <v>2917</v>
      </c>
      <c r="B40" s="151">
        <v>22.5</v>
      </c>
      <c r="C40" s="153" t="e">
        <f>VLOOKUP($A40,'[6]3.Components scores table'!$B$2:$D$59,3,FALSE)</f>
        <v>#N/A</v>
      </c>
    </row>
    <row r="41" spans="1:3">
      <c r="A41" s="151" t="s">
        <v>182</v>
      </c>
      <c r="B41" s="151">
        <v>11.6</v>
      </c>
      <c r="C41" s="153">
        <f>VLOOKUP($A41,'[6]3.Components scores table'!$B$2:$D$59,3,FALSE)</f>
        <v>12.515609743116736</v>
      </c>
    </row>
    <row r="42" spans="1:3">
      <c r="A42" s="151" t="s">
        <v>2918</v>
      </c>
      <c r="B42" s="151">
        <v>9.6999999999999993</v>
      </c>
      <c r="C42" s="153">
        <f>VLOOKUP($A42,'[6]3.Components scores table'!$B$2:$D$59,3,FALSE)</f>
        <v>4.7713314322693972</v>
      </c>
    </row>
    <row r="43" spans="1:3">
      <c r="A43" s="151" t="s">
        <v>2919</v>
      </c>
      <c r="B43" s="151">
        <v>51.8</v>
      </c>
      <c r="C43" s="153" t="e">
        <f>VLOOKUP($A43,'[6]3.Components scores table'!$B$2:$D$59,3,FALSE)</f>
        <v>#N/A</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3"/>
  <sheetViews>
    <sheetView workbookViewId="0">
      <selection activeCell="I477" sqref="I477"/>
    </sheetView>
  </sheetViews>
  <sheetFormatPr defaultColWidth="8.85546875" defaultRowHeight="15"/>
  <cols>
    <col min="1" max="2" width="8.85546875" style="151"/>
    <col min="3" max="3" width="33.140625" style="151" bestFit="1" customWidth="1"/>
    <col min="4" max="4" width="16" style="151" customWidth="1"/>
    <col min="5" max="5" width="17.85546875" style="151" customWidth="1"/>
    <col min="6" max="6" width="18.7109375" style="151" customWidth="1"/>
    <col min="7" max="7" width="14.7109375" style="151" customWidth="1"/>
    <col min="8" max="8" width="15" style="151" customWidth="1"/>
    <col min="9" max="9" width="14.42578125" style="151" customWidth="1"/>
    <col min="10" max="16384" width="8.85546875" style="151"/>
  </cols>
  <sheetData>
    <row r="1" spans="1:15">
      <c r="D1" s="151" t="s">
        <v>2934</v>
      </c>
      <c r="J1" s="151" t="s">
        <v>2935</v>
      </c>
    </row>
    <row r="2" spans="1:15">
      <c r="A2" s="151" t="s">
        <v>2849</v>
      </c>
      <c r="B2" s="151" t="s">
        <v>551</v>
      </c>
      <c r="C2" s="151" t="s">
        <v>2850</v>
      </c>
      <c r="D2" s="151" t="s">
        <v>2920</v>
      </c>
      <c r="E2" s="151" t="s">
        <v>2921</v>
      </c>
      <c r="F2" s="151" t="s">
        <v>2922</v>
      </c>
      <c r="G2" s="151" t="s">
        <v>2923</v>
      </c>
      <c r="H2" s="151" t="s">
        <v>2924</v>
      </c>
      <c r="I2" s="151" t="s">
        <v>2925</v>
      </c>
      <c r="J2" s="151" t="s">
        <v>2926</v>
      </c>
      <c r="K2" s="151" t="s">
        <v>2927</v>
      </c>
      <c r="L2" s="151" t="s">
        <v>2928</v>
      </c>
      <c r="M2" s="151" t="s">
        <v>2929</v>
      </c>
      <c r="N2" s="151" t="s">
        <v>2930</v>
      </c>
      <c r="O2" s="151" t="s">
        <v>2931</v>
      </c>
    </row>
    <row r="3" spans="1:15">
      <c r="A3" s="151">
        <v>1998</v>
      </c>
      <c r="B3" s="151" t="s">
        <v>16</v>
      </c>
      <c r="C3" s="151" t="s">
        <v>3066</v>
      </c>
      <c r="D3" s="151">
        <v>-1.83626458269795</v>
      </c>
      <c r="E3" s="151">
        <v>-2.2409776891570199</v>
      </c>
      <c r="F3" s="151">
        <v>-2.5659125005505001</v>
      </c>
      <c r="G3" s="151">
        <v>-2.1555059211496101</v>
      </c>
      <c r="H3" s="151">
        <v>-1.7385501899415701</v>
      </c>
      <c r="I3" s="151">
        <v>-2.0391684556527099</v>
      </c>
      <c r="J3" s="151">
        <v>0.48780487804877998</v>
      </c>
      <c r="K3" s="151">
        <v>0</v>
      </c>
      <c r="L3" s="151">
        <v>0.480769230769231</v>
      </c>
      <c r="M3" s="151">
        <v>1.9607843137254899</v>
      </c>
      <c r="N3" s="151">
        <v>1.91387559808612</v>
      </c>
      <c r="O3" s="151">
        <v>0.480769230769231</v>
      </c>
    </row>
    <row r="4" spans="1:15">
      <c r="A4" s="151">
        <v>1998</v>
      </c>
      <c r="B4" s="151" t="s">
        <v>33</v>
      </c>
      <c r="C4" s="151" t="s">
        <v>3067</v>
      </c>
      <c r="D4" s="151">
        <v>-1.0085911186996099</v>
      </c>
      <c r="E4" s="151">
        <v>-0.69108468513029797</v>
      </c>
      <c r="F4" s="151">
        <v>-0.66037106160044501</v>
      </c>
      <c r="G4" s="151">
        <v>-0.18657735663891301</v>
      </c>
      <c r="H4" s="151">
        <v>-1.20273257440127</v>
      </c>
      <c r="I4" s="151">
        <v>-0.454046108553328</v>
      </c>
      <c r="J4" s="151">
        <v>13.6585365853659</v>
      </c>
      <c r="K4" s="151">
        <v>24.878048780487799</v>
      </c>
      <c r="L4" s="151">
        <v>25</v>
      </c>
      <c r="M4" s="151">
        <v>44.117647058823501</v>
      </c>
      <c r="N4" s="151">
        <v>11.004784688995199</v>
      </c>
      <c r="O4" s="151">
        <v>36.057692307692299</v>
      </c>
    </row>
    <row r="5" spans="1:15">
      <c r="A5" s="151">
        <v>1998</v>
      </c>
      <c r="B5" s="151" t="s">
        <v>48</v>
      </c>
      <c r="C5" s="151" t="s">
        <v>3068</v>
      </c>
      <c r="D5" s="151">
        <v>-1.12488073075859</v>
      </c>
      <c r="E5" s="151">
        <v>-0.97350124494072399</v>
      </c>
      <c r="F5" s="151">
        <v>-0.82908684603988603</v>
      </c>
      <c r="G5" s="151">
        <v>-0.94789376831734096</v>
      </c>
      <c r="H5" s="151">
        <v>-1.0893727278091501</v>
      </c>
      <c r="I5" s="151">
        <v>-1.0027777317617901</v>
      </c>
      <c r="J5" s="151">
        <v>8.2926829268292703</v>
      </c>
      <c r="K5" s="151">
        <v>14.634146341463399</v>
      </c>
      <c r="L5" s="151">
        <v>19.711538461538499</v>
      </c>
      <c r="M5" s="151">
        <v>15.6862745098039</v>
      </c>
      <c r="N5" s="151">
        <v>15.789473684210501</v>
      </c>
      <c r="O5" s="151">
        <v>18.75</v>
      </c>
    </row>
    <row r="6" spans="1:15">
      <c r="A6" s="151">
        <v>1998</v>
      </c>
      <c r="B6" s="151" t="s">
        <v>93</v>
      </c>
      <c r="C6" s="151" t="s">
        <v>3069</v>
      </c>
      <c r="D6" s="151">
        <v>-0.24310224431578001</v>
      </c>
      <c r="E6" s="151">
        <v>-0.74952189862783203</v>
      </c>
      <c r="F6" s="151">
        <v>-0.20007287334078</v>
      </c>
      <c r="G6" s="151">
        <v>-0.39487437991184399</v>
      </c>
      <c r="H6" s="151">
        <v>-0.84533657280615504</v>
      </c>
      <c r="I6" s="151">
        <v>-0.57467550044655902</v>
      </c>
      <c r="J6" s="151">
        <v>46.829268292682897</v>
      </c>
      <c r="K6" s="151">
        <v>22.9268292682927</v>
      </c>
      <c r="L6" s="151">
        <v>37.980769230769198</v>
      </c>
      <c r="M6" s="151">
        <v>34.313725490196099</v>
      </c>
      <c r="N6" s="151">
        <v>22.009569377990399</v>
      </c>
      <c r="O6" s="151">
        <v>32.692307692307701</v>
      </c>
    </row>
    <row r="7" spans="1:15">
      <c r="A7" s="151">
        <v>1998</v>
      </c>
      <c r="B7" s="151" t="s">
        <v>122</v>
      </c>
      <c r="C7" s="151" t="s">
        <v>3070</v>
      </c>
      <c r="D7" s="151">
        <v>-0.99721560637751205</v>
      </c>
      <c r="E7" s="151">
        <v>-1.3113848019950201</v>
      </c>
      <c r="F7" s="151">
        <v>-1.2907560260183999</v>
      </c>
      <c r="G7" s="151">
        <v>-0.88344717665720895</v>
      </c>
      <c r="H7" s="151">
        <v>-1.4612802039655599</v>
      </c>
      <c r="I7" s="151">
        <v>-0.75480438857264898</v>
      </c>
      <c r="J7" s="151">
        <v>14.146341463414601</v>
      </c>
      <c r="K7" s="151">
        <v>6.8292682926829302</v>
      </c>
      <c r="L7" s="151">
        <v>11.538461538461499</v>
      </c>
      <c r="M7" s="151">
        <v>18.627450980392201</v>
      </c>
      <c r="N7" s="151">
        <v>6.2200956937798999</v>
      </c>
      <c r="O7" s="151">
        <v>26.923076923076898</v>
      </c>
    </row>
    <row r="8" spans="1:15">
      <c r="A8" s="151">
        <v>1998</v>
      </c>
      <c r="B8" s="151" t="s">
        <v>133</v>
      </c>
      <c r="C8" s="151" t="s">
        <v>3071</v>
      </c>
      <c r="D8" s="151">
        <v>-0.94171813772143298</v>
      </c>
      <c r="E8" s="151">
        <v>-0.63171383066669395</v>
      </c>
      <c r="F8" s="151">
        <v>-1.4097893196367399</v>
      </c>
      <c r="G8" s="151">
        <v>-0.93492546108865504</v>
      </c>
      <c r="H8" s="151">
        <v>-1.1379373274552</v>
      </c>
      <c r="I8" s="151">
        <v>-1.0508114630965899</v>
      </c>
      <c r="J8" s="151">
        <v>16.585365853658502</v>
      </c>
      <c r="K8" s="151">
        <v>27.804878048780498</v>
      </c>
      <c r="L8" s="151">
        <v>10.096153846153801</v>
      </c>
      <c r="M8" s="151">
        <v>16.6666666666667</v>
      </c>
      <c r="N8" s="151">
        <v>12.4401913875598</v>
      </c>
      <c r="O8" s="151">
        <v>16.826923076923102</v>
      </c>
    </row>
    <row r="9" spans="1:15">
      <c r="A9" s="151">
        <v>1998</v>
      </c>
      <c r="B9" s="151" t="s">
        <v>165</v>
      </c>
      <c r="C9" s="151" t="s">
        <v>3072</v>
      </c>
      <c r="D9" s="151">
        <v>-1.89954665946238</v>
      </c>
      <c r="E9" s="151">
        <v>-1.9740552049912501</v>
      </c>
      <c r="F9" s="151">
        <v>-2.99474939621278</v>
      </c>
      <c r="G9" s="151">
        <v>-2.4127314722161</v>
      </c>
      <c r="H9" s="151">
        <v>-2.2053594511269599</v>
      </c>
      <c r="I9" s="151">
        <v>-1.87997098303498</v>
      </c>
      <c r="J9" s="151">
        <v>0</v>
      </c>
      <c r="K9" s="151">
        <v>1.9512195121951199</v>
      </c>
      <c r="L9" s="151">
        <v>0</v>
      </c>
      <c r="M9" s="151">
        <v>0.49019607843137297</v>
      </c>
      <c r="N9" s="151">
        <v>0.47846889952153099</v>
      </c>
      <c r="O9" s="151">
        <v>2.4038461538461502</v>
      </c>
    </row>
    <row r="10" spans="1:15">
      <c r="A10" s="151">
        <v>1998</v>
      </c>
      <c r="B10" s="151" t="s">
        <v>458</v>
      </c>
      <c r="C10" s="151" t="s">
        <v>3073</v>
      </c>
      <c r="D10" s="151">
        <v>-1.1335867704199001</v>
      </c>
      <c r="E10" s="151">
        <v>-1.1891190198561901</v>
      </c>
      <c r="F10" s="151">
        <v>-1.60277494758017</v>
      </c>
      <c r="G10" s="151">
        <v>-1.2199623113435201</v>
      </c>
      <c r="H10" s="151">
        <v>-1.7076239562561</v>
      </c>
      <c r="I10" s="151">
        <v>-1.59006890448038</v>
      </c>
      <c r="J10" s="151">
        <v>7.8048780487804903</v>
      </c>
      <c r="K10" s="151">
        <v>9.7560975609756095</v>
      </c>
      <c r="L10" s="151">
        <v>8.1730769230769198</v>
      </c>
      <c r="M10" s="151">
        <v>11.2745098039216</v>
      </c>
      <c r="N10" s="151">
        <v>2.39234449760766</v>
      </c>
      <c r="O10" s="151">
        <v>5.2884615384615401</v>
      </c>
    </row>
    <row r="11" spans="1:15">
      <c r="A11" s="151">
        <v>1998</v>
      </c>
      <c r="B11" s="151" t="s">
        <v>96</v>
      </c>
      <c r="C11" s="151" t="s">
        <v>3074</v>
      </c>
      <c r="D11" s="151">
        <v>-1.04015669920049</v>
      </c>
      <c r="E11" s="151">
        <v>-0.73753558748806403</v>
      </c>
      <c r="F11" s="151">
        <v>-0.82481689479801201</v>
      </c>
      <c r="G11" s="151">
        <v>-0.63709273437293001</v>
      </c>
      <c r="H11" s="151">
        <v>-1.11522910539371</v>
      </c>
      <c r="I11" s="151">
        <v>-1.13727769280743</v>
      </c>
      <c r="J11" s="151">
        <v>11.219512195122</v>
      </c>
      <c r="K11" s="151">
        <v>23.414634146341498</v>
      </c>
      <c r="L11" s="151">
        <v>20.673076923076898</v>
      </c>
      <c r="M11" s="151">
        <v>24.509803921568601</v>
      </c>
      <c r="N11" s="151">
        <v>14.3540669856459</v>
      </c>
      <c r="O11" s="151">
        <v>13.942307692307701</v>
      </c>
    </row>
    <row r="12" spans="1:15">
      <c r="A12" s="151">
        <v>1998</v>
      </c>
      <c r="B12" s="151" t="s">
        <v>182</v>
      </c>
      <c r="C12" s="151" t="s">
        <v>3075</v>
      </c>
      <c r="D12" s="151">
        <v>-1.2112066723444399</v>
      </c>
      <c r="E12" s="151">
        <v>-1.4558299587116501</v>
      </c>
      <c r="F12" s="151">
        <v>-0.216439073608021</v>
      </c>
      <c r="G12" s="151">
        <v>-1.6624661153328499</v>
      </c>
      <c r="H12" s="151">
        <v>-1.44304548029621</v>
      </c>
      <c r="I12" s="151">
        <v>-1.5734042002464701</v>
      </c>
      <c r="J12" s="151">
        <v>4.8780487804878003</v>
      </c>
      <c r="K12" s="151">
        <v>4.8780487804878003</v>
      </c>
      <c r="L12" s="151">
        <v>37.019230769230802</v>
      </c>
      <c r="M12" s="151">
        <v>6.37254901960784</v>
      </c>
      <c r="N12" s="151">
        <v>7.1770334928229698</v>
      </c>
      <c r="O12" s="151">
        <v>6.7307692307692299</v>
      </c>
    </row>
    <row r="13" spans="1:15">
      <c r="A13" s="151">
        <v>1998</v>
      </c>
      <c r="B13" s="151" t="s">
        <v>185</v>
      </c>
      <c r="C13" s="151" t="s">
        <v>3076</v>
      </c>
      <c r="D13" s="151">
        <v>-0.87494912533444402</v>
      </c>
      <c r="E13" s="151">
        <v>-0.59351133282971302</v>
      </c>
      <c r="F13" s="151">
        <v>0.17616188509438799</v>
      </c>
      <c r="G13" s="151">
        <v>0.14129696611266601</v>
      </c>
      <c r="H13" s="151">
        <v>-0.34033475887222497</v>
      </c>
      <c r="I13" s="151">
        <v>-0.40772394393946398</v>
      </c>
      <c r="J13" s="151">
        <v>20.975609756097601</v>
      </c>
      <c r="K13" s="151">
        <v>29.756097560975601</v>
      </c>
      <c r="L13" s="151">
        <v>50.961538461538503</v>
      </c>
      <c r="M13" s="151">
        <v>55.392156862745097</v>
      </c>
      <c r="N13" s="151">
        <v>40.191387559808597</v>
      </c>
      <c r="O13" s="151">
        <v>36.538461538461497</v>
      </c>
    </row>
    <row r="14" spans="1:15">
      <c r="A14" s="151">
        <v>1998</v>
      </c>
      <c r="B14" s="151" t="s">
        <v>189</v>
      </c>
      <c r="C14" s="151" t="s">
        <v>3077</v>
      </c>
      <c r="D14" s="151">
        <v>-0.17188166173633701</v>
      </c>
      <c r="E14" s="151">
        <v>-0.140903884376199</v>
      </c>
      <c r="F14" s="151">
        <v>-0.23907289564911699</v>
      </c>
      <c r="G14" s="151">
        <v>-0.24588396252661199</v>
      </c>
      <c r="H14" s="151">
        <v>-0.43592835333847602</v>
      </c>
      <c r="I14" s="151">
        <v>-0.36435777850818701</v>
      </c>
      <c r="J14" s="151">
        <v>53.658536585365901</v>
      </c>
      <c r="K14" s="151">
        <v>50.243902439024403</v>
      </c>
      <c r="L14" s="151">
        <v>35.576923076923102</v>
      </c>
      <c r="M14" s="151">
        <v>38.235294117647101</v>
      </c>
      <c r="N14" s="151">
        <v>35.885167464114801</v>
      </c>
      <c r="O14" s="151">
        <v>37.980769230769198</v>
      </c>
    </row>
    <row r="15" spans="1:15">
      <c r="A15" s="151">
        <v>1998</v>
      </c>
      <c r="B15" s="151" t="s">
        <v>213</v>
      </c>
      <c r="C15" s="151" t="s">
        <v>3078</v>
      </c>
      <c r="D15" s="151">
        <v>-0.84580918164575902</v>
      </c>
      <c r="E15" s="151">
        <v>-0.41902651986267803</v>
      </c>
      <c r="F15" s="151">
        <v>-0.77184720589190703</v>
      </c>
      <c r="G15" s="151">
        <v>9.4026722228050794E-2</v>
      </c>
      <c r="H15" s="151">
        <v>-1.1328249319035599</v>
      </c>
      <c r="I15" s="151">
        <v>-0.280621120377674</v>
      </c>
      <c r="J15" s="151">
        <v>23.902439024390201</v>
      </c>
      <c r="K15" s="151">
        <v>40</v>
      </c>
      <c r="L15" s="151">
        <v>21.634615384615401</v>
      </c>
      <c r="M15" s="151">
        <v>54.411764705882398</v>
      </c>
      <c r="N15" s="151">
        <v>13.3971291866029</v>
      </c>
      <c r="O15" s="151">
        <v>41.826923076923102</v>
      </c>
    </row>
    <row r="16" spans="1:15">
      <c r="A16" s="151">
        <v>1998</v>
      </c>
      <c r="B16" s="151" t="s">
        <v>2843</v>
      </c>
      <c r="C16" s="151" t="s">
        <v>3079</v>
      </c>
      <c r="D16" s="151">
        <v>-0.72658887858018095</v>
      </c>
      <c r="E16" s="151">
        <v>-0.79896034270018601</v>
      </c>
      <c r="F16" s="151">
        <v>-0.69267319415914697</v>
      </c>
      <c r="G16" s="151">
        <v>-0.51057387535774101</v>
      </c>
      <c r="H16" s="151">
        <v>-1.2710461560803401</v>
      </c>
      <c r="I16" s="151">
        <v>-1.1905332558592301</v>
      </c>
      <c r="J16" s="151">
        <v>27.804878048780498</v>
      </c>
      <c r="K16" s="151">
        <v>21.4634146341463</v>
      </c>
      <c r="L16" s="151">
        <v>24.038461538461501</v>
      </c>
      <c r="M16" s="151">
        <v>27.4509803921569</v>
      </c>
      <c r="N16" s="151">
        <v>10.047846889952201</v>
      </c>
      <c r="O16" s="151">
        <v>12.9807692307692</v>
      </c>
    </row>
    <row r="17" spans="1:15">
      <c r="A17" s="151">
        <v>1998</v>
      </c>
      <c r="B17" s="151" t="s">
        <v>237</v>
      </c>
      <c r="C17" s="151" t="s">
        <v>3080</v>
      </c>
      <c r="D17" s="151">
        <v>-1.08210973422603</v>
      </c>
      <c r="E17" s="151">
        <v>-0.59605586530933496</v>
      </c>
      <c r="F17" s="151">
        <v>-1.76889320506128</v>
      </c>
      <c r="G17" s="151">
        <v>-0.26418626885555602</v>
      </c>
      <c r="H17" s="151">
        <v>-0.71932972792391403</v>
      </c>
      <c r="I17" s="151">
        <v>-1.03643658994594</v>
      </c>
      <c r="J17" s="151">
        <v>9.7560975609756095</v>
      </c>
      <c r="K17" s="151">
        <v>29.268292682926798</v>
      </c>
      <c r="L17" s="151">
        <v>6.25</v>
      </c>
      <c r="M17" s="151">
        <v>36.764705882352899</v>
      </c>
      <c r="N17" s="151">
        <v>27.272727272727298</v>
      </c>
      <c r="O17" s="151">
        <v>17.307692307692299</v>
      </c>
    </row>
    <row r="18" spans="1:15">
      <c r="A18" s="151">
        <v>1998</v>
      </c>
      <c r="B18" s="151" t="s">
        <v>245</v>
      </c>
      <c r="C18" s="151" t="s">
        <v>3081</v>
      </c>
      <c r="D18" s="151">
        <v>-1.25093464981113</v>
      </c>
      <c r="E18" s="151">
        <v>-1.8653502589362401</v>
      </c>
      <c r="F18" s="151">
        <v>-1.5971403926780401</v>
      </c>
      <c r="G18" s="151">
        <v>-2.1659472111400802</v>
      </c>
      <c r="H18" s="151">
        <v>-1.4850984726626999</v>
      </c>
      <c r="I18" s="151">
        <v>-1.92334732523935</v>
      </c>
      <c r="J18" s="151">
        <v>3.9024390243902398</v>
      </c>
      <c r="K18" s="151">
        <v>2.4390243902439002</v>
      </c>
      <c r="L18" s="151">
        <v>8.6538461538461497</v>
      </c>
      <c r="M18" s="151">
        <v>1.47058823529412</v>
      </c>
      <c r="N18" s="151">
        <v>5.2631578947368398</v>
      </c>
      <c r="O18" s="151">
        <v>1.92307692307692</v>
      </c>
    </row>
    <row r="19" spans="1:15">
      <c r="A19" s="151">
        <v>1998</v>
      </c>
      <c r="B19" s="151" t="s">
        <v>273</v>
      </c>
      <c r="C19" s="151" t="s">
        <v>3082</v>
      </c>
      <c r="D19" s="151">
        <v>-0.94030337178063295</v>
      </c>
      <c r="E19" s="151">
        <v>-0.82093148877045696</v>
      </c>
      <c r="F19" s="151">
        <v>5.4811422978081697E-2</v>
      </c>
      <c r="G19" s="151">
        <v>-0.36845518196400101</v>
      </c>
      <c r="H19" s="151">
        <v>-1.07108806028324</v>
      </c>
      <c r="I19" s="151">
        <v>-0.73627326202433596</v>
      </c>
      <c r="J19" s="151">
        <v>17.0731707317073</v>
      </c>
      <c r="K19" s="151">
        <v>20</v>
      </c>
      <c r="L19" s="151">
        <v>47.596153846153797</v>
      </c>
      <c r="M19" s="151">
        <v>34.803921568627501</v>
      </c>
      <c r="N19" s="151">
        <v>16.267942583732101</v>
      </c>
      <c r="O19" s="151">
        <v>27.884615384615401</v>
      </c>
    </row>
    <row r="20" spans="1:15">
      <c r="A20" s="151">
        <v>1998</v>
      </c>
      <c r="B20" s="151" t="s">
        <v>278</v>
      </c>
      <c r="C20" s="151" t="s">
        <v>3083</v>
      </c>
      <c r="D20" s="151">
        <v>-0.48243129885116798</v>
      </c>
      <c r="E20" s="151">
        <v>-0.12618866508100501</v>
      </c>
      <c r="F20" s="151">
        <v>-0.29756171851900598</v>
      </c>
      <c r="G20" s="151">
        <v>-7.0411827887536402E-2</v>
      </c>
      <c r="H20" s="151">
        <v>-0.74083703663149203</v>
      </c>
      <c r="I20" s="151">
        <v>-0.81506406833018996</v>
      </c>
      <c r="J20" s="151">
        <v>38.536585365853703</v>
      </c>
      <c r="K20" s="151">
        <v>51.219512195122</v>
      </c>
      <c r="L20" s="151">
        <v>32.211538461538503</v>
      </c>
      <c r="M20" s="151">
        <v>50.980392156862699</v>
      </c>
      <c r="N20" s="151">
        <v>26.315789473684202</v>
      </c>
      <c r="O20" s="151">
        <v>25</v>
      </c>
    </row>
    <row r="21" spans="1:15">
      <c r="A21" s="151">
        <v>1998</v>
      </c>
      <c r="B21" s="151" t="s">
        <v>294</v>
      </c>
      <c r="C21" s="151" t="s">
        <v>3084</v>
      </c>
      <c r="D21" s="151">
        <v>-1.7297338788499399</v>
      </c>
      <c r="E21" s="151">
        <v>-1.9820048439700599</v>
      </c>
      <c r="F21" s="151">
        <v>-1.84302677942851</v>
      </c>
      <c r="G21" s="151">
        <v>-2.11230980332672</v>
      </c>
      <c r="H21" s="151">
        <v>-2.1114092226404599</v>
      </c>
      <c r="I21" s="151">
        <v>-1.02244890816541</v>
      </c>
      <c r="J21" s="151">
        <v>1.9512195121951199</v>
      </c>
      <c r="K21" s="151">
        <v>1.4634146341463401</v>
      </c>
      <c r="L21" s="151">
        <v>5.7692307692307701</v>
      </c>
      <c r="M21" s="151">
        <v>2.9411764705882399</v>
      </c>
      <c r="N21" s="151">
        <v>0.95693779904306198</v>
      </c>
      <c r="O21" s="151">
        <v>18.269230769230798</v>
      </c>
    </row>
    <row r="22" spans="1:15">
      <c r="A22" s="151">
        <v>1998</v>
      </c>
      <c r="B22" s="151" t="s">
        <v>309</v>
      </c>
      <c r="C22" s="151" t="s">
        <v>3085</v>
      </c>
      <c r="D22" s="151">
        <v>-0.547615218593963</v>
      </c>
      <c r="E22" s="151">
        <v>-0.82508523480836804</v>
      </c>
      <c r="F22" s="151">
        <v>8.8071229742269996E-2</v>
      </c>
      <c r="G22" s="151">
        <v>-0.822091267749268</v>
      </c>
      <c r="H22" s="151">
        <v>-0.57760100440449702</v>
      </c>
      <c r="I22" s="151">
        <v>0.110093331308092</v>
      </c>
      <c r="J22" s="151">
        <v>35.609756097560997</v>
      </c>
      <c r="K22" s="151">
        <v>19.512195121951201</v>
      </c>
      <c r="L22" s="151">
        <v>48.557692307692299</v>
      </c>
      <c r="M22" s="151">
        <v>20.588235294117599</v>
      </c>
      <c r="N22" s="151">
        <v>32.535885167464102</v>
      </c>
      <c r="O22" s="151">
        <v>52.403846153846203</v>
      </c>
    </row>
    <row r="23" spans="1:15">
      <c r="A23" s="151">
        <v>1998</v>
      </c>
      <c r="B23" s="151" t="s">
        <v>322</v>
      </c>
      <c r="C23" s="151" t="s">
        <v>3086</v>
      </c>
      <c r="D23" s="151">
        <v>-0.63374994553307196</v>
      </c>
      <c r="E23" s="151">
        <v>-1.05496963357262</v>
      </c>
      <c r="F23" s="151">
        <v>0.33389852884816801</v>
      </c>
      <c r="G23" s="151">
        <v>-0.234830508773583</v>
      </c>
      <c r="H23" s="151">
        <v>-0.52354080351819299</v>
      </c>
      <c r="I23" s="151">
        <v>-0.174839718357159</v>
      </c>
      <c r="J23" s="151">
        <v>32.195121951219498</v>
      </c>
      <c r="K23" s="151">
        <v>13.6585365853659</v>
      </c>
      <c r="L23" s="151">
        <v>58.173076923076898</v>
      </c>
      <c r="M23" s="151">
        <v>39.705882352941202</v>
      </c>
      <c r="N23" s="151">
        <v>33.492822966507198</v>
      </c>
      <c r="O23" s="151">
        <v>44.711538461538503</v>
      </c>
    </row>
    <row r="24" spans="1:15">
      <c r="A24" s="151">
        <v>1998</v>
      </c>
      <c r="B24" s="151" t="s">
        <v>338</v>
      </c>
      <c r="C24" s="151" t="s">
        <v>3087</v>
      </c>
      <c r="D24" s="151">
        <v>-0.20214624759382399</v>
      </c>
      <c r="E24" s="151">
        <v>-9.9507325156493007E-2</v>
      </c>
      <c r="F24" s="151">
        <v>0.250741548533291</v>
      </c>
      <c r="G24" s="151">
        <v>-0.58798320037547303</v>
      </c>
      <c r="H24" s="151">
        <v>-0.40097059799732299</v>
      </c>
      <c r="I24" s="151">
        <v>-0.72851830332682599</v>
      </c>
      <c r="J24" s="151">
        <v>50.243902439024403</v>
      </c>
      <c r="K24" s="151">
        <v>53.658536585365901</v>
      </c>
      <c r="L24" s="151">
        <v>54.807692307692299</v>
      </c>
      <c r="M24" s="151">
        <v>25.490196078431399</v>
      </c>
      <c r="N24" s="151">
        <v>36.842105263157897</v>
      </c>
      <c r="O24" s="151">
        <v>28.846153846153801</v>
      </c>
    </row>
    <row r="25" spans="1:15">
      <c r="A25" s="151">
        <v>1998</v>
      </c>
      <c r="B25" s="151" t="s">
        <v>378</v>
      </c>
      <c r="C25" s="151" t="s">
        <v>3088</v>
      </c>
      <c r="D25" s="151">
        <v>-0.35217252964287998</v>
      </c>
      <c r="E25" s="151">
        <v>-0.39469613945864102</v>
      </c>
      <c r="F25" s="151">
        <v>3.75969725175807E-2</v>
      </c>
      <c r="G25" s="151">
        <v>-0.291748940836903</v>
      </c>
      <c r="H25" s="151">
        <v>-0.83735008550303303</v>
      </c>
      <c r="I25" s="151">
        <v>-0.19794475410729301</v>
      </c>
      <c r="J25" s="151">
        <v>41.951219512195102</v>
      </c>
      <c r="K25" s="151">
        <v>40.975609756097597</v>
      </c>
      <c r="L25" s="151">
        <v>47.115384615384599</v>
      </c>
      <c r="M25" s="151">
        <v>36.274509803921603</v>
      </c>
      <c r="N25" s="151">
        <v>22.488038277512</v>
      </c>
      <c r="O25" s="151">
        <v>43.75</v>
      </c>
    </row>
    <row r="26" spans="1:15">
      <c r="A26" s="151">
        <v>1998</v>
      </c>
      <c r="B26" s="151" t="s">
        <v>387</v>
      </c>
      <c r="C26" s="151" t="s">
        <v>3089</v>
      </c>
      <c r="D26" s="151">
        <v>-1.0340436306498799</v>
      </c>
      <c r="E26" s="151">
        <v>-1.0814708568448499</v>
      </c>
      <c r="F26" s="151">
        <v>-0.41520008086475302</v>
      </c>
      <c r="G26" s="151">
        <v>-0.69206776808354697</v>
      </c>
      <c r="H26" s="151">
        <v>-0.73851150402157295</v>
      </c>
      <c r="I26" s="151">
        <v>-1.6055973184568</v>
      </c>
      <c r="J26" s="151">
        <v>11.707317073170699</v>
      </c>
      <c r="K26" s="151">
        <v>12.6829268292683</v>
      </c>
      <c r="L26" s="151">
        <v>30.769230769230798</v>
      </c>
      <c r="M26" s="151">
        <v>23.039215686274499</v>
      </c>
      <c r="N26" s="151">
        <v>26.7942583732057</v>
      </c>
      <c r="O26" s="151">
        <v>4.3269230769230802</v>
      </c>
    </row>
    <row r="27" spans="1:15">
      <c r="A27" s="151">
        <v>1998</v>
      </c>
      <c r="B27" s="151" t="s">
        <v>406</v>
      </c>
      <c r="C27" s="151" t="s">
        <v>3090</v>
      </c>
      <c r="D27" s="151">
        <v>-1.0679211234722299</v>
      </c>
      <c r="E27" s="151">
        <v>-1.1218692698788499</v>
      </c>
      <c r="F27" s="151">
        <v>-0.68856693341790898</v>
      </c>
      <c r="G27" s="151">
        <v>-0.92530463520378203</v>
      </c>
      <c r="H27" s="151">
        <v>-1.2715588235038899</v>
      </c>
      <c r="I27" s="151">
        <v>-1.2159671043031799</v>
      </c>
      <c r="J27" s="151">
        <v>10.243902439024399</v>
      </c>
      <c r="K27" s="151">
        <v>10.243902439024399</v>
      </c>
      <c r="L27" s="151">
        <v>24.519230769230798</v>
      </c>
      <c r="M27" s="151">
        <v>17.156862745098</v>
      </c>
      <c r="N27" s="151">
        <v>9.5693779904306204</v>
      </c>
      <c r="O27" s="151">
        <v>12.5</v>
      </c>
    </row>
    <row r="28" spans="1:15">
      <c r="A28" s="151">
        <v>1998</v>
      </c>
      <c r="B28" s="151" t="s">
        <v>442</v>
      </c>
      <c r="C28" s="151" t="s">
        <v>3091</v>
      </c>
      <c r="D28" s="151">
        <v>-0.227311544125573</v>
      </c>
      <c r="E28" s="151">
        <v>0.18411650989987</v>
      </c>
      <c r="F28" s="151">
        <v>-0.595905191633747</v>
      </c>
      <c r="G28" s="151">
        <v>0.66539015495916598</v>
      </c>
      <c r="H28" s="151">
        <v>-0.67278337405454802</v>
      </c>
      <c r="I28" s="151">
        <v>-0.57468774822283397</v>
      </c>
      <c r="J28" s="151">
        <v>49.756097560975597</v>
      </c>
      <c r="K28" s="151">
        <v>60.975609756097597</v>
      </c>
      <c r="L28" s="151">
        <v>25.961538461538499</v>
      </c>
      <c r="M28" s="151">
        <v>72.549019607843107</v>
      </c>
      <c r="N28" s="151">
        <v>29.186602870813399</v>
      </c>
      <c r="O28" s="151">
        <v>32.211538461538503</v>
      </c>
    </row>
    <row r="29" spans="1:15">
      <c r="A29" s="151">
        <v>1998</v>
      </c>
      <c r="B29" s="151" t="s">
        <v>481</v>
      </c>
      <c r="C29" s="151" t="s">
        <v>3092</v>
      </c>
      <c r="D29" s="151">
        <v>-0.87093505676035199</v>
      </c>
      <c r="E29" s="151">
        <v>-1.4567850862474101</v>
      </c>
      <c r="F29" s="151">
        <v>-2.2778754114788899</v>
      </c>
      <c r="G29" s="151">
        <v>-1.2873307466567501</v>
      </c>
      <c r="H29" s="151">
        <v>-1.19264188541063</v>
      </c>
      <c r="I29" s="151">
        <v>-1.3752445699597</v>
      </c>
      <c r="J29" s="151">
        <v>21.4634146341463</v>
      </c>
      <c r="K29" s="151">
        <v>4.3902439024390203</v>
      </c>
      <c r="L29" s="151">
        <v>2.8846153846153801</v>
      </c>
      <c r="M29" s="151">
        <v>10.294117647058799</v>
      </c>
      <c r="N29" s="151">
        <v>11.4832535885167</v>
      </c>
      <c r="O29" s="151">
        <v>9.6153846153846203</v>
      </c>
    </row>
    <row r="30" spans="1:15">
      <c r="A30" s="151">
        <v>1998</v>
      </c>
      <c r="B30" s="151" t="s">
        <v>492</v>
      </c>
      <c r="C30" s="151" t="s">
        <v>3093</v>
      </c>
      <c r="D30" s="151">
        <v>-0.96970349368275899</v>
      </c>
      <c r="E30" s="151">
        <v>-0.419241452420413</v>
      </c>
      <c r="F30" s="151">
        <v>-0.47758822052404498</v>
      </c>
      <c r="G30" s="151">
        <v>-0.40965747277411602</v>
      </c>
      <c r="H30" s="151">
        <v>-0.28975553234109103</v>
      </c>
      <c r="I30" s="151">
        <v>-0.60323970475692001</v>
      </c>
      <c r="J30" s="151">
        <v>15.1219512195122</v>
      </c>
      <c r="K30" s="151">
        <v>39.512195121951201</v>
      </c>
      <c r="L30" s="151">
        <v>28.846153846153801</v>
      </c>
      <c r="M30" s="151">
        <v>33.3333333333333</v>
      </c>
      <c r="N30" s="151">
        <v>43.062200956937801</v>
      </c>
      <c r="O30" s="151">
        <v>31.25</v>
      </c>
    </row>
    <row r="31" spans="1:15">
      <c r="A31" s="151">
        <v>1998</v>
      </c>
      <c r="B31" s="151" t="s">
        <v>510</v>
      </c>
      <c r="C31" s="151" t="s">
        <v>3094</v>
      </c>
      <c r="D31" s="151">
        <v>-0.63374994553307196</v>
      </c>
      <c r="E31" s="151">
        <v>-0.97715350013603797</v>
      </c>
      <c r="F31" s="151">
        <v>-0.71727564814670597</v>
      </c>
      <c r="G31" s="151">
        <v>-0.49297920047017402</v>
      </c>
      <c r="H31" s="151">
        <v>-0.75501715683498405</v>
      </c>
      <c r="I31" s="151">
        <v>-1.24010057574156</v>
      </c>
      <c r="J31" s="151">
        <v>32.195121951219498</v>
      </c>
      <c r="K31" s="151">
        <v>14.146341463414601</v>
      </c>
      <c r="L31" s="151">
        <v>23.557692307692299</v>
      </c>
      <c r="M31" s="151">
        <v>28.431372549019599</v>
      </c>
      <c r="N31" s="151">
        <v>25.358851674641102</v>
      </c>
      <c r="O31" s="151">
        <v>12.0192307692308</v>
      </c>
    </row>
    <row r="32" spans="1:15">
      <c r="A32" s="151">
        <v>1998</v>
      </c>
      <c r="B32" s="151" t="s">
        <v>2844</v>
      </c>
      <c r="C32" s="151" t="s">
        <v>3095</v>
      </c>
      <c r="D32" s="151" t="s">
        <v>2842</v>
      </c>
      <c r="E32" s="151" t="s">
        <v>2842</v>
      </c>
      <c r="F32" s="151" t="s">
        <v>2842</v>
      </c>
      <c r="G32" s="151" t="s">
        <v>2842</v>
      </c>
      <c r="H32" s="151" t="s">
        <v>2842</v>
      </c>
      <c r="I32" s="151" t="s">
        <v>2842</v>
      </c>
      <c r="J32" s="151" t="s">
        <v>2842</v>
      </c>
      <c r="K32" s="151" t="s">
        <v>2842</v>
      </c>
      <c r="L32" s="151" t="s">
        <v>2842</v>
      </c>
      <c r="M32" s="151" t="s">
        <v>2842</v>
      </c>
      <c r="N32" s="151" t="s">
        <v>2842</v>
      </c>
      <c r="O32" s="151" t="s">
        <v>2842</v>
      </c>
    </row>
    <row r="33" spans="1:15">
      <c r="A33" s="151">
        <v>1998</v>
      </c>
      <c r="B33" s="151" t="s">
        <v>2845</v>
      </c>
      <c r="C33" s="151" t="s">
        <v>3096</v>
      </c>
      <c r="D33" s="151">
        <v>0.481757370022109</v>
      </c>
      <c r="E33" s="151">
        <v>0.335830947613179</v>
      </c>
      <c r="F33" s="151">
        <v>0.32673693279303201</v>
      </c>
      <c r="G33" s="151">
        <v>0.66086870049568303</v>
      </c>
      <c r="H33" s="151">
        <v>0.45305920390496701</v>
      </c>
      <c r="I33" s="151">
        <v>0.82773884508159701</v>
      </c>
      <c r="J33" s="151">
        <v>68.780487804878007</v>
      </c>
      <c r="K33" s="151">
        <v>65.365853658536594</v>
      </c>
      <c r="L33" s="151">
        <v>57.211538461538503</v>
      </c>
      <c r="M33" s="151">
        <v>72.058823529411796</v>
      </c>
      <c r="N33" s="151">
        <v>65.071770334928203</v>
      </c>
      <c r="O33" s="151">
        <v>72.115384615384599</v>
      </c>
    </row>
    <row r="34" spans="1:15">
      <c r="A34" s="151">
        <v>1998</v>
      </c>
      <c r="B34" s="151" t="s">
        <v>2846</v>
      </c>
      <c r="C34" s="151" t="s">
        <v>3097</v>
      </c>
      <c r="D34" s="151">
        <v>-0.88528396977628998</v>
      </c>
      <c r="E34" s="151">
        <v>-0.75387502925045402</v>
      </c>
      <c r="F34" s="151">
        <v>-1.26527736827003</v>
      </c>
      <c r="G34" s="151">
        <v>-0.47781772077342999</v>
      </c>
      <c r="H34" s="151">
        <v>-1.3303208963234601</v>
      </c>
      <c r="I34" s="151">
        <v>-0.77114239589690203</v>
      </c>
      <c r="J34" s="151">
        <v>20</v>
      </c>
      <c r="K34" s="151">
        <v>22.439024390243901</v>
      </c>
      <c r="L34" s="151">
        <v>12.0192307692308</v>
      </c>
      <c r="M34" s="151">
        <v>29.411764705882401</v>
      </c>
      <c r="N34" s="151">
        <v>8.6124401913875595</v>
      </c>
      <c r="O34" s="151">
        <v>25.961538461538499</v>
      </c>
    </row>
    <row r="35" spans="1:15">
      <c r="A35" s="151">
        <v>1998</v>
      </c>
      <c r="B35" s="151" t="s">
        <v>534</v>
      </c>
      <c r="C35" s="151" t="s">
        <v>3098</v>
      </c>
      <c r="D35" s="151">
        <v>-0.88067165316626494</v>
      </c>
      <c r="E35" s="151">
        <v>-0.85642435176029996</v>
      </c>
      <c r="F35" s="151">
        <v>9.2711413625754496E-2</v>
      </c>
      <c r="G35" s="151">
        <v>-0.117209203257842</v>
      </c>
      <c r="H35" s="151">
        <v>-0.52712951348036297</v>
      </c>
      <c r="I35" s="151">
        <v>-0.59887387431091699</v>
      </c>
      <c r="J35" s="151">
        <v>20.487804878048799</v>
      </c>
      <c r="K35" s="151">
        <v>17.560975609756099</v>
      </c>
      <c r="L35" s="151">
        <v>49.519230769230802</v>
      </c>
      <c r="M35" s="151">
        <v>47.5490196078431</v>
      </c>
      <c r="N35" s="151">
        <v>33.014354066985597</v>
      </c>
      <c r="O35" s="151">
        <v>31.730769230769202</v>
      </c>
    </row>
    <row r="36" spans="1:15">
      <c r="A36" s="151">
        <v>1998</v>
      </c>
      <c r="B36" s="151" t="s">
        <v>357</v>
      </c>
      <c r="C36" s="151" t="s">
        <v>3099</v>
      </c>
      <c r="D36" s="151">
        <v>-0.23333967529315999</v>
      </c>
      <c r="E36" s="151">
        <v>-0.29655562424026399</v>
      </c>
      <c r="F36" s="151">
        <v>0.26713452708642799</v>
      </c>
      <c r="G36" s="151">
        <v>-0.106000995473005</v>
      </c>
      <c r="H36" s="151">
        <v>-9.2959821658047202E-3</v>
      </c>
      <c r="I36" s="151">
        <v>0.497188734030378</v>
      </c>
      <c r="J36" s="151">
        <v>47.804878048780502</v>
      </c>
      <c r="K36" s="151">
        <v>45.365853658536601</v>
      </c>
      <c r="L36" s="151">
        <v>56.25</v>
      </c>
      <c r="M36" s="151">
        <v>48.529411764705898</v>
      </c>
      <c r="N36" s="151">
        <v>51.674641148325399</v>
      </c>
      <c r="O36" s="151">
        <v>64.423076923076906</v>
      </c>
    </row>
    <row r="37" spans="1:15">
      <c r="A37" s="151">
        <v>2000</v>
      </c>
      <c r="B37" s="151" t="s">
        <v>16</v>
      </c>
      <c r="C37" s="151" t="s">
        <v>3100</v>
      </c>
      <c r="D37" s="151">
        <v>-1.9137733021711401</v>
      </c>
      <c r="E37" s="151">
        <v>-2.3246015101392201</v>
      </c>
      <c r="F37" s="151">
        <v>-2.5684157747634102</v>
      </c>
      <c r="G37" s="151">
        <v>-2.1861978485719602</v>
      </c>
      <c r="H37" s="151">
        <v>-1.76978419515658</v>
      </c>
      <c r="I37" s="151">
        <v>-1.97951714975685</v>
      </c>
      <c r="J37" s="151">
        <v>0</v>
      </c>
      <c r="K37" s="151">
        <v>0</v>
      </c>
      <c r="L37" s="151">
        <v>0.480769230769231</v>
      </c>
      <c r="M37" s="151">
        <v>0.98039215686274495</v>
      </c>
      <c r="N37" s="151">
        <v>1.4354066985645899</v>
      </c>
      <c r="O37" s="151">
        <v>1.4423076923076901</v>
      </c>
    </row>
    <row r="38" spans="1:15">
      <c r="A38" s="151">
        <v>2000</v>
      </c>
      <c r="B38" s="151" t="s">
        <v>33</v>
      </c>
      <c r="C38" s="151" t="s">
        <v>3101</v>
      </c>
      <c r="D38" s="151">
        <v>-0.82448230156820201</v>
      </c>
      <c r="E38" s="151">
        <v>-0.82572194532163801</v>
      </c>
      <c r="F38" s="151">
        <v>-0.64667094748938803</v>
      </c>
      <c r="G38" s="151">
        <v>-0.26294154680920101</v>
      </c>
      <c r="H38" s="151">
        <v>-1.24448073662352</v>
      </c>
      <c r="I38" s="151">
        <v>-0.32097032956911697</v>
      </c>
      <c r="J38" s="151">
        <v>21.951219512195099</v>
      </c>
      <c r="K38" s="151">
        <v>20</v>
      </c>
      <c r="L38" s="151">
        <v>26.442307692307701</v>
      </c>
      <c r="M38" s="151">
        <v>38.725490196078397</v>
      </c>
      <c r="N38" s="151">
        <v>10.526315789473699</v>
      </c>
      <c r="O38" s="151">
        <v>40.384615384615401</v>
      </c>
    </row>
    <row r="39" spans="1:15">
      <c r="A39" s="151">
        <v>2000</v>
      </c>
      <c r="B39" s="151" t="s">
        <v>48</v>
      </c>
      <c r="C39" s="151" t="s">
        <v>3102</v>
      </c>
      <c r="D39" s="151">
        <v>-1.0949863298254401</v>
      </c>
      <c r="E39" s="151">
        <v>-0.98492221361162502</v>
      </c>
      <c r="F39" s="151">
        <v>-0.92818411149400704</v>
      </c>
      <c r="G39" s="151">
        <v>-0.90935334702544501</v>
      </c>
      <c r="H39" s="151">
        <v>-1.11198146771461</v>
      </c>
      <c r="I39" s="151">
        <v>-0.85485523521644802</v>
      </c>
      <c r="J39" s="151">
        <v>7.3170731707317103</v>
      </c>
      <c r="K39" s="151">
        <v>13.170731707317101</v>
      </c>
      <c r="L39" s="151">
        <v>19.230769230769202</v>
      </c>
      <c r="M39" s="151">
        <v>16.6666666666667</v>
      </c>
      <c r="N39" s="151">
        <v>14.3540669856459</v>
      </c>
      <c r="O39" s="151">
        <v>22.596153846153801</v>
      </c>
    </row>
    <row r="40" spans="1:15">
      <c r="A40" s="151">
        <v>2000</v>
      </c>
      <c r="B40" s="151" t="s">
        <v>93</v>
      </c>
      <c r="C40" s="151" t="s">
        <v>3103</v>
      </c>
      <c r="D40" s="151">
        <v>-0.14060229967563401</v>
      </c>
      <c r="E40" s="151">
        <v>-0.62173142839185103</v>
      </c>
      <c r="F40" s="151">
        <v>-1.31576053395698E-2</v>
      </c>
      <c r="G40" s="151">
        <v>-0.124199326645082</v>
      </c>
      <c r="H40" s="151">
        <v>-0.67057860789464696</v>
      </c>
      <c r="I40" s="151">
        <v>-0.35856604224400601</v>
      </c>
      <c r="J40" s="151">
        <v>54.634146341463399</v>
      </c>
      <c r="K40" s="151">
        <v>29.756097560975601</v>
      </c>
      <c r="L40" s="151">
        <v>43.75</v>
      </c>
      <c r="M40" s="151">
        <v>46.568627450980401</v>
      </c>
      <c r="N40" s="151">
        <v>31.1004784688995</v>
      </c>
      <c r="O40" s="151">
        <v>38.942307692307701</v>
      </c>
    </row>
    <row r="41" spans="1:15">
      <c r="A41" s="151">
        <v>2000</v>
      </c>
      <c r="B41" s="151" t="s">
        <v>122</v>
      </c>
      <c r="C41" s="151" t="s">
        <v>3104</v>
      </c>
      <c r="D41" s="151">
        <v>-1.1876869045740599</v>
      </c>
      <c r="E41" s="151">
        <v>-1.37769848441335</v>
      </c>
      <c r="F41" s="151">
        <v>-1.2968716712336401</v>
      </c>
      <c r="G41" s="151">
        <v>-0.905517176186169</v>
      </c>
      <c r="H41" s="151">
        <v>-1.49738932457784</v>
      </c>
      <c r="I41" s="151">
        <v>-0.70730808530193601</v>
      </c>
      <c r="J41" s="151">
        <v>5.3658536585365901</v>
      </c>
      <c r="K41" s="151">
        <v>5.3658536585365901</v>
      </c>
      <c r="L41" s="151">
        <v>12.5</v>
      </c>
      <c r="M41" s="151">
        <v>17.156862745098</v>
      </c>
      <c r="N41" s="151">
        <v>3.8277511961722501</v>
      </c>
      <c r="O41" s="151">
        <v>27.403846153846199</v>
      </c>
    </row>
    <row r="42" spans="1:15">
      <c r="A42" s="151">
        <v>2000</v>
      </c>
      <c r="B42" s="151" t="s">
        <v>133</v>
      </c>
      <c r="C42" s="151" t="s">
        <v>3105</v>
      </c>
      <c r="D42" s="151">
        <v>-0.81854029692549501</v>
      </c>
      <c r="E42" s="151">
        <v>-0.757644138579743</v>
      </c>
      <c r="F42" s="151">
        <v>-1.2487310347741101</v>
      </c>
      <c r="G42" s="151">
        <v>-0.77547239099439202</v>
      </c>
      <c r="H42" s="151">
        <v>-1.0318345077834601</v>
      </c>
      <c r="I42" s="151">
        <v>-1.0329914443163799</v>
      </c>
      <c r="J42" s="151">
        <v>22.9268292682927</v>
      </c>
      <c r="K42" s="151">
        <v>23.902439024390201</v>
      </c>
      <c r="L42" s="151">
        <v>12.9807692307692</v>
      </c>
      <c r="M42" s="151">
        <v>20.098039215686299</v>
      </c>
      <c r="N42" s="151">
        <v>17.224880382775101</v>
      </c>
      <c r="O42" s="151">
        <v>19.230769230769202</v>
      </c>
    </row>
    <row r="43" spans="1:15">
      <c r="A43" s="151">
        <v>2000</v>
      </c>
      <c r="B43" s="151" t="s">
        <v>165</v>
      </c>
      <c r="C43" s="151" t="s">
        <v>3106</v>
      </c>
      <c r="D43" s="151">
        <v>-1.5660744679452101</v>
      </c>
      <c r="E43" s="151">
        <v>-1.9606369968388699</v>
      </c>
      <c r="F43" s="151">
        <v>-2.5855527672521599</v>
      </c>
      <c r="G43" s="151">
        <v>-2.1102234225905701</v>
      </c>
      <c r="H43" s="151">
        <v>-1.9474501499218799</v>
      </c>
      <c r="I43" s="151">
        <v>-1.8389054962878</v>
      </c>
      <c r="J43" s="151">
        <v>1.4634146341463401</v>
      </c>
      <c r="K43" s="151">
        <v>0.97560975609756095</v>
      </c>
      <c r="L43" s="151">
        <v>0</v>
      </c>
      <c r="M43" s="151">
        <v>1.9607843137254899</v>
      </c>
      <c r="N43" s="151">
        <v>0.95693779904306198</v>
      </c>
      <c r="O43" s="151">
        <v>2.4038461538461502</v>
      </c>
    </row>
    <row r="44" spans="1:15">
      <c r="A44" s="151">
        <v>2000</v>
      </c>
      <c r="B44" s="151" t="s">
        <v>458</v>
      </c>
      <c r="C44" s="151" t="s">
        <v>3107</v>
      </c>
      <c r="D44" s="151">
        <v>-0.96010341106199104</v>
      </c>
      <c r="E44" s="151">
        <v>-1.32071457912708</v>
      </c>
      <c r="F44" s="151">
        <v>-1.03433699593386</v>
      </c>
      <c r="G44" s="151">
        <v>-1.2450416035466501</v>
      </c>
      <c r="H44" s="151">
        <v>-1.43125293120387</v>
      </c>
      <c r="I44" s="151">
        <v>-1.51247405659093</v>
      </c>
      <c r="J44" s="151">
        <v>12.1951219512195</v>
      </c>
      <c r="K44" s="151">
        <v>6.3414634146341502</v>
      </c>
      <c r="L44" s="151">
        <v>16.826923076923102</v>
      </c>
      <c r="M44" s="151">
        <v>11.2745098039216</v>
      </c>
      <c r="N44" s="151">
        <v>4.7846889952153102</v>
      </c>
      <c r="O44" s="151">
        <v>7.6923076923076898</v>
      </c>
    </row>
    <row r="45" spans="1:15">
      <c r="A45" s="151">
        <v>2000</v>
      </c>
      <c r="B45" s="151" t="s">
        <v>96</v>
      </c>
      <c r="C45" s="151" t="s">
        <v>3108</v>
      </c>
      <c r="D45" s="151">
        <v>-1.05779955747228</v>
      </c>
      <c r="E45" s="151">
        <v>-0.67402734460124303</v>
      </c>
      <c r="F45" s="151">
        <v>-0.56685236392209704</v>
      </c>
      <c r="G45" s="151">
        <v>-0.59493706349403397</v>
      </c>
      <c r="H45" s="151">
        <v>-1.2291778355030201</v>
      </c>
      <c r="I45" s="151">
        <v>-1.14235140604917</v>
      </c>
      <c r="J45" s="151">
        <v>8.7804878048780495</v>
      </c>
      <c r="K45" s="151">
        <v>26.829268292682901</v>
      </c>
      <c r="L45" s="151">
        <v>27.884615384615401</v>
      </c>
      <c r="M45" s="151">
        <v>26.470588235294102</v>
      </c>
      <c r="N45" s="151">
        <v>11.004784688995199</v>
      </c>
      <c r="O45" s="151">
        <v>15.384615384615399</v>
      </c>
    </row>
    <row r="46" spans="1:15">
      <c r="A46" s="151">
        <v>2000</v>
      </c>
      <c r="B46" s="151" t="s">
        <v>182</v>
      </c>
      <c r="C46" s="151" t="s">
        <v>3109</v>
      </c>
      <c r="D46" s="151">
        <v>-1.5310285888342401</v>
      </c>
      <c r="E46" s="151">
        <v>-1.5120126741623301</v>
      </c>
      <c r="F46" s="151">
        <v>-0.17771191207266701</v>
      </c>
      <c r="G46" s="151">
        <v>-1.7146597599851301</v>
      </c>
      <c r="H46" s="151">
        <v>-1.3029120002855099</v>
      </c>
      <c r="I46" s="151">
        <v>-1.6164885058580201</v>
      </c>
      <c r="J46" s="151">
        <v>1.9512195121951199</v>
      </c>
      <c r="K46" s="151">
        <v>2.9268292682926802</v>
      </c>
      <c r="L46" s="151">
        <v>37.5</v>
      </c>
      <c r="M46" s="151">
        <v>6.37254901960784</v>
      </c>
      <c r="N46" s="151">
        <v>10.047846889952201</v>
      </c>
      <c r="O46" s="151">
        <v>4.8076923076923102</v>
      </c>
    </row>
    <row r="47" spans="1:15">
      <c r="A47" s="151">
        <v>2000</v>
      </c>
      <c r="B47" s="151" t="s">
        <v>185</v>
      </c>
      <c r="C47" s="151" t="s">
        <v>3110</v>
      </c>
      <c r="D47" s="151">
        <v>-0.50367744270113701</v>
      </c>
      <c r="E47" s="151">
        <v>-0.63102716623569999</v>
      </c>
      <c r="F47" s="151">
        <v>0.50101717958372305</v>
      </c>
      <c r="G47" s="151">
        <v>-0.14376934413273501</v>
      </c>
      <c r="H47" s="151">
        <v>-0.15762425128409099</v>
      </c>
      <c r="I47" s="151">
        <v>-0.48554491113294201</v>
      </c>
      <c r="J47" s="151">
        <v>36.585365853658502</v>
      </c>
      <c r="K47" s="151">
        <v>29.268292682926798</v>
      </c>
      <c r="L47" s="151">
        <v>65.384615384615401</v>
      </c>
      <c r="M47" s="151">
        <v>43.627450980392197</v>
      </c>
      <c r="N47" s="151">
        <v>46.889952153110002</v>
      </c>
      <c r="O47" s="151">
        <v>33.173076923076898</v>
      </c>
    </row>
    <row r="48" spans="1:15">
      <c r="A48" s="151">
        <v>2000</v>
      </c>
      <c r="B48" s="151" t="s">
        <v>189</v>
      </c>
      <c r="C48" s="151" t="s">
        <v>3111</v>
      </c>
      <c r="D48" s="151">
        <v>-7.1843392571556405E-2</v>
      </c>
      <c r="E48" s="151">
        <v>2.0975934500436801E-2</v>
      </c>
      <c r="F48" s="151">
        <v>-0.43985382450844901</v>
      </c>
      <c r="G48" s="151">
        <v>-0.10260588051919101</v>
      </c>
      <c r="H48" s="151">
        <v>9.3674200934424801E-2</v>
      </c>
      <c r="I48" s="151">
        <v>-7.8311525479766997E-2</v>
      </c>
      <c r="J48" s="151">
        <v>58.048780487804898</v>
      </c>
      <c r="K48" s="151">
        <v>57.560975609756099</v>
      </c>
      <c r="L48" s="151">
        <v>31.25</v>
      </c>
      <c r="M48" s="151">
        <v>49.019607843137301</v>
      </c>
      <c r="N48" s="151">
        <v>54.545454545454497</v>
      </c>
      <c r="O48" s="151">
        <v>49.519230769230802</v>
      </c>
    </row>
    <row r="49" spans="1:15">
      <c r="A49" s="151">
        <v>2000</v>
      </c>
      <c r="B49" s="151" t="s">
        <v>213</v>
      </c>
      <c r="C49" s="151" t="s">
        <v>3112</v>
      </c>
      <c r="D49" s="151">
        <v>-0.67827530477751197</v>
      </c>
      <c r="E49" s="151">
        <v>-0.52682149899736896</v>
      </c>
      <c r="F49" s="151">
        <v>-0.82617875622183801</v>
      </c>
      <c r="G49" s="151">
        <v>-0.11357346788339701</v>
      </c>
      <c r="H49" s="151">
        <v>-0.91880239085492998</v>
      </c>
      <c r="I49" s="151">
        <v>-0.367831633812644</v>
      </c>
      <c r="J49" s="151">
        <v>28.292682926829301</v>
      </c>
      <c r="K49" s="151">
        <v>35.609756097560997</v>
      </c>
      <c r="L49" s="151">
        <v>20.673076923076898</v>
      </c>
      <c r="M49" s="151">
        <v>48.529411764705898</v>
      </c>
      <c r="N49" s="151">
        <v>22.488038277512</v>
      </c>
      <c r="O49" s="151">
        <v>38.461538461538503</v>
      </c>
    </row>
    <row r="50" spans="1:15">
      <c r="A50" s="151">
        <v>2000</v>
      </c>
      <c r="B50" s="151" t="s">
        <v>2843</v>
      </c>
      <c r="C50" s="151" t="s">
        <v>3113</v>
      </c>
      <c r="D50" s="151">
        <v>-0.75223256878697398</v>
      </c>
      <c r="E50" s="151">
        <v>-0.82696008800562404</v>
      </c>
      <c r="F50" s="151">
        <v>-2.0302351283630302</v>
      </c>
      <c r="G50" s="151">
        <v>-0.60427885105902501</v>
      </c>
      <c r="H50" s="151">
        <v>-1.4211318717880399</v>
      </c>
      <c r="I50" s="151">
        <v>-1.17617695527594</v>
      </c>
      <c r="J50" s="151">
        <v>25.853658536585399</v>
      </c>
      <c r="K50" s="151">
        <v>19.512195121951201</v>
      </c>
      <c r="L50" s="151">
        <v>3.8461538461538498</v>
      </c>
      <c r="M50" s="151">
        <v>25.980392156862699</v>
      </c>
      <c r="N50" s="151">
        <v>6.2200956937798999</v>
      </c>
      <c r="O50" s="151">
        <v>13.461538461538501</v>
      </c>
    </row>
    <row r="51" spans="1:15">
      <c r="A51" s="151">
        <v>2000</v>
      </c>
      <c r="B51" s="151" t="s">
        <v>237</v>
      </c>
      <c r="C51" s="151" t="s">
        <v>3114</v>
      </c>
      <c r="D51" s="151">
        <v>-0.88963532400510603</v>
      </c>
      <c r="E51" s="151">
        <v>-0.27295217578242398</v>
      </c>
      <c r="F51" s="151">
        <v>-2.0367615713944698</v>
      </c>
      <c r="G51" s="151">
        <v>-0.175163123081644</v>
      </c>
      <c r="H51" s="151">
        <v>-0.75116901609445397</v>
      </c>
      <c r="I51" s="151">
        <v>-0.44236718178023499</v>
      </c>
      <c r="J51" s="151">
        <v>19.024390243902399</v>
      </c>
      <c r="K51" s="151">
        <v>44.878048780487802</v>
      </c>
      <c r="L51" s="151">
        <v>3.3653846153846199</v>
      </c>
      <c r="M51" s="151">
        <v>41.6666666666667</v>
      </c>
      <c r="N51" s="151">
        <v>28.7081339712919</v>
      </c>
      <c r="O51" s="151">
        <v>34.134615384615401</v>
      </c>
    </row>
    <row r="52" spans="1:15">
      <c r="A52" s="151">
        <v>2000</v>
      </c>
      <c r="B52" s="151" t="s">
        <v>245</v>
      </c>
      <c r="C52" s="151" t="s">
        <v>3115</v>
      </c>
      <c r="D52" s="151">
        <v>-1.47073288398757</v>
      </c>
      <c r="E52" s="151">
        <v>-1.8657016124494701</v>
      </c>
      <c r="F52" s="151">
        <v>-1.7750297153541601</v>
      </c>
      <c r="G52" s="151">
        <v>-2.1533648794931399</v>
      </c>
      <c r="H52" s="151">
        <v>-1.3303898891458801</v>
      </c>
      <c r="I52" s="151">
        <v>-1.99307612342429</v>
      </c>
      <c r="J52" s="151">
        <v>2.9268292682926802</v>
      </c>
      <c r="K52" s="151">
        <v>1.9512195121951199</v>
      </c>
      <c r="L52" s="151">
        <v>6.25</v>
      </c>
      <c r="M52" s="151">
        <v>1.47058823529412</v>
      </c>
      <c r="N52" s="151">
        <v>8.6124401913875595</v>
      </c>
      <c r="O52" s="151">
        <v>0.96153846153846201</v>
      </c>
    </row>
    <row r="53" spans="1:15">
      <c r="A53" s="151">
        <v>2000</v>
      </c>
      <c r="B53" s="151" t="s">
        <v>273</v>
      </c>
      <c r="C53" s="151" t="s">
        <v>3116</v>
      </c>
      <c r="D53" s="151">
        <v>-1.06216476406558</v>
      </c>
      <c r="E53" s="151">
        <v>-0.71345259360427604</v>
      </c>
      <c r="F53" s="151">
        <v>1.1200805604089901E-2</v>
      </c>
      <c r="G53" s="151">
        <v>-0.59442625085652701</v>
      </c>
      <c r="H53" s="151">
        <v>-1.0778744751995399</v>
      </c>
      <c r="I53" s="151">
        <v>-0.95922991642531297</v>
      </c>
      <c r="J53" s="151">
        <v>8.2926829268292703</v>
      </c>
      <c r="K53" s="151">
        <v>25.853658536585399</v>
      </c>
      <c r="L53" s="151">
        <v>45.673076923076898</v>
      </c>
      <c r="M53" s="151">
        <v>26.960784313725501</v>
      </c>
      <c r="N53" s="151">
        <v>16.267942583732101</v>
      </c>
      <c r="O53" s="151">
        <v>20.673076923076898</v>
      </c>
    </row>
    <row r="54" spans="1:15">
      <c r="A54" s="151">
        <v>2000</v>
      </c>
      <c r="B54" s="151" t="s">
        <v>278</v>
      </c>
      <c r="C54" s="151" t="s">
        <v>3117</v>
      </c>
      <c r="D54" s="151">
        <v>-0.72645145859181703</v>
      </c>
      <c r="E54" s="151">
        <v>-0.54283842494505896</v>
      </c>
      <c r="F54" s="151">
        <v>-0.33955081847464902</v>
      </c>
      <c r="G54" s="151">
        <v>-9.5036907150686897E-2</v>
      </c>
      <c r="H54" s="151">
        <v>-0.87647807563367497</v>
      </c>
      <c r="I54" s="151">
        <v>-1.12270207209537</v>
      </c>
      <c r="J54" s="151">
        <v>26.829268292682901</v>
      </c>
      <c r="K54" s="151">
        <v>33.170731707317103</v>
      </c>
      <c r="L54" s="151">
        <v>33.653846153846203</v>
      </c>
      <c r="M54" s="151">
        <v>50.490196078431403</v>
      </c>
      <c r="N54" s="151">
        <v>24.8803827751196</v>
      </c>
      <c r="O54" s="151">
        <v>16.826923076923102</v>
      </c>
    </row>
    <row r="55" spans="1:15">
      <c r="A55" s="151">
        <v>2000</v>
      </c>
      <c r="B55" s="151" t="s">
        <v>294</v>
      </c>
      <c r="C55" s="151" t="s">
        <v>3118</v>
      </c>
      <c r="D55" s="151">
        <v>-1.3687409657105201</v>
      </c>
      <c r="E55" s="151">
        <v>-1.84282287149205</v>
      </c>
      <c r="F55" s="151">
        <v>-2.0473919084537</v>
      </c>
      <c r="G55" s="151">
        <v>-1.77898113412439</v>
      </c>
      <c r="H55" s="151">
        <v>-2.1136827453102298</v>
      </c>
      <c r="I55" s="151">
        <v>-1.1603366371878601</v>
      </c>
      <c r="J55" s="151">
        <v>3.9024390243902398</v>
      </c>
      <c r="K55" s="151">
        <v>2.4390243902439002</v>
      </c>
      <c r="L55" s="151">
        <v>2.8846153846153801</v>
      </c>
      <c r="M55" s="151">
        <v>4.9019607843137303</v>
      </c>
      <c r="N55" s="151">
        <v>0.47846889952153099</v>
      </c>
      <c r="O55" s="151">
        <v>13.942307692307701</v>
      </c>
    </row>
    <row r="56" spans="1:15">
      <c r="A56" s="151">
        <v>2000</v>
      </c>
      <c r="B56" s="151" t="s">
        <v>309</v>
      </c>
      <c r="C56" s="151" t="s">
        <v>3119</v>
      </c>
      <c r="D56" s="151">
        <v>-0.13393274530565699</v>
      </c>
      <c r="E56" s="151">
        <v>-0.63711501432569495</v>
      </c>
      <c r="F56" s="151">
        <v>4.38809521740985E-2</v>
      </c>
      <c r="G56" s="151">
        <v>-0.44987460421518899</v>
      </c>
      <c r="H56" s="151">
        <v>-0.25204154449124699</v>
      </c>
      <c r="I56" s="151">
        <v>7.9576313652986994E-2</v>
      </c>
      <c r="J56" s="151">
        <v>55.609756097560997</v>
      </c>
      <c r="K56" s="151">
        <v>28.780487804878</v>
      </c>
      <c r="L56" s="151">
        <v>47.115384615384599</v>
      </c>
      <c r="M56" s="151">
        <v>32.352941176470601</v>
      </c>
      <c r="N56" s="151">
        <v>43.540669856459303</v>
      </c>
      <c r="O56" s="151">
        <v>50.961538461538503</v>
      </c>
    </row>
    <row r="57" spans="1:15">
      <c r="A57" s="151">
        <v>2000</v>
      </c>
      <c r="B57" s="151" t="s">
        <v>322</v>
      </c>
      <c r="C57" s="151" t="s">
        <v>3120</v>
      </c>
      <c r="D57" s="151">
        <v>-0.66468315026924496</v>
      </c>
      <c r="E57" s="151">
        <v>-0.87230711567943697</v>
      </c>
      <c r="F57" s="151">
        <v>0.14459402412539599</v>
      </c>
      <c r="G57" s="151">
        <v>-9.8845402060853196E-2</v>
      </c>
      <c r="H57" s="151">
        <v>-0.45974194751312603</v>
      </c>
      <c r="I57" s="151">
        <v>-0.113705669865583</v>
      </c>
      <c r="J57" s="151">
        <v>29.268292682926798</v>
      </c>
      <c r="K57" s="151">
        <v>16.585365853658502</v>
      </c>
      <c r="L57" s="151">
        <v>51.442307692307701</v>
      </c>
      <c r="M57" s="151">
        <v>49.509803921568597</v>
      </c>
      <c r="N57" s="151">
        <v>37.320574162679399</v>
      </c>
      <c r="O57" s="151">
        <v>48.076923076923102</v>
      </c>
    </row>
    <row r="58" spans="1:15">
      <c r="A58" s="151">
        <v>2000</v>
      </c>
      <c r="B58" s="151" t="s">
        <v>338</v>
      </c>
      <c r="C58" s="151" t="s">
        <v>3121</v>
      </c>
      <c r="D58" s="151">
        <v>-0.25337632775820301</v>
      </c>
      <c r="E58" s="151">
        <v>-0.18319589921998999</v>
      </c>
      <c r="F58" s="151">
        <v>0.23499860393593699</v>
      </c>
      <c r="G58" s="151">
        <v>-0.42391724625859101</v>
      </c>
      <c r="H58" s="151">
        <v>-0.34716425920169203</v>
      </c>
      <c r="I58" s="151">
        <v>-0.851609931046167</v>
      </c>
      <c r="J58" s="151">
        <v>50.243902439024403</v>
      </c>
      <c r="K58" s="151">
        <v>48.292682926829301</v>
      </c>
      <c r="L58" s="151">
        <v>55.288461538461497</v>
      </c>
      <c r="M58" s="151">
        <v>33.3333333333333</v>
      </c>
      <c r="N58" s="151">
        <v>41.1483253588517</v>
      </c>
      <c r="O58" s="151">
        <v>23.076923076923102</v>
      </c>
    </row>
    <row r="59" spans="1:15">
      <c r="A59" s="151">
        <v>2000</v>
      </c>
      <c r="B59" s="151" t="s">
        <v>378</v>
      </c>
      <c r="C59" s="151" t="s">
        <v>3122</v>
      </c>
      <c r="D59" s="151">
        <v>-0.39907218607155298</v>
      </c>
      <c r="E59" s="151">
        <v>-0.42824009173376698</v>
      </c>
      <c r="F59" s="151">
        <v>-0.15418556094564501</v>
      </c>
      <c r="G59" s="151">
        <v>-0.16200050709688901</v>
      </c>
      <c r="H59" s="151">
        <v>-0.76780365915598703</v>
      </c>
      <c r="I59" s="151">
        <v>-0.23190080917393499</v>
      </c>
      <c r="J59" s="151">
        <v>42.9268292682927</v>
      </c>
      <c r="K59" s="151">
        <v>39.512195121951201</v>
      </c>
      <c r="L59" s="151">
        <v>38.942307692307701</v>
      </c>
      <c r="M59" s="151">
        <v>42.156862745098003</v>
      </c>
      <c r="N59" s="151">
        <v>28.229665071770299</v>
      </c>
      <c r="O59" s="151">
        <v>45.192307692307701</v>
      </c>
    </row>
    <row r="60" spans="1:15">
      <c r="A60" s="151">
        <v>2000</v>
      </c>
      <c r="B60" s="151" t="s">
        <v>387</v>
      </c>
      <c r="C60" s="151" t="s">
        <v>3123</v>
      </c>
      <c r="D60" s="151">
        <v>-0.94067051399707002</v>
      </c>
      <c r="E60" s="151">
        <v>-1.0848724186591501</v>
      </c>
      <c r="F60" s="151">
        <v>1.8704553133301999E-3</v>
      </c>
      <c r="G60" s="151">
        <v>-0.60883220151804895</v>
      </c>
      <c r="H60" s="151">
        <v>-0.92844414684231102</v>
      </c>
      <c r="I60" s="151">
        <v>-0.204080121326395</v>
      </c>
      <c r="J60" s="151">
        <v>16.097560975609799</v>
      </c>
      <c r="K60" s="151">
        <v>11.219512195122</v>
      </c>
      <c r="L60" s="151">
        <v>45.192307692307701</v>
      </c>
      <c r="M60" s="151">
        <v>25.490196078431399</v>
      </c>
      <c r="N60" s="151">
        <v>22.009569377990399</v>
      </c>
      <c r="O60" s="151">
        <v>45.673076923076898</v>
      </c>
    </row>
    <row r="61" spans="1:15">
      <c r="A61" s="151">
        <v>2000</v>
      </c>
      <c r="B61" s="151" t="s">
        <v>406</v>
      </c>
      <c r="C61" s="151" t="s">
        <v>3124</v>
      </c>
      <c r="D61" s="151">
        <v>-1.1262233815331899</v>
      </c>
      <c r="E61" s="151">
        <v>-0.95694464641467003</v>
      </c>
      <c r="F61" s="151">
        <v>-1.5215853274331701</v>
      </c>
      <c r="G61" s="151">
        <v>-0.74345003200615001</v>
      </c>
      <c r="H61" s="151">
        <v>-1.1047554122337699</v>
      </c>
      <c r="I61" s="151">
        <v>-0.58215715901103604</v>
      </c>
      <c r="J61" s="151">
        <v>5.8536585365853702</v>
      </c>
      <c r="K61" s="151">
        <v>14.634146341463399</v>
      </c>
      <c r="L61" s="151">
        <v>8.6538461538461497</v>
      </c>
      <c r="M61" s="151">
        <v>20.588235294117599</v>
      </c>
      <c r="N61" s="151">
        <v>14.8325358851675</v>
      </c>
      <c r="O61" s="151">
        <v>30.288461538461501</v>
      </c>
    </row>
    <row r="62" spans="1:15">
      <c r="A62" s="151">
        <v>2000</v>
      </c>
      <c r="B62" s="151" t="s">
        <v>442</v>
      </c>
      <c r="C62" s="151" t="s">
        <v>3125</v>
      </c>
      <c r="D62" s="151">
        <v>-0.48658871373646401</v>
      </c>
      <c r="E62" s="151">
        <v>-9.3042012810814895E-2</v>
      </c>
      <c r="F62" s="151">
        <v>-1.09797576826948</v>
      </c>
      <c r="G62" s="151">
        <v>0.47181373456326098</v>
      </c>
      <c r="H62" s="151">
        <v>-0.68761737135177303</v>
      </c>
      <c r="I62" s="151">
        <v>-0.37586688139917401</v>
      </c>
      <c r="J62" s="151">
        <v>39.024390243902403</v>
      </c>
      <c r="K62" s="151">
        <v>52.682926829268297</v>
      </c>
      <c r="L62" s="151">
        <v>15.384615384615399</v>
      </c>
      <c r="M62" s="151">
        <v>66.6666666666667</v>
      </c>
      <c r="N62" s="151">
        <v>30.143540669856499</v>
      </c>
      <c r="O62" s="151">
        <v>37.980769230769198</v>
      </c>
    </row>
    <row r="63" spans="1:15">
      <c r="A63" s="151">
        <v>2000</v>
      </c>
      <c r="B63" s="151" t="s">
        <v>481</v>
      </c>
      <c r="C63" s="151" t="s">
        <v>3126</v>
      </c>
      <c r="D63" s="151">
        <v>-0.91277663656971697</v>
      </c>
      <c r="E63" s="151">
        <v>-1.4601024878858599</v>
      </c>
      <c r="F63" s="151">
        <v>-1.97010101926595</v>
      </c>
      <c r="G63" s="151">
        <v>-1.37757204170457</v>
      </c>
      <c r="H63" s="151">
        <v>-1.4690899291889199</v>
      </c>
      <c r="I63" s="151">
        <v>-1.5743864121925899</v>
      </c>
      <c r="J63" s="151">
        <v>17.0731707317073</v>
      </c>
      <c r="K63" s="151">
        <v>4.3902439024390203</v>
      </c>
      <c r="L63" s="151">
        <v>4.3269230769230802</v>
      </c>
      <c r="M63" s="151">
        <v>8.8235294117647101</v>
      </c>
      <c r="N63" s="151">
        <v>4.3062200956937797</v>
      </c>
      <c r="O63" s="151">
        <v>6.25</v>
      </c>
    </row>
    <row r="64" spans="1:15">
      <c r="A64" s="151">
        <v>2000</v>
      </c>
      <c r="B64" s="151" t="s">
        <v>492</v>
      </c>
      <c r="C64" s="151" t="s">
        <v>3127</v>
      </c>
      <c r="D64" s="151">
        <v>-0.94872329297227598</v>
      </c>
      <c r="E64" s="151">
        <v>-0.41993685924454599</v>
      </c>
      <c r="F64" s="151">
        <v>-0.79766329529231805</v>
      </c>
      <c r="G64" s="151">
        <v>-0.25034358461671102</v>
      </c>
      <c r="H64" s="151">
        <v>-0.38569866240219403</v>
      </c>
      <c r="I64" s="151">
        <v>-0.51457091536476396</v>
      </c>
      <c r="J64" s="151">
        <v>14.146341463414601</v>
      </c>
      <c r="K64" s="151">
        <v>40.487804878048799</v>
      </c>
      <c r="L64" s="151">
        <v>22.596153846153801</v>
      </c>
      <c r="M64" s="151">
        <v>39.705882352941202</v>
      </c>
      <c r="N64" s="151">
        <v>39.712918660287102</v>
      </c>
      <c r="O64" s="151">
        <v>32.211538461538503</v>
      </c>
    </row>
    <row r="65" spans="1:15">
      <c r="A65" s="151">
        <v>2000</v>
      </c>
      <c r="B65" s="151" t="s">
        <v>510</v>
      </c>
      <c r="C65" s="151" t="s">
        <v>3128</v>
      </c>
      <c r="D65" s="151">
        <v>-0.66468315026924496</v>
      </c>
      <c r="E65" s="151">
        <v>-1.24085059932737</v>
      </c>
      <c r="F65" s="151">
        <v>-0.40371157672572999</v>
      </c>
      <c r="G65" s="151">
        <v>-0.66425952244772302</v>
      </c>
      <c r="H65" s="151">
        <v>-0.70997972806314902</v>
      </c>
      <c r="I65" s="151">
        <v>-1.21939938000032</v>
      </c>
      <c r="J65" s="151">
        <v>29.268292682926798</v>
      </c>
      <c r="K65" s="151">
        <v>7.8048780487804903</v>
      </c>
      <c r="L65" s="151">
        <v>31.730769230769202</v>
      </c>
      <c r="M65" s="151">
        <v>24.019607843137301</v>
      </c>
      <c r="N65" s="151">
        <v>29.186602870813399</v>
      </c>
      <c r="O65" s="151">
        <v>12.5</v>
      </c>
    </row>
    <row r="66" spans="1:15">
      <c r="A66" s="151">
        <v>2000</v>
      </c>
      <c r="B66" s="151" t="s">
        <v>2844</v>
      </c>
      <c r="C66" s="151" t="s">
        <v>3129</v>
      </c>
      <c r="D66" s="151" t="s">
        <v>2842</v>
      </c>
      <c r="E66" s="151" t="s">
        <v>2842</v>
      </c>
      <c r="F66" s="151">
        <v>0.34491502521970402</v>
      </c>
      <c r="G66" s="151" t="s">
        <v>2842</v>
      </c>
      <c r="H66" s="151">
        <v>-0.18518848540448399</v>
      </c>
      <c r="I66" s="151">
        <v>0.17758552245748199</v>
      </c>
      <c r="J66" s="151" t="s">
        <v>2842</v>
      </c>
      <c r="K66" s="151" t="s">
        <v>2842</v>
      </c>
      <c r="L66" s="151">
        <v>59.134615384615401</v>
      </c>
      <c r="M66" s="151" t="s">
        <v>2842</v>
      </c>
      <c r="N66" s="151">
        <v>46.4114832535885</v>
      </c>
      <c r="O66" s="151">
        <v>53.846153846153797</v>
      </c>
    </row>
    <row r="67" spans="1:15">
      <c r="A67" s="151">
        <v>2000</v>
      </c>
      <c r="B67" s="151" t="s">
        <v>2845</v>
      </c>
      <c r="C67" s="151" t="s">
        <v>3130</v>
      </c>
      <c r="D67" s="151">
        <v>4.8710573129820703E-2</v>
      </c>
      <c r="E67" s="151">
        <v>0.465131057121072</v>
      </c>
      <c r="F67" s="151">
        <v>3.4452976593076098E-2</v>
      </c>
      <c r="G67" s="151">
        <v>0.65118560165869099</v>
      </c>
      <c r="H67" s="151">
        <v>0.38242532902099802</v>
      </c>
      <c r="I67" s="151">
        <v>0.52996605602184998</v>
      </c>
      <c r="J67" s="151">
        <v>61.951219512195102</v>
      </c>
      <c r="K67" s="151">
        <v>70.243902439024396</v>
      </c>
      <c r="L67" s="151">
        <v>46.634615384615401</v>
      </c>
      <c r="M67" s="151">
        <v>72.058823529411796</v>
      </c>
      <c r="N67" s="151">
        <v>63.157894736842103</v>
      </c>
      <c r="O67" s="151">
        <v>64.423076923076906</v>
      </c>
    </row>
    <row r="68" spans="1:15">
      <c r="A68" s="151">
        <v>2000</v>
      </c>
      <c r="B68" s="151" t="s">
        <v>2846</v>
      </c>
      <c r="C68" s="151" t="s">
        <v>3131</v>
      </c>
      <c r="D68" s="151">
        <v>-0.91040610137522404</v>
      </c>
      <c r="E68" s="151">
        <v>-0.78456378556294204</v>
      </c>
      <c r="F68" s="151">
        <v>-1.2373762050784201</v>
      </c>
      <c r="G68" s="151">
        <v>-0.68582347584659997</v>
      </c>
      <c r="H68" s="151">
        <v>-1.42214835459998</v>
      </c>
      <c r="I68" s="151">
        <v>-0.76984713431666796</v>
      </c>
      <c r="J68" s="151">
        <v>17.560975609756099</v>
      </c>
      <c r="K68" s="151">
        <v>21.951219512195099</v>
      </c>
      <c r="L68" s="151">
        <v>13.461538461538501</v>
      </c>
      <c r="M68" s="151">
        <v>23.529411764705898</v>
      </c>
      <c r="N68" s="151">
        <v>5.7416267942583703</v>
      </c>
      <c r="O68" s="151">
        <v>25.480769230769202</v>
      </c>
    </row>
    <row r="69" spans="1:15">
      <c r="A69" s="151">
        <v>2000</v>
      </c>
      <c r="B69" s="151" t="s">
        <v>534</v>
      </c>
      <c r="C69" s="151" t="s">
        <v>3132</v>
      </c>
      <c r="D69" s="151">
        <v>-0.85238340094827203</v>
      </c>
      <c r="E69" s="151">
        <v>-0.85829493992030703</v>
      </c>
      <c r="F69" s="151">
        <v>-5.4853445892383598E-2</v>
      </c>
      <c r="G69" s="151">
        <v>-0.25937291842295701</v>
      </c>
      <c r="H69" s="151">
        <v>-0.535909674576727</v>
      </c>
      <c r="I69" s="151">
        <v>-0.491870777465932</v>
      </c>
      <c r="J69" s="151">
        <v>20.975609756097601</v>
      </c>
      <c r="K69" s="151">
        <v>17.0731707317073</v>
      </c>
      <c r="L69" s="151">
        <v>41.826923076923102</v>
      </c>
      <c r="M69" s="151">
        <v>39.2156862745098</v>
      </c>
      <c r="N69" s="151">
        <v>33.9712918660287</v>
      </c>
      <c r="O69" s="151">
        <v>32.692307692307701</v>
      </c>
    </row>
    <row r="70" spans="1:15">
      <c r="A70" s="151">
        <v>2000</v>
      </c>
      <c r="B70" s="151" t="s">
        <v>357</v>
      </c>
      <c r="C70" s="151" t="s">
        <v>3133</v>
      </c>
      <c r="D70" s="151">
        <v>-0.40493817888194999</v>
      </c>
      <c r="E70" s="151">
        <v>-0.30729178159471399</v>
      </c>
      <c r="F70" s="151">
        <v>0.75495482486964904</v>
      </c>
      <c r="G70" s="151">
        <v>-9.6247801256275994E-2</v>
      </c>
      <c r="H70" s="151">
        <v>-0.120960290500032</v>
      </c>
      <c r="I70" s="151">
        <v>0.31678316504196002</v>
      </c>
      <c r="J70" s="151">
        <v>42.439024390243901</v>
      </c>
      <c r="K70" s="151">
        <v>43.902439024390198</v>
      </c>
      <c r="L70" s="151">
        <v>72.115384615384599</v>
      </c>
      <c r="M70" s="151">
        <v>50</v>
      </c>
      <c r="N70" s="151">
        <v>48.803827751196202</v>
      </c>
      <c r="O70" s="151">
        <v>58.653846153846203</v>
      </c>
    </row>
    <row r="71" spans="1:15">
      <c r="A71" s="151">
        <v>2002</v>
      </c>
      <c r="B71" s="151" t="s">
        <v>16</v>
      </c>
      <c r="C71" s="151" t="s">
        <v>3134</v>
      </c>
      <c r="D71" s="151">
        <v>-1.4263995675615999</v>
      </c>
      <c r="E71" s="151">
        <v>-1.63653093939863</v>
      </c>
      <c r="F71" s="151">
        <v>-2.2112937521601599</v>
      </c>
      <c r="G71" s="151">
        <v>-1.8734338023306001</v>
      </c>
      <c r="H71" s="151">
        <v>-1.7719729473375601</v>
      </c>
      <c r="I71" s="151">
        <v>-1.5706600399169099</v>
      </c>
      <c r="J71" s="151">
        <v>0.48780487804877998</v>
      </c>
      <c r="K71" s="151">
        <v>1.9512195121951199</v>
      </c>
      <c r="L71" s="151">
        <v>1.4423076923076901</v>
      </c>
      <c r="M71" s="151">
        <v>2.9411764705882399</v>
      </c>
      <c r="N71" s="151">
        <v>1.4354066985645899</v>
      </c>
      <c r="O71" s="151">
        <v>6.7307692307692299</v>
      </c>
    </row>
    <row r="72" spans="1:15">
      <c r="A72" s="151">
        <v>2002</v>
      </c>
      <c r="B72" s="151" t="s">
        <v>33</v>
      </c>
      <c r="C72" s="151" t="s">
        <v>3135</v>
      </c>
      <c r="D72" s="151">
        <v>-0.85677508060267804</v>
      </c>
      <c r="E72" s="151">
        <v>-0.56915947600344696</v>
      </c>
      <c r="F72" s="151">
        <v>-0.38730631963433199</v>
      </c>
      <c r="G72" s="151">
        <v>-0.250540920018758</v>
      </c>
      <c r="H72" s="151">
        <v>-0.92174358255977396</v>
      </c>
      <c r="I72" s="151">
        <v>-4.3882130096372499E-2</v>
      </c>
      <c r="J72" s="151">
        <v>25.853658536585399</v>
      </c>
      <c r="K72" s="151">
        <v>32.682926829268297</v>
      </c>
      <c r="L72" s="151">
        <v>30.769230769230798</v>
      </c>
      <c r="M72" s="151">
        <v>43.627450980392197</v>
      </c>
      <c r="N72" s="151">
        <v>21.052631578947398</v>
      </c>
      <c r="O72" s="151">
        <v>47.596153846153797</v>
      </c>
    </row>
    <row r="73" spans="1:15">
      <c r="A73" s="151">
        <v>2002</v>
      </c>
      <c r="B73" s="151" t="s">
        <v>48</v>
      </c>
      <c r="C73" s="151" t="s">
        <v>3136</v>
      </c>
      <c r="D73" s="151">
        <v>-1.05334834794595</v>
      </c>
      <c r="E73" s="151">
        <v>-0.94789799573218703</v>
      </c>
      <c r="F73" s="151">
        <v>-1.2940249152439101</v>
      </c>
      <c r="G73" s="151">
        <v>-0.71959805868591797</v>
      </c>
      <c r="H73" s="151">
        <v>-0.85313406012479098</v>
      </c>
      <c r="I73" s="151">
        <v>-0.95081396816908303</v>
      </c>
      <c r="J73" s="151">
        <v>10.7317073170732</v>
      </c>
      <c r="K73" s="151">
        <v>15.1219512195122</v>
      </c>
      <c r="L73" s="151">
        <v>14.4230769230769</v>
      </c>
      <c r="M73" s="151">
        <v>24.019607843137301</v>
      </c>
      <c r="N73" s="151">
        <v>24.8803827751196</v>
      </c>
      <c r="O73" s="151">
        <v>20.673076923076898</v>
      </c>
    </row>
    <row r="74" spans="1:15">
      <c r="A74" s="151">
        <v>2002</v>
      </c>
      <c r="B74" s="151" t="s">
        <v>93</v>
      </c>
      <c r="C74" s="151" t="s">
        <v>3137</v>
      </c>
      <c r="D74" s="151">
        <v>-2.1676275834879299E-2</v>
      </c>
      <c r="E74" s="151">
        <v>-0.71899778597154596</v>
      </c>
      <c r="F74" s="151">
        <v>-0.367371681120714</v>
      </c>
      <c r="G74" s="151">
        <v>-0.14439577023842301</v>
      </c>
      <c r="H74" s="151">
        <v>-0.68232699126037799</v>
      </c>
      <c r="I74" s="151">
        <v>-0.47878096738286802</v>
      </c>
      <c r="J74" s="151">
        <v>57.0731707317073</v>
      </c>
      <c r="K74" s="151">
        <v>26.829268292682901</v>
      </c>
      <c r="L74" s="151">
        <v>31.730769230769202</v>
      </c>
      <c r="M74" s="151">
        <v>49.019607843137301</v>
      </c>
      <c r="N74" s="151">
        <v>30.143540669856499</v>
      </c>
      <c r="O74" s="151">
        <v>36.057692307692299</v>
      </c>
    </row>
    <row r="75" spans="1:15">
      <c r="A75" s="151">
        <v>2002</v>
      </c>
      <c r="B75" s="151" t="s">
        <v>122</v>
      </c>
      <c r="C75" s="151" t="s">
        <v>3138</v>
      </c>
      <c r="D75" s="151">
        <v>-1.1075749605743499</v>
      </c>
      <c r="E75" s="151">
        <v>-1.6212730924728</v>
      </c>
      <c r="F75" s="151">
        <v>-1.8840622434204499</v>
      </c>
      <c r="G75" s="151">
        <v>-1.1267310899463101</v>
      </c>
      <c r="H75" s="151">
        <v>-1.1330313528107701</v>
      </c>
      <c r="I75" s="151">
        <v>-1.07746953801592</v>
      </c>
      <c r="J75" s="151">
        <v>8.7804878048780495</v>
      </c>
      <c r="K75" s="151">
        <v>2.9268292682926802</v>
      </c>
      <c r="L75" s="151">
        <v>3.3653846153846199</v>
      </c>
      <c r="M75" s="151">
        <v>13.7254901960784</v>
      </c>
      <c r="N75" s="151">
        <v>13.3971291866029</v>
      </c>
      <c r="O75" s="151">
        <v>19.230769230769202</v>
      </c>
    </row>
    <row r="76" spans="1:15">
      <c r="A76" s="151">
        <v>2002</v>
      </c>
      <c r="B76" s="151" t="s">
        <v>133</v>
      </c>
      <c r="C76" s="151" t="s">
        <v>3139</v>
      </c>
      <c r="D76" s="151">
        <v>-0.94269252636022605</v>
      </c>
      <c r="E76" s="151">
        <v>-0.90797080411383901</v>
      </c>
      <c r="F76" s="151">
        <v>-1.69930748435783</v>
      </c>
      <c r="G76" s="151">
        <v>-0.92452247834000401</v>
      </c>
      <c r="H76" s="151">
        <v>-0.99644439451586897</v>
      </c>
      <c r="I76" s="151">
        <v>-0.965867117015203</v>
      </c>
      <c r="J76" s="151">
        <v>19.512195121951201</v>
      </c>
      <c r="K76" s="151">
        <v>17.560975609756099</v>
      </c>
      <c r="L76" s="151">
        <v>6.25</v>
      </c>
      <c r="M76" s="151">
        <v>19.117647058823501</v>
      </c>
      <c r="N76" s="151">
        <v>18.6602870813397</v>
      </c>
      <c r="O76" s="151">
        <v>20.192307692307701</v>
      </c>
    </row>
    <row r="77" spans="1:15">
      <c r="A77" s="151">
        <v>2002</v>
      </c>
      <c r="B77" s="151" t="s">
        <v>165</v>
      </c>
      <c r="C77" s="151" t="s">
        <v>3140</v>
      </c>
      <c r="D77" s="151">
        <v>-1.2598801007157401</v>
      </c>
      <c r="E77" s="151">
        <v>-1.7417898029527801</v>
      </c>
      <c r="F77" s="151">
        <v>-2.0983898146571098</v>
      </c>
      <c r="G77" s="151">
        <v>-1.50629648470532</v>
      </c>
      <c r="H77" s="151">
        <v>-1.69550125856079</v>
      </c>
      <c r="I77" s="151">
        <v>-1.6938374171346999</v>
      </c>
      <c r="J77" s="151">
        <v>2.9268292682926802</v>
      </c>
      <c r="K77" s="151">
        <v>1.4634146341463401</v>
      </c>
      <c r="L77" s="151">
        <v>1.92307692307692</v>
      </c>
      <c r="M77" s="151">
        <v>5.8823529411764701</v>
      </c>
      <c r="N77" s="151">
        <v>1.91387559808612</v>
      </c>
      <c r="O77" s="151">
        <v>3.8461538461538498</v>
      </c>
    </row>
    <row r="78" spans="1:15">
      <c r="A78" s="151">
        <v>2002</v>
      </c>
      <c r="B78" s="151" t="s">
        <v>458</v>
      </c>
      <c r="C78" s="151" t="s">
        <v>3141</v>
      </c>
      <c r="D78" s="151">
        <v>-0.86549472626466495</v>
      </c>
      <c r="E78" s="151">
        <v>-1.30745634473565</v>
      </c>
      <c r="F78" s="151">
        <v>-1.6634719147156301</v>
      </c>
      <c r="G78" s="151">
        <v>-1.05744366290822</v>
      </c>
      <c r="H78" s="151">
        <v>-1.24207318356871</v>
      </c>
      <c r="I78" s="151">
        <v>-0.919400903009431</v>
      </c>
      <c r="J78" s="151">
        <v>24.878048780487799</v>
      </c>
      <c r="K78" s="151">
        <v>6.8292682926829302</v>
      </c>
      <c r="L78" s="151">
        <v>7.6923076923076898</v>
      </c>
      <c r="M78" s="151">
        <v>15.1960784313725</v>
      </c>
      <c r="N78" s="151">
        <v>10.047846889952201</v>
      </c>
      <c r="O78" s="151">
        <v>21.634615384615401</v>
      </c>
    </row>
    <row r="79" spans="1:15">
      <c r="A79" s="151">
        <v>2002</v>
      </c>
      <c r="B79" s="151" t="s">
        <v>96</v>
      </c>
      <c r="C79" s="151" t="s">
        <v>3142</v>
      </c>
      <c r="D79" s="151">
        <v>-1.08671016605835</v>
      </c>
      <c r="E79" s="151">
        <v>-0.81811574150029898</v>
      </c>
      <c r="F79" s="151">
        <v>-0.72211372928394602</v>
      </c>
      <c r="G79" s="151">
        <v>-0.88629562661994599</v>
      </c>
      <c r="H79" s="151">
        <v>-1.2493123858542701</v>
      </c>
      <c r="I79" s="151">
        <v>-1.17189450149964</v>
      </c>
      <c r="J79" s="151">
        <v>9.2682926829268304</v>
      </c>
      <c r="K79" s="151">
        <v>22.9268292682927</v>
      </c>
      <c r="L79" s="151">
        <v>24.519230769230798</v>
      </c>
      <c r="M79" s="151">
        <v>19.6078431372549</v>
      </c>
      <c r="N79" s="151">
        <v>9.5693779904306204</v>
      </c>
      <c r="O79" s="151">
        <v>15.865384615384601</v>
      </c>
    </row>
    <row r="80" spans="1:15">
      <c r="A80" s="151">
        <v>2002</v>
      </c>
      <c r="B80" s="151" t="s">
        <v>182</v>
      </c>
      <c r="C80" s="151" t="s">
        <v>3143</v>
      </c>
      <c r="D80" s="151">
        <v>-1.33592402558311</v>
      </c>
      <c r="E80" s="151">
        <v>-1.3461446356859701</v>
      </c>
      <c r="F80" s="151">
        <v>-0.59679404989978901</v>
      </c>
      <c r="G80" s="151">
        <v>-1.4908147697228</v>
      </c>
      <c r="H80" s="151">
        <v>-1.38874122133125</v>
      </c>
      <c r="I80" s="151">
        <v>-1.6366631082434</v>
      </c>
      <c r="J80" s="151">
        <v>0.97560975609756095</v>
      </c>
      <c r="K80" s="151">
        <v>6.3414634146341502</v>
      </c>
      <c r="L80" s="151">
        <v>26.923076923076898</v>
      </c>
      <c r="M80" s="151">
        <v>6.37254901960784</v>
      </c>
      <c r="N80" s="151">
        <v>6.2200956937798999</v>
      </c>
      <c r="O80" s="151">
        <v>5.2884615384615401</v>
      </c>
    </row>
    <row r="81" spans="1:15">
      <c r="A81" s="151">
        <v>2002</v>
      </c>
      <c r="B81" s="151" t="s">
        <v>185</v>
      </c>
      <c r="C81" s="151" t="s">
        <v>3144</v>
      </c>
      <c r="D81" s="151">
        <v>-0.41900781076529597</v>
      </c>
      <c r="E81" s="151">
        <v>-0.39414394772119998</v>
      </c>
      <c r="F81" s="151">
        <v>0.31184320516767</v>
      </c>
      <c r="G81" s="151">
        <v>-0.18885159927995501</v>
      </c>
      <c r="H81" s="151">
        <v>-0.20559411033504099</v>
      </c>
      <c r="I81" s="151">
        <v>-0.55432629376318798</v>
      </c>
      <c r="J81" s="151">
        <v>40.487804878048799</v>
      </c>
      <c r="K81" s="151">
        <v>40.975609756097597</v>
      </c>
      <c r="L81" s="151">
        <v>57.211538461538503</v>
      </c>
      <c r="M81" s="151">
        <v>46.078431372548998</v>
      </c>
      <c r="N81" s="151">
        <v>47.846889952153099</v>
      </c>
      <c r="O81" s="151">
        <v>30.769230769230798</v>
      </c>
    </row>
    <row r="82" spans="1:15">
      <c r="A82" s="151">
        <v>2002</v>
      </c>
      <c r="B82" s="151" t="s">
        <v>189</v>
      </c>
      <c r="C82" s="151" t="s">
        <v>3145</v>
      </c>
      <c r="D82" s="151">
        <v>-0.28637836552650803</v>
      </c>
      <c r="E82" s="151">
        <v>-0.12651413335870301</v>
      </c>
      <c r="F82" s="151">
        <v>-0.24498359219884</v>
      </c>
      <c r="G82" s="151">
        <v>-0.47020063976173798</v>
      </c>
      <c r="H82" s="151">
        <v>-2.5309038328626899E-2</v>
      </c>
      <c r="I82" s="151">
        <v>-5.6891932024972301E-2</v>
      </c>
      <c r="J82" s="151">
        <v>47.317073170731703</v>
      </c>
      <c r="K82" s="151">
        <v>52.195121951219498</v>
      </c>
      <c r="L82" s="151">
        <v>38.942307692307701</v>
      </c>
      <c r="M82" s="151">
        <v>35.294117647058798</v>
      </c>
      <c r="N82" s="151">
        <v>51.674641148325399</v>
      </c>
      <c r="O82" s="151">
        <v>46.153846153846203</v>
      </c>
    </row>
    <row r="83" spans="1:15">
      <c r="A83" s="151">
        <v>2002</v>
      </c>
      <c r="B83" s="151" t="s">
        <v>213</v>
      </c>
      <c r="C83" s="151" t="s">
        <v>3146</v>
      </c>
      <c r="D83" s="151">
        <v>-0.49896088493346602</v>
      </c>
      <c r="E83" s="151">
        <v>-0.49322925288903102</v>
      </c>
      <c r="F83" s="151">
        <v>-0.89625090820575704</v>
      </c>
      <c r="G83" s="151">
        <v>-0.161044706929169</v>
      </c>
      <c r="H83" s="151">
        <v>-1.0081031894470101</v>
      </c>
      <c r="I83" s="151">
        <v>-0.43613174491467199</v>
      </c>
      <c r="J83" s="151">
        <v>37.560975609756099</v>
      </c>
      <c r="K83" s="151">
        <v>35.121951219512198</v>
      </c>
      <c r="L83" s="151">
        <v>19.230769230769202</v>
      </c>
      <c r="M83" s="151">
        <v>47.058823529411796</v>
      </c>
      <c r="N83" s="151">
        <v>18.181818181818201</v>
      </c>
      <c r="O83" s="151">
        <v>37.980769230769198</v>
      </c>
    </row>
    <row r="84" spans="1:15">
      <c r="A84" s="151">
        <v>2002</v>
      </c>
      <c r="B84" s="151" t="s">
        <v>2843</v>
      </c>
      <c r="C84" s="151" t="s">
        <v>3147</v>
      </c>
      <c r="D84" s="151">
        <v>-0.51808465812640303</v>
      </c>
      <c r="E84" s="151">
        <v>-0.94831823572718399</v>
      </c>
      <c r="F84" s="151">
        <v>-1.5652538482215199</v>
      </c>
      <c r="G84" s="151">
        <v>-1.0130672635443401</v>
      </c>
      <c r="H84" s="151">
        <v>-0.98131922645834901</v>
      </c>
      <c r="I84" s="151">
        <v>-1.3335970471385901</v>
      </c>
      <c r="J84" s="151">
        <v>35.609756097560997</v>
      </c>
      <c r="K84" s="151">
        <v>14.634146341463399</v>
      </c>
      <c r="L84" s="151">
        <v>10.096153846153801</v>
      </c>
      <c r="M84" s="151">
        <v>17.647058823529399</v>
      </c>
      <c r="N84" s="151">
        <v>19.138755980861198</v>
      </c>
      <c r="O84" s="151">
        <v>11.057692307692299</v>
      </c>
    </row>
    <row r="85" spans="1:15">
      <c r="A85" s="151">
        <v>2002</v>
      </c>
      <c r="B85" s="151" t="s">
        <v>237</v>
      </c>
      <c r="C85" s="151" t="s">
        <v>3148</v>
      </c>
      <c r="D85" s="151">
        <v>-1.1339441844810101</v>
      </c>
      <c r="E85" s="151">
        <v>-0.42741867283249002</v>
      </c>
      <c r="F85" s="151">
        <v>-1.6206712233484299</v>
      </c>
      <c r="G85" s="151">
        <v>-0.64308937599837301</v>
      </c>
      <c r="H85" s="151">
        <v>-0.96559472773890997</v>
      </c>
      <c r="I85" s="151">
        <v>-0.39072818830591499</v>
      </c>
      <c r="J85" s="151">
        <v>8.2926829268292703</v>
      </c>
      <c r="K85" s="151">
        <v>38.048780487804898</v>
      </c>
      <c r="L85" s="151">
        <v>8.6538461538461497</v>
      </c>
      <c r="M85" s="151">
        <v>26.960784313725501</v>
      </c>
      <c r="N85" s="151">
        <v>20.095693779904298</v>
      </c>
      <c r="O85" s="151">
        <v>39.423076923076898</v>
      </c>
    </row>
    <row r="86" spans="1:15">
      <c r="A86" s="151">
        <v>2002</v>
      </c>
      <c r="B86" s="151" t="s">
        <v>245</v>
      </c>
      <c r="C86" s="151" t="s">
        <v>3149</v>
      </c>
      <c r="D86" s="151">
        <v>-1.2952472882719801</v>
      </c>
      <c r="E86" s="151">
        <v>-1.8768640939889201</v>
      </c>
      <c r="F86" s="151">
        <v>-1.6517407386062</v>
      </c>
      <c r="G86" s="151">
        <v>-1.99402357062673</v>
      </c>
      <c r="H86" s="151">
        <v>-1.47068749235164</v>
      </c>
      <c r="I86" s="151">
        <v>-2.0406064637843202</v>
      </c>
      <c r="J86" s="151">
        <v>1.9512195121951199</v>
      </c>
      <c r="K86" s="151">
        <v>0.97560975609756095</v>
      </c>
      <c r="L86" s="151">
        <v>8.1730769230769198</v>
      </c>
      <c r="M86" s="151">
        <v>0.98039215686274495</v>
      </c>
      <c r="N86" s="151">
        <v>4.7846889952153102</v>
      </c>
      <c r="O86" s="151">
        <v>0.480769230769231</v>
      </c>
    </row>
    <row r="87" spans="1:15">
      <c r="A87" s="151">
        <v>2002</v>
      </c>
      <c r="B87" s="151" t="s">
        <v>273</v>
      </c>
      <c r="C87" s="151" t="s">
        <v>3150</v>
      </c>
      <c r="D87" s="151">
        <v>-1.06069622917774</v>
      </c>
      <c r="E87" s="151">
        <v>-0.92290124495542203</v>
      </c>
      <c r="F87" s="151">
        <v>0.29121676072387598</v>
      </c>
      <c r="G87" s="151">
        <v>-0.72667817408938795</v>
      </c>
      <c r="H87" s="151">
        <v>-1.12108084460063</v>
      </c>
      <c r="I87" s="151">
        <v>-1.08792295969663</v>
      </c>
      <c r="J87" s="151">
        <v>10.243902439024399</v>
      </c>
      <c r="K87" s="151">
        <v>17.0731707317073</v>
      </c>
      <c r="L87" s="151">
        <v>56.730769230769198</v>
      </c>
      <c r="M87" s="151">
        <v>23.529411764705898</v>
      </c>
      <c r="N87" s="151">
        <v>13.8755980861244</v>
      </c>
      <c r="O87" s="151">
        <v>18.269230769230798</v>
      </c>
    </row>
    <row r="88" spans="1:15">
      <c r="A88" s="151">
        <v>2002</v>
      </c>
      <c r="B88" s="151" t="s">
        <v>278</v>
      </c>
      <c r="C88" s="151" t="s">
        <v>3151</v>
      </c>
      <c r="D88" s="151">
        <v>-0.86439885104624503</v>
      </c>
      <c r="E88" s="151">
        <v>-0.66626719214276098</v>
      </c>
      <c r="F88" s="151">
        <v>-0.78018384422063003</v>
      </c>
      <c r="G88" s="151">
        <v>-0.14676772644104999</v>
      </c>
      <c r="H88" s="151">
        <v>-0.75766076651631198</v>
      </c>
      <c r="I88" s="151">
        <v>-1.01967124012873</v>
      </c>
      <c r="J88" s="151">
        <v>25.365853658536601</v>
      </c>
      <c r="K88" s="151">
        <v>28.780487804878</v>
      </c>
      <c r="L88" s="151">
        <v>23.557692307692299</v>
      </c>
      <c r="M88" s="151">
        <v>48.529411764705898</v>
      </c>
      <c r="N88" s="151">
        <v>27.7511961722488</v>
      </c>
      <c r="O88" s="151">
        <v>19.711538461538499</v>
      </c>
    </row>
    <row r="89" spans="1:15">
      <c r="A89" s="151">
        <v>2002</v>
      </c>
      <c r="B89" s="151" t="s">
        <v>294</v>
      </c>
      <c r="C89" s="151" t="s">
        <v>3152</v>
      </c>
      <c r="D89" s="151">
        <v>-1.1730001241890899</v>
      </c>
      <c r="E89" s="151">
        <v>-1.6087571119016699</v>
      </c>
      <c r="F89" s="151">
        <v>-2.2819317212401402</v>
      </c>
      <c r="G89" s="151">
        <v>-1.74340604625955</v>
      </c>
      <c r="H89" s="151">
        <v>-1.8552390877167599</v>
      </c>
      <c r="I89" s="151">
        <v>-1.3788780007894601</v>
      </c>
      <c r="J89" s="151">
        <v>5.3658536585365901</v>
      </c>
      <c r="K89" s="151">
        <v>3.4146341463414598</v>
      </c>
      <c r="L89" s="151">
        <v>0.96153846153846201</v>
      </c>
      <c r="M89" s="151">
        <v>3.9215686274509798</v>
      </c>
      <c r="N89" s="151">
        <v>0.95693779904306198</v>
      </c>
      <c r="O89" s="151">
        <v>10.5769230769231</v>
      </c>
    </row>
    <row r="90" spans="1:15">
      <c r="A90" s="151">
        <v>2002</v>
      </c>
      <c r="B90" s="151" t="s">
        <v>309</v>
      </c>
      <c r="C90" s="151" t="s">
        <v>3153</v>
      </c>
      <c r="D90" s="151">
        <v>5.8390450788279702E-2</v>
      </c>
      <c r="E90" s="151">
        <v>-0.47033030575982199</v>
      </c>
      <c r="F90" s="151">
        <v>-0.29141471823586801</v>
      </c>
      <c r="G90" s="151">
        <v>-0.275766713924323</v>
      </c>
      <c r="H90" s="151">
        <v>-0.26747297628721201</v>
      </c>
      <c r="I90" s="151">
        <v>-0.189454626365612</v>
      </c>
      <c r="J90" s="151">
        <v>60.975609756097597</v>
      </c>
      <c r="K90" s="151">
        <v>36.097560975609802</v>
      </c>
      <c r="L90" s="151">
        <v>36.057692307692299</v>
      </c>
      <c r="M90" s="151">
        <v>42.647058823529399</v>
      </c>
      <c r="N90" s="151">
        <v>46.4114832535885</v>
      </c>
      <c r="O90" s="151">
        <v>43.75</v>
      </c>
    </row>
    <row r="91" spans="1:15">
      <c r="A91" s="151">
        <v>2002</v>
      </c>
      <c r="B91" s="151" t="s">
        <v>322</v>
      </c>
      <c r="C91" s="151" t="s">
        <v>3154</v>
      </c>
      <c r="D91" s="151">
        <v>-0.53165078577755898</v>
      </c>
      <c r="E91" s="151">
        <v>-0.60031477449362103</v>
      </c>
      <c r="F91" s="151">
        <v>0.28689688095244598</v>
      </c>
      <c r="G91" s="151">
        <v>-0.45829491518332499</v>
      </c>
      <c r="H91" s="151">
        <v>-0.31985702815739597</v>
      </c>
      <c r="I91" s="151">
        <v>0.26374009054944297</v>
      </c>
      <c r="J91" s="151">
        <v>35.121951219512198</v>
      </c>
      <c r="K91" s="151">
        <v>31.707317073170699</v>
      </c>
      <c r="L91" s="151">
        <v>56.25</v>
      </c>
      <c r="M91" s="151">
        <v>36.274509803921603</v>
      </c>
      <c r="N91" s="151">
        <v>44.497607655502399</v>
      </c>
      <c r="O91" s="151">
        <v>54.807692307692299</v>
      </c>
    </row>
    <row r="92" spans="1:15">
      <c r="A92" s="151">
        <v>2002</v>
      </c>
      <c r="B92" s="151" t="s">
        <v>338</v>
      </c>
      <c r="C92" s="151" t="s">
        <v>3155</v>
      </c>
      <c r="D92" s="151">
        <v>0.23463171352600901</v>
      </c>
      <c r="E92" s="151">
        <v>-2.3831401047198501E-2</v>
      </c>
      <c r="F92" s="151">
        <v>0.28606670076957003</v>
      </c>
      <c r="G92" s="151">
        <v>0.30586751514850602</v>
      </c>
      <c r="H92" s="151">
        <v>-0.46549253234097199</v>
      </c>
      <c r="I92" s="151">
        <v>-0.84830305020458197</v>
      </c>
      <c r="J92" s="151">
        <v>62.9268292682927</v>
      </c>
      <c r="K92" s="151">
        <v>56.585365853658502</v>
      </c>
      <c r="L92" s="151">
        <v>55.769230769230802</v>
      </c>
      <c r="M92" s="151">
        <v>62.254901960784302</v>
      </c>
      <c r="N92" s="151">
        <v>37.320574162679399</v>
      </c>
      <c r="O92" s="151">
        <v>23.076923076923102</v>
      </c>
    </row>
    <row r="93" spans="1:15">
      <c r="A93" s="151">
        <v>2002</v>
      </c>
      <c r="B93" s="151" t="s">
        <v>378</v>
      </c>
      <c r="C93" s="151" t="s">
        <v>3156</v>
      </c>
      <c r="D93" s="151">
        <v>-0.446163252536801</v>
      </c>
      <c r="E93" s="151">
        <v>-0.356587429572571</v>
      </c>
      <c r="F93" s="151">
        <v>0.124214370216793</v>
      </c>
      <c r="G93" s="151">
        <v>-0.30844785038307099</v>
      </c>
      <c r="H93" s="151">
        <v>-0.64927918680031005</v>
      </c>
      <c r="I93" s="151">
        <v>-0.224967600016348</v>
      </c>
      <c r="J93" s="151">
        <v>39.512195121951201</v>
      </c>
      <c r="K93" s="151">
        <v>42.9268292682927</v>
      </c>
      <c r="L93" s="151">
        <v>47.596153846153797</v>
      </c>
      <c r="M93" s="151">
        <v>41.176470588235297</v>
      </c>
      <c r="N93" s="151">
        <v>32.0574162679426</v>
      </c>
      <c r="O93" s="151">
        <v>41.826923076923102</v>
      </c>
    </row>
    <row r="94" spans="1:15">
      <c r="A94" s="151">
        <v>2002</v>
      </c>
      <c r="B94" s="151" t="s">
        <v>387</v>
      </c>
      <c r="C94" s="151" t="s">
        <v>3157</v>
      </c>
      <c r="D94" s="151">
        <v>-1.06772173107751</v>
      </c>
      <c r="E94" s="151">
        <v>-0.88529105512337303</v>
      </c>
      <c r="F94" s="151">
        <v>-0.25247025055462002</v>
      </c>
      <c r="G94" s="151">
        <v>-0.71098841312570504</v>
      </c>
      <c r="H94" s="151">
        <v>-0.775559462818743</v>
      </c>
      <c r="I94" s="151">
        <v>-0.27867945822184598</v>
      </c>
      <c r="J94" s="151">
        <v>9.7560975609756095</v>
      </c>
      <c r="K94" s="151">
        <v>18.5365853658537</v>
      </c>
      <c r="L94" s="151">
        <v>37.980769230769198</v>
      </c>
      <c r="M94" s="151">
        <v>25</v>
      </c>
      <c r="N94" s="151">
        <v>26.7942583732057</v>
      </c>
      <c r="O94" s="151">
        <v>41.346153846153797</v>
      </c>
    </row>
    <row r="95" spans="1:15">
      <c r="A95" s="151">
        <v>2002</v>
      </c>
      <c r="B95" s="151" t="s">
        <v>406</v>
      </c>
      <c r="C95" s="151" t="s">
        <v>3158</v>
      </c>
      <c r="D95" s="151">
        <v>-1.3332746391191099</v>
      </c>
      <c r="E95" s="151">
        <v>-1.05643074934563</v>
      </c>
      <c r="F95" s="151">
        <v>-1.6973673794058299</v>
      </c>
      <c r="G95" s="151">
        <v>-1.2265490649911699</v>
      </c>
      <c r="H95" s="151">
        <v>-1.4818975162791199</v>
      </c>
      <c r="I95" s="151">
        <v>-0.71183277849603599</v>
      </c>
      <c r="J95" s="151">
        <v>1.4634146341463401</v>
      </c>
      <c r="K95" s="151">
        <v>11.707317073170699</v>
      </c>
      <c r="L95" s="151">
        <v>7.2115384615384599</v>
      </c>
      <c r="M95" s="151">
        <v>11.764705882352899</v>
      </c>
      <c r="N95" s="151">
        <v>4.3062200956937797</v>
      </c>
      <c r="O95" s="151">
        <v>27.403846153846199</v>
      </c>
    </row>
    <row r="96" spans="1:15">
      <c r="A96" s="151">
        <v>2002</v>
      </c>
      <c r="B96" s="151" t="s">
        <v>442</v>
      </c>
      <c r="C96" s="151" t="s">
        <v>3159</v>
      </c>
      <c r="D96" s="151">
        <v>-0.30329569459617101</v>
      </c>
      <c r="E96" s="151">
        <v>-0.35153588053474</v>
      </c>
      <c r="F96" s="151">
        <v>-1.04714507416125</v>
      </c>
      <c r="G96" s="151">
        <v>2.6886831047618399E-2</v>
      </c>
      <c r="H96" s="151">
        <v>-0.54278207386569999</v>
      </c>
      <c r="I96" s="151">
        <v>0.13598284325021601</v>
      </c>
      <c r="J96" s="151">
        <v>46.341463414634099</v>
      </c>
      <c r="K96" s="151">
        <v>43.414634146341498</v>
      </c>
      <c r="L96" s="151">
        <v>18.269230769230798</v>
      </c>
      <c r="M96" s="151">
        <v>55.882352941176499</v>
      </c>
      <c r="N96" s="151">
        <v>35.885167464114801</v>
      </c>
      <c r="O96" s="151">
        <v>51.923076923076898</v>
      </c>
    </row>
    <row r="97" spans="1:15">
      <c r="A97" s="151">
        <v>2002</v>
      </c>
      <c r="B97" s="151" t="s">
        <v>481</v>
      </c>
      <c r="C97" s="151" t="s">
        <v>3160</v>
      </c>
      <c r="D97" s="151">
        <v>-0.74711413564765805</v>
      </c>
      <c r="E97" s="151">
        <v>-1.5143031298218901</v>
      </c>
      <c r="F97" s="151">
        <v>-0.85683467991427598</v>
      </c>
      <c r="G97" s="151">
        <v>-1.2629610599794401</v>
      </c>
      <c r="H97" s="151">
        <v>-1.3283384515630099</v>
      </c>
      <c r="I97" s="151">
        <v>-0.67850506240365804</v>
      </c>
      <c r="J97" s="151">
        <v>30.243902439024399</v>
      </c>
      <c r="K97" s="151">
        <v>4.8780487804878003</v>
      </c>
      <c r="L97" s="151">
        <v>21.153846153846199</v>
      </c>
      <c r="M97" s="151">
        <v>10.7843137254902</v>
      </c>
      <c r="N97" s="151">
        <v>7.6555023923445003</v>
      </c>
      <c r="O97" s="151">
        <v>28.365384615384599</v>
      </c>
    </row>
    <row r="98" spans="1:15">
      <c r="A98" s="151">
        <v>2002</v>
      </c>
      <c r="B98" s="151" t="s">
        <v>492</v>
      </c>
      <c r="C98" s="151" t="s">
        <v>3161</v>
      </c>
      <c r="D98" s="151">
        <v>-0.94099024936442199</v>
      </c>
      <c r="E98" s="151">
        <v>-0.40241790532937399</v>
      </c>
      <c r="F98" s="151">
        <v>-0.34766269119858101</v>
      </c>
      <c r="G98" s="151">
        <v>-0.55842303155894502</v>
      </c>
      <c r="H98" s="151">
        <v>-0.38817887322443101</v>
      </c>
      <c r="I98" s="151">
        <v>-0.413265487469128</v>
      </c>
      <c r="J98" s="151">
        <v>20.487804878048799</v>
      </c>
      <c r="K98" s="151">
        <v>40.487804878048799</v>
      </c>
      <c r="L98" s="151">
        <v>34.134615384615401</v>
      </c>
      <c r="M98" s="151">
        <v>31.862745098039198</v>
      </c>
      <c r="N98" s="151">
        <v>41.1483253588517</v>
      </c>
      <c r="O98" s="151">
        <v>38.942307692307701</v>
      </c>
    </row>
    <row r="99" spans="1:15">
      <c r="A99" s="151">
        <v>2002</v>
      </c>
      <c r="B99" s="151" t="s">
        <v>510</v>
      </c>
      <c r="C99" s="151" t="s">
        <v>3162</v>
      </c>
      <c r="D99" s="151">
        <v>-0.76869416339014096</v>
      </c>
      <c r="E99" s="151">
        <v>-1.37072477829452</v>
      </c>
      <c r="F99" s="151">
        <v>-4.7440910169324897E-2</v>
      </c>
      <c r="G99" s="151">
        <v>-0.73076728748070396</v>
      </c>
      <c r="H99" s="151">
        <v>-0.79210912297646596</v>
      </c>
      <c r="I99" s="151">
        <v>-1.4708853359998999</v>
      </c>
      <c r="J99" s="151">
        <v>29.268292682926798</v>
      </c>
      <c r="K99" s="151">
        <v>5.8536585365853702</v>
      </c>
      <c r="L99" s="151">
        <v>43.75</v>
      </c>
      <c r="M99" s="151">
        <v>22.5490196078431</v>
      </c>
      <c r="N99" s="151">
        <v>26.315789473684202</v>
      </c>
      <c r="O99" s="151">
        <v>9.6153846153846203</v>
      </c>
    </row>
    <row r="100" spans="1:15">
      <c r="A100" s="151">
        <v>2002</v>
      </c>
      <c r="B100" s="151" t="s">
        <v>2844</v>
      </c>
      <c r="C100" s="151" t="s">
        <v>3163</v>
      </c>
      <c r="D100" s="151">
        <v>-0.51782172288828099</v>
      </c>
      <c r="E100" s="151">
        <v>-0.80158914494760103</v>
      </c>
      <c r="F100" s="151">
        <v>-0.63770709454354202</v>
      </c>
      <c r="G100" s="151">
        <v>-1.29209038521786</v>
      </c>
      <c r="H100" s="151">
        <v>-1.0899934141323899</v>
      </c>
      <c r="I100" s="151">
        <v>0.34324177505597903</v>
      </c>
      <c r="J100" s="151">
        <v>36.097560975609802</v>
      </c>
      <c r="K100" s="151">
        <v>25.365853658536601</v>
      </c>
      <c r="L100" s="151">
        <v>25.480769230769202</v>
      </c>
      <c r="M100" s="151">
        <v>9.8039215686274499</v>
      </c>
      <c r="N100" s="151">
        <v>15.311004784689001</v>
      </c>
      <c r="O100" s="151">
        <v>57.692307692307701</v>
      </c>
    </row>
    <row r="101" spans="1:15">
      <c r="A101" s="151">
        <v>2002</v>
      </c>
      <c r="B101" s="151" t="s">
        <v>2845</v>
      </c>
      <c r="C101" s="151" t="s">
        <v>3164</v>
      </c>
      <c r="D101" s="151">
        <v>-0.17786109007516099</v>
      </c>
      <c r="E101" s="151">
        <v>0.34575392440070501</v>
      </c>
      <c r="F101" s="151">
        <v>-0.194503132334303</v>
      </c>
      <c r="G101" s="151">
        <v>0.71338557806315395</v>
      </c>
      <c r="H101" s="151">
        <v>0.39098900832983602</v>
      </c>
      <c r="I101" s="151">
        <v>0.52100354673839799</v>
      </c>
      <c r="J101" s="151">
        <v>52.682926829268297</v>
      </c>
      <c r="K101" s="151">
        <v>65.365853658536594</v>
      </c>
      <c r="L101" s="151">
        <v>39.903846153846203</v>
      </c>
      <c r="M101" s="151">
        <v>72.549019607843107</v>
      </c>
      <c r="N101" s="151">
        <v>63.157894736842103</v>
      </c>
      <c r="O101" s="151">
        <v>63.461538461538503</v>
      </c>
    </row>
    <row r="102" spans="1:15">
      <c r="A102" s="151">
        <v>2002</v>
      </c>
      <c r="B102" s="151" t="s">
        <v>2846</v>
      </c>
      <c r="C102" s="151" t="s">
        <v>3165</v>
      </c>
      <c r="D102" s="151">
        <v>-0.95130181735963704</v>
      </c>
      <c r="E102" s="151">
        <v>-0.81239943451083196</v>
      </c>
      <c r="F102" s="151">
        <v>-1.39704330973853</v>
      </c>
      <c r="G102" s="151">
        <v>-0.82153909965421401</v>
      </c>
      <c r="H102" s="151">
        <v>-1.5152172018082299</v>
      </c>
      <c r="I102" s="151">
        <v>-1.2055715919221499</v>
      </c>
      <c r="J102" s="151">
        <v>17.0731707317073</v>
      </c>
      <c r="K102" s="151">
        <v>23.414634146341498</v>
      </c>
      <c r="L102" s="151">
        <v>12.0192307692308</v>
      </c>
      <c r="M102" s="151">
        <v>20.098039215686299</v>
      </c>
      <c r="N102" s="151">
        <v>3.8277511961722501</v>
      </c>
      <c r="O102" s="151">
        <v>14.903846153846199</v>
      </c>
    </row>
    <row r="103" spans="1:15">
      <c r="A103" s="151">
        <v>2002</v>
      </c>
      <c r="B103" s="151" t="s">
        <v>534</v>
      </c>
      <c r="C103" s="151" t="s">
        <v>3166</v>
      </c>
      <c r="D103" s="151">
        <v>-0.93746043185613404</v>
      </c>
      <c r="E103" s="151">
        <v>-0.80718869750100997</v>
      </c>
      <c r="F103" s="151">
        <v>-0.35042005637546603</v>
      </c>
      <c r="G103" s="151">
        <v>-0.61292500109377701</v>
      </c>
      <c r="H103" s="151">
        <v>-0.39413795015612202</v>
      </c>
      <c r="I103" s="151">
        <v>-0.36958734858390502</v>
      </c>
      <c r="J103" s="151">
        <v>20.975609756097601</v>
      </c>
      <c r="K103" s="151">
        <v>24.390243902439</v>
      </c>
      <c r="L103" s="151">
        <v>33.173076923076898</v>
      </c>
      <c r="M103" s="151">
        <v>27.9411764705882</v>
      </c>
      <c r="N103" s="151">
        <v>39.712918660287102</v>
      </c>
      <c r="O103" s="151">
        <v>39.903846153846203</v>
      </c>
    </row>
    <row r="104" spans="1:15">
      <c r="A104" s="151">
        <v>2002</v>
      </c>
      <c r="B104" s="151" t="s">
        <v>357</v>
      </c>
      <c r="C104" s="151" t="s">
        <v>3167</v>
      </c>
      <c r="D104" s="151">
        <v>-1.19388257374969E-2</v>
      </c>
      <c r="E104" s="151">
        <v>-0.19658709963528201</v>
      </c>
      <c r="F104" s="151">
        <v>1.1129740125234</v>
      </c>
      <c r="G104" s="151">
        <v>-8.9377751932021895E-2</v>
      </c>
      <c r="H104" s="151">
        <v>0.11470646881857</v>
      </c>
      <c r="I104" s="151">
        <v>0.33676612242300502</v>
      </c>
      <c r="J104" s="151">
        <v>57.560975609756099</v>
      </c>
      <c r="K104" s="151">
        <v>48.780487804878</v>
      </c>
      <c r="L104" s="151">
        <v>86.538461538461505</v>
      </c>
      <c r="M104" s="151">
        <v>50.490196078431403</v>
      </c>
      <c r="N104" s="151">
        <v>56.937799043062199</v>
      </c>
      <c r="O104" s="151">
        <v>57.211538461538503</v>
      </c>
    </row>
    <row r="105" spans="1:15">
      <c r="A105" s="151">
        <v>2003</v>
      </c>
      <c r="B105" s="151" t="s">
        <v>16</v>
      </c>
      <c r="C105" s="151" t="s">
        <v>3168</v>
      </c>
      <c r="D105" s="151">
        <v>-1.5468523171997299</v>
      </c>
      <c r="E105" s="151">
        <v>-1.17779182730876</v>
      </c>
      <c r="F105" s="151">
        <v>-2.2627972052685701</v>
      </c>
      <c r="G105" s="151">
        <v>-1.4878922758103399</v>
      </c>
      <c r="H105" s="151">
        <v>-1.67100406092841</v>
      </c>
      <c r="I105" s="151">
        <v>-1.28105135486743</v>
      </c>
      <c r="J105" s="151">
        <v>1.9512195121951199</v>
      </c>
      <c r="K105" s="151">
        <v>9.2682926829268304</v>
      </c>
      <c r="L105" s="151">
        <v>1.92307692307692</v>
      </c>
      <c r="M105" s="151">
        <v>5.3921568627451002</v>
      </c>
      <c r="N105" s="151">
        <v>2.39234449760766</v>
      </c>
      <c r="O105" s="151">
        <v>12.0192307692308</v>
      </c>
    </row>
    <row r="106" spans="1:15">
      <c r="A106" s="151">
        <v>2003</v>
      </c>
      <c r="B106" s="151" t="s">
        <v>33</v>
      </c>
      <c r="C106" s="151" t="s">
        <v>3169</v>
      </c>
      <c r="D106" s="151">
        <v>-0.76875006030145898</v>
      </c>
      <c r="E106" s="151">
        <v>-0.60726331197671501</v>
      </c>
      <c r="F106" s="151">
        <v>-0.33053012056952702</v>
      </c>
      <c r="G106" s="151">
        <v>-0.46851510802287699</v>
      </c>
      <c r="H106" s="151">
        <v>-0.87672717391182198</v>
      </c>
      <c r="I106" s="151">
        <v>5.6120474271673201E-2</v>
      </c>
      <c r="J106" s="151">
        <v>25.853658536585399</v>
      </c>
      <c r="K106" s="151">
        <v>31.219512195122</v>
      </c>
      <c r="L106" s="151">
        <v>34.615384615384599</v>
      </c>
      <c r="M106" s="151">
        <v>36.274509803921603</v>
      </c>
      <c r="N106" s="151">
        <v>21.5311004784689</v>
      </c>
      <c r="O106" s="151">
        <v>48.557692307692299</v>
      </c>
    </row>
    <row r="107" spans="1:15">
      <c r="A107" s="151">
        <v>2003</v>
      </c>
      <c r="B107" s="151" t="s">
        <v>48</v>
      </c>
      <c r="C107" s="151" t="s">
        <v>3170</v>
      </c>
      <c r="D107" s="151">
        <v>-0.94683881369947598</v>
      </c>
      <c r="E107" s="151">
        <v>-0.80206008572976895</v>
      </c>
      <c r="F107" s="151">
        <v>-1.00493522862547</v>
      </c>
      <c r="G107" s="151">
        <v>-0.59636023494211399</v>
      </c>
      <c r="H107" s="151">
        <v>-0.81491518451210398</v>
      </c>
      <c r="I107" s="151">
        <v>-1.06133295704847</v>
      </c>
      <c r="J107" s="151">
        <v>15.1219512195122</v>
      </c>
      <c r="K107" s="151">
        <v>21.4634146341463</v>
      </c>
      <c r="L107" s="151">
        <v>19.711538461538499</v>
      </c>
      <c r="M107" s="151">
        <v>28.431372549019599</v>
      </c>
      <c r="N107" s="151">
        <v>24.401913875598101</v>
      </c>
      <c r="O107" s="151">
        <v>20.673076923076898</v>
      </c>
    </row>
    <row r="108" spans="1:15">
      <c r="A108" s="151">
        <v>2003</v>
      </c>
      <c r="B108" s="151" t="s">
        <v>93</v>
      </c>
      <c r="C108" s="151" t="s">
        <v>3171</v>
      </c>
      <c r="D108" s="151">
        <v>-3.3451848581829001E-2</v>
      </c>
      <c r="E108" s="151">
        <v>-0.62039247131674002</v>
      </c>
      <c r="F108" s="151">
        <v>3.5528482039184302E-2</v>
      </c>
      <c r="G108" s="151">
        <v>-0.346066023998651</v>
      </c>
      <c r="H108" s="151">
        <v>-0.56386912553644997</v>
      </c>
      <c r="I108" s="151">
        <v>-0.33061190046486799</v>
      </c>
      <c r="J108" s="151">
        <v>56.585365853658502</v>
      </c>
      <c r="K108" s="151">
        <v>29.756097560975601</v>
      </c>
      <c r="L108" s="151">
        <v>43.269230769230802</v>
      </c>
      <c r="M108" s="151">
        <v>41.6666666666667</v>
      </c>
      <c r="N108" s="151">
        <v>33.492822966507198</v>
      </c>
      <c r="O108" s="151">
        <v>39.423076923076898</v>
      </c>
    </row>
    <row r="109" spans="1:15">
      <c r="A109" s="151">
        <v>2003</v>
      </c>
      <c r="B109" s="151" t="s">
        <v>122</v>
      </c>
      <c r="C109" s="151" t="s">
        <v>3172</v>
      </c>
      <c r="D109" s="151">
        <v>-1.22506020994849</v>
      </c>
      <c r="E109" s="151">
        <v>-1.56644045521326</v>
      </c>
      <c r="F109" s="151">
        <v>-1.5904707636886899</v>
      </c>
      <c r="G109" s="151">
        <v>-1.14208987467238</v>
      </c>
      <c r="H109" s="151">
        <v>-1.57344189114209</v>
      </c>
      <c r="I109" s="151">
        <v>-1.3015627811927299</v>
      </c>
      <c r="J109" s="151">
        <v>7.3170731707317103</v>
      </c>
      <c r="K109" s="151">
        <v>2.4390243902439002</v>
      </c>
      <c r="L109" s="151">
        <v>6.7307692307692299</v>
      </c>
      <c r="M109" s="151">
        <v>13.7254901960784</v>
      </c>
      <c r="N109" s="151">
        <v>4.3062200956937797</v>
      </c>
      <c r="O109" s="151">
        <v>10.5769230769231</v>
      </c>
    </row>
    <row r="110" spans="1:15">
      <c r="A110" s="151">
        <v>2003</v>
      </c>
      <c r="B110" s="151" t="s">
        <v>133</v>
      </c>
      <c r="C110" s="151" t="s">
        <v>3173</v>
      </c>
      <c r="D110" s="151">
        <v>-1.26340546781802</v>
      </c>
      <c r="E110" s="151">
        <v>-1.06041634295269</v>
      </c>
      <c r="F110" s="151">
        <v>-1.4134749774019399</v>
      </c>
      <c r="G110" s="151">
        <v>-0.90534719066675795</v>
      </c>
      <c r="H110" s="151">
        <v>-1.30850336379014</v>
      </c>
      <c r="I110" s="151">
        <v>-1.0994706715537701</v>
      </c>
      <c r="J110" s="151">
        <v>5.3658536585365901</v>
      </c>
      <c r="K110" s="151">
        <v>12.1951219512195</v>
      </c>
      <c r="L110" s="151">
        <v>10.096153846153801</v>
      </c>
      <c r="M110" s="151">
        <v>18.137254901960802</v>
      </c>
      <c r="N110" s="151">
        <v>8.1339712918660307</v>
      </c>
      <c r="O110" s="151">
        <v>18.75</v>
      </c>
    </row>
    <row r="111" spans="1:15">
      <c r="A111" s="151">
        <v>2003</v>
      </c>
      <c r="B111" s="151" t="s">
        <v>165</v>
      </c>
      <c r="C111" s="151" t="s">
        <v>3174</v>
      </c>
      <c r="D111" s="151">
        <v>-1.40683561286214</v>
      </c>
      <c r="E111" s="151">
        <v>-1.6137574335573599</v>
      </c>
      <c r="F111" s="151">
        <v>-2.0832319404245601</v>
      </c>
      <c r="G111" s="151">
        <v>-1.5030809495608399</v>
      </c>
      <c r="H111" s="151">
        <v>-1.7316534868746301</v>
      </c>
      <c r="I111" s="151">
        <v>-1.61400382531693</v>
      </c>
      <c r="J111" s="151">
        <v>3.4146341463414598</v>
      </c>
      <c r="K111" s="151">
        <v>1.9512195121951199</v>
      </c>
      <c r="L111" s="151">
        <v>3.3653846153846199</v>
      </c>
      <c r="M111" s="151">
        <v>4.9019607843137303</v>
      </c>
      <c r="N111" s="151">
        <v>0.95693779904306198</v>
      </c>
      <c r="O111" s="151">
        <v>6.25</v>
      </c>
    </row>
    <row r="112" spans="1:15">
      <c r="A112" s="151">
        <v>2003</v>
      </c>
      <c r="B112" s="151" t="s">
        <v>458</v>
      </c>
      <c r="C112" s="151" t="s">
        <v>3175</v>
      </c>
      <c r="D112" s="151">
        <v>-0.93612678974713703</v>
      </c>
      <c r="E112" s="151">
        <v>-1.31389479499572</v>
      </c>
      <c r="F112" s="151">
        <v>-1.1961792963236799</v>
      </c>
      <c r="G112" s="151">
        <v>-1.1012882677194999</v>
      </c>
      <c r="H112" s="151">
        <v>-1.18607654160455</v>
      </c>
      <c r="I112" s="151">
        <v>-0.78064776802554803</v>
      </c>
      <c r="J112" s="151">
        <v>16.097560975609799</v>
      </c>
      <c r="K112" s="151">
        <v>5.8536585365853702</v>
      </c>
      <c r="L112" s="151">
        <v>15.384615384615399</v>
      </c>
      <c r="M112" s="151">
        <v>14.705882352941201</v>
      </c>
      <c r="N112" s="151">
        <v>12.4401913875598</v>
      </c>
      <c r="O112" s="151">
        <v>25.961538461538499</v>
      </c>
    </row>
    <row r="113" spans="1:15">
      <c r="A113" s="151">
        <v>2003</v>
      </c>
      <c r="B113" s="151" t="s">
        <v>96</v>
      </c>
      <c r="C113" s="151" t="s">
        <v>3176</v>
      </c>
      <c r="D113" s="151">
        <v>-0.86248062128245095</v>
      </c>
      <c r="E113" s="151">
        <v>-0.65344354487143197</v>
      </c>
      <c r="F113" s="151">
        <v>-0.47007963485950599</v>
      </c>
      <c r="G113" s="151">
        <v>-0.83103053297366403</v>
      </c>
      <c r="H113" s="151">
        <v>-1.0929384737715899</v>
      </c>
      <c r="I113" s="151">
        <v>-1.1150972263310801</v>
      </c>
      <c r="J113" s="151">
        <v>18.048780487804901</v>
      </c>
      <c r="K113" s="151">
        <v>28.292682926829301</v>
      </c>
      <c r="L113" s="151">
        <v>29.807692307692299</v>
      </c>
      <c r="M113" s="151">
        <v>19.6078431372549</v>
      </c>
      <c r="N113" s="151">
        <v>15.311004784689001</v>
      </c>
      <c r="O113" s="151">
        <v>18.269230769230798</v>
      </c>
    </row>
    <row r="114" spans="1:15">
      <c r="A114" s="151">
        <v>2003</v>
      </c>
      <c r="B114" s="151" t="s">
        <v>182</v>
      </c>
      <c r="C114" s="151" t="s">
        <v>3177</v>
      </c>
      <c r="D114" s="151">
        <v>-1.5513823792879899</v>
      </c>
      <c r="E114" s="151">
        <v>-1.2445777260072499</v>
      </c>
      <c r="F114" s="151">
        <v>5.43976750975158E-2</v>
      </c>
      <c r="G114" s="151">
        <v>-1.39788243285272</v>
      </c>
      <c r="H114" s="151">
        <v>-1.34832480929555</v>
      </c>
      <c r="I114" s="151">
        <v>-1.6992575400779999</v>
      </c>
      <c r="J114" s="151">
        <v>1.4634146341463401</v>
      </c>
      <c r="K114" s="151">
        <v>7.8048780487804903</v>
      </c>
      <c r="L114" s="151">
        <v>45.673076923076898</v>
      </c>
      <c r="M114" s="151">
        <v>7.8431372549019596</v>
      </c>
      <c r="N114" s="151">
        <v>7.6555023923445003</v>
      </c>
      <c r="O114" s="151">
        <v>4.3269230769230802</v>
      </c>
    </row>
    <row r="115" spans="1:15">
      <c r="A115" s="151">
        <v>2003</v>
      </c>
      <c r="B115" s="151" t="s">
        <v>185</v>
      </c>
      <c r="C115" s="151" t="s">
        <v>3178</v>
      </c>
      <c r="D115" s="151">
        <v>-0.47456707136799298</v>
      </c>
      <c r="E115" s="151">
        <v>-0.47652757192383499</v>
      </c>
      <c r="F115" s="151">
        <v>0.25092569225897698</v>
      </c>
      <c r="G115" s="151">
        <v>-0.164618355012664</v>
      </c>
      <c r="H115" s="151">
        <v>-0.38736884113868297</v>
      </c>
      <c r="I115" s="151">
        <v>-0.67719209751221698</v>
      </c>
      <c r="J115" s="151">
        <v>40.487804878048799</v>
      </c>
      <c r="K115" s="151">
        <v>35.609756097560997</v>
      </c>
      <c r="L115" s="151">
        <v>53.365384615384599</v>
      </c>
      <c r="M115" s="151">
        <v>48.529411764705898</v>
      </c>
      <c r="N115" s="151">
        <v>41.626794258373202</v>
      </c>
      <c r="O115" s="151">
        <v>26.923076923076898</v>
      </c>
    </row>
    <row r="116" spans="1:15">
      <c r="A116" s="151">
        <v>2003</v>
      </c>
      <c r="B116" s="151" t="s">
        <v>189</v>
      </c>
      <c r="C116" s="151" t="s">
        <v>3179</v>
      </c>
      <c r="D116" s="151">
        <v>-0.237874636227453</v>
      </c>
      <c r="E116" s="151">
        <v>-0.185727309319666</v>
      </c>
      <c r="F116" s="151">
        <v>-1.71982842899851E-2</v>
      </c>
      <c r="G116" s="151">
        <v>-0.281998485217754</v>
      </c>
      <c r="H116" s="151">
        <v>-4.8845369429473401E-3</v>
      </c>
      <c r="I116" s="151">
        <v>0.27518053770302098</v>
      </c>
      <c r="J116" s="151">
        <v>49.268292682926798</v>
      </c>
      <c r="K116" s="151">
        <v>52.195121951219498</v>
      </c>
      <c r="L116" s="151">
        <v>40.384615384615401</v>
      </c>
      <c r="M116" s="151">
        <v>45.098039215686299</v>
      </c>
      <c r="N116" s="151">
        <v>53.110047846889998</v>
      </c>
      <c r="O116" s="151">
        <v>55.288461538461497</v>
      </c>
    </row>
    <row r="117" spans="1:15">
      <c r="A117" s="151">
        <v>2003</v>
      </c>
      <c r="B117" s="151" t="s">
        <v>213</v>
      </c>
      <c r="C117" s="151" t="s">
        <v>3180</v>
      </c>
      <c r="D117" s="151">
        <v>-0.66527557844263596</v>
      </c>
      <c r="E117" s="151">
        <v>-0.44750291211492998</v>
      </c>
      <c r="F117" s="151">
        <v>-0.81811974656328501</v>
      </c>
      <c r="G117" s="151">
        <v>-0.34075267123297198</v>
      </c>
      <c r="H117" s="151">
        <v>-1.1045592597140801</v>
      </c>
      <c r="I117" s="151">
        <v>-0.52730524795143097</v>
      </c>
      <c r="J117" s="151">
        <v>30.731707317073202</v>
      </c>
      <c r="K117" s="151">
        <v>38.536585365853703</v>
      </c>
      <c r="L117" s="151">
        <v>23.557692307692299</v>
      </c>
      <c r="M117" s="151">
        <v>42.156862745098003</v>
      </c>
      <c r="N117" s="151">
        <v>14.3540669856459</v>
      </c>
      <c r="O117" s="151">
        <v>32.692307692307701</v>
      </c>
    </row>
    <row r="118" spans="1:15">
      <c r="A118" s="151">
        <v>2003</v>
      </c>
      <c r="B118" s="151" t="s">
        <v>2843</v>
      </c>
      <c r="C118" s="151" t="s">
        <v>3181</v>
      </c>
      <c r="D118" s="151">
        <v>-0.74937197647105203</v>
      </c>
      <c r="E118" s="151">
        <v>-0.76062386589426201</v>
      </c>
      <c r="F118" s="151">
        <v>-0.84121096831298603</v>
      </c>
      <c r="G118" s="151">
        <v>-0.98193385710964598</v>
      </c>
      <c r="H118" s="151">
        <v>-1.1065102573497101</v>
      </c>
      <c r="I118" s="151">
        <v>-1.2168847799112601</v>
      </c>
      <c r="J118" s="151">
        <v>26.829268292682901</v>
      </c>
      <c r="K118" s="151">
        <v>22.9268292682927</v>
      </c>
      <c r="L118" s="151">
        <v>22.596153846153801</v>
      </c>
      <c r="M118" s="151">
        <v>17.156862745098</v>
      </c>
      <c r="N118" s="151">
        <v>13.8755980861244</v>
      </c>
      <c r="O118" s="151">
        <v>15.384615384615399</v>
      </c>
    </row>
    <row r="119" spans="1:15">
      <c r="A119" s="151">
        <v>2003</v>
      </c>
      <c r="B119" s="151" t="s">
        <v>237</v>
      </c>
      <c r="C119" s="151" t="s">
        <v>3182</v>
      </c>
      <c r="D119" s="151">
        <v>-0.95995278912828697</v>
      </c>
      <c r="E119" s="151">
        <v>-0.45118457540198098</v>
      </c>
      <c r="F119" s="151">
        <v>-2.1180679293371898</v>
      </c>
      <c r="G119" s="151">
        <v>-0.78109817782047997</v>
      </c>
      <c r="H119" s="151">
        <v>-0.89167866817614005</v>
      </c>
      <c r="I119" s="151">
        <v>-0.38186459777605403</v>
      </c>
      <c r="J119" s="151">
        <v>14.634146341463399</v>
      </c>
      <c r="K119" s="151">
        <v>37.560975609756099</v>
      </c>
      <c r="L119" s="151">
        <v>2.8846153846153801</v>
      </c>
      <c r="M119" s="151">
        <v>20.588235294117599</v>
      </c>
      <c r="N119" s="151">
        <v>20.5741626794258</v>
      </c>
      <c r="O119" s="151">
        <v>37.019230769230802</v>
      </c>
    </row>
    <row r="120" spans="1:15">
      <c r="A120" s="151">
        <v>2003</v>
      </c>
      <c r="B120" s="151" t="s">
        <v>245</v>
      </c>
      <c r="C120" s="151" t="s">
        <v>3183</v>
      </c>
      <c r="D120" s="151">
        <v>-1.21793601963801</v>
      </c>
      <c r="E120" s="151">
        <v>-1.6602470452850799</v>
      </c>
      <c r="F120" s="151">
        <v>-2.43063898810871</v>
      </c>
      <c r="G120" s="151">
        <v>-1.4300775868522999</v>
      </c>
      <c r="H120" s="151">
        <v>-1.66573552643916</v>
      </c>
      <c r="I120" s="151">
        <v>-1.4640229217935401</v>
      </c>
      <c r="J120" s="151">
        <v>8.2926829268292703</v>
      </c>
      <c r="K120" s="151">
        <v>1.4634146341463401</v>
      </c>
      <c r="L120" s="151">
        <v>0.480769230769231</v>
      </c>
      <c r="M120" s="151">
        <v>7.3529411764705896</v>
      </c>
      <c r="N120" s="151">
        <v>2.87081339712919</v>
      </c>
      <c r="O120" s="151">
        <v>9.1346153846153904</v>
      </c>
    </row>
    <row r="121" spans="1:15">
      <c r="A121" s="151">
        <v>2003</v>
      </c>
      <c r="B121" s="151" t="s">
        <v>273</v>
      </c>
      <c r="C121" s="151" t="s">
        <v>3184</v>
      </c>
      <c r="D121" s="151">
        <v>-0.98377721995086298</v>
      </c>
      <c r="E121" s="151">
        <v>-0.65468936859802196</v>
      </c>
      <c r="F121" s="151">
        <v>0.32480099606506901</v>
      </c>
      <c r="G121" s="151">
        <v>-0.476076285375231</v>
      </c>
      <c r="H121" s="151">
        <v>-1.0533946989021199</v>
      </c>
      <c r="I121" s="151">
        <v>-1.1455424884837899</v>
      </c>
      <c r="J121" s="151">
        <v>13.6585365853659</v>
      </c>
      <c r="K121" s="151">
        <v>27.804878048780498</v>
      </c>
      <c r="L121" s="151">
        <v>57.211538461538503</v>
      </c>
      <c r="M121" s="151">
        <v>34.313725490196099</v>
      </c>
      <c r="N121" s="151">
        <v>16.267942583732101</v>
      </c>
      <c r="O121" s="151">
        <v>16.826923076923102</v>
      </c>
    </row>
    <row r="122" spans="1:15">
      <c r="A122" s="151">
        <v>2003</v>
      </c>
      <c r="B122" s="151" t="s">
        <v>278</v>
      </c>
      <c r="C122" s="151" t="s">
        <v>3185</v>
      </c>
      <c r="D122" s="151">
        <v>-0.90027583478207795</v>
      </c>
      <c r="E122" s="151">
        <v>-0.63563651743127103</v>
      </c>
      <c r="F122" s="151">
        <v>-1.14995004560727</v>
      </c>
      <c r="G122" s="151">
        <v>-0.40897729805391297</v>
      </c>
      <c r="H122" s="151">
        <v>-0.74376823697550098</v>
      </c>
      <c r="I122" s="151">
        <v>-1.0594367105284399</v>
      </c>
      <c r="J122" s="151">
        <v>17.560975609756099</v>
      </c>
      <c r="K122" s="151">
        <v>28.780487804878</v>
      </c>
      <c r="L122" s="151">
        <v>16.826923076923102</v>
      </c>
      <c r="M122" s="151">
        <v>39.705882352941202</v>
      </c>
      <c r="N122" s="151">
        <v>27.7511961722488</v>
      </c>
      <c r="O122" s="151">
        <v>21.153846153846199</v>
      </c>
    </row>
    <row r="123" spans="1:15">
      <c r="A123" s="151">
        <v>2003</v>
      </c>
      <c r="B123" s="151" t="s">
        <v>294</v>
      </c>
      <c r="C123" s="151" t="s">
        <v>3186</v>
      </c>
      <c r="D123" s="151">
        <v>-1.2181029621486501</v>
      </c>
      <c r="E123" s="151">
        <v>-1.5051684318591001</v>
      </c>
      <c r="F123" s="151">
        <v>-2.2157421302950402</v>
      </c>
      <c r="G123" s="151">
        <v>-1.6936269812992699</v>
      </c>
      <c r="H123" s="151">
        <v>-1.69487312234392</v>
      </c>
      <c r="I123" s="151">
        <v>-1.5330697076015301</v>
      </c>
      <c r="J123" s="151">
        <v>7.8048780487804903</v>
      </c>
      <c r="K123" s="151">
        <v>4.3902439024390203</v>
      </c>
      <c r="L123" s="151">
        <v>2.4038461538461502</v>
      </c>
      <c r="M123" s="151">
        <v>2.9411764705882399</v>
      </c>
      <c r="N123" s="151">
        <v>1.4354066985645899</v>
      </c>
      <c r="O123" s="151">
        <v>7.6923076923076898</v>
      </c>
    </row>
    <row r="124" spans="1:15">
      <c r="A124" s="151">
        <v>2003</v>
      </c>
      <c r="B124" s="151" t="s">
        <v>309</v>
      </c>
      <c r="C124" s="151" t="s">
        <v>3187</v>
      </c>
      <c r="D124" s="151">
        <v>6.1684918888792697E-2</v>
      </c>
      <c r="E124" s="151">
        <v>-0.45010715008604502</v>
      </c>
      <c r="F124" s="151">
        <v>0.58605029614766402</v>
      </c>
      <c r="G124" s="151">
        <v>-0.28848411046912997</v>
      </c>
      <c r="H124" s="151">
        <v>-0.203116001902059</v>
      </c>
      <c r="I124" s="151">
        <v>2.85738991039277E-2</v>
      </c>
      <c r="J124" s="151">
        <v>57.560975609756099</v>
      </c>
      <c r="K124" s="151">
        <v>38.048780487804898</v>
      </c>
      <c r="L124" s="151">
        <v>64.903846153846203</v>
      </c>
      <c r="M124" s="151">
        <v>44.117647058823501</v>
      </c>
      <c r="N124" s="151">
        <v>45.933014354066998</v>
      </c>
      <c r="O124" s="151">
        <v>47.596153846153797</v>
      </c>
    </row>
    <row r="125" spans="1:15">
      <c r="A125" s="151">
        <v>2003</v>
      </c>
      <c r="B125" s="151" t="s">
        <v>322</v>
      </c>
      <c r="C125" s="151" t="s">
        <v>3188</v>
      </c>
      <c r="D125" s="151">
        <v>-0.54018012245117897</v>
      </c>
      <c r="E125" s="151">
        <v>-0.59823957663424698</v>
      </c>
      <c r="F125" s="151">
        <v>0.23335735648494299</v>
      </c>
      <c r="G125" s="151">
        <v>-0.508661754079064</v>
      </c>
      <c r="H125" s="151">
        <v>-2.6426151516058601E-2</v>
      </c>
      <c r="I125" s="151">
        <v>0.37519287117176903</v>
      </c>
      <c r="J125" s="151">
        <v>38.048780487804898</v>
      </c>
      <c r="K125" s="151">
        <v>32.195121951219498</v>
      </c>
      <c r="L125" s="151">
        <v>51.923076923076898</v>
      </c>
      <c r="M125" s="151">
        <v>32.352941176470601</v>
      </c>
      <c r="N125" s="151">
        <v>52.153110047846901</v>
      </c>
      <c r="O125" s="151">
        <v>58.653846153846203</v>
      </c>
    </row>
    <row r="126" spans="1:15">
      <c r="A126" s="151">
        <v>2003</v>
      </c>
      <c r="B126" s="151" t="s">
        <v>338</v>
      </c>
      <c r="C126" s="151" t="s">
        <v>3189</v>
      </c>
      <c r="D126" s="151">
        <v>0.20549143563375699</v>
      </c>
      <c r="E126" s="151">
        <v>-1.7660343495017099E-2</v>
      </c>
      <c r="F126" s="151">
        <v>3.4513485522899803E-2</v>
      </c>
      <c r="G126" s="151">
        <v>-7.6968645323384099E-2</v>
      </c>
      <c r="H126" s="151">
        <v>-0.50590594308386805</v>
      </c>
      <c r="I126" s="151">
        <v>-0.86773800480305696</v>
      </c>
      <c r="J126" s="151">
        <v>61.463414634146297</v>
      </c>
      <c r="K126" s="151">
        <v>57.560975609756099</v>
      </c>
      <c r="L126" s="151">
        <v>42.788461538461497</v>
      </c>
      <c r="M126" s="151">
        <v>50.980392156862699</v>
      </c>
      <c r="N126" s="151">
        <v>37.799043062201001</v>
      </c>
      <c r="O126" s="151">
        <v>24.519230769230798</v>
      </c>
    </row>
    <row r="127" spans="1:15">
      <c r="A127" s="151">
        <v>2003</v>
      </c>
      <c r="B127" s="151" t="s">
        <v>378</v>
      </c>
      <c r="C127" s="151" t="s">
        <v>3190</v>
      </c>
      <c r="D127" s="151">
        <v>-0.58491048823250602</v>
      </c>
      <c r="E127" s="151">
        <v>-0.46263120297975802</v>
      </c>
      <c r="F127" s="151">
        <v>0.213755558545309</v>
      </c>
      <c r="G127" s="151">
        <v>-0.51623894126500602</v>
      </c>
      <c r="H127" s="151">
        <v>-0.67824071721580304</v>
      </c>
      <c r="I127" s="151">
        <v>-3.5978511074752598E-2</v>
      </c>
      <c r="J127" s="151">
        <v>35.121951219512198</v>
      </c>
      <c r="K127" s="151">
        <v>36.585365853658502</v>
      </c>
      <c r="L127" s="151">
        <v>51.442307692307701</v>
      </c>
      <c r="M127" s="151">
        <v>31.372549019607799</v>
      </c>
      <c r="N127" s="151">
        <v>29.186602870813399</v>
      </c>
      <c r="O127" s="151">
        <v>45.192307692307701</v>
      </c>
    </row>
    <row r="128" spans="1:15">
      <c r="A128" s="151">
        <v>2003</v>
      </c>
      <c r="B128" s="151" t="s">
        <v>387</v>
      </c>
      <c r="C128" s="151" t="s">
        <v>3191</v>
      </c>
      <c r="D128" s="151">
        <v>-1.02334979894855</v>
      </c>
      <c r="E128" s="151">
        <v>-0.74996609983757401</v>
      </c>
      <c r="F128" s="151">
        <v>1.2324885036944301E-2</v>
      </c>
      <c r="G128" s="151">
        <v>-0.64499038302202505</v>
      </c>
      <c r="H128" s="151">
        <v>-0.66114408481505305</v>
      </c>
      <c r="I128" s="151">
        <v>-0.17126683006069901</v>
      </c>
      <c r="J128" s="151">
        <v>11.707317073170699</v>
      </c>
      <c r="K128" s="151">
        <v>23.414634146341498</v>
      </c>
      <c r="L128" s="151">
        <v>41.826923076923102</v>
      </c>
      <c r="M128" s="151">
        <v>25.980392156862699</v>
      </c>
      <c r="N128" s="151">
        <v>29.665071770334901</v>
      </c>
      <c r="O128" s="151">
        <v>41.826923076923102</v>
      </c>
    </row>
    <row r="129" spans="1:15">
      <c r="A129" s="151">
        <v>2003</v>
      </c>
      <c r="B129" s="151" t="s">
        <v>406</v>
      </c>
      <c r="C129" s="151" t="s">
        <v>3192</v>
      </c>
      <c r="D129" s="151">
        <v>-1.32012918747593</v>
      </c>
      <c r="E129" s="151">
        <v>-0.96479418736878098</v>
      </c>
      <c r="F129" s="151">
        <v>-1.6514193822734899</v>
      </c>
      <c r="G129" s="151">
        <v>-1.2402186899098899</v>
      </c>
      <c r="H129" s="151">
        <v>-1.52285294613309</v>
      </c>
      <c r="I129" s="151">
        <v>-0.63770511124296803</v>
      </c>
      <c r="J129" s="151">
        <v>4.3902439024390203</v>
      </c>
      <c r="K129" s="151">
        <v>15.609756097561</v>
      </c>
      <c r="L129" s="151">
        <v>5.7692307692307701</v>
      </c>
      <c r="M129" s="151">
        <v>10.294117647058799</v>
      </c>
      <c r="N129" s="151">
        <v>5.7416267942583703</v>
      </c>
      <c r="O129" s="151">
        <v>28.365384615384599</v>
      </c>
    </row>
    <row r="130" spans="1:15">
      <c r="A130" s="151">
        <v>2003</v>
      </c>
      <c r="B130" s="151" t="s">
        <v>442</v>
      </c>
      <c r="C130" s="151" t="s">
        <v>3193</v>
      </c>
      <c r="D130" s="151">
        <v>-0.10005325769408301</v>
      </c>
      <c r="E130" s="151">
        <v>-0.42215559561453297</v>
      </c>
      <c r="F130" s="151">
        <v>-1.19753932353694</v>
      </c>
      <c r="G130" s="151">
        <v>0.17631943219139101</v>
      </c>
      <c r="H130" s="151">
        <v>-0.57429211764214405</v>
      </c>
      <c r="I130" s="151">
        <v>2.69679263701312E-2</v>
      </c>
      <c r="J130" s="151">
        <v>54.634146341463399</v>
      </c>
      <c r="K130" s="151">
        <v>39.512195121951201</v>
      </c>
      <c r="L130" s="151">
        <v>14.903846153846199</v>
      </c>
      <c r="M130" s="151">
        <v>57.843137254901997</v>
      </c>
      <c r="N130" s="151">
        <v>33.014354066985597</v>
      </c>
      <c r="O130" s="151">
        <v>47.115384615384599</v>
      </c>
    </row>
    <row r="131" spans="1:15">
      <c r="A131" s="151">
        <v>2003</v>
      </c>
      <c r="B131" s="151" t="s">
        <v>481</v>
      </c>
      <c r="C131" s="151" t="s">
        <v>3194</v>
      </c>
      <c r="D131" s="151">
        <v>-0.90720262198319102</v>
      </c>
      <c r="E131" s="151">
        <v>-1.2310414710956299</v>
      </c>
      <c r="F131" s="151">
        <v>-1.1184517067469499</v>
      </c>
      <c r="G131" s="151">
        <v>-1.1440970584313499</v>
      </c>
      <c r="H131" s="151">
        <v>-1.2113456301816601</v>
      </c>
      <c r="I131" s="151">
        <v>-0.36972297590848702</v>
      </c>
      <c r="J131" s="151">
        <v>16.585365853658502</v>
      </c>
      <c r="K131" s="151">
        <v>8.7804878048780495</v>
      </c>
      <c r="L131" s="151">
        <v>18.269230769230798</v>
      </c>
      <c r="M131" s="151">
        <v>13.235294117647101</v>
      </c>
      <c r="N131" s="151">
        <v>11.4832535885167</v>
      </c>
      <c r="O131" s="151">
        <v>38.942307692307701</v>
      </c>
    </row>
    <row r="132" spans="1:15">
      <c r="A132" s="151">
        <v>2003</v>
      </c>
      <c r="B132" s="151" t="s">
        <v>492</v>
      </c>
      <c r="C132" s="151" t="s">
        <v>3195</v>
      </c>
      <c r="D132" s="151">
        <v>-0.77901601501506501</v>
      </c>
      <c r="E132" s="151">
        <v>-0.36835293867777802</v>
      </c>
      <c r="F132" s="151">
        <v>-0.87802036193760502</v>
      </c>
      <c r="G132" s="151">
        <v>-0.49628011809731398</v>
      </c>
      <c r="H132" s="151">
        <v>-0.28642919079130402</v>
      </c>
      <c r="I132" s="151">
        <v>-0.37377752978735801</v>
      </c>
      <c r="J132" s="151">
        <v>25.365853658536601</v>
      </c>
      <c r="K132" s="151">
        <v>40.975609756097597</v>
      </c>
      <c r="L132" s="151">
        <v>21.153846153846199</v>
      </c>
      <c r="M132" s="151">
        <v>33.3333333333333</v>
      </c>
      <c r="N132" s="151">
        <v>44.019138755980897</v>
      </c>
      <c r="O132" s="151">
        <v>38.461538461538503</v>
      </c>
    </row>
    <row r="133" spans="1:15">
      <c r="A133" s="151">
        <v>2003</v>
      </c>
      <c r="B133" s="151" t="s">
        <v>510</v>
      </c>
      <c r="C133" s="151" t="s">
        <v>3196</v>
      </c>
      <c r="D133" s="151">
        <v>-0.90472527057440999</v>
      </c>
      <c r="E133" s="151">
        <v>-1.54560342323839</v>
      </c>
      <c r="F133" s="151">
        <v>-0.23472427477978799</v>
      </c>
      <c r="G133" s="151">
        <v>-0.69729886748432202</v>
      </c>
      <c r="H133" s="151">
        <v>-0.98251630338225104</v>
      </c>
      <c r="I133" s="151">
        <v>-1.25312473356611</v>
      </c>
      <c r="J133" s="151">
        <v>17.0731707317073</v>
      </c>
      <c r="K133" s="151">
        <v>3.9024390243902398</v>
      </c>
      <c r="L133" s="151">
        <v>36.538461538461497</v>
      </c>
      <c r="M133" s="151">
        <v>24.019607843137301</v>
      </c>
      <c r="N133" s="151">
        <v>18.181818181818201</v>
      </c>
      <c r="O133" s="151">
        <v>13.942307692307701</v>
      </c>
    </row>
    <row r="134" spans="1:15">
      <c r="A134" s="151">
        <v>2003</v>
      </c>
      <c r="B134" s="151" t="s">
        <v>2844</v>
      </c>
      <c r="C134" s="151" t="s">
        <v>3197</v>
      </c>
      <c r="D134" s="151">
        <v>-0.53100386026122703</v>
      </c>
      <c r="E134" s="151">
        <v>-0.98479233907027997</v>
      </c>
      <c r="F134" s="151">
        <v>-0.32026035351308901</v>
      </c>
      <c r="G134" s="151">
        <v>-1.2961371314675101</v>
      </c>
      <c r="H134" s="151">
        <v>-0.79918375532985797</v>
      </c>
      <c r="I134" s="151">
        <v>0.20353834650004801</v>
      </c>
      <c r="J134" s="151">
        <v>39.024390243902403</v>
      </c>
      <c r="K134" s="151">
        <v>14.634146341463399</v>
      </c>
      <c r="L134" s="151">
        <v>35.096153846153797</v>
      </c>
      <c r="M134" s="151">
        <v>9.8039215686274499</v>
      </c>
      <c r="N134" s="151">
        <v>24.8803827751196</v>
      </c>
      <c r="O134" s="151">
        <v>52.884615384615401</v>
      </c>
    </row>
    <row r="135" spans="1:15">
      <c r="A135" s="151">
        <v>2003</v>
      </c>
      <c r="B135" s="151" t="s">
        <v>2845</v>
      </c>
      <c r="C135" s="151" t="s">
        <v>3198</v>
      </c>
      <c r="D135" s="151">
        <v>-6.6773724666551598E-2</v>
      </c>
      <c r="E135" s="151">
        <v>0.484421983490603</v>
      </c>
      <c r="F135" s="151">
        <v>-0.29064971812562201</v>
      </c>
      <c r="G135" s="151">
        <v>0.71721047399427296</v>
      </c>
      <c r="H135" s="151">
        <v>0.210499724772887</v>
      </c>
      <c r="I135" s="151">
        <v>0.58562988527821502</v>
      </c>
      <c r="J135" s="151">
        <v>56.097560975609802</v>
      </c>
      <c r="K135" s="151">
        <v>69.268292682926798</v>
      </c>
      <c r="L135" s="151">
        <v>35.576923076923102</v>
      </c>
      <c r="M135" s="151">
        <v>72.058823529411796</v>
      </c>
      <c r="N135" s="151">
        <v>58.8516746411483</v>
      </c>
      <c r="O135" s="151">
        <v>65.865384615384599</v>
      </c>
    </row>
    <row r="136" spans="1:15">
      <c r="A136" s="151">
        <v>2003</v>
      </c>
      <c r="B136" s="151" t="s">
        <v>2846</v>
      </c>
      <c r="C136" s="151" t="s">
        <v>3199</v>
      </c>
      <c r="D136" s="151">
        <v>-0.84278071787505704</v>
      </c>
      <c r="E136" s="151">
        <v>-0.74040452499283405</v>
      </c>
      <c r="F136" s="151">
        <v>-1.5063064733086999</v>
      </c>
      <c r="G136" s="151">
        <v>-0.72872959036972296</v>
      </c>
      <c r="H136" s="151">
        <v>-1.2316670285982301</v>
      </c>
      <c r="I136" s="151">
        <v>-0.91865384316411003</v>
      </c>
      <c r="J136" s="151">
        <v>19.024390243902399</v>
      </c>
      <c r="K136" s="151">
        <v>24.390243902439</v>
      </c>
      <c r="L136" s="151">
        <v>9.1346153846153904</v>
      </c>
      <c r="M136" s="151">
        <v>22.0588235294118</v>
      </c>
      <c r="N136" s="151">
        <v>10.526315789473699</v>
      </c>
      <c r="O136" s="151">
        <v>24.038461538461501</v>
      </c>
    </row>
    <row r="137" spans="1:15">
      <c r="A137" s="151">
        <v>2003</v>
      </c>
      <c r="B137" s="151" t="s">
        <v>534</v>
      </c>
      <c r="C137" s="151" t="s">
        <v>3200</v>
      </c>
      <c r="D137" s="151">
        <v>-0.75977600664048695</v>
      </c>
      <c r="E137" s="151">
        <v>-0.82251951431896397</v>
      </c>
      <c r="F137" s="151">
        <v>0.17369017674821899</v>
      </c>
      <c r="G137" s="151">
        <v>-0.54303952634582997</v>
      </c>
      <c r="H137" s="151">
        <v>-0.47007405469608399</v>
      </c>
      <c r="I137" s="151">
        <v>-0.37658884628607903</v>
      </c>
      <c r="J137" s="151">
        <v>26.341463414634099</v>
      </c>
      <c r="K137" s="151">
        <v>20</v>
      </c>
      <c r="L137" s="151">
        <v>49.038461538461497</v>
      </c>
      <c r="M137" s="151">
        <v>30.882352941176499</v>
      </c>
      <c r="N137" s="151">
        <v>39.712918660287102</v>
      </c>
      <c r="O137" s="151">
        <v>37.980769230769198</v>
      </c>
    </row>
    <row r="138" spans="1:15">
      <c r="A138" s="151">
        <v>2003</v>
      </c>
      <c r="B138" s="151" t="s">
        <v>357</v>
      </c>
      <c r="C138" s="151" t="s">
        <v>3201</v>
      </c>
      <c r="D138" s="151">
        <v>-0.16772287376994299</v>
      </c>
      <c r="E138" s="151">
        <v>-0.28976143100423202</v>
      </c>
      <c r="F138" s="151">
        <v>0.96064353794516</v>
      </c>
      <c r="G138" s="151">
        <v>-0.45744634262646899</v>
      </c>
      <c r="H138" s="151">
        <v>0.13627970801677</v>
      </c>
      <c r="I138" s="151">
        <v>0.31228913591067498</v>
      </c>
      <c r="J138" s="151">
        <v>52.195121951219498</v>
      </c>
      <c r="K138" s="151">
        <v>45.365853658536601</v>
      </c>
      <c r="L138" s="151">
        <v>81.730769230769198</v>
      </c>
      <c r="M138" s="151">
        <v>37.745098039215698</v>
      </c>
      <c r="N138" s="151">
        <v>55.980861244019103</v>
      </c>
      <c r="O138" s="151">
        <v>56.730769230769198</v>
      </c>
    </row>
    <row r="139" spans="1:15">
      <c r="A139" s="151">
        <v>2004</v>
      </c>
      <c r="B139" s="151" t="s">
        <v>16</v>
      </c>
      <c r="C139" s="151" t="s">
        <v>3202</v>
      </c>
      <c r="D139" s="151">
        <v>-1.4242998910781901</v>
      </c>
      <c r="E139" s="151">
        <v>-0.88330244868601204</v>
      </c>
      <c r="F139" s="151">
        <v>-2.2954814163907802</v>
      </c>
      <c r="G139" s="151">
        <v>-1.5027721257447999</v>
      </c>
      <c r="H139" s="151">
        <v>-1.71001254125307</v>
      </c>
      <c r="I139" s="151">
        <v>-1.2478927966111499</v>
      </c>
      <c r="J139" s="151">
        <v>3.9024390243902398</v>
      </c>
      <c r="K139" s="151">
        <v>17.0731707317073</v>
      </c>
      <c r="L139" s="151">
        <v>1.92307692307692</v>
      </c>
      <c r="M139" s="151">
        <v>5.3921568627451002</v>
      </c>
      <c r="N139" s="151">
        <v>1.91387559808612</v>
      </c>
      <c r="O139" s="151">
        <v>13.942307692307701</v>
      </c>
    </row>
    <row r="140" spans="1:15">
      <c r="A140" s="151">
        <v>2004</v>
      </c>
      <c r="B140" s="151" t="s">
        <v>33</v>
      </c>
      <c r="C140" s="151" t="s">
        <v>3203</v>
      </c>
      <c r="D140" s="151">
        <v>-0.67165806122153604</v>
      </c>
      <c r="E140" s="151">
        <v>-0.44379952595628303</v>
      </c>
      <c r="F140" s="151">
        <v>-0.44978903185090002</v>
      </c>
      <c r="G140" s="151">
        <v>-0.16130691670544101</v>
      </c>
      <c r="H140" s="151">
        <v>-0.75673068609344096</v>
      </c>
      <c r="I140" s="151">
        <v>3.3769593913259302E-2</v>
      </c>
      <c r="J140" s="151">
        <v>27.3170731707317</v>
      </c>
      <c r="K140" s="151">
        <v>40.487804878048799</v>
      </c>
      <c r="L140" s="151">
        <v>29.326923076923102</v>
      </c>
      <c r="M140" s="151">
        <v>49.019607843137301</v>
      </c>
      <c r="N140" s="151">
        <v>26.315789473684202</v>
      </c>
      <c r="O140" s="151">
        <v>50.480769230769198</v>
      </c>
    </row>
    <row r="141" spans="1:15">
      <c r="A141" s="151">
        <v>2004</v>
      </c>
      <c r="B141" s="151" t="s">
        <v>48</v>
      </c>
      <c r="C141" s="151" t="s">
        <v>3204</v>
      </c>
      <c r="D141" s="151">
        <v>-1.11152906579656</v>
      </c>
      <c r="E141" s="151">
        <v>-0.75060073325910404</v>
      </c>
      <c r="F141" s="151">
        <v>-1.0866114775606099</v>
      </c>
      <c r="G141" s="151">
        <v>-0.58775702093830895</v>
      </c>
      <c r="H141" s="151">
        <v>-0.84477699046262</v>
      </c>
      <c r="I141" s="151">
        <v>-1.0443625579526301</v>
      </c>
      <c r="J141" s="151">
        <v>10.7317073170732</v>
      </c>
      <c r="K141" s="151">
        <v>21.951219512195099</v>
      </c>
      <c r="L141" s="151">
        <v>15.865384615384601</v>
      </c>
      <c r="M141" s="151">
        <v>28.431372549019599</v>
      </c>
      <c r="N141" s="151">
        <v>20.095693779904298</v>
      </c>
      <c r="O141" s="151">
        <v>18.75</v>
      </c>
    </row>
    <row r="142" spans="1:15">
      <c r="A142" s="151">
        <v>2004</v>
      </c>
      <c r="B142" s="151" t="s">
        <v>93</v>
      </c>
      <c r="C142" s="151" t="s">
        <v>3205</v>
      </c>
      <c r="D142" s="151">
        <v>-0.152619102725158</v>
      </c>
      <c r="E142" s="151">
        <v>-0.525333284268936</v>
      </c>
      <c r="F142" s="151">
        <v>-0.106681477105304</v>
      </c>
      <c r="G142" s="151">
        <v>-0.33984238619330898</v>
      </c>
      <c r="H142" s="151">
        <v>-0.56234683487413994</v>
      </c>
      <c r="I142" s="151">
        <v>-0.454057940548935</v>
      </c>
      <c r="J142" s="151">
        <v>52.682926829268297</v>
      </c>
      <c r="K142" s="151">
        <v>34.634146341463399</v>
      </c>
      <c r="L142" s="151">
        <v>41.826923076923102</v>
      </c>
      <c r="M142" s="151">
        <v>41.6666666666667</v>
      </c>
      <c r="N142" s="151">
        <v>34.928229665071797</v>
      </c>
      <c r="O142" s="151">
        <v>34.615384615384599</v>
      </c>
    </row>
    <row r="143" spans="1:15">
      <c r="A143" s="151">
        <v>2004</v>
      </c>
      <c r="B143" s="151" t="s">
        <v>122</v>
      </c>
      <c r="C143" s="151" t="s">
        <v>3206</v>
      </c>
      <c r="D143" s="151">
        <v>-1.3254287587872999</v>
      </c>
      <c r="E143" s="151">
        <v>-1.56199429591053</v>
      </c>
      <c r="F143" s="151">
        <v>-1.40935388948051</v>
      </c>
      <c r="G143" s="151">
        <v>-1.1948583770275001</v>
      </c>
      <c r="H143" s="151">
        <v>-1.63291981449234</v>
      </c>
      <c r="I143" s="151">
        <v>-1.3043564284956199</v>
      </c>
      <c r="J143" s="151">
        <v>5.3658536585365901</v>
      </c>
      <c r="K143" s="151">
        <v>4.3902439024390203</v>
      </c>
      <c r="L143" s="151">
        <v>8.6538461538461497</v>
      </c>
      <c r="M143" s="151">
        <v>11.2745098039216</v>
      </c>
      <c r="N143" s="151">
        <v>3.8277511961722501</v>
      </c>
      <c r="O143" s="151">
        <v>11.538461538461499</v>
      </c>
    </row>
    <row r="144" spans="1:15">
      <c r="A144" s="151">
        <v>2004</v>
      </c>
      <c r="B144" s="151" t="s">
        <v>133</v>
      </c>
      <c r="C144" s="151" t="s">
        <v>3207</v>
      </c>
      <c r="D144" s="151">
        <v>-1.28161731757286</v>
      </c>
      <c r="E144" s="151">
        <v>-1.1208389220753101</v>
      </c>
      <c r="F144" s="151">
        <v>-1.4954374614627399</v>
      </c>
      <c r="G144" s="151">
        <v>-0.83154277559783596</v>
      </c>
      <c r="H144" s="151">
        <v>-1.33964627120963</v>
      </c>
      <c r="I144" s="151">
        <v>-1.1950221942831101</v>
      </c>
      <c r="J144" s="151">
        <v>6.8292682926829302</v>
      </c>
      <c r="K144" s="151">
        <v>8.7804878048780495</v>
      </c>
      <c r="L144" s="151">
        <v>7.2115384615384599</v>
      </c>
      <c r="M144" s="151">
        <v>20.098039215686299</v>
      </c>
      <c r="N144" s="151">
        <v>7.6555023923445003</v>
      </c>
      <c r="O144" s="151">
        <v>15.384615384615399</v>
      </c>
    </row>
    <row r="145" spans="1:15">
      <c r="A145" s="151">
        <v>2004</v>
      </c>
      <c r="B145" s="151" t="s">
        <v>165</v>
      </c>
      <c r="C145" s="151" t="s">
        <v>3208</v>
      </c>
      <c r="D145" s="151">
        <v>-1.43112196801311</v>
      </c>
      <c r="E145" s="151">
        <v>-1.4478649481880701</v>
      </c>
      <c r="F145" s="151">
        <v>-2.3880897502952299</v>
      </c>
      <c r="G145" s="151">
        <v>-1.5937063353614001</v>
      </c>
      <c r="H145" s="151">
        <v>-1.7042810264972501</v>
      </c>
      <c r="I145" s="151">
        <v>-1.72505870046939</v>
      </c>
      <c r="J145" s="151">
        <v>3.4146341463414598</v>
      </c>
      <c r="K145" s="151">
        <v>5.8536585365853702</v>
      </c>
      <c r="L145" s="151">
        <v>1.4423076923076901</v>
      </c>
      <c r="M145" s="151">
        <v>4.9019607843137303</v>
      </c>
      <c r="N145" s="151">
        <v>2.87081339712919</v>
      </c>
      <c r="O145" s="151">
        <v>3.8461538461538498</v>
      </c>
    </row>
    <row r="146" spans="1:15">
      <c r="A146" s="151">
        <v>2004</v>
      </c>
      <c r="B146" s="151" t="s">
        <v>458</v>
      </c>
      <c r="C146" s="151" t="s">
        <v>3209</v>
      </c>
      <c r="D146" s="151">
        <v>-0.83536039397636896</v>
      </c>
      <c r="E146" s="151">
        <v>-1.1161517079080501</v>
      </c>
      <c r="F146" s="151">
        <v>-1.1414830848664199</v>
      </c>
      <c r="G146" s="151">
        <v>-0.97216363714726595</v>
      </c>
      <c r="H146" s="151">
        <v>-1.15100748318816</v>
      </c>
      <c r="I146" s="151">
        <v>-0.94994868775176899</v>
      </c>
      <c r="J146" s="151">
        <v>20.487804878048799</v>
      </c>
      <c r="K146" s="151">
        <v>9.2682926829268304</v>
      </c>
      <c r="L146" s="151">
        <v>14.903846153846199</v>
      </c>
      <c r="M146" s="151">
        <v>15.6862745098039</v>
      </c>
      <c r="N146" s="151">
        <v>12.9186602870813</v>
      </c>
      <c r="O146" s="151">
        <v>20.673076923076898</v>
      </c>
    </row>
    <row r="147" spans="1:15">
      <c r="A147" s="151">
        <v>2004</v>
      </c>
      <c r="B147" s="151" t="s">
        <v>96</v>
      </c>
      <c r="C147" s="151" t="s">
        <v>3210</v>
      </c>
      <c r="D147" s="151">
        <v>-1.0729613994724601</v>
      </c>
      <c r="E147" s="151">
        <v>-0.69789056431586705</v>
      </c>
      <c r="F147" s="151">
        <v>-0.39775625190285202</v>
      </c>
      <c r="G147" s="151">
        <v>-0.67993853266652604</v>
      </c>
      <c r="H147" s="151">
        <v>-1.19535776329626</v>
      </c>
      <c r="I147" s="151">
        <v>-0.98623903413653502</v>
      </c>
      <c r="J147" s="151">
        <v>11.707317073170699</v>
      </c>
      <c r="K147" s="151">
        <v>24.390243902439</v>
      </c>
      <c r="L147" s="151">
        <v>31.25</v>
      </c>
      <c r="M147" s="151">
        <v>24.019607843137301</v>
      </c>
      <c r="N147" s="151">
        <v>11.004784688995199</v>
      </c>
      <c r="O147" s="151">
        <v>19.711538461538499</v>
      </c>
    </row>
    <row r="148" spans="1:15">
      <c r="A148" s="151">
        <v>2004</v>
      </c>
      <c r="B148" s="151" t="s">
        <v>182</v>
      </c>
      <c r="C148" s="151" t="s">
        <v>3211</v>
      </c>
      <c r="D148" s="151">
        <v>-1.7057151518739699</v>
      </c>
      <c r="E148" s="151">
        <v>-1.46283905640614</v>
      </c>
      <c r="F148" s="151">
        <v>-0.108192128038356</v>
      </c>
      <c r="G148" s="151">
        <v>-1.4473057072751701</v>
      </c>
      <c r="H148" s="151">
        <v>-1.44515179744182</v>
      </c>
      <c r="I148" s="151">
        <v>-1.6415394253492399</v>
      </c>
      <c r="J148" s="151">
        <v>0.48780487804877998</v>
      </c>
      <c r="K148" s="151">
        <v>5.3658536585365901</v>
      </c>
      <c r="L148" s="151">
        <v>41.346153846153797</v>
      </c>
      <c r="M148" s="151">
        <v>6.37254901960784</v>
      </c>
      <c r="N148" s="151">
        <v>6.2200956937798999</v>
      </c>
      <c r="O148" s="151">
        <v>5.2884615384615401</v>
      </c>
    </row>
    <row r="149" spans="1:15">
      <c r="A149" s="151">
        <v>2004</v>
      </c>
      <c r="B149" s="151" t="s">
        <v>185</v>
      </c>
      <c r="C149" s="151" t="s">
        <v>3212</v>
      </c>
      <c r="D149" s="151">
        <v>-0.76164067104645905</v>
      </c>
      <c r="E149" s="151">
        <v>-0.80266474252814801</v>
      </c>
      <c r="F149" s="151">
        <v>0.38289902132814002</v>
      </c>
      <c r="G149" s="151">
        <v>-0.46464591119438098</v>
      </c>
      <c r="H149" s="151">
        <v>-0.51054215529299696</v>
      </c>
      <c r="I149" s="151">
        <v>-0.80573911191145897</v>
      </c>
      <c r="J149" s="151">
        <v>23.414634146341498</v>
      </c>
      <c r="K149" s="151">
        <v>20.487804878048799</v>
      </c>
      <c r="L149" s="151">
        <v>60.096153846153797</v>
      </c>
      <c r="M149" s="151">
        <v>34.803921568627501</v>
      </c>
      <c r="N149" s="151">
        <v>36.842105263157897</v>
      </c>
      <c r="O149" s="151">
        <v>25</v>
      </c>
    </row>
    <row r="150" spans="1:15">
      <c r="A150" s="151">
        <v>2004</v>
      </c>
      <c r="B150" s="151" t="s">
        <v>189</v>
      </c>
      <c r="C150" s="151" t="s">
        <v>3213</v>
      </c>
      <c r="D150" s="151">
        <v>-0.224504582179965</v>
      </c>
      <c r="E150" s="151">
        <v>-0.16104440204609899</v>
      </c>
      <c r="F150" s="151">
        <v>6.2279754288806499E-3</v>
      </c>
      <c r="G150" s="151">
        <v>-0.349652907871289</v>
      </c>
      <c r="H150" s="151">
        <v>-0.14508259120303299</v>
      </c>
      <c r="I150" s="151">
        <v>0.15143036109805399</v>
      </c>
      <c r="J150" s="151">
        <v>49.756097560975597</v>
      </c>
      <c r="K150" s="151">
        <v>51.707317073170699</v>
      </c>
      <c r="L150" s="151">
        <v>46.153846153846203</v>
      </c>
      <c r="M150" s="151">
        <v>41.176470588235297</v>
      </c>
      <c r="N150" s="151">
        <v>48.803827751196202</v>
      </c>
      <c r="O150" s="151">
        <v>55.288461538461497</v>
      </c>
    </row>
    <row r="151" spans="1:15">
      <c r="A151" s="151">
        <v>2004</v>
      </c>
      <c r="B151" s="151" t="s">
        <v>213</v>
      </c>
      <c r="C151" s="151" t="s">
        <v>3214</v>
      </c>
      <c r="D151" s="151">
        <v>-0.53753777691532401</v>
      </c>
      <c r="E151" s="151">
        <v>-0.64076977607970098</v>
      </c>
      <c r="F151" s="151">
        <v>-0.83715329024109297</v>
      </c>
      <c r="G151" s="151">
        <v>-0.185683976042821</v>
      </c>
      <c r="H151" s="151">
        <v>-1.0137017716458201</v>
      </c>
      <c r="I151" s="151">
        <v>-0.31190643211632402</v>
      </c>
      <c r="J151" s="151">
        <v>35.609756097560997</v>
      </c>
      <c r="K151" s="151">
        <v>26.829268292682901</v>
      </c>
      <c r="L151" s="151">
        <v>20.673076923076898</v>
      </c>
      <c r="M151" s="151">
        <v>48.039215686274503</v>
      </c>
      <c r="N151" s="151">
        <v>16.746411483253599</v>
      </c>
      <c r="O151" s="151">
        <v>38.461538461538503</v>
      </c>
    </row>
    <row r="152" spans="1:15">
      <c r="A152" s="151">
        <v>2004</v>
      </c>
      <c r="B152" s="151" t="s">
        <v>2843</v>
      </c>
      <c r="C152" s="151" t="s">
        <v>3215</v>
      </c>
      <c r="D152" s="151">
        <v>-0.84091917080516099</v>
      </c>
      <c r="E152" s="151">
        <v>-0.884426884260614</v>
      </c>
      <c r="F152" s="151">
        <v>-1.05336999705521</v>
      </c>
      <c r="G152" s="151">
        <v>-0.94171385140248198</v>
      </c>
      <c r="H152" s="151">
        <v>-1.24059148295584</v>
      </c>
      <c r="I152" s="151">
        <v>-1.28370609797101</v>
      </c>
      <c r="J152" s="151">
        <v>19.512195121951201</v>
      </c>
      <c r="K152" s="151">
        <v>16.585365853658502</v>
      </c>
      <c r="L152" s="151">
        <v>17.307692307692299</v>
      </c>
      <c r="M152" s="151">
        <v>17.156862745098</v>
      </c>
      <c r="N152" s="151">
        <v>9.5693779904306204</v>
      </c>
      <c r="O152" s="151">
        <v>12.5</v>
      </c>
    </row>
    <row r="153" spans="1:15">
      <c r="A153" s="151">
        <v>2004</v>
      </c>
      <c r="B153" s="151" t="s">
        <v>237</v>
      </c>
      <c r="C153" s="151" t="s">
        <v>3216</v>
      </c>
      <c r="D153" s="151">
        <v>-0.89463384541426105</v>
      </c>
      <c r="E153" s="151">
        <v>-0.37551615173424102</v>
      </c>
      <c r="F153" s="151">
        <v>-1.8690458037670701</v>
      </c>
      <c r="G153" s="151">
        <v>-0.66707458509001505</v>
      </c>
      <c r="H153" s="151">
        <v>-0.76883655262796702</v>
      </c>
      <c r="I153" s="151">
        <v>-0.291518559680915</v>
      </c>
      <c r="J153" s="151">
        <v>17.0731707317073</v>
      </c>
      <c r="K153" s="151">
        <v>44.390243902439003</v>
      </c>
      <c r="L153" s="151">
        <v>4.3269230769230802</v>
      </c>
      <c r="M153" s="151">
        <v>25</v>
      </c>
      <c r="N153" s="151">
        <v>25.358851674641102</v>
      </c>
      <c r="O153" s="151">
        <v>40.384615384615401</v>
      </c>
    </row>
    <row r="154" spans="1:15">
      <c r="A154" s="151">
        <v>2004</v>
      </c>
      <c r="B154" s="151" t="s">
        <v>245</v>
      </c>
      <c r="C154" s="151" t="s">
        <v>3217</v>
      </c>
      <c r="D154" s="151">
        <v>-1.5626197520066101</v>
      </c>
      <c r="E154" s="151">
        <v>-1.61189655752803</v>
      </c>
      <c r="F154" s="151">
        <v>-3.18481450377638</v>
      </c>
      <c r="G154" s="151">
        <v>-1.64725905971961</v>
      </c>
      <c r="H154" s="151">
        <v>-1.88796701168759</v>
      </c>
      <c r="I154" s="151">
        <v>-1.67549582887186</v>
      </c>
      <c r="J154" s="151">
        <v>1.4634146341463401</v>
      </c>
      <c r="K154" s="151">
        <v>1.9512195121951199</v>
      </c>
      <c r="L154" s="151">
        <v>0</v>
      </c>
      <c r="M154" s="151">
        <v>3.4313725490196099</v>
      </c>
      <c r="N154" s="151">
        <v>0.47846889952153099</v>
      </c>
      <c r="O154" s="151">
        <v>4.3269230769230802</v>
      </c>
    </row>
    <row r="155" spans="1:15">
      <c r="A155" s="151">
        <v>2004</v>
      </c>
      <c r="B155" s="151" t="s">
        <v>273</v>
      </c>
      <c r="C155" s="151" t="s">
        <v>3218</v>
      </c>
      <c r="D155" s="151">
        <v>-1.0956640690941</v>
      </c>
      <c r="E155" s="151">
        <v>-0.63778949264396101</v>
      </c>
      <c r="F155" s="151">
        <v>6.3498573876206901E-2</v>
      </c>
      <c r="G155" s="151">
        <v>-0.487421313812331</v>
      </c>
      <c r="H155" s="151">
        <v>-1.02197135090403</v>
      </c>
      <c r="I155" s="151">
        <v>-1.12385855779632</v>
      </c>
      <c r="J155" s="151">
        <v>11.219512195122</v>
      </c>
      <c r="K155" s="151">
        <v>27.804878048780498</v>
      </c>
      <c r="L155" s="151">
        <v>48.076923076923102</v>
      </c>
      <c r="M155" s="151">
        <v>33.3333333333333</v>
      </c>
      <c r="N155" s="151">
        <v>15.789473684210501</v>
      </c>
      <c r="O155" s="151">
        <v>17.788461538461501</v>
      </c>
    </row>
    <row r="156" spans="1:15">
      <c r="A156" s="151">
        <v>2004</v>
      </c>
      <c r="B156" s="151" t="s">
        <v>278</v>
      </c>
      <c r="C156" s="151" t="s">
        <v>3219</v>
      </c>
      <c r="D156" s="151">
        <v>-1.0272392511419</v>
      </c>
      <c r="E156" s="151">
        <v>-0.71639153301617997</v>
      </c>
      <c r="F156" s="151">
        <v>-1.17479806695392</v>
      </c>
      <c r="G156" s="151">
        <v>-0.32531996502788701</v>
      </c>
      <c r="H156" s="151">
        <v>-0.80789281489949705</v>
      </c>
      <c r="I156" s="151">
        <v>-0.99783876931018101</v>
      </c>
      <c r="J156" s="151">
        <v>13.170731707317101</v>
      </c>
      <c r="K156" s="151">
        <v>23.902439024390201</v>
      </c>
      <c r="L156" s="151">
        <v>13.942307692307701</v>
      </c>
      <c r="M156" s="151">
        <v>43.137254901960802</v>
      </c>
      <c r="N156" s="151">
        <v>23.923444976076599</v>
      </c>
      <c r="O156" s="151">
        <v>19.230769230769202</v>
      </c>
    </row>
    <row r="157" spans="1:15">
      <c r="A157" s="151">
        <v>2004</v>
      </c>
      <c r="B157" s="151" t="s">
        <v>294</v>
      </c>
      <c r="C157" s="151" t="s">
        <v>3220</v>
      </c>
      <c r="D157" s="151">
        <v>-1.2673538072688899</v>
      </c>
      <c r="E157" s="151">
        <v>-1.5850144343877099</v>
      </c>
      <c r="F157" s="151">
        <v>-1.4074489487153301</v>
      </c>
      <c r="G157" s="151">
        <v>-1.87929002271114</v>
      </c>
      <c r="H157" s="151">
        <v>-1.70524243620725</v>
      </c>
      <c r="I157" s="151">
        <v>-1.3051336791531301</v>
      </c>
      <c r="J157" s="151">
        <v>8.2926829268292703</v>
      </c>
      <c r="K157" s="151">
        <v>2.9268292682926802</v>
      </c>
      <c r="L157" s="151">
        <v>9.1346153846153904</v>
      </c>
      <c r="M157" s="151">
        <v>2.4509803921568598</v>
      </c>
      <c r="N157" s="151">
        <v>2.39234449760766</v>
      </c>
      <c r="O157" s="151">
        <v>11.057692307692299</v>
      </c>
    </row>
    <row r="158" spans="1:15">
      <c r="A158" s="151">
        <v>2004</v>
      </c>
      <c r="B158" s="151" t="s">
        <v>309</v>
      </c>
      <c r="C158" s="151" t="s">
        <v>3221</v>
      </c>
      <c r="D158" s="151">
        <v>-0.118872143936783</v>
      </c>
      <c r="E158" s="151">
        <v>-0.477300567290247</v>
      </c>
      <c r="F158" s="151">
        <v>0.20289047517272399</v>
      </c>
      <c r="G158" s="151">
        <v>-0.31530938678726</v>
      </c>
      <c r="H158" s="151">
        <v>-0.20140625479653701</v>
      </c>
      <c r="I158" s="151">
        <v>-1.39628454490441E-2</v>
      </c>
      <c r="J158" s="151">
        <v>54.146341463414601</v>
      </c>
      <c r="K158" s="151">
        <v>37.560975609756099</v>
      </c>
      <c r="L158" s="151">
        <v>53.365384615384599</v>
      </c>
      <c r="M158" s="151">
        <v>43.627450980392197</v>
      </c>
      <c r="N158" s="151">
        <v>46.889952153110002</v>
      </c>
      <c r="O158" s="151">
        <v>48.557692307692299</v>
      </c>
    </row>
    <row r="159" spans="1:15">
      <c r="A159" s="151">
        <v>2004</v>
      </c>
      <c r="B159" s="151" t="s">
        <v>322</v>
      </c>
      <c r="C159" s="151" t="s">
        <v>3222</v>
      </c>
      <c r="D159" s="151">
        <v>-0.497073230135398</v>
      </c>
      <c r="E159" s="151">
        <v>-0.61938122402069595</v>
      </c>
      <c r="F159" s="151">
        <v>0.48041243120864802</v>
      </c>
      <c r="G159" s="151">
        <v>-0.46396133552601398</v>
      </c>
      <c r="H159" s="151">
        <v>-0.17305986109754101</v>
      </c>
      <c r="I159" s="151">
        <v>0.29199165094824098</v>
      </c>
      <c r="J159" s="151">
        <v>37.560975609756099</v>
      </c>
      <c r="K159" s="151">
        <v>30.731707317073202</v>
      </c>
      <c r="L159" s="151">
        <v>62.980769230769198</v>
      </c>
      <c r="M159" s="151">
        <v>35.294117647058798</v>
      </c>
      <c r="N159" s="151">
        <v>47.846889952153099</v>
      </c>
      <c r="O159" s="151">
        <v>57.211538461538503</v>
      </c>
    </row>
    <row r="160" spans="1:15">
      <c r="A160" s="151">
        <v>2004</v>
      </c>
      <c r="B160" s="151" t="s">
        <v>338</v>
      </c>
      <c r="C160" s="151" t="s">
        <v>3223</v>
      </c>
      <c r="D160" s="151">
        <v>-0.372007114857418</v>
      </c>
      <c r="E160" s="151">
        <v>-0.46704436747941303</v>
      </c>
      <c r="F160" s="151">
        <v>-9.6452163921286999E-2</v>
      </c>
      <c r="G160" s="151">
        <v>-6.91172063620311E-2</v>
      </c>
      <c r="H160" s="151">
        <v>-0.684147554397597</v>
      </c>
      <c r="I160" s="151">
        <v>-1.1450348188606501</v>
      </c>
      <c r="J160" s="151">
        <v>45.365853658536601</v>
      </c>
      <c r="K160" s="151">
        <v>38.536585365853703</v>
      </c>
      <c r="L160" s="151">
        <v>42.307692307692299</v>
      </c>
      <c r="M160" s="151">
        <v>51.960784313725497</v>
      </c>
      <c r="N160" s="151">
        <v>30.622009569378001</v>
      </c>
      <c r="O160" s="151">
        <v>16.826923076923102</v>
      </c>
    </row>
    <row r="161" spans="1:15">
      <c r="A161" s="151">
        <v>2004</v>
      </c>
      <c r="B161" s="151" t="s">
        <v>378</v>
      </c>
      <c r="C161" s="151" t="s">
        <v>3224</v>
      </c>
      <c r="D161" s="151">
        <v>-0.59322665508609995</v>
      </c>
      <c r="E161" s="151">
        <v>-0.51191612954965104</v>
      </c>
      <c r="F161" s="151">
        <v>-2.7893651740353E-2</v>
      </c>
      <c r="G161" s="151">
        <v>-0.47063122319265099</v>
      </c>
      <c r="H161" s="151">
        <v>-0.65237949614368396</v>
      </c>
      <c r="I161" s="151">
        <v>-5.6337958579380898E-2</v>
      </c>
      <c r="J161" s="151">
        <v>31.219512195122</v>
      </c>
      <c r="K161" s="151">
        <v>35.609756097560997</v>
      </c>
      <c r="L161" s="151">
        <v>44.711538461538503</v>
      </c>
      <c r="M161" s="151">
        <v>34.313725490196099</v>
      </c>
      <c r="N161" s="151">
        <v>32.535885167464102</v>
      </c>
      <c r="O161" s="151">
        <v>47.115384615384599</v>
      </c>
    </row>
    <row r="162" spans="1:15">
      <c r="A162" s="151">
        <v>2004</v>
      </c>
      <c r="B162" s="151" t="s">
        <v>387</v>
      </c>
      <c r="C162" s="151" t="s">
        <v>3225</v>
      </c>
      <c r="D162" s="151">
        <v>-0.84919420339798002</v>
      </c>
      <c r="E162" s="151">
        <v>-0.68641555135451904</v>
      </c>
      <c r="F162" s="151">
        <v>-0.52023066022506104</v>
      </c>
      <c r="G162" s="151">
        <v>-0.58195430811802795</v>
      </c>
      <c r="H162" s="151">
        <v>-0.73056710401360103</v>
      </c>
      <c r="I162" s="151">
        <v>-0.18114951695305301</v>
      </c>
      <c r="J162" s="151">
        <v>19.024390243902399</v>
      </c>
      <c r="K162" s="151">
        <v>24.878048780487799</v>
      </c>
      <c r="L162" s="151">
        <v>28.365384615384599</v>
      </c>
      <c r="M162" s="151">
        <v>28.921568627450998</v>
      </c>
      <c r="N162" s="151">
        <v>28.7081339712919</v>
      </c>
      <c r="O162" s="151">
        <v>42.788461538461497</v>
      </c>
    </row>
    <row r="163" spans="1:15">
      <c r="A163" s="151">
        <v>2004</v>
      </c>
      <c r="B163" s="151" t="s">
        <v>406</v>
      </c>
      <c r="C163" s="151" t="s">
        <v>3226</v>
      </c>
      <c r="D163" s="151">
        <v>-1.3045012983906601</v>
      </c>
      <c r="E163" s="151">
        <v>-0.91259341443653497</v>
      </c>
      <c r="F163" s="151">
        <v>-1.7208817210479099</v>
      </c>
      <c r="G163" s="151">
        <v>-1.32286796314529</v>
      </c>
      <c r="H163" s="151">
        <v>-1.4320296784539801</v>
      </c>
      <c r="I163" s="151">
        <v>-0.76793085867607602</v>
      </c>
      <c r="J163" s="151">
        <v>6.3414634146341502</v>
      </c>
      <c r="K163" s="151">
        <v>14.634146341463399</v>
      </c>
      <c r="L163" s="151">
        <v>4.8076923076923102</v>
      </c>
      <c r="M163" s="151">
        <v>8.3333333333333304</v>
      </c>
      <c r="N163" s="151">
        <v>6.6985645933014402</v>
      </c>
      <c r="O163" s="151">
        <v>25.480769230769202</v>
      </c>
    </row>
    <row r="164" spans="1:15">
      <c r="A164" s="151">
        <v>2004</v>
      </c>
      <c r="B164" s="151" t="s">
        <v>442</v>
      </c>
      <c r="C164" s="151" t="s">
        <v>3227</v>
      </c>
      <c r="D164" s="151">
        <v>-0.35116899578167798</v>
      </c>
      <c r="E164" s="151">
        <v>-0.46854602636037601</v>
      </c>
      <c r="F164" s="151">
        <v>-1.00309654857232</v>
      </c>
      <c r="G164" s="151">
        <v>0.23233413649883</v>
      </c>
      <c r="H164" s="151">
        <v>-0.52043131134284903</v>
      </c>
      <c r="I164" s="151">
        <v>-0.14663028957413399</v>
      </c>
      <c r="J164" s="151">
        <v>46.829268292682897</v>
      </c>
      <c r="K164" s="151">
        <v>38.048780487804898</v>
      </c>
      <c r="L164" s="151">
        <v>18.75</v>
      </c>
      <c r="M164" s="151">
        <v>62.745098039215698</v>
      </c>
      <c r="N164" s="151">
        <v>36.363636363636402</v>
      </c>
      <c r="O164" s="151">
        <v>45.192307692307701</v>
      </c>
    </row>
    <row r="165" spans="1:15">
      <c r="A165" s="151">
        <v>2004</v>
      </c>
      <c r="B165" s="151" t="s">
        <v>481</v>
      </c>
      <c r="C165" s="151" t="s">
        <v>3228</v>
      </c>
      <c r="D165" s="151">
        <v>-0.87657477333713196</v>
      </c>
      <c r="E165" s="151">
        <v>-1.1016709649637599</v>
      </c>
      <c r="F165" s="151">
        <v>-0.44372149292694202</v>
      </c>
      <c r="G165" s="151">
        <v>-1.0229252189665099</v>
      </c>
      <c r="H165" s="151">
        <v>-1.17411640340642</v>
      </c>
      <c r="I165" s="151">
        <v>-0.31695413102071801</v>
      </c>
      <c r="J165" s="151">
        <v>18.5365853658537</v>
      </c>
      <c r="K165" s="151">
        <v>9.7560975609756095</v>
      </c>
      <c r="L165" s="151">
        <v>29.807692307692299</v>
      </c>
      <c r="M165" s="151">
        <v>15.1960784313725</v>
      </c>
      <c r="N165" s="151">
        <v>11.9617224880383</v>
      </c>
      <c r="O165" s="151">
        <v>37.5</v>
      </c>
    </row>
    <row r="166" spans="1:15">
      <c r="A166" s="151">
        <v>2004</v>
      </c>
      <c r="B166" s="151" t="s">
        <v>492</v>
      </c>
      <c r="C166" s="151" t="s">
        <v>3229</v>
      </c>
      <c r="D166" s="151">
        <v>-0.58317618666061999</v>
      </c>
      <c r="E166" s="151">
        <v>-0.41873338495506202</v>
      </c>
      <c r="F166" s="151">
        <v>-0.64848067813334997</v>
      </c>
      <c r="G166" s="151">
        <v>-0.44409617760007197</v>
      </c>
      <c r="H166" s="151">
        <v>-0.36115825673739999</v>
      </c>
      <c r="I166" s="151">
        <v>-0.47262764771508797</v>
      </c>
      <c r="J166" s="151">
        <v>32.195121951219498</v>
      </c>
      <c r="K166" s="151">
        <v>42.439024390243901</v>
      </c>
      <c r="L166" s="151">
        <v>24.519230769230798</v>
      </c>
      <c r="M166" s="151">
        <v>36.274509803921603</v>
      </c>
      <c r="N166" s="151">
        <v>42.583732057416299</v>
      </c>
      <c r="O166" s="151">
        <v>34.134615384615401</v>
      </c>
    </row>
    <row r="167" spans="1:15">
      <c r="A167" s="151">
        <v>2004</v>
      </c>
      <c r="B167" s="151" t="s">
        <v>510</v>
      </c>
      <c r="C167" s="151" t="s">
        <v>3230</v>
      </c>
      <c r="D167" s="151">
        <v>-0.92881397388907205</v>
      </c>
      <c r="E167" s="151">
        <v>-1.60468540222565</v>
      </c>
      <c r="F167" s="151">
        <v>-0.32576432333593303</v>
      </c>
      <c r="G167" s="151">
        <v>-0.77635602845734997</v>
      </c>
      <c r="H167" s="151">
        <v>-1.1322448968979699</v>
      </c>
      <c r="I167" s="151">
        <v>-1.2714415212332899</v>
      </c>
      <c r="J167" s="151">
        <v>16.097560975609799</v>
      </c>
      <c r="K167" s="151">
        <v>2.4390243902439002</v>
      </c>
      <c r="L167" s="151">
        <v>34.134615384615401</v>
      </c>
      <c r="M167" s="151">
        <v>21.078431372549002</v>
      </c>
      <c r="N167" s="151">
        <v>13.8755980861244</v>
      </c>
      <c r="O167" s="151">
        <v>13.461538461538501</v>
      </c>
    </row>
    <row r="168" spans="1:15">
      <c r="A168" s="151">
        <v>2004</v>
      </c>
      <c r="B168" s="151" t="s">
        <v>2844</v>
      </c>
      <c r="C168" s="151" t="s">
        <v>3231</v>
      </c>
      <c r="D168" s="151">
        <v>-0.52709999516537998</v>
      </c>
      <c r="E168" s="151">
        <v>-0.684403666436738</v>
      </c>
      <c r="F168" s="151">
        <v>-0.200503362481568</v>
      </c>
      <c r="G168" s="151">
        <v>-1.1106909748408</v>
      </c>
      <c r="H168" s="151">
        <v>-0.80894004546991405</v>
      </c>
      <c r="I168" s="151">
        <v>-6.5898503319605201E-2</v>
      </c>
      <c r="J168" s="151">
        <v>36.097560975609802</v>
      </c>
      <c r="K168" s="151">
        <v>25.853658536585399</v>
      </c>
      <c r="L168" s="151">
        <v>37.980769230769198</v>
      </c>
      <c r="M168" s="151">
        <v>12.2549019607843</v>
      </c>
      <c r="N168" s="151">
        <v>22.966507177033499</v>
      </c>
      <c r="O168" s="151">
        <v>46.634615384615401</v>
      </c>
    </row>
    <row r="169" spans="1:15">
      <c r="A169" s="151">
        <v>2004</v>
      </c>
      <c r="B169" s="151" t="s">
        <v>2845</v>
      </c>
      <c r="C169" s="151" t="s">
        <v>3232</v>
      </c>
      <c r="D169" s="151">
        <v>-0.12882474033182101</v>
      </c>
      <c r="E169" s="151">
        <v>0.370262264333453</v>
      </c>
      <c r="F169" s="151">
        <v>-7.7337215471098897E-2</v>
      </c>
      <c r="G169" s="151">
        <v>0.66051560551714195</v>
      </c>
      <c r="H169" s="151">
        <v>-1.46849450299333E-2</v>
      </c>
      <c r="I169" s="151">
        <v>0.57067100974200002</v>
      </c>
      <c r="J169" s="151">
        <v>53.658536585365901</v>
      </c>
      <c r="K169" s="151">
        <v>68.292682926829301</v>
      </c>
      <c r="L169" s="151">
        <v>42.788461538461497</v>
      </c>
      <c r="M169" s="151">
        <v>71.078431372549005</v>
      </c>
      <c r="N169" s="151">
        <v>51.674641148325399</v>
      </c>
      <c r="O169" s="151">
        <v>66.346153846153797</v>
      </c>
    </row>
    <row r="170" spans="1:15">
      <c r="A170" s="151">
        <v>2004</v>
      </c>
      <c r="B170" s="151" t="s">
        <v>2846</v>
      </c>
      <c r="C170" s="151" t="s">
        <v>3233</v>
      </c>
      <c r="D170" s="151">
        <v>-1.00593651315057</v>
      </c>
      <c r="E170" s="151">
        <v>-0.91232436855764298</v>
      </c>
      <c r="F170" s="151">
        <v>-1.5780248468733</v>
      </c>
      <c r="G170" s="151">
        <v>-0.83953043683491102</v>
      </c>
      <c r="H170" s="151">
        <v>-1.2303374288281701</v>
      </c>
      <c r="I170" s="151">
        <v>-0.96591215215571302</v>
      </c>
      <c r="J170" s="151">
        <v>14.634146341463399</v>
      </c>
      <c r="K170" s="151">
        <v>15.1219512195122</v>
      </c>
      <c r="L170" s="151">
        <v>6.25</v>
      </c>
      <c r="M170" s="151">
        <v>19.6078431372549</v>
      </c>
      <c r="N170" s="151">
        <v>10.047846889952201</v>
      </c>
      <c r="O170" s="151">
        <v>20.192307692307701</v>
      </c>
    </row>
    <row r="171" spans="1:15">
      <c r="A171" s="151">
        <v>2004</v>
      </c>
      <c r="B171" s="151" t="s">
        <v>534</v>
      </c>
      <c r="C171" s="151" t="s">
        <v>3234</v>
      </c>
      <c r="D171" s="151">
        <v>-0.67986950334881802</v>
      </c>
      <c r="E171" s="151">
        <v>-0.81642193067048496</v>
      </c>
      <c r="F171" s="151">
        <v>0.15242481825510501</v>
      </c>
      <c r="G171" s="151">
        <v>-0.51365446549481997</v>
      </c>
      <c r="H171" s="151">
        <v>-0.52198725897607301</v>
      </c>
      <c r="I171" s="151">
        <v>-0.41247646067141902</v>
      </c>
      <c r="J171" s="151">
        <v>26.829268292682901</v>
      </c>
      <c r="K171" s="151">
        <v>20</v>
      </c>
      <c r="L171" s="151">
        <v>51.923076923076898</v>
      </c>
      <c r="M171" s="151">
        <v>31.862745098039198</v>
      </c>
      <c r="N171" s="151">
        <v>35.885167464114801</v>
      </c>
      <c r="O171" s="151">
        <v>36.057692307692299</v>
      </c>
    </row>
    <row r="172" spans="1:15">
      <c r="A172" s="151">
        <v>2004</v>
      </c>
      <c r="B172" s="151" t="s">
        <v>357</v>
      </c>
      <c r="C172" s="151" t="s">
        <v>3235</v>
      </c>
      <c r="D172" s="151">
        <v>-0.38361617882395299</v>
      </c>
      <c r="E172" s="151">
        <v>-0.45571899079612099</v>
      </c>
      <c r="F172" s="151">
        <v>0.72870456221552904</v>
      </c>
      <c r="G172" s="151">
        <v>-0.38164690648210298</v>
      </c>
      <c r="H172" s="151">
        <v>-1.66933707597673E-2</v>
      </c>
      <c r="I172" s="151">
        <v>0.25970729833115602</v>
      </c>
      <c r="J172" s="151">
        <v>44.878048780487802</v>
      </c>
      <c r="K172" s="151">
        <v>39.024390243902403</v>
      </c>
      <c r="L172" s="151">
        <v>73.076923076923094</v>
      </c>
      <c r="M172" s="151">
        <v>40.686274509803901</v>
      </c>
      <c r="N172" s="151">
        <v>51.196172248803798</v>
      </c>
      <c r="O172" s="151">
        <v>56.730769230769198</v>
      </c>
    </row>
    <row r="173" spans="1:15">
      <c r="A173" s="151">
        <v>2005</v>
      </c>
      <c r="B173" s="151" t="s">
        <v>16</v>
      </c>
      <c r="C173" s="151" t="s">
        <v>3236</v>
      </c>
      <c r="D173" s="151">
        <v>-1.4642574591381501</v>
      </c>
      <c r="E173" s="151">
        <v>-1.22697815727638</v>
      </c>
      <c r="F173" s="151">
        <v>-2.08842186203655</v>
      </c>
      <c r="G173" s="151">
        <v>-1.6461922165413001</v>
      </c>
      <c r="H173" s="151">
        <v>-1.72299242568862</v>
      </c>
      <c r="I173" s="151">
        <v>-1.17916499216808</v>
      </c>
      <c r="J173" s="151">
        <v>1.4634146341463401</v>
      </c>
      <c r="K173" s="151">
        <v>9.7560975609756095</v>
      </c>
      <c r="L173" s="151">
        <v>2.4038461538461502</v>
      </c>
      <c r="M173" s="151">
        <v>2.9411764705882399</v>
      </c>
      <c r="N173" s="151">
        <v>1.4354066985645899</v>
      </c>
      <c r="O173" s="151">
        <v>13.461538461538501</v>
      </c>
    </row>
    <row r="174" spans="1:15">
      <c r="A174" s="151">
        <v>2005</v>
      </c>
      <c r="B174" s="151" t="s">
        <v>33</v>
      </c>
      <c r="C174" s="151" t="s">
        <v>3237</v>
      </c>
      <c r="D174" s="151">
        <v>-0.74666433721358205</v>
      </c>
      <c r="E174" s="151">
        <v>-0.62725576385316095</v>
      </c>
      <c r="F174" s="151">
        <v>-0.49362743648777302</v>
      </c>
      <c r="G174" s="151">
        <v>-0.29962359786020898</v>
      </c>
      <c r="H174" s="151">
        <v>-0.80546604715786796</v>
      </c>
      <c r="I174" s="151">
        <v>3.2410434481485E-2</v>
      </c>
      <c r="J174" s="151">
        <v>26.341463414634099</v>
      </c>
      <c r="K174" s="151">
        <v>31.219512195122</v>
      </c>
      <c r="L174" s="151">
        <v>29.326923076923102</v>
      </c>
      <c r="M174" s="151">
        <v>45.588235294117602</v>
      </c>
      <c r="N174" s="151">
        <v>25.8373205741627</v>
      </c>
      <c r="O174" s="151">
        <v>52.884615384615401</v>
      </c>
    </row>
    <row r="175" spans="1:15">
      <c r="A175" s="151">
        <v>2005</v>
      </c>
      <c r="B175" s="151" t="s">
        <v>48</v>
      </c>
      <c r="C175" s="151" t="s">
        <v>3238</v>
      </c>
      <c r="D175" s="151">
        <v>-0.98911060474203205</v>
      </c>
      <c r="E175" s="151">
        <v>-0.68064907347091697</v>
      </c>
      <c r="F175" s="151">
        <v>-1.11490753511908</v>
      </c>
      <c r="G175" s="151">
        <v>-0.54876070503903296</v>
      </c>
      <c r="H175" s="151">
        <v>-0.74332362185237999</v>
      </c>
      <c r="I175" s="151">
        <v>-1.08231167670484</v>
      </c>
      <c r="J175" s="151">
        <v>16.097560975609799</v>
      </c>
      <c r="K175" s="151">
        <v>28.780487804878</v>
      </c>
      <c r="L175" s="151">
        <v>16.826923076923102</v>
      </c>
      <c r="M175" s="151">
        <v>30.882352941176499</v>
      </c>
      <c r="N175" s="151">
        <v>28.7081339712919</v>
      </c>
      <c r="O175" s="151">
        <v>15.384615384615399</v>
      </c>
    </row>
    <row r="176" spans="1:15">
      <c r="A176" s="151">
        <v>2005</v>
      </c>
      <c r="B176" s="151" t="s">
        <v>93</v>
      </c>
      <c r="C176" s="151" t="s">
        <v>3239</v>
      </c>
      <c r="D176" s="151">
        <v>-9.0967986639577197E-2</v>
      </c>
      <c r="E176" s="151">
        <v>-0.59550125333722004</v>
      </c>
      <c r="F176" s="151">
        <v>-7.5130864616943197E-2</v>
      </c>
      <c r="G176" s="151">
        <v>-0.41699914807487598</v>
      </c>
      <c r="H176" s="151">
        <v>-0.51244101885008397</v>
      </c>
      <c r="I176" s="151">
        <v>-0.45960191663498401</v>
      </c>
      <c r="J176" s="151">
        <v>54.146341463414601</v>
      </c>
      <c r="K176" s="151">
        <v>33.170731707317103</v>
      </c>
      <c r="L176" s="151">
        <v>43.269230769230802</v>
      </c>
      <c r="M176" s="151">
        <v>39.705882352941202</v>
      </c>
      <c r="N176" s="151">
        <v>36.842105263157897</v>
      </c>
      <c r="O176" s="151">
        <v>33.653846153846203</v>
      </c>
    </row>
    <row r="177" spans="1:15">
      <c r="A177" s="151">
        <v>2005</v>
      </c>
      <c r="B177" s="151" t="s">
        <v>122</v>
      </c>
      <c r="C177" s="151" t="s">
        <v>3240</v>
      </c>
      <c r="D177" s="151">
        <v>-1.2073233006941999</v>
      </c>
      <c r="E177" s="151">
        <v>-1.5958877942729099</v>
      </c>
      <c r="F177" s="151">
        <v>-1.4236917492867101</v>
      </c>
      <c r="G177" s="151">
        <v>-1.3292043363239101</v>
      </c>
      <c r="H177" s="151">
        <v>-1.48142876265531</v>
      </c>
      <c r="I177" s="151">
        <v>-0.94647916726798897</v>
      </c>
      <c r="J177" s="151">
        <v>9.2682926829268304</v>
      </c>
      <c r="K177" s="151">
        <v>2.4390243902439002</v>
      </c>
      <c r="L177" s="151">
        <v>8.6538461538461497</v>
      </c>
      <c r="M177" s="151">
        <v>8.8235294117647101</v>
      </c>
      <c r="N177" s="151">
        <v>4.7846889952153102</v>
      </c>
      <c r="O177" s="151">
        <v>22.596153846153801</v>
      </c>
    </row>
    <row r="178" spans="1:15">
      <c r="A178" s="151">
        <v>2005</v>
      </c>
      <c r="B178" s="151" t="s">
        <v>133</v>
      </c>
      <c r="C178" s="151" t="s">
        <v>3241</v>
      </c>
      <c r="D178" s="151">
        <v>-1.4305105842692001</v>
      </c>
      <c r="E178" s="151">
        <v>-1.3490318383469999</v>
      </c>
      <c r="F178" s="151">
        <v>-1.39323145794144</v>
      </c>
      <c r="G178" s="151">
        <v>-1.1730792119186699</v>
      </c>
      <c r="H178" s="151">
        <v>-1.4528674163411199</v>
      </c>
      <c r="I178" s="151">
        <v>-1.2596679590034701</v>
      </c>
      <c r="J178" s="151">
        <v>3.9024390243902398</v>
      </c>
      <c r="K178" s="151">
        <v>7.3170731707317103</v>
      </c>
      <c r="L178" s="151">
        <v>9.6153846153846203</v>
      </c>
      <c r="M178" s="151">
        <v>11.764705882352899</v>
      </c>
      <c r="N178" s="151">
        <v>5.7416267942583703</v>
      </c>
      <c r="O178" s="151">
        <v>11.057692307692299</v>
      </c>
    </row>
    <row r="179" spans="1:15">
      <c r="A179" s="151">
        <v>2005</v>
      </c>
      <c r="B179" s="151" t="s">
        <v>165</v>
      </c>
      <c r="C179" s="151" t="s">
        <v>3242</v>
      </c>
      <c r="D179" s="151">
        <v>-1.4285422677608499</v>
      </c>
      <c r="E179" s="151">
        <v>-1.5891708226076999</v>
      </c>
      <c r="F179" s="151">
        <v>-2.1705691114284802</v>
      </c>
      <c r="G179" s="151">
        <v>-1.61956758105534</v>
      </c>
      <c r="H179" s="151">
        <v>-1.5710193017966601</v>
      </c>
      <c r="I179" s="151">
        <v>-1.5523444721166699</v>
      </c>
      <c r="J179" s="151">
        <v>4.3902439024390203</v>
      </c>
      <c r="K179" s="151">
        <v>2.9268292682926802</v>
      </c>
      <c r="L179" s="151">
        <v>1.4423076923076901</v>
      </c>
      <c r="M179" s="151">
        <v>3.4313725490196099</v>
      </c>
      <c r="N179" s="151">
        <v>3.8277511961722501</v>
      </c>
      <c r="O179" s="151">
        <v>6.25</v>
      </c>
    </row>
    <row r="180" spans="1:15">
      <c r="A180" s="151">
        <v>2005</v>
      </c>
      <c r="B180" s="151" t="s">
        <v>458</v>
      </c>
      <c r="C180" s="151" t="s">
        <v>3243</v>
      </c>
      <c r="D180" s="151">
        <v>-1.0162846750191099</v>
      </c>
      <c r="E180" s="151">
        <v>-1.28016227589329</v>
      </c>
      <c r="F180" s="151">
        <v>-1.1571969654124199</v>
      </c>
      <c r="G180" s="151">
        <v>-1.2958034689539499</v>
      </c>
      <c r="H180" s="151">
        <v>-1.4608776272591399</v>
      </c>
      <c r="I180" s="151">
        <v>-1.0791082627300901</v>
      </c>
      <c r="J180" s="151">
        <v>14.634146341463399</v>
      </c>
      <c r="K180" s="151">
        <v>8.7804878048780495</v>
      </c>
      <c r="L180" s="151">
        <v>15.865384615384601</v>
      </c>
      <c r="M180" s="151">
        <v>9.8039215686274499</v>
      </c>
      <c r="N180" s="151">
        <v>5.2631578947368398</v>
      </c>
      <c r="O180" s="151">
        <v>15.865384615384601</v>
      </c>
    </row>
    <row r="181" spans="1:15">
      <c r="A181" s="151">
        <v>2005</v>
      </c>
      <c r="B181" s="151" t="s">
        <v>96</v>
      </c>
      <c r="C181" s="151" t="s">
        <v>3244</v>
      </c>
      <c r="D181" s="151">
        <v>-1.16071758946795</v>
      </c>
      <c r="E181" s="151">
        <v>-0.88054905805443695</v>
      </c>
      <c r="F181" s="151">
        <v>-0.176222749066622</v>
      </c>
      <c r="G181" s="151">
        <v>-0.86135757300024196</v>
      </c>
      <c r="H181" s="151">
        <v>-1.1806982293313799</v>
      </c>
      <c r="I181" s="151">
        <v>-1.0165791068904999</v>
      </c>
      <c r="J181" s="151">
        <v>11.219512195122</v>
      </c>
      <c r="K181" s="151">
        <v>20.487804878048799</v>
      </c>
      <c r="L181" s="151">
        <v>40.384615384615401</v>
      </c>
      <c r="M181" s="151">
        <v>20.588235294117599</v>
      </c>
      <c r="N181" s="151">
        <v>12.4401913875598</v>
      </c>
      <c r="O181" s="151">
        <v>18.269230769230798</v>
      </c>
    </row>
    <row r="182" spans="1:15">
      <c r="A182" s="151">
        <v>2005</v>
      </c>
      <c r="B182" s="151" t="s">
        <v>182</v>
      </c>
      <c r="C182" s="151" t="s">
        <v>3245</v>
      </c>
      <c r="D182" s="151">
        <v>-1.6071762732703601</v>
      </c>
      <c r="E182" s="151">
        <v>-1.45484516670854</v>
      </c>
      <c r="F182" s="151">
        <v>-0.45096928143652498</v>
      </c>
      <c r="G182" s="151">
        <v>-1.3835053187353601</v>
      </c>
      <c r="H182" s="151">
        <v>-1.4317617607747</v>
      </c>
      <c r="I182" s="151">
        <v>-1.6661494477641601</v>
      </c>
      <c r="J182" s="151">
        <v>0.48780487804877998</v>
      </c>
      <c r="K182" s="151">
        <v>4.3902439024390203</v>
      </c>
      <c r="L182" s="151">
        <v>32.211538461538503</v>
      </c>
      <c r="M182" s="151">
        <v>7.3529411764705896</v>
      </c>
      <c r="N182" s="151">
        <v>7.1770334928229698</v>
      </c>
      <c r="O182" s="151">
        <v>4.8076923076923102</v>
      </c>
    </row>
    <row r="183" spans="1:15">
      <c r="A183" s="151">
        <v>2005</v>
      </c>
      <c r="B183" s="151" t="s">
        <v>185</v>
      </c>
      <c r="C183" s="151" t="s">
        <v>3246</v>
      </c>
      <c r="D183" s="151">
        <v>-0.54507656955893702</v>
      </c>
      <c r="E183" s="151">
        <v>-0.83924121249319505</v>
      </c>
      <c r="F183" s="151">
        <v>0.31397842634678003</v>
      </c>
      <c r="G183" s="151">
        <v>-0.231969430308965</v>
      </c>
      <c r="H183" s="151">
        <v>-0.46243772923686099</v>
      </c>
      <c r="I183" s="151">
        <v>-0.87559595195433904</v>
      </c>
      <c r="J183" s="151">
        <v>37.0731707317073</v>
      </c>
      <c r="K183" s="151">
        <v>22.439024390243901</v>
      </c>
      <c r="L183" s="151">
        <v>56.25</v>
      </c>
      <c r="M183" s="151">
        <v>48.039215686274503</v>
      </c>
      <c r="N183" s="151">
        <v>39.712918660287102</v>
      </c>
      <c r="O183" s="151">
        <v>23.076923076923102</v>
      </c>
    </row>
    <row r="184" spans="1:15">
      <c r="A184" s="151">
        <v>2005</v>
      </c>
      <c r="B184" s="151" t="s">
        <v>189</v>
      </c>
      <c r="C184" s="151" t="s">
        <v>3247</v>
      </c>
      <c r="D184" s="151">
        <v>-0.36275648264418903</v>
      </c>
      <c r="E184" s="151">
        <v>-0.155174502719477</v>
      </c>
      <c r="F184" s="151">
        <v>0.17959163187848701</v>
      </c>
      <c r="G184" s="151">
        <v>-0.10778984291930301</v>
      </c>
      <c r="H184" s="151">
        <v>-0.141016690311288</v>
      </c>
      <c r="I184" s="151">
        <v>0.23989395967392299</v>
      </c>
      <c r="J184" s="151">
        <v>45.853658536585399</v>
      </c>
      <c r="K184" s="151">
        <v>50.731707317073202</v>
      </c>
      <c r="L184" s="151">
        <v>52.884615384615401</v>
      </c>
      <c r="M184" s="151">
        <v>52.4509803921569</v>
      </c>
      <c r="N184" s="151">
        <v>48.803827751196202</v>
      </c>
      <c r="O184" s="151">
        <v>57.211538461538503</v>
      </c>
    </row>
    <row r="185" spans="1:15">
      <c r="A185" s="151">
        <v>2005</v>
      </c>
      <c r="B185" s="151" t="s">
        <v>213</v>
      </c>
      <c r="C185" s="151" t="s">
        <v>3248</v>
      </c>
      <c r="D185" s="151">
        <v>-0.63210609405028595</v>
      </c>
      <c r="E185" s="151">
        <v>-0.69747439416438795</v>
      </c>
      <c r="F185" s="151">
        <v>-0.85641283238044197</v>
      </c>
      <c r="G185" s="151">
        <v>-0.39353256369886103</v>
      </c>
      <c r="H185" s="151">
        <v>-1.0952066283572801</v>
      </c>
      <c r="I185" s="151">
        <v>-0.34088739687027603</v>
      </c>
      <c r="J185" s="151">
        <v>32.682926829268297</v>
      </c>
      <c r="K185" s="151">
        <v>27.804878048780498</v>
      </c>
      <c r="L185" s="151">
        <v>21.634615384615401</v>
      </c>
      <c r="M185" s="151">
        <v>41.6666666666667</v>
      </c>
      <c r="N185" s="151">
        <v>14.3540669856459</v>
      </c>
      <c r="O185" s="151">
        <v>36.538461538461497</v>
      </c>
    </row>
    <row r="186" spans="1:15">
      <c r="A186" s="151">
        <v>2005</v>
      </c>
      <c r="B186" s="151" t="s">
        <v>2843</v>
      </c>
      <c r="C186" s="151" t="s">
        <v>3249</v>
      </c>
      <c r="D186" s="151">
        <v>-1.0084424548962001</v>
      </c>
      <c r="E186" s="151">
        <v>-1.0584098250529099</v>
      </c>
      <c r="F186" s="151">
        <v>-1.1777075163630299</v>
      </c>
      <c r="G186" s="151">
        <v>-1.0567133413027501</v>
      </c>
      <c r="H186" s="151">
        <v>-1.3551295390803899</v>
      </c>
      <c r="I186" s="151">
        <v>-1.14030260595291</v>
      </c>
      <c r="J186" s="151">
        <v>15.1219512195122</v>
      </c>
      <c r="K186" s="151">
        <v>14.634146341463399</v>
      </c>
      <c r="L186" s="151">
        <v>15.384615384615399</v>
      </c>
      <c r="M186" s="151">
        <v>15.6862745098039</v>
      </c>
      <c r="N186" s="151">
        <v>8.6124401913875595</v>
      </c>
      <c r="O186" s="151">
        <v>14.903846153846199</v>
      </c>
    </row>
    <row r="187" spans="1:15">
      <c r="A187" s="151">
        <v>2005</v>
      </c>
      <c r="B187" s="151" t="s">
        <v>237</v>
      </c>
      <c r="C187" s="151" t="s">
        <v>3250</v>
      </c>
      <c r="D187" s="151">
        <v>-0.85505662925451198</v>
      </c>
      <c r="E187" s="151">
        <v>-0.44257935360381501</v>
      </c>
      <c r="F187" s="151">
        <v>-1.4848616157230601</v>
      </c>
      <c r="G187" s="151">
        <v>-0.54404748497651101</v>
      </c>
      <c r="H187" s="151">
        <v>-0.82031029447577497</v>
      </c>
      <c r="I187" s="151">
        <v>-0.15827525551322699</v>
      </c>
      <c r="J187" s="151">
        <v>20.487804878048799</v>
      </c>
      <c r="K187" s="151">
        <v>38.536585365853703</v>
      </c>
      <c r="L187" s="151">
        <v>7.2115384615384599</v>
      </c>
      <c r="M187" s="151">
        <v>31.372549019607799</v>
      </c>
      <c r="N187" s="151">
        <v>25.358851674641102</v>
      </c>
      <c r="O187" s="151">
        <v>45.192307692307701</v>
      </c>
    </row>
    <row r="188" spans="1:15">
      <c r="A188" s="151">
        <v>2005</v>
      </c>
      <c r="B188" s="151" t="s">
        <v>245</v>
      </c>
      <c r="C188" s="151" t="s">
        <v>3251</v>
      </c>
      <c r="D188" s="151">
        <v>-1.45897938969067</v>
      </c>
      <c r="E188" s="151">
        <v>-1.6581135071677</v>
      </c>
      <c r="F188" s="151">
        <v>-2.7236513289786601</v>
      </c>
      <c r="G188" s="151">
        <v>-1.5079824787799401</v>
      </c>
      <c r="H188" s="151">
        <v>-1.77333136626146</v>
      </c>
      <c r="I188" s="151">
        <v>-1.40287354005925</v>
      </c>
      <c r="J188" s="151">
        <v>1.9512195121951199</v>
      </c>
      <c r="K188" s="151">
        <v>0.97560975609756095</v>
      </c>
      <c r="L188" s="151">
        <v>0.480769230769231</v>
      </c>
      <c r="M188" s="151">
        <v>5.3921568627451002</v>
      </c>
      <c r="N188" s="151">
        <v>0.47846889952153099</v>
      </c>
      <c r="O188" s="151">
        <v>9.1346153846153904</v>
      </c>
    </row>
    <row r="189" spans="1:15">
      <c r="A189" s="151">
        <v>2005</v>
      </c>
      <c r="B189" s="151" t="s">
        <v>273</v>
      </c>
      <c r="C189" s="151" t="s">
        <v>3252</v>
      </c>
      <c r="D189" s="151">
        <v>-0.99613384534870197</v>
      </c>
      <c r="E189" s="151">
        <v>-0.55226747501863804</v>
      </c>
      <c r="F189" s="151">
        <v>0.177586919741824</v>
      </c>
      <c r="G189" s="151">
        <v>-0.32629253789044799</v>
      </c>
      <c r="H189" s="151">
        <v>-0.82430284291645095</v>
      </c>
      <c r="I189" s="151">
        <v>-1.0029731937432</v>
      </c>
      <c r="J189" s="151">
        <v>15.609756097561</v>
      </c>
      <c r="K189" s="151">
        <v>34.634146341463399</v>
      </c>
      <c r="L189" s="151">
        <v>52.403846153846203</v>
      </c>
      <c r="M189" s="151">
        <v>44.607843137254903</v>
      </c>
      <c r="N189" s="151">
        <v>24.8803827751196</v>
      </c>
      <c r="O189" s="151">
        <v>19.230769230769202</v>
      </c>
    </row>
    <row r="190" spans="1:15">
      <c r="A190" s="151">
        <v>2005</v>
      </c>
      <c r="B190" s="151" t="s">
        <v>278</v>
      </c>
      <c r="C190" s="151" t="s">
        <v>3253</v>
      </c>
      <c r="D190" s="151">
        <v>-1.1703095305947999</v>
      </c>
      <c r="E190" s="151">
        <v>-0.83027922470362103</v>
      </c>
      <c r="F190" s="151">
        <v>-1.13361994914459</v>
      </c>
      <c r="G190" s="151">
        <v>-0.879417721672345</v>
      </c>
      <c r="H190" s="151">
        <v>-1.12444220402554</v>
      </c>
      <c r="I190" s="151">
        <v>-0.80955538455482101</v>
      </c>
      <c r="J190" s="151">
        <v>10.7317073170732</v>
      </c>
      <c r="K190" s="151">
        <v>22.9268292682927</v>
      </c>
      <c r="L190" s="151">
        <v>16.346153846153801</v>
      </c>
      <c r="M190" s="151">
        <v>19.6078431372549</v>
      </c>
      <c r="N190" s="151">
        <v>12.9186602870813</v>
      </c>
      <c r="O190" s="151">
        <v>25</v>
      </c>
    </row>
    <row r="191" spans="1:15">
      <c r="A191" s="151">
        <v>2005</v>
      </c>
      <c r="B191" s="151" t="s">
        <v>294</v>
      </c>
      <c r="C191" s="151" t="s">
        <v>3254</v>
      </c>
      <c r="D191" s="151">
        <v>-1.03722443393289</v>
      </c>
      <c r="E191" s="151">
        <v>-1.36562454102843</v>
      </c>
      <c r="F191" s="151">
        <v>-1.3603982162775199</v>
      </c>
      <c r="G191" s="151">
        <v>-1.55368081962425</v>
      </c>
      <c r="H191" s="151">
        <v>-1.3658231767256701</v>
      </c>
      <c r="I191" s="151">
        <v>-0.30452301648671498</v>
      </c>
      <c r="J191" s="151">
        <v>14.146341463414601</v>
      </c>
      <c r="K191" s="151">
        <v>6.3414634146341502</v>
      </c>
      <c r="L191" s="151">
        <v>11.057692307692299</v>
      </c>
      <c r="M191" s="151">
        <v>4.9019607843137303</v>
      </c>
      <c r="N191" s="151">
        <v>7.6555023923445003</v>
      </c>
      <c r="O191" s="151">
        <v>37.5</v>
      </c>
    </row>
    <row r="192" spans="1:15">
      <c r="A192" s="151">
        <v>2005</v>
      </c>
      <c r="B192" s="151" t="s">
        <v>309</v>
      </c>
      <c r="C192" s="151" t="s">
        <v>3255</v>
      </c>
      <c r="D192" s="151">
        <v>9.5425467892698596E-2</v>
      </c>
      <c r="E192" s="151">
        <v>-0.37065582988079598</v>
      </c>
      <c r="F192" s="151">
        <v>-5.1625611738099798E-2</v>
      </c>
      <c r="G192" s="151">
        <v>-0.236855081881584</v>
      </c>
      <c r="H192" s="151">
        <v>-0.32514245146820098</v>
      </c>
      <c r="I192" s="151">
        <v>-0.14122654487008099</v>
      </c>
      <c r="J192" s="151">
        <v>58.048780487804898</v>
      </c>
      <c r="K192" s="151">
        <v>41.951219512195102</v>
      </c>
      <c r="L192" s="151">
        <v>44.230769230769198</v>
      </c>
      <c r="M192" s="151">
        <v>47.058823529411796</v>
      </c>
      <c r="N192" s="151">
        <v>43.062200956937801</v>
      </c>
      <c r="O192" s="151">
        <v>46.153846153846203</v>
      </c>
    </row>
    <row r="193" spans="1:15">
      <c r="A193" s="151">
        <v>2005</v>
      </c>
      <c r="B193" s="151" t="s">
        <v>322</v>
      </c>
      <c r="C193" s="151" t="s">
        <v>3256</v>
      </c>
      <c r="D193" s="151">
        <v>-0.40043216730911002</v>
      </c>
      <c r="E193" s="151">
        <v>-0.68877396284047399</v>
      </c>
      <c r="F193" s="151">
        <v>0.18655778206896401</v>
      </c>
      <c r="G193" s="151">
        <v>-0.51372564286733702</v>
      </c>
      <c r="H193" s="151">
        <v>-0.13955337504121099</v>
      </c>
      <c r="I193" s="151">
        <v>0.25262867932035099</v>
      </c>
      <c r="J193" s="151">
        <v>42.9268292682927</v>
      </c>
      <c r="K193" s="151">
        <v>28.292682926829301</v>
      </c>
      <c r="L193" s="151">
        <v>53.846153846153797</v>
      </c>
      <c r="M193" s="151">
        <v>32.352941176470601</v>
      </c>
      <c r="N193" s="151">
        <v>49.282296650717697</v>
      </c>
      <c r="O193" s="151">
        <v>58.653846153846203</v>
      </c>
    </row>
    <row r="194" spans="1:15">
      <c r="A194" s="151">
        <v>2005</v>
      </c>
      <c r="B194" s="151" t="s">
        <v>338</v>
      </c>
      <c r="C194" s="151" t="s">
        <v>3257</v>
      </c>
      <c r="D194" s="151">
        <v>-0.35977094999669301</v>
      </c>
      <c r="E194" s="151">
        <v>-0.33235950864759101</v>
      </c>
      <c r="F194" s="151">
        <v>-0.23782928121267499</v>
      </c>
      <c r="G194" s="151">
        <v>-0.37568791975201998</v>
      </c>
      <c r="H194" s="151">
        <v>-0.645568913291931</v>
      </c>
      <c r="I194" s="151">
        <v>-0.96929629828576602</v>
      </c>
      <c r="J194" s="151">
        <v>46.829268292682897</v>
      </c>
      <c r="K194" s="151">
        <v>43.902439024390198</v>
      </c>
      <c r="L194" s="151">
        <v>37.980769230769198</v>
      </c>
      <c r="M194" s="151">
        <v>43.137254901960802</v>
      </c>
      <c r="N194" s="151">
        <v>32.0574162679426</v>
      </c>
      <c r="O194" s="151">
        <v>21.153846153846199</v>
      </c>
    </row>
    <row r="195" spans="1:15">
      <c r="A195" s="151">
        <v>2005</v>
      </c>
      <c r="B195" s="151" t="s">
        <v>378</v>
      </c>
      <c r="C195" s="151" t="s">
        <v>3258</v>
      </c>
      <c r="D195" s="151">
        <v>-0.54145472598851896</v>
      </c>
      <c r="E195" s="151">
        <v>-0.52078781783599004</v>
      </c>
      <c r="F195" s="151">
        <v>0.115280352252426</v>
      </c>
      <c r="G195" s="151">
        <v>-0.65395114961978495</v>
      </c>
      <c r="H195" s="151">
        <v>-0.61226044535287705</v>
      </c>
      <c r="I195" s="151">
        <v>-4.4285341882093999E-3</v>
      </c>
      <c r="J195" s="151">
        <v>37.560975609756099</v>
      </c>
      <c r="K195" s="151">
        <v>37.0731707317073</v>
      </c>
      <c r="L195" s="151">
        <v>51.442307692307701</v>
      </c>
      <c r="M195" s="151">
        <v>25</v>
      </c>
      <c r="N195" s="151">
        <v>33.492822966507198</v>
      </c>
      <c r="O195" s="151">
        <v>50.480769230769198</v>
      </c>
    </row>
    <row r="196" spans="1:15">
      <c r="A196" s="151">
        <v>2005</v>
      </c>
      <c r="B196" s="151" t="s">
        <v>387</v>
      </c>
      <c r="C196" s="151" t="s">
        <v>3259</v>
      </c>
      <c r="D196" s="151">
        <v>-0.72529246513046297</v>
      </c>
      <c r="E196" s="151">
        <v>-0.78861405735764301</v>
      </c>
      <c r="F196" s="151">
        <v>-0.47753458972371499</v>
      </c>
      <c r="G196" s="151">
        <v>-0.42081365309733498</v>
      </c>
      <c r="H196" s="151">
        <v>-0.80002393824007001</v>
      </c>
      <c r="I196" s="151">
        <v>-0.29942159472943602</v>
      </c>
      <c r="J196" s="151">
        <v>28.292682926829301</v>
      </c>
      <c r="K196" s="151">
        <v>24.878048780487799</v>
      </c>
      <c r="L196" s="151">
        <v>30.769230769230798</v>
      </c>
      <c r="M196" s="151">
        <v>39.2156862745098</v>
      </c>
      <c r="N196" s="151">
        <v>26.7942583732057</v>
      </c>
      <c r="O196" s="151">
        <v>38.461538461538503</v>
      </c>
    </row>
    <row r="197" spans="1:15">
      <c r="A197" s="151">
        <v>2005</v>
      </c>
      <c r="B197" s="151" t="s">
        <v>406</v>
      </c>
      <c r="C197" s="151" t="s">
        <v>3260</v>
      </c>
      <c r="D197" s="151">
        <v>-1.158790333554</v>
      </c>
      <c r="E197" s="151">
        <v>-0.88329232538505997</v>
      </c>
      <c r="F197" s="151">
        <v>-1.6482880439652801</v>
      </c>
      <c r="G197" s="151">
        <v>-0.76768867426750198</v>
      </c>
      <c r="H197" s="151">
        <v>-1.36129952141515</v>
      </c>
      <c r="I197" s="151">
        <v>-0.84345818856703603</v>
      </c>
      <c r="J197" s="151">
        <v>11.707317073170699</v>
      </c>
      <c r="K197" s="151">
        <v>20</v>
      </c>
      <c r="L197" s="151">
        <v>6.25</v>
      </c>
      <c r="M197" s="151">
        <v>23.529411764705898</v>
      </c>
      <c r="N197" s="151">
        <v>8.1339712918660307</v>
      </c>
      <c r="O197" s="151">
        <v>24.519230769230798</v>
      </c>
    </row>
    <row r="198" spans="1:15">
      <c r="A198" s="151">
        <v>2005</v>
      </c>
      <c r="B198" s="151" t="s">
        <v>442</v>
      </c>
      <c r="C198" s="151" t="s">
        <v>3261</v>
      </c>
      <c r="D198" s="151">
        <v>-0.36012924757922499</v>
      </c>
      <c r="E198" s="151">
        <v>-0.60044293542902905</v>
      </c>
      <c r="F198" s="151">
        <v>-0.97676687745370405</v>
      </c>
      <c r="G198" s="151">
        <v>8.1359403889796206E-2</v>
      </c>
      <c r="H198" s="151">
        <v>-0.74154496365820899</v>
      </c>
      <c r="I198" s="151">
        <v>-1.8341252380880701E-2</v>
      </c>
      <c r="J198" s="151">
        <v>46.341463414634099</v>
      </c>
      <c r="K198" s="151">
        <v>32.682926829268297</v>
      </c>
      <c r="L198" s="151">
        <v>18.75</v>
      </c>
      <c r="M198" s="151">
        <v>55.882352941176499</v>
      </c>
      <c r="N198" s="151">
        <v>29.186602870813399</v>
      </c>
      <c r="O198" s="151">
        <v>49.519230769230802</v>
      </c>
    </row>
    <row r="199" spans="1:15">
      <c r="A199" s="151">
        <v>2005</v>
      </c>
      <c r="B199" s="151" t="s">
        <v>481</v>
      </c>
      <c r="C199" s="151" t="s">
        <v>3262</v>
      </c>
      <c r="D199" s="151">
        <v>-1.09453952114388</v>
      </c>
      <c r="E199" s="151">
        <v>-1.3576070739402999</v>
      </c>
      <c r="F199" s="151">
        <v>-0.43123181520273601</v>
      </c>
      <c r="G199" s="151">
        <v>-1.0803843711205099</v>
      </c>
      <c r="H199" s="151">
        <v>-1.18272395034968</v>
      </c>
      <c r="I199" s="151">
        <v>-0.51826127639031105</v>
      </c>
      <c r="J199" s="151">
        <v>12.6829268292683</v>
      </c>
      <c r="K199" s="151">
        <v>6.8292682926829302</v>
      </c>
      <c r="L199" s="151">
        <v>34.134615384615401</v>
      </c>
      <c r="M199" s="151">
        <v>14.705882352941201</v>
      </c>
      <c r="N199" s="151">
        <v>11.9617224880383</v>
      </c>
      <c r="O199" s="151">
        <v>30.769230769230798</v>
      </c>
    </row>
    <row r="200" spans="1:15">
      <c r="A200" s="151">
        <v>2005</v>
      </c>
      <c r="B200" s="151" t="s">
        <v>492</v>
      </c>
      <c r="C200" s="151" t="s">
        <v>3263</v>
      </c>
      <c r="D200" s="151">
        <v>-0.64983455379370303</v>
      </c>
      <c r="E200" s="151">
        <v>-0.38736645357732902</v>
      </c>
      <c r="F200" s="151">
        <v>-0.56826142892158404</v>
      </c>
      <c r="G200" s="151">
        <v>-0.45068103405591098</v>
      </c>
      <c r="H200" s="151">
        <v>-0.26013654647699402</v>
      </c>
      <c r="I200" s="151">
        <v>-0.29045743816476799</v>
      </c>
      <c r="J200" s="151">
        <v>30.731707317073202</v>
      </c>
      <c r="K200" s="151">
        <v>41.463414634146297</v>
      </c>
      <c r="L200" s="151">
        <v>28.365384615384599</v>
      </c>
      <c r="M200" s="151">
        <v>36.764705882352899</v>
      </c>
      <c r="N200" s="151">
        <v>45.454545454545503</v>
      </c>
      <c r="O200" s="151">
        <v>38.942307692307701</v>
      </c>
    </row>
    <row r="201" spans="1:15">
      <c r="A201" s="151">
        <v>2005</v>
      </c>
      <c r="B201" s="151" t="s">
        <v>510</v>
      </c>
      <c r="C201" s="151" t="s">
        <v>3264</v>
      </c>
      <c r="D201" s="151">
        <v>-0.79251262521772903</v>
      </c>
      <c r="E201" s="151">
        <v>-1.49765936701691</v>
      </c>
      <c r="F201" s="151">
        <v>-1.46146751562461</v>
      </c>
      <c r="G201" s="151">
        <v>-0.83839143850395104</v>
      </c>
      <c r="H201" s="151">
        <v>-1.0945032796338501</v>
      </c>
      <c r="I201" s="151">
        <v>-1.2833026725183201</v>
      </c>
      <c r="J201" s="151">
        <v>21.951219512195099</v>
      </c>
      <c r="K201" s="151">
        <v>3.9024390243902398</v>
      </c>
      <c r="L201" s="151">
        <v>7.6923076923076898</v>
      </c>
      <c r="M201" s="151">
        <v>21.078431372549002</v>
      </c>
      <c r="N201" s="151">
        <v>14.8325358851675</v>
      </c>
      <c r="O201" s="151">
        <v>10.5769230769231</v>
      </c>
    </row>
    <row r="202" spans="1:15">
      <c r="A202" s="151">
        <v>2005</v>
      </c>
      <c r="B202" s="151" t="s">
        <v>2844</v>
      </c>
      <c r="C202" s="151" t="s">
        <v>3265</v>
      </c>
      <c r="D202" s="151">
        <v>-0.78908846330496896</v>
      </c>
      <c r="E202" s="151">
        <v>-0.96645924177367504</v>
      </c>
      <c r="F202" s="151">
        <v>-0.70212450339055099</v>
      </c>
      <c r="G202" s="151">
        <v>-1.1302065711317799</v>
      </c>
      <c r="H202" s="151">
        <v>-0.544799490349273</v>
      </c>
      <c r="I202" s="151">
        <v>-0.21061816055236501</v>
      </c>
      <c r="J202" s="151">
        <v>22.439024390243901</v>
      </c>
      <c r="K202" s="151">
        <v>16.097560975609799</v>
      </c>
      <c r="L202" s="151">
        <v>25</v>
      </c>
      <c r="M202" s="151">
        <v>12.2549019607843</v>
      </c>
      <c r="N202" s="151">
        <v>36.363636363636402</v>
      </c>
      <c r="O202" s="151">
        <v>40.384615384615401</v>
      </c>
    </row>
    <row r="203" spans="1:15">
      <c r="A203" s="151">
        <v>2005</v>
      </c>
      <c r="B203" s="151" t="s">
        <v>2845</v>
      </c>
      <c r="C203" s="151" t="s">
        <v>3266</v>
      </c>
      <c r="D203" s="151">
        <v>-7.7515226962444297E-2</v>
      </c>
      <c r="E203" s="151">
        <v>0.18689705208466301</v>
      </c>
      <c r="F203" s="151">
        <v>-0.13479988856337799</v>
      </c>
      <c r="G203" s="151">
        <v>0.60410837122231198</v>
      </c>
      <c r="H203" s="151">
        <v>-8.3237134161485399E-2</v>
      </c>
      <c r="I203" s="151">
        <v>0.59591678658658698</v>
      </c>
      <c r="J203" s="151">
        <v>55.121951219512198</v>
      </c>
      <c r="K203" s="151">
        <v>60.487804878048799</v>
      </c>
      <c r="L203" s="151">
        <v>41.826923076923102</v>
      </c>
      <c r="M203" s="151">
        <v>67.647058823529406</v>
      </c>
      <c r="N203" s="151">
        <v>51.196172248803798</v>
      </c>
      <c r="O203" s="151">
        <v>66.346153846153797</v>
      </c>
    </row>
    <row r="204" spans="1:15">
      <c r="A204" s="151">
        <v>2005</v>
      </c>
      <c r="B204" s="151" t="s">
        <v>2846</v>
      </c>
      <c r="C204" s="151" t="s">
        <v>3267</v>
      </c>
      <c r="D204" s="151">
        <v>-0.787371348601688</v>
      </c>
      <c r="E204" s="151">
        <v>-0.93017870469378705</v>
      </c>
      <c r="F204" s="151">
        <v>-1.4199742268372699</v>
      </c>
      <c r="G204" s="151">
        <v>-0.81807439401396898</v>
      </c>
      <c r="H204" s="151">
        <v>-1.2604815820848101</v>
      </c>
      <c r="I204" s="151">
        <v>-1.06703009280838</v>
      </c>
      <c r="J204" s="151">
        <v>23.414634146341498</v>
      </c>
      <c r="K204" s="151">
        <v>17.560975609756099</v>
      </c>
      <c r="L204" s="151">
        <v>9.1346153846153904</v>
      </c>
      <c r="M204" s="151">
        <v>22.0588235294118</v>
      </c>
      <c r="N204" s="151">
        <v>9.5693779904306204</v>
      </c>
      <c r="O204" s="151">
        <v>16.346153846153801</v>
      </c>
    </row>
    <row r="205" spans="1:15">
      <c r="A205" s="151">
        <v>2005</v>
      </c>
      <c r="B205" s="151" t="s">
        <v>534</v>
      </c>
      <c r="C205" s="151" t="s">
        <v>3268</v>
      </c>
      <c r="D205" s="151">
        <v>-0.78775073727918099</v>
      </c>
      <c r="E205" s="151">
        <v>-0.93610067162176402</v>
      </c>
      <c r="F205" s="151">
        <v>6.8862896613340802E-2</v>
      </c>
      <c r="G205" s="151">
        <v>-0.69833966732283503</v>
      </c>
      <c r="H205" s="151">
        <v>-0.57597318534311603</v>
      </c>
      <c r="I205" s="151">
        <v>-0.41956029719095</v>
      </c>
      <c r="J205" s="151">
        <v>22.9268292682927</v>
      </c>
      <c r="K205" s="151">
        <v>17.0731707317073</v>
      </c>
      <c r="L205" s="151">
        <v>48.557692307692299</v>
      </c>
      <c r="M205" s="151">
        <v>24.509803921568601</v>
      </c>
      <c r="N205" s="151">
        <v>34.928229665071797</v>
      </c>
      <c r="O205" s="151">
        <v>34.615384615384599</v>
      </c>
    </row>
    <row r="206" spans="1:15">
      <c r="A206" s="151">
        <v>2005</v>
      </c>
      <c r="B206" s="151" t="s">
        <v>357</v>
      </c>
      <c r="C206" s="151" t="s">
        <v>3269</v>
      </c>
      <c r="D206" s="151">
        <v>-0.58142108869310205</v>
      </c>
      <c r="E206" s="151">
        <v>-0.36459357284694899</v>
      </c>
      <c r="F206" s="151">
        <v>0.88191615025923498</v>
      </c>
      <c r="G206" s="151">
        <v>-0.44426501771393401</v>
      </c>
      <c r="H206" s="151">
        <v>-0.23194734638489301</v>
      </c>
      <c r="I206" s="151">
        <v>4.99885920400285E-2</v>
      </c>
      <c r="J206" s="151">
        <v>35.609756097560997</v>
      </c>
      <c r="K206" s="151">
        <v>42.9268292682927</v>
      </c>
      <c r="L206" s="151">
        <v>76.923076923076906</v>
      </c>
      <c r="M206" s="151">
        <v>37.254901960784302</v>
      </c>
      <c r="N206" s="151">
        <v>46.4114832535885</v>
      </c>
      <c r="O206" s="151">
        <v>53.365384615384599</v>
      </c>
    </row>
    <row r="207" spans="1:15">
      <c r="A207" s="151">
        <v>2006</v>
      </c>
      <c r="B207" s="151" t="s">
        <v>16</v>
      </c>
      <c r="C207" s="151" t="s">
        <v>3270</v>
      </c>
      <c r="D207" s="151">
        <v>-1.44451638255312</v>
      </c>
      <c r="E207" s="151">
        <v>-1.48808071126238</v>
      </c>
      <c r="F207" s="151">
        <v>-2.2310944545182498</v>
      </c>
      <c r="G207" s="151">
        <v>-1.6741096598140499</v>
      </c>
      <c r="H207" s="151">
        <v>-1.9557250150813399</v>
      </c>
      <c r="I207" s="151">
        <v>-1.19084782396245</v>
      </c>
      <c r="J207" s="151">
        <v>3.4146341463414598</v>
      </c>
      <c r="K207" s="151">
        <v>4.3902439024390203</v>
      </c>
      <c r="L207" s="151">
        <v>1.4423076923076901</v>
      </c>
      <c r="M207" s="151">
        <v>2.9411764705882399</v>
      </c>
      <c r="N207" s="151">
        <v>0.47846889952153099</v>
      </c>
      <c r="O207" s="151">
        <v>13.942307692307701</v>
      </c>
    </row>
    <row r="208" spans="1:15">
      <c r="A208" s="151">
        <v>2006</v>
      </c>
      <c r="B208" s="151" t="s">
        <v>33</v>
      </c>
      <c r="C208" s="151" t="s">
        <v>3271</v>
      </c>
      <c r="D208" s="151">
        <v>-0.80598041597658099</v>
      </c>
      <c r="E208" s="151">
        <v>-0.456362150013507</v>
      </c>
      <c r="F208" s="151">
        <v>-0.48508535089294103</v>
      </c>
      <c r="G208" s="151">
        <v>-9.4024469937926194E-2</v>
      </c>
      <c r="H208" s="151">
        <v>-0.73036456183219101</v>
      </c>
      <c r="I208" s="151">
        <v>5.4177932621381902E-2</v>
      </c>
      <c r="J208" s="151">
        <v>22.439024390243901</v>
      </c>
      <c r="K208" s="151">
        <v>39.024390243902403</v>
      </c>
      <c r="L208" s="151">
        <v>29.807692307692299</v>
      </c>
      <c r="M208" s="151">
        <v>51.470588235294102</v>
      </c>
      <c r="N208" s="151">
        <v>27.7511961722488</v>
      </c>
      <c r="O208" s="151">
        <v>49.519230769230802</v>
      </c>
    </row>
    <row r="209" spans="1:15">
      <c r="A209" s="151">
        <v>2006</v>
      </c>
      <c r="B209" s="151" t="s">
        <v>48</v>
      </c>
      <c r="C209" s="151" t="s">
        <v>3272</v>
      </c>
      <c r="D209" s="151">
        <v>-0.98963096081231505</v>
      </c>
      <c r="E209" s="151">
        <v>-0.67500074406877697</v>
      </c>
      <c r="F209" s="151">
        <v>-1.0848389073723499</v>
      </c>
      <c r="G209" s="151">
        <v>-0.49545094100609999</v>
      </c>
      <c r="H209" s="151">
        <v>-0.80642196533088395</v>
      </c>
      <c r="I209" s="151">
        <v>-1.2204446980110599</v>
      </c>
      <c r="J209" s="151">
        <v>15.1219512195122</v>
      </c>
      <c r="K209" s="151">
        <v>28.292682926829301</v>
      </c>
      <c r="L209" s="151">
        <v>16.346153846153801</v>
      </c>
      <c r="M209" s="151">
        <v>33.823529411764703</v>
      </c>
      <c r="N209" s="151">
        <v>24.8803827751196</v>
      </c>
      <c r="O209" s="151">
        <v>13.461538461538501</v>
      </c>
    </row>
    <row r="210" spans="1:15">
      <c r="A210" s="151">
        <v>2006</v>
      </c>
      <c r="B210" s="151" t="s">
        <v>93</v>
      </c>
      <c r="C210" s="151" t="s">
        <v>3273</v>
      </c>
      <c r="D210" s="151">
        <v>-0.32922626690787898</v>
      </c>
      <c r="E210" s="151">
        <v>-0.74309618810448497</v>
      </c>
      <c r="F210" s="151">
        <v>0.146304401615069</v>
      </c>
      <c r="G210" s="151">
        <v>-0.31462590401216201</v>
      </c>
      <c r="H210" s="151">
        <v>-0.41702188767563297</v>
      </c>
      <c r="I210" s="151">
        <v>-0.37312350226301799</v>
      </c>
      <c r="J210" s="151">
        <v>44.878048780487802</v>
      </c>
      <c r="K210" s="151">
        <v>26.829268292682901</v>
      </c>
      <c r="L210" s="151">
        <v>51.923076923076898</v>
      </c>
      <c r="M210" s="151">
        <v>43.627450980392197</v>
      </c>
      <c r="N210" s="151">
        <v>43.062200956937801</v>
      </c>
      <c r="O210" s="151">
        <v>35.096153846153797</v>
      </c>
    </row>
    <row r="211" spans="1:15">
      <c r="A211" s="151">
        <v>2006</v>
      </c>
      <c r="B211" s="151" t="s">
        <v>122</v>
      </c>
      <c r="C211" s="151" t="s">
        <v>3274</v>
      </c>
      <c r="D211" s="151">
        <v>-0.99707513756548405</v>
      </c>
      <c r="E211" s="151">
        <v>-1.4106291847243999</v>
      </c>
      <c r="F211" s="151">
        <v>-1.83942548667351</v>
      </c>
      <c r="G211" s="151">
        <v>-1.19137800216339</v>
      </c>
      <c r="H211" s="151">
        <v>-1.4899610230462901</v>
      </c>
      <c r="I211" s="151">
        <v>-1.01288987959902</v>
      </c>
      <c r="J211" s="151">
        <v>14.634146341463399</v>
      </c>
      <c r="K211" s="151">
        <v>5.3658536585365901</v>
      </c>
      <c r="L211" s="151">
        <v>5.7692307692307701</v>
      </c>
      <c r="M211" s="151">
        <v>11.764705882352899</v>
      </c>
      <c r="N211" s="151">
        <v>3.3492822966507201</v>
      </c>
      <c r="O211" s="151">
        <v>19.230769230769202</v>
      </c>
    </row>
    <row r="212" spans="1:15">
      <c r="A212" s="151">
        <v>2006</v>
      </c>
      <c r="B212" s="151" t="s">
        <v>133</v>
      </c>
      <c r="C212" s="151" t="s">
        <v>3275</v>
      </c>
      <c r="D212" s="151">
        <v>-1.2675257832553</v>
      </c>
      <c r="E212" s="151">
        <v>-1.4424511967806399</v>
      </c>
      <c r="F212" s="151">
        <v>-1.8096576678237599</v>
      </c>
      <c r="G212" s="151">
        <v>-1.08069741550772</v>
      </c>
      <c r="H212" s="151">
        <v>-1.50879904592281</v>
      </c>
      <c r="I212" s="151">
        <v>-1.4290127172070499</v>
      </c>
      <c r="J212" s="151">
        <v>6.3414634146341502</v>
      </c>
      <c r="K212" s="151">
        <v>4.8780487804878003</v>
      </c>
      <c r="L212" s="151">
        <v>6.25</v>
      </c>
      <c r="M212" s="151">
        <v>15.1960784313725</v>
      </c>
      <c r="N212" s="151">
        <v>2.87081339712919</v>
      </c>
      <c r="O212" s="151">
        <v>8.6538461538461497</v>
      </c>
    </row>
    <row r="213" spans="1:15">
      <c r="A213" s="151">
        <v>2006</v>
      </c>
      <c r="B213" s="151" t="s">
        <v>165</v>
      </c>
      <c r="C213" s="151" t="s">
        <v>3276</v>
      </c>
      <c r="D213" s="151">
        <v>-1.48490226801068</v>
      </c>
      <c r="E213" s="151">
        <v>-1.65270956084891</v>
      </c>
      <c r="F213" s="151">
        <v>-2.2730878102677199</v>
      </c>
      <c r="G213" s="151">
        <v>-1.3157009717291099</v>
      </c>
      <c r="H213" s="151">
        <v>-1.61129357638174</v>
      </c>
      <c r="I213" s="151">
        <v>-1.2814657079521401</v>
      </c>
      <c r="J213" s="151">
        <v>2.9268292682926802</v>
      </c>
      <c r="K213" s="151">
        <v>1.9512195121951199</v>
      </c>
      <c r="L213" s="151">
        <v>0.96153846153846201</v>
      </c>
      <c r="M213" s="151">
        <v>8.8235294117647101</v>
      </c>
      <c r="N213" s="151">
        <v>1.91387559808612</v>
      </c>
      <c r="O213" s="151">
        <v>10.5769230769231</v>
      </c>
    </row>
    <row r="214" spans="1:15">
      <c r="A214" s="151">
        <v>2006</v>
      </c>
      <c r="B214" s="151" t="s">
        <v>458</v>
      </c>
      <c r="C214" s="151" t="s">
        <v>3277</v>
      </c>
      <c r="D214" s="151">
        <v>-1.0493397193926699</v>
      </c>
      <c r="E214" s="151">
        <v>-1.2898742480535099</v>
      </c>
      <c r="F214" s="151">
        <v>-0.94224838686328005</v>
      </c>
      <c r="G214" s="151">
        <v>-1.1998485021315199</v>
      </c>
      <c r="H214" s="151">
        <v>-1.2400734475467901</v>
      </c>
      <c r="I214" s="151">
        <v>-1.2250178714915001</v>
      </c>
      <c r="J214" s="151">
        <v>12.6829268292683</v>
      </c>
      <c r="K214" s="151">
        <v>8.2926829268292703</v>
      </c>
      <c r="L214" s="151">
        <v>17.788461538461501</v>
      </c>
      <c r="M214" s="151">
        <v>11.2745098039216</v>
      </c>
      <c r="N214" s="151">
        <v>10.047846889952201</v>
      </c>
      <c r="O214" s="151">
        <v>12.9807692307692</v>
      </c>
    </row>
    <row r="215" spans="1:15">
      <c r="A215" s="151">
        <v>2006</v>
      </c>
      <c r="B215" s="151" t="s">
        <v>96</v>
      </c>
      <c r="C215" s="151" t="s">
        <v>3278</v>
      </c>
      <c r="D215" s="151">
        <v>-1.0266473517350001</v>
      </c>
      <c r="E215" s="151">
        <v>-0.92944433305378604</v>
      </c>
      <c r="F215" s="151">
        <v>-0.26351750966880499</v>
      </c>
      <c r="G215" s="151">
        <v>-0.83400093790035601</v>
      </c>
      <c r="H215" s="151">
        <v>-1.1307934321199899</v>
      </c>
      <c r="I215" s="151">
        <v>-1.0252529637096699</v>
      </c>
      <c r="J215" s="151">
        <v>14.146341463414601</v>
      </c>
      <c r="K215" s="151">
        <v>18.5365853658537</v>
      </c>
      <c r="L215" s="151">
        <v>37.019230769230802</v>
      </c>
      <c r="M215" s="151">
        <v>21.078431372549002</v>
      </c>
      <c r="N215" s="151">
        <v>11.4832535885167</v>
      </c>
      <c r="O215" s="151">
        <v>18.75</v>
      </c>
    </row>
    <row r="216" spans="1:15">
      <c r="A216" s="151">
        <v>2006</v>
      </c>
      <c r="B216" s="151" t="s">
        <v>182</v>
      </c>
      <c r="C216" s="151" t="s">
        <v>3279</v>
      </c>
      <c r="D216" s="151">
        <v>-1.53361283326478</v>
      </c>
      <c r="E216" s="151">
        <v>-1.5973533309583301</v>
      </c>
      <c r="F216" s="151">
        <v>0.130687901805739</v>
      </c>
      <c r="G216" s="151">
        <v>-1.3343674194816599</v>
      </c>
      <c r="H216" s="151">
        <v>-1.3551180684561901</v>
      </c>
      <c r="I216" s="151">
        <v>-1.80706320137097</v>
      </c>
      <c r="J216" s="151">
        <v>1.9512195121951199</v>
      </c>
      <c r="K216" s="151">
        <v>2.4390243902439002</v>
      </c>
      <c r="L216" s="151">
        <v>50.961538461538503</v>
      </c>
      <c r="M216" s="151">
        <v>8.3333333333333304</v>
      </c>
      <c r="N216" s="151">
        <v>6.6985645933014402</v>
      </c>
      <c r="O216" s="151">
        <v>3.8461538461538498</v>
      </c>
    </row>
    <row r="217" spans="1:15">
      <c r="A217" s="151">
        <v>2006</v>
      </c>
      <c r="B217" s="151" t="s">
        <v>185</v>
      </c>
      <c r="C217" s="151" t="s">
        <v>3280</v>
      </c>
      <c r="D217" s="151">
        <v>-0.96201247238732601</v>
      </c>
      <c r="E217" s="151">
        <v>-0.848142100823019</v>
      </c>
      <c r="F217" s="151">
        <v>0.181107194869954</v>
      </c>
      <c r="G217" s="151">
        <v>-0.47528540908030997</v>
      </c>
      <c r="H217" s="151">
        <v>-0.73108032311967097</v>
      </c>
      <c r="I217" s="151">
        <v>-0.98637035451663602</v>
      </c>
      <c r="J217" s="151">
        <v>16.585365853658502</v>
      </c>
      <c r="K217" s="151">
        <v>20.487804878048799</v>
      </c>
      <c r="L217" s="151">
        <v>52.403846153846203</v>
      </c>
      <c r="M217" s="151">
        <v>34.313725490196099</v>
      </c>
      <c r="N217" s="151">
        <v>27.272727272727298</v>
      </c>
      <c r="O217" s="151">
        <v>21.153846153846199</v>
      </c>
    </row>
    <row r="218" spans="1:15">
      <c r="A218" s="151">
        <v>2006</v>
      </c>
      <c r="B218" s="151" t="s">
        <v>189</v>
      </c>
      <c r="C218" s="151" t="s">
        <v>3281</v>
      </c>
      <c r="D218" s="151">
        <v>-1.9105712134025201E-2</v>
      </c>
      <c r="E218" s="151">
        <v>0.105214744277195</v>
      </c>
      <c r="F218" s="151">
        <v>1.6425267880939801E-2</v>
      </c>
      <c r="G218" s="151">
        <v>-7.7542191410285094E-2</v>
      </c>
      <c r="H218" s="151">
        <v>1.19959577036791E-3</v>
      </c>
      <c r="I218" s="151">
        <v>0.36521092735796301</v>
      </c>
      <c r="J218" s="151">
        <v>58.048780487804898</v>
      </c>
      <c r="K218" s="151">
        <v>58.536585365853703</v>
      </c>
      <c r="L218" s="151">
        <v>46.153846153846203</v>
      </c>
      <c r="M218" s="151">
        <v>51.960784313725497</v>
      </c>
      <c r="N218" s="151">
        <v>54.066985645933002</v>
      </c>
      <c r="O218" s="151">
        <v>58.653846153846203</v>
      </c>
    </row>
    <row r="219" spans="1:15">
      <c r="A219" s="151">
        <v>2006</v>
      </c>
      <c r="B219" s="151" t="s">
        <v>213</v>
      </c>
      <c r="C219" s="151" t="s">
        <v>3282</v>
      </c>
      <c r="D219" s="151">
        <v>-0.74004515433398499</v>
      </c>
      <c r="E219" s="151">
        <v>-0.59240471806677097</v>
      </c>
      <c r="F219" s="151">
        <v>-0.74004130329805795</v>
      </c>
      <c r="G219" s="151">
        <v>-0.20124660323892701</v>
      </c>
      <c r="H219" s="151">
        <v>-1.11004388342488</v>
      </c>
      <c r="I219" s="151">
        <v>-0.18858369667931099</v>
      </c>
      <c r="J219" s="151">
        <v>25.853658536585399</v>
      </c>
      <c r="K219" s="151">
        <v>30.731707317073202</v>
      </c>
      <c r="L219" s="151">
        <v>24.519230769230798</v>
      </c>
      <c r="M219" s="151">
        <v>47.5490196078431</v>
      </c>
      <c r="N219" s="151">
        <v>12.4401913875598</v>
      </c>
      <c r="O219" s="151">
        <v>41.346153846153797</v>
      </c>
    </row>
    <row r="220" spans="1:15">
      <c r="A220" s="151">
        <v>2006</v>
      </c>
      <c r="B220" s="151" t="s">
        <v>2843</v>
      </c>
      <c r="C220" s="151" t="s">
        <v>3283</v>
      </c>
      <c r="D220" s="151">
        <v>-1.0435072072129301</v>
      </c>
      <c r="E220" s="151">
        <v>-1.3414672403067001</v>
      </c>
      <c r="F220" s="151">
        <v>-1.89237485515491</v>
      </c>
      <c r="G220" s="151">
        <v>-1.20269833848503</v>
      </c>
      <c r="H220" s="151">
        <v>-1.41785809547723</v>
      </c>
      <c r="I220" s="151">
        <v>-1.23738874704223</v>
      </c>
      <c r="J220" s="151">
        <v>13.170731707317101</v>
      </c>
      <c r="K220" s="151">
        <v>6.3414634146341502</v>
      </c>
      <c r="L220" s="151">
        <v>4.3269230769230802</v>
      </c>
      <c r="M220" s="151">
        <v>10.294117647058799</v>
      </c>
      <c r="N220" s="151">
        <v>5.2631578947368398</v>
      </c>
      <c r="O220" s="151">
        <v>11.538461538461499</v>
      </c>
    </row>
    <row r="221" spans="1:15">
      <c r="A221" s="151">
        <v>2006</v>
      </c>
      <c r="B221" s="151" t="s">
        <v>237</v>
      </c>
      <c r="C221" s="151" t="s">
        <v>3284</v>
      </c>
      <c r="D221" s="151">
        <v>-0.81047175352449197</v>
      </c>
      <c r="E221" s="151">
        <v>-0.338707894869825</v>
      </c>
      <c r="F221" s="151">
        <v>-1.4021410234243801</v>
      </c>
      <c r="G221" s="151">
        <v>-0.33734296609860298</v>
      </c>
      <c r="H221" s="151">
        <v>-0.72871215663435696</v>
      </c>
      <c r="I221" s="151">
        <v>-0.13719965565734599</v>
      </c>
      <c r="J221" s="151">
        <v>21.4634146341463</v>
      </c>
      <c r="K221" s="151">
        <v>43.902439024390198</v>
      </c>
      <c r="L221" s="151">
        <v>9.6153846153846203</v>
      </c>
      <c r="M221" s="151">
        <v>43.137254901960802</v>
      </c>
      <c r="N221" s="151">
        <v>28.229665071770299</v>
      </c>
      <c r="O221" s="151">
        <v>43.269230769230802</v>
      </c>
    </row>
    <row r="222" spans="1:15">
      <c r="A222" s="151">
        <v>2006</v>
      </c>
      <c r="B222" s="151" t="s">
        <v>245</v>
      </c>
      <c r="C222" s="151" t="s">
        <v>3285</v>
      </c>
      <c r="D222" s="151">
        <v>-1.56422954122419</v>
      </c>
      <c r="E222" s="151">
        <v>-1.7701630183405701</v>
      </c>
      <c r="F222" s="151">
        <v>-2.82551214626845</v>
      </c>
      <c r="G222" s="151">
        <v>-1.4024395160505001</v>
      </c>
      <c r="H222" s="151">
        <v>-1.7906188863969399</v>
      </c>
      <c r="I222" s="151">
        <v>-1.40196183345984</v>
      </c>
      <c r="J222" s="151">
        <v>1.4634146341463401</v>
      </c>
      <c r="K222" s="151">
        <v>0.48780487804877998</v>
      </c>
      <c r="L222" s="151">
        <v>0</v>
      </c>
      <c r="M222" s="151">
        <v>6.8627450980392197</v>
      </c>
      <c r="N222" s="151">
        <v>0.95693779904306198</v>
      </c>
      <c r="O222" s="151">
        <v>9.1346153846153904</v>
      </c>
    </row>
    <row r="223" spans="1:15">
      <c r="A223" s="151">
        <v>2006</v>
      </c>
      <c r="B223" s="151" t="s">
        <v>273</v>
      </c>
      <c r="C223" s="151" t="s">
        <v>3286</v>
      </c>
      <c r="D223" s="151">
        <v>-0.90072973001074697</v>
      </c>
      <c r="E223" s="151">
        <v>-0.45724626354541698</v>
      </c>
      <c r="F223" s="151">
        <v>0.19965697502830801</v>
      </c>
      <c r="G223" s="151">
        <v>-0.3649877654548</v>
      </c>
      <c r="H223" s="151">
        <v>-0.96930797267082902</v>
      </c>
      <c r="I223" s="151">
        <v>-1.1430693754560399</v>
      </c>
      <c r="J223" s="151">
        <v>18.5365853658537</v>
      </c>
      <c r="K223" s="151">
        <v>38.536585365853703</v>
      </c>
      <c r="L223" s="151">
        <v>52.884615384615401</v>
      </c>
      <c r="M223" s="151">
        <v>41.6666666666667</v>
      </c>
      <c r="N223" s="151">
        <v>18.6602870813397</v>
      </c>
      <c r="O223" s="151">
        <v>16.826923076923102</v>
      </c>
    </row>
    <row r="224" spans="1:15">
      <c r="A224" s="151">
        <v>2006</v>
      </c>
      <c r="B224" s="151" t="s">
        <v>278</v>
      </c>
      <c r="C224" s="151" t="s">
        <v>3287</v>
      </c>
      <c r="D224" s="151">
        <v>-1.2613129733617701</v>
      </c>
      <c r="E224" s="151">
        <v>-0.77730986159114102</v>
      </c>
      <c r="F224" s="151">
        <v>-1.3758674382674601</v>
      </c>
      <c r="G224" s="151">
        <v>-0.63413667060158896</v>
      </c>
      <c r="H224" s="151">
        <v>-1.3071644635672199</v>
      </c>
      <c r="I224" s="151">
        <v>-0.73458801683765396</v>
      </c>
      <c r="J224" s="151">
        <v>7.3170731707317103</v>
      </c>
      <c r="K224" s="151">
        <v>25.365853658536601</v>
      </c>
      <c r="L224" s="151">
        <v>11.538461538461499</v>
      </c>
      <c r="M224" s="151">
        <v>26.470588235294102</v>
      </c>
      <c r="N224" s="151">
        <v>7.6555023923445003</v>
      </c>
      <c r="O224" s="151">
        <v>27.403846153846199</v>
      </c>
    </row>
    <row r="225" spans="1:15">
      <c r="A225" s="151">
        <v>2006</v>
      </c>
      <c r="B225" s="151" t="s">
        <v>294</v>
      </c>
      <c r="C225" s="151" t="s">
        <v>3288</v>
      </c>
      <c r="D225" s="151">
        <v>-0.47398231169830402</v>
      </c>
      <c r="E225" s="151">
        <v>-1.18512659972868</v>
      </c>
      <c r="F225" s="151">
        <v>-1.3129496236134</v>
      </c>
      <c r="G225" s="151">
        <v>-1.37201349011756</v>
      </c>
      <c r="H225" s="151">
        <v>-0.86566195224320297</v>
      </c>
      <c r="I225" s="151">
        <v>-0.19445941439995201</v>
      </c>
      <c r="J225" s="151">
        <v>38.536585365853703</v>
      </c>
      <c r="K225" s="151">
        <v>8.7804878048780495</v>
      </c>
      <c r="L225" s="151">
        <v>12.5</v>
      </c>
      <c r="M225" s="151">
        <v>7.8431372549019596</v>
      </c>
      <c r="N225" s="151">
        <v>22.009569377990399</v>
      </c>
      <c r="O225" s="151">
        <v>40.865384615384599</v>
      </c>
    </row>
    <row r="226" spans="1:15">
      <c r="A226" s="151">
        <v>2006</v>
      </c>
      <c r="B226" s="151" t="s">
        <v>309</v>
      </c>
      <c r="C226" s="151" t="s">
        <v>3289</v>
      </c>
      <c r="D226" s="151">
        <v>-0.11960843473335001</v>
      </c>
      <c r="E226" s="151">
        <v>-0.52509931078907501</v>
      </c>
      <c r="F226" s="151">
        <v>0.128296164177745</v>
      </c>
      <c r="G226" s="151">
        <v>-0.16832566332508</v>
      </c>
      <c r="H226" s="151">
        <v>-0.42892673082499599</v>
      </c>
      <c r="I226" s="151">
        <v>-0.11631036861312601</v>
      </c>
      <c r="J226" s="151">
        <v>54.634146341463399</v>
      </c>
      <c r="K226" s="151">
        <v>35.121951219512198</v>
      </c>
      <c r="L226" s="151">
        <v>50.480769230769198</v>
      </c>
      <c r="M226" s="151">
        <v>50</v>
      </c>
      <c r="N226" s="151">
        <v>42.583732057416299</v>
      </c>
      <c r="O226" s="151">
        <v>44.230769230769198</v>
      </c>
    </row>
    <row r="227" spans="1:15">
      <c r="A227" s="151">
        <v>2006</v>
      </c>
      <c r="B227" s="151" t="s">
        <v>322</v>
      </c>
      <c r="C227" s="151" t="s">
        <v>3290</v>
      </c>
      <c r="D227" s="151">
        <v>-0.40528407343105999</v>
      </c>
      <c r="E227" s="151">
        <v>-0.68218677629911095</v>
      </c>
      <c r="F227" s="151">
        <v>0.373848367126215</v>
      </c>
      <c r="G227" s="151">
        <v>-0.43863016905879698</v>
      </c>
      <c r="H227" s="151">
        <v>-0.27671790289815101</v>
      </c>
      <c r="I227" s="151">
        <v>0.274335139359417</v>
      </c>
      <c r="J227" s="151">
        <v>40</v>
      </c>
      <c r="K227" s="151">
        <v>27.804878048780498</v>
      </c>
      <c r="L227" s="151">
        <v>57.692307692307701</v>
      </c>
      <c r="M227" s="151">
        <v>36.274509803921603</v>
      </c>
      <c r="N227" s="151">
        <v>47.368421052631597</v>
      </c>
      <c r="O227" s="151">
        <v>56.25</v>
      </c>
    </row>
    <row r="228" spans="1:15">
      <c r="A228" s="151">
        <v>2006</v>
      </c>
      <c r="B228" s="151" t="s">
        <v>338</v>
      </c>
      <c r="C228" s="151" t="s">
        <v>3291</v>
      </c>
      <c r="D228" s="151">
        <v>-0.67571661273399497</v>
      </c>
      <c r="E228" s="151">
        <v>-0.77444590348986198</v>
      </c>
      <c r="F228" s="151">
        <v>0.22146606212303999</v>
      </c>
      <c r="G228" s="151">
        <v>-0.40404070074577803</v>
      </c>
      <c r="H228" s="151">
        <v>-0.71632331752084</v>
      </c>
      <c r="I228" s="151">
        <v>-0.89761016856863196</v>
      </c>
      <c r="J228" s="151">
        <v>28.292682926829301</v>
      </c>
      <c r="K228" s="151">
        <v>25.853658536585399</v>
      </c>
      <c r="L228" s="151">
        <v>53.365384615384599</v>
      </c>
      <c r="M228" s="151">
        <v>39.2156862745098</v>
      </c>
      <c r="N228" s="151">
        <v>28.7081339712919</v>
      </c>
      <c r="O228" s="151">
        <v>24.519230769230798</v>
      </c>
    </row>
    <row r="229" spans="1:15">
      <c r="A229" s="151">
        <v>2006</v>
      </c>
      <c r="B229" s="151" t="s">
        <v>378</v>
      </c>
      <c r="C229" s="151" t="s">
        <v>3292</v>
      </c>
      <c r="D229" s="151">
        <v>-0.59630890110940105</v>
      </c>
      <c r="E229" s="151">
        <v>-0.55974202701304698</v>
      </c>
      <c r="F229" s="151">
        <v>0.492773872065146</v>
      </c>
      <c r="G229" s="151">
        <v>-0.54742500047835096</v>
      </c>
      <c r="H229" s="151">
        <v>-0.60527374617488305</v>
      </c>
      <c r="I229" s="151">
        <v>-8.3255857377107695E-2</v>
      </c>
      <c r="J229" s="151">
        <v>33.170731707317103</v>
      </c>
      <c r="K229" s="151">
        <v>34.146341463414601</v>
      </c>
      <c r="L229" s="151">
        <v>61.057692307692299</v>
      </c>
      <c r="M229" s="151">
        <v>30.882352941176499</v>
      </c>
      <c r="N229" s="151">
        <v>33.014354066985597</v>
      </c>
      <c r="O229" s="151">
        <v>45.673076923076898</v>
      </c>
    </row>
    <row r="230" spans="1:15">
      <c r="A230" s="151">
        <v>2006</v>
      </c>
      <c r="B230" s="151" t="s">
        <v>387</v>
      </c>
      <c r="C230" s="151" t="s">
        <v>3293</v>
      </c>
      <c r="D230" s="151">
        <v>-0.854506371170488</v>
      </c>
      <c r="E230" s="151">
        <v>-0.79821619778679698</v>
      </c>
      <c r="F230" s="151">
        <v>-0.233169147210184</v>
      </c>
      <c r="G230" s="151">
        <v>-0.498181393717259</v>
      </c>
      <c r="H230" s="151">
        <v>-0.637609363784988</v>
      </c>
      <c r="I230" s="151">
        <v>-0.38839845249419203</v>
      </c>
      <c r="J230" s="151">
        <v>20.487804878048799</v>
      </c>
      <c r="K230" s="151">
        <v>23.414634146341498</v>
      </c>
      <c r="L230" s="151">
        <v>39.423076923076898</v>
      </c>
      <c r="M230" s="151">
        <v>33.3333333333333</v>
      </c>
      <c r="N230" s="151">
        <v>31.1004784688995</v>
      </c>
      <c r="O230" s="151">
        <v>34.134615384615401</v>
      </c>
    </row>
    <row r="231" spans="1:15">
      <c r="A231" s="151">
        <v>2006</v>
      </c>
      <c r="B231" s="151" t="s">
        <v>406</v>
      </c>
      <c r="C231" s="151" t="s">
        <v>3294</v>
      </c>
      <c r="D231" s="151">
        <v>-1.0740831068663601</v>
      </c>
      <c r="E231" s="151">
        <v>-0.96124421348657696</v>
      </c>
      <c r="F231" s="151">
        <v>-2.0363159686374699</v>
      </c>
      <c r="G231" s="151">
        <v>-0.88703213347618304</v>
      </c>
      <c r="H231" s="151">
        <v>-1.08112083350449</v>
      </c>
      <c r="I231" s="151">
        <v>-0.64450769293384702</v>
      </c>
      <c r="J231" s="151">
        <v>10.7317073170732</v>
      </c>
      <c r="K231" s="151">
        <v>17.0731707317073</v>
      </c>
      <c r="L231" s="151">
        <v>2.8846153846153801</v>
      </c>
      <c r="M231" s="151">
        <v>19.117647058823501</v>
      </c>
      <c r="N231" s="151">
        <v>13.3971291866029</v>
      </c>
      <c r="O231" s="151">
        <v>29.807692307692299</v>
      </c>
    </row>
    <row r="232" spans="1:15">
      <c r="A232" s="151">
        <v>2006</v>
      </c>
      <c r="B232" s="151" t="s">
        <v>442</v>
      </c>
      <c r="C232" s="151" t="s">
        <v>3295</v>
      </c>
      <c r="D232" s="151">
        <v>-0.216828366148589</v>
      </c>
      <c r="E232" s="151">
        <v>-0.58013716140483895</v>
      </c>
      <c r="F232" s="151">
        <v>-0.85037808720575603</v>
      </c>
      <c r="G232" s="151">
        <v>0.15895971262752601</v>
      </c>
      <c r="H232" s="151">
        <v>-0.73552611730836504</v>
      </c>
      <c r="I232" s="151">
        <v>4.6586424280511997E-2</v>
      </c>
      <c r="J232" s="151">
        <v>51.707317073170699</v>
      </c>
      <c r="K232" s="151">
        <v>31.707317073170699</v>
      </c>
      <c r="L232" s="151">
        <v>22.115384615384599</v>
      </c>
      <c r="M232" s="151">
        <v>56.862745098039198</v>
      </c>
      <c r="N232" s="151">
        <v>26.7942583732057</v>
      </c>
      <c r="O232" s="151">
        <v>48.557692307692299</v>
      </c>
    </row>
    <row r="233" spans="1:15">
      <c r="A233" s="151">
        <v>2006</v>
      </c>
      <c r="B233" s="151" t="s">
        <v>481</v>
      </c>
      <c r="C233" s="151" t="s">
        <v>3296</v>
      </c>
      <c r="D233" s="151">
        <v>-1.0502475518389001</v>
      </c>
      <c r="E233" s="151">
        <v>-1.1642917328430999</v>
      </c>
      <c r="F233" s="151">
        <v>-0.25657404298681802</v>
      </c>
      <c r="G233" s="151">
        <v>-1.16081623685993</v>
      </c>
      <c r="H233" s="151">
        <v>-1.0349029458376799</v>
      </c>
      <c r="I233" s="151">
        <v>-0.384186283734269</v>
      </c>
      <c r="J233" s="151">
        <v>12.1951219512195</v>
      </c>
      <c r="K233" s="151">
        <v>10.243902439024399</v>
      </c>
      <c r="L233" s="151">
        <v>37.980769230769198</v>
      </c>
      <c r="M233" s="151">
        <v>12.7450980392157</v>
      </c>
      <c r="N233" s="151">
        <v>14.3540669856459</v>
      </c>
      <c r="O233" s="151">
        <v>34.615384615384599</v>
      </c>
    </row>
    <row r="234" spans="1:15">
      <c r="A234" s="151">
        <v>2006</v>
      </c>
      <c r="B234" s="151" t="s">
        <v>492</v>
      </c>
      <c r="C234" s="151" t="s">
        <v>3297</v>
      </c>
      <c r="D234" s="151">
        <v>-0.22254993541801299</v>
      </c>
      <c r="E234" s="151">
        <v>-0.33874889365849598</v>
      </c>
      <c r="F234" s="151">
        <v>-0.32552824285648702</v>
      </c>
      <c r="G234" s="151">
        <v>-0.37425843268861098</v>
      </c>
      <c r="H234" s="151">
        <v>-0.440997502410722</v>
      </c>
      <c r="I234" s="151">
        <v>-0.196519108972248</v>
      </c>
      <c r="J234" s="151">
        <v>51.219512195122</v>
      </c>
      <c r="K234" s="151">
        <v>43.414634146341498</v>
      </c>
      <c r="L234" s="151">
        <v>33.173076923076898</v>
      </c>
      <c r="M234" s="151">
        <v>41.176470588235297</v>
      </c>
      <c r="N234" s="151">
        <v>41.626794258373202</v>
      </c>
      <c r="O234" s="151">
        <v>40.384615384615401</v>
      </c>
    </row>
    <row r="235" spans="1:15">
      <c r="A235" s="151">
        <v>2006</v>
      </c>
      <c r="B235" s="151" t="s">
        <v>510</v>
      </c>
      <c r="C235" s="151" t="s">
        <v>3298</v>
      </c>
      <c r="D235" s="151">
        <v>-1.0695733341565099</v>
      </c>
      <c r="E235" s="151">
        <v>-1.5681116229752801</v>
      </c>
      <c r="F235" s="151">
        <v>-0.55395954819456295</v>
      </c>
      <c r="G235" s="151">
        <v>-0.91011075116804097</v>
      </c>
      <c r="H235" s="151">
        <v>-0.976055393030131</v>
      </c>
      <c r="I235" s="151">
        <v>-1.281096152832</v>
      </c>
      <c r="J235" s="151">
        <v>11.219512195122</v>
      </c>
      <c r="K235" s="151">
        <v>2.9268292682926802</v>
      </c>
      <c r="L235" s="151">
        <v>27.884615384615401</v>
      </c>
      <c r="M235" s="151">
        <v>18.627450980392201</v>
      </c>
      <c r="N235" s="151">
        <v>17.224880382775101</v>
      </c>
      <c r="O235" s="151">
        <v>11.057692307692299</v>
      </c>
    </row>
    <row r="236" spans="1:15">
      <c r="A236" s="151">
        <v>2006</v>
      </c>
      <c r="B236" s="151" t="s">
        <v>2844</v>
      </c>
      <c r="C236" s="151" t="s">
        <v>3299</v>
      </c>
      <c r="D236" s="151">
        <v>-0.85635383149416999</v>
      </c>
      <c r="E236" s="151">
        <v>-1.0472586802096</v>
      </c>
      <c r="F236" s="151">
        <v>-1.1403069225477001</v>
      </c>
      <c r="G236" s="151">
        <v>-1.48186205476293</v>
      </c>
      <c r="H236" s="151">
        <v>-1.1482722930595599</v>
      </c>
      <c r="I236" s="151">
        <v>4.0639339017380503E-2</v>
      </c>
      <c r="J236" s="151">
        <v>20</v>
      </c>
      <c r="K236" s="151">
        <v>14.146341463414601</v>
      </c>
      <c r="L236" s="151">
        <v>14.903846153846199</v>
      </c>
      <c r="M236" s="151">
        <v>5.3921568627451002</v>
      </c>
      <c r="N236" s="151">
        <v>11.004784688995199</v>
      </c>
      <c r="O236" s="151">
        <v>48.076923076923102</v>
      </c>
    </row>
    <row r="237" spans="1:15">
      <c r="A237" s="151">
        <v>2006</v>
      </c>
      <c r="B237" s="151" t="s">
        <v>2845</v>
      </c>
      <c r="C237" s="151" t="s">
        <v>3300</v>
      </c>
      <c r="D237" s="151">
        <v>-0.30861775901978999</v>
      </c>
      <c r="E237" s="151">
        <v>0.143342595077074</v>
      </c>
      <c r="F237" s="151">
        <v>-0.23752165956667101</v>
      </c>
      <c r="G237" s="151">
        <v>0.67468961533637295</v>
      </c>
      <c r="H237" s="151">
        <v>-0.28619837451931002</v>
      </c>
      <c r="I237" s="151">
        <v>0.56950282609439995</v>
      </c>
      <c r="J237" s="151">
        <v>45.365853658536601</v>
      </c>
      <c r="K237" s="151">
        <v>59.512195121951201</v>
      </c>
      <c r="L237" s="151">
        <v>38.942307692307701</v>
      </c>
      <c r="M237" s="151">
        <v>70.588235294117695</v>
      </c>
      <c r="N237" s="151">
        <v>46.4114832535885</v>
      </c>
      <c r="O237" s="151">
        <v>64.423076923076906</v>
      </c>
    </row>
    <row r="238" spans="1:15">
      <c r="A238" s="151">
        <v>2006</v>
      </c>
      <c r="B238" s="151" t="s">
        <v>2846</v>
      </c>
      <c r="C238" s="151" t="s">
        <v>3301</v>
      </c>
      <c r="D238" s="151">
        <v>-0.68765733325226897</v>
      </c>
      <c r="E238" s="151">
        <v>-0.91927355223708895</v>
      </c>
      <c r="F238" s="151">
        <v>-1.34611619438168</v>
      </c>
      <c r="G238" s="151">
        <v>-0.76930437033749</v>
      </c>
      <c r="H238" s="151">
        <v>-1.0228791025073201</v>
      </c>
      <c r="I238" s="151">
        <v>-1.1888860602067699</v>
      </c>
      <c r="J238" s="151">
        <v>26.829268292682901</v>
      </c>
      <c r="K238" s="151">
        <v>19.024390243902399</v>
      </c>
      <c r="L238" s="151">
        <v>12.0192307692308</v>
      </c>
      <c r="M238" s="151">
        <v>22.0588235294118</v>
      </c>
      <c r="N238" s="151">
        <v>15.311004784689001</v>
      </c>
      <c r="O238" s="151">
        <v>14.4230769230769</v>
      </c>
    </row>
    <row r="239" spans="1:15">
      <c r="A239" s="151">
        <v>2006</v>
      </c>
      <c r="B239" s="151" t="s">
        <v>534</v>
      </c>
      <c r="C239" s="151" t="s">
        <v>3302</v>
      </c>
      <c r="D239" s="151">
        <v>-0.72872064679562099</v>
      </c>
      <c r="E239" s="151">
        <v>-0.81318719047807397</v>
      </c>
      <c r="F239" s="151">
        <v>0.36235212738141098</v>
      </c>
      <c r="G239" s="151">
        <v>-0.620033325828802</v>
      </c>
      <c r="H239" s="151">
        <v>-0.59015401598369499</v>
      </c>
      <c r="I239" s="151">
        <v>-0.22470376125014099</v>
      </c>
      <c r="J239" s="151">
        <v>26.341463414634099</v>
      </c>
      <c r="K239" s="151">
        <v>22.9268292682927</v>
      </c>
      <c r="L239" s="151">
        <v>56.25</v>
      </c>
      <c r="M239" s="151">
        <v>27.4509803921569</v>
      </c>
      <c r="N239" s="151">
        <v>34.449760765550202</v>
      </c>
      <c r="O239" s="151">
        <v>39.903846153846203</v>
      </c>
    </row>
    <row r="240" spans="1:15">
      <c r="A240" s="151">
        <v>2006</v>
      </c>
      <c r="B240" s="151" t="s">
        <v>357</v>
      </c>
      <c r="C240" s="151" t="s">
        <v>3303</v>
      </c>
      <c r="D240" s="151">
        <v>-0.579306319388183</v>
      </c>
      <c r="E240" s="151">
        <v>-0.408389718200519</v>
      </c>
      <c r="F240" s="151">
        <v>0.680717881061082</v>
      </c>
      <c r="G240" s="151">
        <v>-0.29960878620951698</v>
      </c>
      <c r="H240" s="151">
        <v>-0.33867028949535399</v>
      </c>
      <c r="I240" s="151">
        <v>0.20312105034890701</v>
      </c>
      <c r="J240" s="151">
        <v>34.146341463414601</v>
      </c>
      <c r="K240" s="151">
        <v>40.487804878048799</v>
      </c>
      <c r="L240" s="151">
        <v>66.826923076923094</v>
      </c>
      <c r="M240" s="151">
        <v>44.607843137254903</v>
      </c>
      <c r="N240" s="151">
        <v>44.497607655502399</v>
      </c>
      <c r="O240" s="151">
        <v>54.807692307692299</v>
      </c>
    </row>
    <row r="241" spans="1:15">
      <c r="A241" s="151">
        <v>2007</v>
      </c>
      <c r="B241" s="151" t="s">
        <v>16</v>
      </c>
      <c r="C241" s="151" t="s">
        <v>3304</v>
      </c>
      <c r="D241" s="151">
        <v>-1.5905141680910999</v>
      </c>
      <c r="E241" s="151">
        <v>-1.4031432553568499</v>
      </c>
      <c r="F241" s="151">
        <v>-2.3962873617758</v>
      </c>
      <c r="G241" s="151">
        <v>-1.68098076632277</v>
      </c>
      <c r="H241" s="151">
        <v>-1.92435832301707</v>
      </c>
      <c r="I241" s="151">
        <v>-1.1246183277869299</v>
      </c>
      <c r="J241" s="151">
        <v>0.970873786407767</v>
      </c>
      <c r="K241" s="151">
        <v>5.3398058252427196</v>
      </c>
      <c r="L241" s="151">
        <v>1.4423076923076901</v>
      </c>
      <c r="M241" s="151">
        <v>2.9126213592233001</v>
      </c>
      <c r="N241" s="151">
        <v>0.47846889952153099</v>
      </c>
      <c r="O241" s="151">
        <v>16.346153846153801</v>
      </c>
    </row>
    <row r="242" spans="1:15">
      <c r="A242" s="151">
        <v>2007</v>
      </c>
      <c r="B242" s="151" t="s">
        <v>33</v>
      </c>
      <c r="C242" s="151" t="s">
        <v>3305</v>
      </c>
      <c r="D242" s="151">
        <v>-0.65916404604805201</v>
      </c>
      <c r="E242" s="151">
        <v>-0.37783204676495402</v>
      </c>
      <c r="F242" s="151">
        <v>-0.19814290015223401</v>
      </c>
      <c r="G242" s="151">
        <v>6.9974982901839206E-2</v>
      </c>
      <c r="H242" s="151">
        <v>-0.69892108658542296</v>
      </c>
      <c r="I242" s="151">
        <v>9.3052279596548201E-2</v>
      </c>
      <c r="J242" s="151">
        <v>29.6116504854369</v>
      </c>
      <c r="K242" s="151">
        <v>42.233009708737903</v>
      </c>
      <c r="L242" s="151">
        <v>37.980769230769198</v>
      </c>
      <c r="M242" s="151">
        <v>55.825242718446603</v>
      </c>
      <c r="N242" s="151">
        <v>27.7511961722488</v>
      </c>
      <c r="O242" s="151">
        <v>51.442307692307701</v>
      </c>
    </row>
    <row r="243" spans="1:15">
      <c r="A243" s="151">
        <v>2007</v>
      </c>
      <c r="B243" s="151" t="s">
        <v>48</v>
      </c>
      <c r="C243" s="151" t="s">
        <v>3306</v>
      </c>
      <c r="D243" s="151">
        <v>-1.0177770519759499</v>
      </c>
      <c r="E243" s="151">
        <v>-0.765335682556191</v>
      </c>
      <c r="F243" s="151">
        <v>-0.646004170107213</v>
      </c>
      <c r="G243" s="151">
        <v>-0.440990286727518</v>
      </c>
      <c r="H243" s="151">
        <v>-0.78996481528682705</v>
      </c>
      <c r="I243" s="151">
        <v>-1.1761588258531499</v>
      </c>
      <c r="J243" s="151">
        <v>12.621359223301001</v>
      </c>
      <c r="K243" s="151">
        <v>23.300970873786401</v>
      </c>
      <c r="L243" s="151">
        <v>24.519230769230798</v>
      </c>
      <c r="M243" s="151">
        <v>35.922330097087404</v>
      </c>
      <c r="N243" s="151">
        <v>23.923444976076599</v>
      </c>
      <c r="O243" s="151">
        <v>13.942307692307701</v>
      </c>
    </row>
    <row r="244" spans="1:15">
      <c r="A244" s="151">
        <v>2007</v>
      </c>
      <c r="B244" s="151" t="s">
        <v>93</v>
      </c>
      <c r="C244" s="151" t="s">
        <v>3307</v>
      </c>
      <c r="D244" s="151">
        <v>-0.35135884570975401</v>
      </c>
      <c r="E244" s="151">
        <v>-0.72801898316130298</v>
      </c>
      <c r="F244" s="151">
        <v>0.28687140758254098</v>
      </c>
      <c r="G244" s="151">
        <v>-0.24673131515885</v>
      </c>
      <c r="H244" s="151">
        <v>-0.39898411899092001</v>
      </c>
      <c r="I244" s="151">
        <v>-0.34076296104831899</v>
      </c>
      <c r="J244" s="151">
        <v>45.145631067961197</v>
      </c>
      <c r="K244" s="151">
        <v>25.242718446601899</v>
      </c>
      <c r="L244" s="151">
        <v>53.846153846153797</v>
      </c>
      <c r="M244" s="151">
        <v>46.116504854368898</v>
      </c>
      <c r="N244" s="151">
        <v>43.062200956937801</v>
      </c>
      <c r="O244" s="151">
        <v>36.057692307692299</v>
      </c>
    </row>
    <row r="245" spans="1:15">
      <c r="A245" s="151">
        <v>2007</v>
      </c>
      <c r="B245" s="151" t="s">
        <v>122</v>
      </c>
      <c r="C245" s="151" t="s">
        <v>3308</v>
      </c>
      <c r="D245" s="151">
        <v>-0.97239702284773</v>
      </c>
      <c r="E245" s="151">
        <v>-1.4448443549579899</v>
      </c>
      <c r="F245" s="151">
        <v>-1.82965362559411</v>
      </c>
      <c r="G245" s="151">
        <v>-1.2154097682502301</v>
      </c>
      <c r="H245" s="151">
        <v>-1.526527666245</v>
      </c>
      <c r="I245" s="151">
        <v>-1.0784161192199799</v>
      </c>
      <c r="J245" s="151">
        <v>14.5631067961165</v>
      </c>
      <c r="K245" s="151">
        <v>4.3689320388349504</v>
      </c>
      <c r="L245" s="151">
        <v>6.25</v>
      </c>
      <c r="M245" s="151">
        <v>10.6796116504854</v>
      </c>
      <c r="N245" s="151">
        <v>2.87081339712919</v>
      </c>
      <c r="O245" s="151">
        <v>17.788461538461501</v>
      </c>
    </row>
    <row r="246" spans="1:15">
      <c r="A246" s="151">
        <v>2007</v>
      </c>
      <c r="B246" s="151" t="s">
        <v>133</v>
      </c>
      <c r="C246" s="151" t="s">
        <v>3309</v>
      </c>
      <c r="D246" s="151">
        <v>-1.3006011246601099</v>
      </c>
      <c r="E246" s="151">
        <v>-1.5925588530702399</v>
      </c>
      <c r="F246" s="151">
        <v>-1.8599906508256501</v>
      </c>
      <c r="G246" s="151">
        <v>-1.12431131640479</v>
      </c>
      <c r="H246" s="151">
        <v>-1.5060201478886099</v>
      </c>
      <c r="I246" s="151">
        <v>-1.4648943624977599</v>
      </c>
      <c r="J246" s="151">
        <v>5.3398058252427196</v>
      </c>
      <c r="K246" s="151">
        <v>2.42718446601942</v>
      </c>
      <c r="L246" s="151">
        <v>5.7692307692307701</v>
      </c>
      <c r="M246" s="151">
        <v>13.106796116504899</v>
      </c>
      <c r="N246" s="151">
        <v>3.3492822966507201</v>
      </c>
      <c r="O246" s="151">
        <v>8.6538461538461497</v>
      </c>
    </row>
    <row r="247" spans="1:15">
      <c r="A247" s="151">
        <v>2007</v>
      </c>
      <c r="B247" s="151" t="s">
        <v>165</v>
      </c>
      <c r="C247" s="151" t="s">
        <v>3310</v>
      </c>
      <c r="D247" s="151">
        <v>-1.30773511686967</v>
      </c>
      <c r="E247" s="151">
        <v>-1.7688847547663</v>
      </c>
      <c r="F247" s="151">
        <v>-2.2133773619349602</v>
      </c>
      <c r="G247" s="151">
        <v>-1.2626813110128201</v>
      </c>
      <c r="H247" s="151">
        <v>-1.59364320710107</v>
      </c>
      <c r="I247" s="151">
        <v>-1.2585968898003801</v>
      </c>
      <c r="J247" s="151">
        <v>4.8543689320388301</v>
      </c>
      <c r="K247" s="151">
        <v>0.970873786407767</v>
      </c>
      <c r="L247" s="151">
        <v>2.8846153846153801</v>
      </c>
      <c r="M247" s="151">
        <v>9.2233009708737903</v>
      </c>
      <c r="N247" s="151">
        <v>1.91387559808612</v>
      </c>
      <c r="O247" s="151">
        <v>11.057692307692299</v>
      </c>
    </row>
    <row r="248" spans="1:15">
      <c r="A248" s="151">
        <v>2007</v>
      </c>
      <c r="B248" s="151" t="s">
        <v>458</v>
      </c>
      <c r="C248" s="151" t="s">
        <v>3311</v>
      </c>
      <c r="D248" s="151">
        <v>-1.0941625265623101</v>
      </c>
      <c r="E248" s="151">
        <v>-1.33500070960919</v>
      </c>
      <c r="F248" s="151">
        <v>-0.76149306371077097</v>
      </c>
      <c r="G248" s="151">
        <v>-1.18829710330002</v>
      </c>
      <c r="H248" s="151">
        <v>-1.2123664529757201</v>
      </c>
      <c r="I248" s="151">
        <v>-1.24999083653568</v>
      </c>
      <c r="J248" s="151">
        <v>9.7087378640776691</v>
      </c>
      <c r="K248" s="151">
        <v>5.8252427184466002</v>
      </c>
      <c r="L248" s="151">
        <v>21.634615384615401</v>
      </c>
      <c r="M248" s="151">
        <v>11.6504854368932</v>
      </c>
      <c r="N248" s="151">
        <v>9.5693779904306204</v>
      </c>
      <c r="O248" s="151">
        <v>12.0192307692308</v>
      </c>
    </row>
    <row r="249" spans="1:15">
      <c r="A249" s="151">
        <v>2007</v>
      </c>
      <c r="B249" s="151" t="s">
        <v>96</v>
      </c>
      <c r="C249" s="151" t="s">
        <v>3312</v>
      </c>
      <c r="D249" s="151">
        <v>-0.95124802612315695</v>
      </c>
      <c r="E249" s="151">
        <v>-0.82628211126179196</v>
      </c>
      <c r="F249" s="151">
        <v>-0.33743375540982901</v>
      </c>
      <c r="G249" s="151">
        <v>-0.83224265002023101</v>
      </c>
      <c r="H249" s="151">
        <v>-1.1674702944425199</v>
      </c>
      <c r="I249" s="151">
        <v>-1.06182229722642</v>
      </c>
      <c r="J249" s="151">
        <v>16.019417475728201</v>
      </c>
      <c r="K249" s="151">
        <v>21.3592233009709</v>
      </c>
      <c r="L249" s="151">
        <v>33.173076923076898</v>
      </c>
      <c r="M249" s="151">
        <v>21.3592233009709</v>
      </c>
      <c r="N249" s="151">
        <v>10.526315789473699</v>
      </c>
      <c r="O249" s="151">
        <v>18.269230769230798</v>
      </c>
    </row>
    <row r="250" spans="1:15">
      <c r="A250" s="151">
        <v>2007</v>
      </c>
      <c r="B250" s="151" t="s">
        <v>182</v>
      </c>
      <c r="C250" s="151" t="s">
        <v>3313</v>
      </c>
      <c r="D250" s="151">
        <v>-1.54170365109942</v>
      </c>
      <c r="E250" s="151">
        <v>-1.6744156531326</v>
      </c>
      <c r="F250" s="151">
        <v>0.21189458979335599</v>
      </c>
      <c r="G250" s="151">
        <v>-1.31762817374695</v>
      </c>
      <c r="H250" s="151">
        <v>-1.2763413468303799</v>
      </c>
      <c r="I250" s="151">
        <v>-1.8909852725243199</v>
      </c>
      <c r="J250" s="151">
        <v>2.42718446601942</v>
      </c>
      <c r="K250" s="151">
        <v>1.94174757281553</v>
      </c>
      <c r="L250" s="151">
        <v>51.923076923076898</v>
      </c>
      <c r="M250" s="151">
        <v>7.7669902912621396</v>
      </c>
      <c r="N250" s="151">
        <v>8.6124401913875595</v>
      </c>
      <c r="O250" s="151">
        <v>3.3653846153846199</v>
      </c>
    </row>
    <row r="251" spans="1:15">
      <c r="A251" s="151">
        <v>2007</v>
      </c>
      <c r="B251" s="151" t="s">
        <v>185</v>
      </c>
      <c r="C251" s="151" t="s">
        <v>3314</v>
      </c>
      <c r="D251" s="151">
        <v>-1.0328924303917799</v>
      </c>
      <c r="E251" s="151">
        <v>-0.83610833164975795</v>
      </c>
      <c r="F251" s="151">
        <v>0.27318267303226301</v>
      </c>
      <c r="G251" s="151">
        <v>-0.56169327029833105</v>
      </c>
      <c r="H251" s="151">
        <v>-0.69427206428539501</v>
      </c>
      <c r="I251" s="151">
        <v>-0.89225125714785303</v>
      </c>
      <c r="J251" s="151">
        <v>12.135922330097101</v>
      </c>
      <c r="K251" s="151">
        <v>20.873786407767</v>
      </c>
      <c r="L251" s="151">
        <v>53.365384615384599</v>
      </c>
      <c r="M251" s="151">
        <v>29.6116504854369</v>
      </c>
      <c r="N251" s="151">
        <v>28.7081339712919</v>
      </c>
      <c r="O251" s="151">
        <v>23.557692307692299</v>
      </c>
    </row>
    <row r="252" spans="1:15">
      <c r="A252" s="151">
        <v>2007</v>
      </c>
      <c r="B252" s="151" t="s">
        <v>189</v>
      </c>
      <c r="C252" s="151" t="s">
        <v>3315</v>
      </c>
      <c r="D252" s="151">
        <v>5.1259508215566997E-2</v>
      </c>
      <c r="E252" s="151">
        <v>8.1160900607623099E-2</v>
      </c>
      <c r="F252" s="151">
        <v>-5.9158160726272599E-2</v>
      </c>
      <c r="G252" s="151">
        <v>-5.5782085219552101E-2</v>
      </c>
      <c r="H252" s="151">
        <v>-1.37332715527099E-2</v>
      </c>
      <c r="I252" s="151">
        <v>0.46092205798499603</v>
      </c>
      <c r="J252" s="151">
        <v>58.737864077669897</v>
      </c>
      <c r="K252" s="151">
        <v>55.339805825242699</v>
      </c>
      <c r="L252" s="151">
        <v>40.384615384615401</v>
      </c>
      <c r="M252" s="151">
        <v>52.427184466019398</v>
      </c>
      <c r="N252" s="151">
        <v>53.5885167464115</v>
      </c>
      <c r="O252" s="151">
        <v>60.096153846153797</v>
      </c>
    </row>
    <row r="253" spans="1:15">
      <c r="A253" s="151">
        <v>2007</v>
      </c>
      <c r="B253" s="151" t="s">
        <v>213</v>
      </c>
      <c r="C253" s="151" t="s">
        <v>3316</v>
      </c>
      <c r="D253" s="151">
        <v>-0.68893545149151203</v>
      </c>
      <c r="E253" s="151">
        <v>-0.54834783860166603</v>
      </c>
      <c r="F253" s="151">
        <v>-0.76587254522048098</v>
      </c>
      <c r="G253" s="151">
        <v>-0.19829272551191399</v>
      </c>
      <c r="H253" s="151">
        <v>-1.1447582328886301</v>
      </c>
      <c r="I253" s="151">
        <v>-0.198059052859102</v>
      </c>
      <c r="J253" s="151">
        <v>27.184466019417499</v>
      </c>
      <c r="K253" s="151">
        <v>33.980582524271803</v>
      </c>
      <c r="L253" s="151">
        <v>21.153846153846199</v>
      </c>
      <c r="M253" s="151">
        <v>49.0291262135922</v>
      </c>
      <c r="N253" s="151">
        <v>11.4832535885167</v>
      </c>
      <c r="O253" s="151">
        <v>42.788461538461497</v>
      </c>
    </row>
    <row r="254" spans="1:15">
      <c r="A254" s="151">
        <v>2007</v>
      </c>
      <c r="B254" s="151" t="s">
        <v>2843</v>
      </c>
      <c r="C254" s="151" t="s">
        <v>3317</v>
      </c>
      <c r="D254" s="151">
        <v>-1.24141249382111</v>
      </c>
      <c r="E254" s="151">
        <v>-1.2737924445228099</v>
      </c>
      <c r="F254" s="151">
        <v>-2.3745976319275601</v>
      </c>
      <c r="G254" s="151">
        <v>-1.22048195172369</v>
      </c>
      <c r="H254" s="151">
        <v>-1.4664102475879199</v>
      </c>
      <c r="I254" s="151">
        <v>-1.3940699673871599</v>
      </c>
      <c r="J254" s="151">
        <v>7.2815533980582501</v>
      </c>
      <c r="K254" s="151">
        <v>7.2815533980582501</v>
      </c>
      <c r="L254" s="151">
        <v>1.92307692307692</v>
      </c>
      <c r="M254" s="151">
        <v>10.194174757281599</v>
      </c>
      <c r="N254" s="151">
        <v>4.7846889952153102</v>
      </c>
      <c r="O254" s="151">
        <v>9.1346153846153904</v>
      </c>
    </row>
    <row r="255" spans="1:15">
      <c r="A255" s="151">
        <v>2007</v>
      </c>
      <c r="B255" s="151" t="s">
        <v>237</v>
      </c>
      <c r="C255" s="151" t="s">
        <v>3318</v>
      </c>
      <c r="D255" s="151">
        <v>-0.58286941958363003</v>
      </c>
      <c r="E255" s="151">
        <v>-0.282791535696929</v>
      </c>
      <c r="F255" s="151">
        <v>-1.2016053979362</v>
      </c>
      <c r="G255" s="151">
        <v>-0.32374301926628501</v>
      </c>
      <c r="H255" s="151">
        <v>-0.67623733072294301</v>
      </c>
      <c r="I255" s="151">
        <v>-7.18460716006597E-2</v>
      </c>
      <c r="J255" s="151">
        <v>33.980582524271803</v>
      </c>
      <c r="K255" s="151">
        <v>46.116504854368898</v>
      </c>
      <c r="L255" s="151">
        <v>12.9807692307692</v>
      </c>
      <c r="M255" s="151">
        <v>41.747572815533999</v>
      </c>
      <c r="N255" s="151">
        <v>30.622009569378001</v>
      </c>
      <c r="O255" s="151">
        <v>46.634615384615401</v>
      </c>
    </row>
    <row r="256" spans="1:15">
      <c r="A256" s="151">
        <v>2007</v>
      </c>
      <c r="B256" s="151" t="s">
        <v>245</v>
      </c>
      <c r="C256" s="151" t="s">
        <v>3319</v>
      </c>
      <c r="D256" s="151">
        <v>-1.5762072347104801</v>
      </c>
      <c r="E256" s="151">
        <v>-1.59041080125726</v>
      </c>
      <c r="F256" s="151">
        <v>-2.7939881963123598</v>
      </c>
      <c r="G256" s="151">
        <v>-1.3204685695779701</v>
      </c>
      <c r="H256" s="151">
        <v>-1.9238825110658699</v>
      </c>
      <c r="I256" s="151">
        <v>-1.23072320237785</v>
      </c>
      <c r="J256" s="151">
        <v>1.4563106796116501</v>
      </c>
      <c r="K256" s="151">
        <v>2.9126213592233001</v>
      </c>
      <c r="L256" s="151">
        <v>0.480769230769231</v>
      </c>
      <c r="M256" s="151">
        <v>7.2815533980582501</v>
      </c>
      <c r="N256" s="151">
        <v>0.95693779904306198</v>
      </c>
      <c r="O256" s="151">
        <v>12.5</v>
      </c>
    </row>
    <row r="257" spans="1:15">
      <c r="A257" s="151">
        <v>2007</v>
      </c>
      <c r="B257" s="151" t="s">
        <v>273</v>
      </c>
      <c r="C257" s="151" t="s">
        <v>3320</v>
      </c>
      <c r="D257" s="151">
        <v>-0.91220919230445696</v>
      </c>
      <c r="E257" s="151">
        <v>-0.55509551754990605</v>
      </c>
      <c r="F257" s="151">
        <v>0.58275473450669502</v>
      </c>
      <c r="G257" s="151">
        <v>-0.35177229666770399</v>
      </c>
      <c r="H257" s="151">
        <v>-0.86692336540536996</v>
      </c>
      <c r="I257" s="151">
        <v>-1.13010662813649</v>
      </c>
      <c r="J257" s="151">
        <v>18.446601941747598</v>
      </c>
      <c r="K257" s="151">
        <v>32.524271844660198</v>
      </c>
      <c r="L257" s="151">
        <v>66.826923076923094</v>
      </c>
      <c r="M257" s="151">
        <v>40.291262135922302</v>
      </c>
      <c r="N257" s="151">
        <v>21.5311004784689</v>
      </c>
      <c r="O257" s="151">
        <v>15.865384615384601</v>
      </c>
    </row>
    <row r="258" spans="1:15">
      <c r="A258" s="151">
        <v>2007</v>
      </c>
      <c r="B258" s="151" t="s">
        <v>278</v>
      </c>
      <c r="C258" s="151" t="s">
        <v>3321</v>
      </c>
      <c r="D258" s="151">
        <v>-1.2406601372186701</v>
      </c>
      <c r="E258" s="151">
        <v>-0.74999233625046102</v>
      </c>
      <c r="F258" s="151">
        <v>-1.00640824404331</v>
      </c>
      <c r="G258" s="151">
        <v>-0.40526827434856499</v>
      </c>
      <c r="H258" s="151">
        <v>-1.28071360321414</v>
      </c>
      <c r="I258" s="151">
        <v>-0.94869703075312295</v>
      </c>
      <c r="J258" s="151">
        <v>7.7669902912621396</v>
      </c>
      <c r="K258" s="151">
        <v>24.757281553398101</v>
      </c>
      <c r="L258" s="151">
        <v>17.307692307692299</v>
      </c>
      <c r="M258" s="151">
        <v>37.864077669902898</v>
      </c>
      <c r="N258" s="151">
        <v>7.6555023923445003</v>
      </c>
      <c r="O258" s="151">
        <v>20.673076923076898</v>
      </c>
    </row>
    <row r="259" spans="1:15">
      <c r="A259" s="151">
        <v>2007</v>
      </c>
      <c r="B259" s="151" t="s">
        <v>294</v>
      </c>
      <c r="C259" s="151" t="s">
        <v>3322</v>
      </c>
      <c r="D259" s="151">
        <v>-0.33199694049545703</v>
      </c>
      <c r="E259" s="151">
        <v>-1.2528513288934999</v>
      </c>
      <c r="F259" s="151">
        <v>-1.2502085258553299</v>
      </c>
      <c r="G259" s="151">
        <v>-1.19924147214362</v>
      </c>
      <c r="H259" s="151">
        <v>-1.0122790726909701</v>
      </c>
      <c r="I259" s="151">
        <v>-0.20158945405266601</v>
      </c>
      <c r="J259" s="151">
        <v>47.087378640776699</v>
      </c>
      <c r="K259" s="151">
        <v>8.2524271844660202</v>
      </c>
      <c r="L259" s="151">
        <v>12.0192307692308</v>
      </c>
      <c r="M259" s="151">
        <v>11.1650485436893</v>
      </c>
      <c r="N259" s="151">
        <v>16.267942583732101</v>
      </c>
      <c r="O259" s="151">
        <v>42.307692307692299</v>
      </c>
    </row>
    <row r="260" spans="1:15">
      <c r="A260" s="151">
        <v>2007</v>
      </c>
      <c r="B260" s="151" t="s">
        <v>309</v>
      </c>
      <c r="C260" s="151" t="s">
        <v>3323</v>
      </c>
      <c r="D260" s="151">
        <v>-9.9298636558795603E-2</v>
      </c>
      <c r="E260" s="151">
        <v>-0.44094837296616501</v>
      </c>
      <c r="F260" s="151">
        <v>2.5216456663315699E-2</v>
      </c>
      <c r="G260" s="151">
        <v>-0.198541322995683</v>
      </c>
      <c r="H260" s="151">
        <v>-0.374083823793605</v>
      </c>
      <c r="I260" s="151">
        <v>-0.15247788956795899</v>
      </c>
      <c r="J260" s="151">
        <v>56.3106796116505</v>
      </c>
      <c r="K260" s="151">
        <v>40.291262135922302</v>
      </c>
      <c r="L260" s="151">
        <v>43.75</v>
      </c>
      <c r="M260" s="151">
        <v>48.543689320388403</v>
      </c>
      <c r="N260" s="151">
        <v>44.497607655502399</v>
      </c>
      <c r="O260" s="151">
        <v>44.230769230769198</v>
      </c>
    </row>
    <row r="261" spans="1:15">
      <c r="A261" s="151">
        <v>2007</v>
      </c>
      <c r="B261" s="151" t="s">
        <v>322</v>
      </c>
      <c r="C261" s="151" t="s">
        <v>3324</v>
      </c>
      <c r="D261" s="151">
        <v>-0.33515432636821102</v>
      </c>
      <c r="E261" s="151">
        <v>-0.72544348087435595</v>
      </c>
      <c r="F261" s="151">
        <v>0.202976626682392</v>
      </c>
      <c r="G261" s="151">
        <v>-0.338940735037212</v>
      </c>
      <c r="H261" s="151">
        <v>-0.17541640803978101</v>
      </c>
      <c r="I261" s="151">
        <v>0.19094234886332601</v>
      </c>
      <c r="J261" s="151">
        <v>46.601941747572802</v>
      </c>
      <c r="K261" s="151">
        <v>25.728155339805799</v>
      </c>
      <c r="L261" s="151">
        <v>51.442307692307701</v>
      </c>
      <c r="M261" s="151">
        <v>41.262135922330103</v>
      </c>
      <c r="N261" s="151">
        <v>50.717703349282303</v>
      </c>
      <c r="O261" s="151">
        <v>54.807692307692299</v>
      </c>
    </row>
    <row r="262" spans="1:15">
      <c r="A262" s="151">
        <v>2007</v>
      </c>
      <c r="B262" s="151" t="s">
        <v>338</v>
      </c>
      <c r="C262" s="151" t="s">
        <v>3325</v>
      </c>
      <c r="D262" s="151">
        <v>-0.50439882982934003</v>
      </c>
      <c r="E262" s="151">
        <v>-0.861156861425044</v>
      </c>
      <c r="F262" s="151">
        <v>-0.270483202789224</v>
      </c>
      <c r="G262" s="151">
        <v>-0.43931534333615602</v>
      </c>
      <c r="H262" s="151">
        <v>-0.63984550637577098</v>
      </c>
      <c r="I262" s="151">
        <v>-0.719411845774661</v>
      </c>
      <c r="J262" s="151">
        <v>36.893203883495097</v>
      </c>
      <c r="K262" s="151">
        <v>17.475728155339802</v>
      </c>
      <c r="L262" s="151">
        <v>35.576923076923102</v>
      </c>
      <c r="M262" s="151">
        <v>36.4077669902913</v>
      </c>
      <c r="N262" s="151">
        <v>32.0574162679426</v>
      </c>
      <c r="O262" s="151">
        <v>28.846153846153801</v>
      </c>
    </row>
    <row r="263" spans="1:15">
      <c r="A263" s="151">
        <v>2007</v>
      </c>
      <c r="B263" s="151" t="s">
        <v>378</v>
      </c>
      <c r="C263" s="151" t="s">
        <v>3326</v>
      </c>
      <c r="D263" s="151">
        <v>-0.49420746637005297</v>
      </c>
      <c r="E263" s="151">
        <v>-0.48386047084632999</v>
      </c>
      <c r="F263" s="151">
        <v>0.303040535336841</v>
      </c>
      <c r="G263" s="151">
        <v>-0.54095502751398405</v>
      </c>
      <c r="H263" s="151">
        <v>-0.60476214867161504</v>
      </c>
      <c r="I263" s="151">
        <v>-8.0264929951448599E-2</v>
      </c>
      <c r="J263" s="151">
        <v>37.864077669902898</v>
      </c>
      <c r="K263" s="151">
        <v>37.378640776699001</v>
      </c>
      <c r="L263" s="151">
        <v>54.807692307692299</v>
      </c>
      <c r="M263" s="151">
        <v>30.582524271844701</v>
      </c>
      <c r="N263" s="151">
        <v>33.492822966507198</v>
      </c>
      <c r="O263" s="151">
        <v>46.153846153846203</v>
      </c>
    </row>
    <row r="264" spans="1:15">
      <c r="A264" s="151">
        <v>2007</v>
      </c>
      <c r="B264" s="151" t="s">
        <v>387</v>
      </c>
      <c r="C264" s="151" t="s">
        <v>3327</v>
      </c>
      <c r="D264" s="151">
        <v>-0.77649622509326099</v>
      </c>
      <c r="E264" s="151">
        <v>-0.78642460572514605</v>
      </c>
      <c r="F264" s="151">
        <v>-0.45958424405975401</v>
      </c>
      <c r="G264" s="151">
        <v>-0.50030816063510797</v>
      </c>
      <c r="H264" s="151">
        <v>-0.65945770082099597</v>
      </c>
      <c r="I264" s="151">
        <v>-0.42877526295087998</v>
      </c>
      <c r="J264" s="151">
        <v>22.330097087378601</v>
      </c>
      <c r="K264" s="151">
        <v>22.815533980582501</v>
      </c>
      <c r="L264" s="151">
        <v>28.846153846153801</v>
      </c>
      <c r="M264" s="151">
        <v>31.553398058252402</v>
      </c>
      <c r="N264" s="151">
        <v>31.1004784688995</v>
      </c>
      <c r="O264" s="151">
        <v>35.096153846153797</v>
      </c>
    </row>
    <row r="265" spans="1:15">
      <c r="A265" s="151">
        <v>2007</v>
      </c>
      <c r="B265" s="151" t="s">
        <v>406</v>
      </c>
      <c r="C265" s="151" t="s">
        <v>3328</v>
      </c>
      <c r="D265" s="151">
        <v>-0.98350341139405295</v>
      </c>
      <c r="E265" s="151">
        <v>-1.04088430587046</v>
      </c>
      <c r="F265" s="151">
        <v>-2.0130386016693498</v>
      </c>
      <c r="G265" s="151">
        <v>-0.86435011120553995</v>
      </c>
      <c r="H265" s="151">
        <v>-1.06520757884682</v>
      </c>
      <c r="I265" s="151">
        <v>-0.78893613433542298</v>
      </c>
      <c r="J265" s="151">
        <v>14.0776699029126</v>
      </c>
      <c r="K265" s="151">
        <v>16.019417475728201</v>
      </c>
      <c r="L265" s="151">
        <v>3.8461538461538498</v>
      </c>
      <c r="M265" s="151">
        <v>19.417475728155299</v>
      </c>
      <c r="N265" s="151">
        <v>13.8755980861244</v>
      </c>
      <c r="O265" s="151">
        <v>25.961538461538499</v>
      </c>
    </row>
    <row r="266" spans="1:15">
      <c r="A266" s="151">
        <v>2007</v>
      </c>
      <c r="B266" s="151" t="s">
        <v>442</v>
      </c>
      <c r="C266" s="151" t="s">
        <v>3329</v>
      </c>
      <c r="D266" s="151">
        <v>-0.260524325273502</v>
      </c>
      <c r="E266" s="151">
        <v>-0.50979739813082503</v>
      </c>
      <c r="F266" s="151">
        <v>-0.76005136929099804</v>
      </c>
      <c r="G266" s="151">
        <v>0.27595894070192201</v>
      </c>
      <c r="H266" s="151">
        <v>-0.76491013130283503</v>
      </c>
      <c r="I266" s="151">
        <v>6.2703568528113707E-2</v>
      </c>
      <c r="J266" s="151">
        <v>50.485436893203897</v>
      </c>
      <c r="K266" s="151">
        <v>35.922330097087404</v>
      </c>
      <c r="L266" s="151">
        <v>22.115384615384599</v>
      </c>
      <c r="M266" s="151">
        <v>59.708737864077698</v>
      </c>
      <c r="N266" s="151">
        <v>25.8373205741627</v>
      </c>
      <c r="O266" s="151">
        <v>48.557692307692299</v>
      </c>
    </row>
    <row r="267" spans="1:15">
      <c r="A267" s="151">
        <v>2007</v>
      </c>
      <c r="B267" s="151" t="s">
        <v>481</v>
      </c>
      <c r="C267" s="151" t="s">
        <v>3330</v>
      </c>
      <c r="D267" s="151">
        <v>-0.89561071596991204</v>
      </c>
      <c r="E267" s="151">
        <v>-1.17297915843723</v>
      </c>
      <c r="F267" s="151">
        <v>-2.1623866857450699E-2</v>
      </c>
      <c r="G267" s="151">
        <v>-1.06972063928095</v>
      </c>
      <c r="H267" s="151">
        <v>-1.0268964909521601</v>
      </c>
      <c r="I267" s="151">
        <v>-0.253095004679247</v>
      </c>
      <c r="J267" s="151">
        <v>19.417475728155299</v>
      </c>
      <c r="K267" s="151">
        <v>11.6504854368932</v>
      </c>
      <c r="L267" s="151">
        <v>42.788461538461497</v>
      </c>
      <c r="M267" s="151">
        <v>16.019417475728201</v>
      </c>
      <c r="N267" s="151">
        <v>15.789473684210501</v>
      </c>
      <c r="O267" s="151">
        <v>38.461538461538503</v>
      </c>
    </row>
    <row r="268" spans="1:15">
      <c r="A268" s="151">
        <v>2007</v>
      </c>
      <c r="B268" s="151" t="s">
        <v>492</v>
      </c>
      <c r="C268" s="151" t="s">
        <v>3331</v>
      </c>
      <c r="D268" s="151">
        <v>-0.34287089203793802</v>
      </c>
      <c r="E268" s="151">
        <v>-0.37733533331129598</v>
      </c>
      <c r="F268" s="151">
        <v>-0.35310206176264802</v>
      </c>
      <c r="G268" s="151">
        <v>-0.40047884695788999</v>
      </c>
      <c r="H268" s="151">
        <v>-0.35639871839172199</v>
      </c>
      <c r="I268" s="151">
        <v>-0.13974986903213599</v>
      </c>
      <c r="J268" s="151">
        <v>46.116504854368898</v>
      </c>
      <c r="K268" s="151">
        <v>42.7184466019418</v>
      </c>
      <c r="L268" s="151">
        <v>32.692307692307701</v>
      </c>
      <c r="M268" s="151">
        <v>38.349514563106801</v>
      </c>
      <c r="N268" s="151">
        <v>44.976076555023901</v>
      </c>
      <c r="O268" s="151">
        <v>44.711538461538503</v>
      </c>
    </row>
    <row r="269" spans="1:15">
      <c r="A269" s="151">
        <v>2007</v>
      </c>
      <c r="B269" s="151" t="s">
        <v>510</v>
      </c>
      <c r="C269" s="151" t="s">
        <v>3332</v>
      </c>
      <c r="D269" s="151">
        <v>-0.95214970909413799</v>
      </c>
      <c r="E269" s="151">
        <v>-1.5117398859387901</v>
      </c>
      <c r="F269" s="151">
        <v>-0.36155672759808499</v>
      </c>
      <c r="G269" s="151">
        <v>-0.88870512966160597</v>
      </c>
      <c r="H269" s="151">
        <v>-0.89802654973974905</v>
      </c>
      <c r="I269" s="151">
        <v>-1.13938975570547</v>
      </c>
      <c r="J269" s="151">
        <v>15.5339805825243</v>
      </c>
      <c r="K269" s="151">
        <v>3.3980582524271798</v>
      </c>
      <c r="L269" s="151">
        <v>32.211538461538503</v>
      </c>
      <c r="M269" s="151">
        <v>18.932038834951499</v>
      </c>
      <c r="N269" s="151">
        <v>20.5741626794258</v>
      </c>
      <c r="O269" s="151">
        <v>15.384615384615399</v>
      </c>
    </row>
    <row r="270" spans="1:15">
      <c r="A270" s="151">
        <v>2007</v>
      </c>
      <c r="B270" s="151" t="s">
        <v>2844</v>
      </c>
      <c r="C270" s="151" t="s">
        <v>3333</v>
      </c>
      <c r="D270" s="151">
        <v>-0.920679346114879</v>
      </c>
      <c r="E270" s="151">
        <v>-1.1391424847595499</v>
      </c>
      <c r="F270" s="151">
        <v>-1.1112283363550799</v>
      </c>
      <c r="G270" s="151">
        <v>-1.58726925100025</v>
      </c>
      <c r="H270" s="151">
        <v>-1.2791792721297499</v>
      </c>
      <c r="I270" s="151">
        <v>0.119679272802588</v>
      </c>
      <c r="J270" s="151">
        <v>16.990291262135901</v>
      </c>
      <c r="K270" s="151">
        <v>12.135922330097101</v>
      </c>
      <c r="L270" s="151">
        <v>14.903846153846199</v>
      </c>
      <c r="M270" s="151">
        <v>4.3689320388349504</v>
      </c>
      <c r="N270" s="151">
        <v>8.1339712918660307</v>
      </c>
      <c r="O270" s="151">
        <v>53.365384615384599</v>
      </c>
    </row>
    <row r="271" spans="1:15">
      <c r="A271" s="151">
        <v>2007</v>
      </c>
      <c r="B271" s="151" t="s">
        <v>2845</v>
      </c>
      <c r="C271" s="151" t="s">
        <v>3334</v>
      </c>
      <c r="D271" s="151">
        <v>-0.244721503570592</v>
      </c>
      <c r="E271" s="151">
        <v>0.20590903818902001</v>
      </c>
      <c r="F271" s="151">
        <v>-0.176842574856831</v>
      </c>
      <c r="G271" s="151">
        <v>0.64133474604045004</v>
      </c>
      <c r="H271" s="151">
        <v>-0.22023168987869901</v>
      </c>
      <c r="I271" s="151">
        <v>0.49698976359001801</v>
      </c>
      <c r="J271" s="151">
        <v>51.456310679611597</v>
      </c>
      <c r="K271" s="151">
        <v>61.650485436893199</v>
      </c>
      <c r="L271" s="151">
        <v>38.461538461538503</v>
      </c>
      <c r="M271" s="151">
        <v>71.359223300970896</v>
      </c>
      <c r="N271" s="151">
        <v>48.325358851674601</v>
      </c>
      <c r="O271" s="151">
        <v>62.980769230769198</v>
      </c>
    </row>
    <row r="272" spans="1:15">
      <c r="A272" s="151">
        <v>2007</v>
      </c>
      <c r="B272" s="151" t="s">
        <v>2846</v>
      </c>
      <c r="C272" s="151" t="s">
        <v>3335</v>
      </c>
      <c r="D272" s="151">
        <v>-0.69418935256165204</v>
      </c>
      <c r="E272" s="151">
        <v>-0.86069606784651398</v>
      </c>
      <c r="F272" s="151">
        <v>-1.5639984413129799</v>
      </c>
      <c r="G272" s="151">
        <v>-0.66881441639278805</v>
      </c>
      <c r="H272" s="151">
        <v>-0.95905980517493805</v>
      </c>
      <c r="I272" s="151">
        <v>-1.11022617489743</v>
      </c>
      <c r="J272" s="151">
        <v>26.213592233009699</v>
      </c>
      <c r="K272" s="151">
        <v>17.961165048543702</v>
      </c>
      <c r="L272" s="151">
        <v>8.6538461538461497</v>
      </c>
      <c r="M272" s="151">
        <v>26.213592233009699</v>
      </c>
      <c r="N272" s="151">
        <v>17.7033492822966</v>
      </c>
      <c r="O272" s="151">
        <v>17.307692307692299</v>
      </c>
    </row>
    <row r="273" spans="1:15">
      <c r="A273" s="151">
        <v>2007</v>
      </c>
      <c r="B273" s="151" t="s">
        <v>534</v>
      </c>
      <c r="C273" s="151" t="s">
        <v>3336</v>
      </c>
      <c r="D273" s="151">
        <v>-0.57105539753793</v>
      </c>
      <c r="E273" s="151">
        <v>-0.71129749093467598</v>
      </c>
      <c r="F273" s="151">
        <v>0.34434613439657102</v>
      </c>
      <c r="G273" s="151">
        <v>-0.48635066427947898</v>
      </c>
      <c r="H273" s="151">
        <v>-0.57406701191280896</v>
      </c>
      <c r="I273" s="151">
        <v>-0.22493035298208799</v>
      </c>
      <c r="J273" s="151">
        <v>34.4660194174757</v>
      </c>
      <c r="K273" s="151">
        <v>26.213592233009699</v>
      </c>
      <c r="L273" s="151">
        <v>56.730769230769198</v>
      </c>
      <c r="M273" s="151">
        <v>32.524271844660198</v>
      </c>
      <c r="N273" s="151">
        <v>34.928229665071797</v>
      </c>
      <c r="O273" s="151">
        <v>41.346153846153797</v>
      </c>
    </row>
    <row r="274" spans="1:15">
      <c r="A274" s="151">
        <v>2007</v>
      </c>
      <c r="B274" s="151" t="s">
        <v>357</v>
      </c>
      <c r="C274" s="151" t="s">
        <v>3337</v>
      </c>
      <c r="D274" s="151">
        <v>-0.65614289988955998</v>
      </c>
      <c r="E274" s="151">
        <v>-0.51598351345476101</v>
      </c>
      <c r="F274" s="151">
        <v>0.68455134578207599</v>
      </c>
      <c r="G274" s="151">
        <v>-0.26131593397205599</v>
      </c>
      <c r="H274" s="151">
        <v>-0.38513205007177498</v>
      </c>
      <c r="I274" s="151">
        <v>0.27221379801301199</v>
      </c>
      <c r="J274" s="151">
        <v>30.097087378640801</v>
      </c>
      <c r="K274" s="151">
        <v>34.4660194174757</v>
      </c>
      <c r="L274" s="151">
        <v>70.192307692307693</v>
      </c>
      <c r="M274" s="151">
        <v>45.631067961165101</v>
      </c>
      <c r="N274" s="151">
        <v>43.540669856459303</v>
      </c>
      <c r="O274" s="151">
        <v>56.25</v>
      </c>
    </row>
    <row r="275" spans="1:15">
      <c r="A275" s="151">
        <v>2008</v>
      </c>
      <c r="B275" s="151" t="s">
        <v>16</v>
      </c>
      <c r="C275" s="151" t="s">
        <v>3338</v>
      </c>
      <c r="D275" s="151">
        <v>-1.63716881377191</v>
      </c>
      <c r="E275" s="151">
        <v>-1.4784978583419</v>
      </c>
      <c r="F275" s="151">
        <v>-2.6893530851444698</v>
      </c>
      <c r="G275" s="151">
        <v>-1.6010792505378999</v>
      </c>
      <c r="H275" s="151">
        <v>-1.9468359390874199</v>
      </c>
      <c r="I275" s="151">
        <v>-1.23609569456687</v>
      </c>
      <c r="J275" s="151">
        <v>0.970873786407767</v>
      </c>
      <c r="K275" s="151">
        <v>3.8834951456310698</v>
      </c>
      <c r="L275" s="151">
        <v>0.47846889952153099</v>
      </c>
      <c r="M275" s="151">
        <v>3.3980582524271798</v>
      </c>
      <c r="N275" s="151">
        <v>0.480769230769231</v>
      </c>
      <c r="O275" s="151">
        <v>13.461538461538501</v>
      </c>
    </row>
    <row r="276" spans="1:15">
      <c r="A276" s="151">
        <v>2008</v>
      </c>
      <c r="B276" s="151" t="s">
        <v>33</v>
      </c>
      <c r="C276" s="151" t="s">
        <v>3339</v>
      </c>
      <c r="D276" s="151">
        <v>-0.54541947892248899</v>
      </c>
      <c r="E276" s="151">
        <v>-0.34718681220030201</v>
      </c>
      <c r="F276" s="151">
        <v>-3.3116730984242698E-2</v>
      </c>
      <c r="G276" s="151">
        <v>0.14566291188189501</v>
      </c>
      <c r="H276" s="151">
        <v>-0.63662789498095396</v>
      </c>
      <c r="I276" s="151">
        <v>0.15937747253346701</v>
      </c>
      <c r="J276" s="151">
        <v>34.951456310679603</v>
      </c>
      <c r="K276" s="151">
        <v>44.174757281553397</v>
      </c>
      <c r="L276" s="151">
        <v>43.062200956937801</v>
      </c>
      <c r="M276" s="151">
        <v>55.339805825242699</v>
      </c>
      <c r="N276" s="151">
        <v>32.692307692307701</v>
      </c>
      <c r="O276" s="151">
        <v>53.846153846153797</v>
      </c>
    </row>
    <row r="277" spans="1:15">
      <c r="A277" s="151">
        <v>2008</v>
      </c>
      <c r="B277" s="151" t="s">
        <v>48</v>
      </c>
      <c r="C277" s="151" t="s">
        <v>3340</v>
      </c>
      <c r="D277" s="151">
        <v>-1.0413134474119401</v>
      </c>
      <c r="E277" s="151">
        <v>-0.76347305820546196</v>
      </c>
      <c r="F277" s="151">
        <v>-0.330871761407457</v>
      </c>
      <c r="G277" s="151">
        <v>-0.34868577278742402</v>
      </c>
      <c r="H277" s="151">
        <v>-0.760902979457869</v>
      </c>
      <c r="I277" s="151">
        <v>-1.27822417198566</v>
      </c>
      <c r="J277" s="151">
        <v>12.621359223301001</v>
      </c>
      <c r="K277" s="151">
        <v>22.330097087378601</v>
      </c>
      <c r="L277" s="151">
        <v>32.535885167464102</v>
      </c>
      <c r="M277" s="151">
        <v>41.747572815533999</v>
      </c>
      <c r="N277" s="151">
        <v>23.076923076923102</v>
      </c>
      <c r="O277" s="151">
        <v>12.0192307692308</v>
      </c>
    </row>
    <row r="278" spans="1:15">
      <c r="A278" s="151">
        <v>2008</v>
      </c>
      <c r="B278" s="151" t="s">
        <v>93</v>
      </c>
      <c r="C278" s="151" t="s">
        <v>3341</v>
      </c>
      <c r="D278" s="151">
        <v>-0.32813469454549499</v>
      </c>
      <c r="E278" s="151">
        <v>-0.46605870146327699</v>
      </c>
      <c r="F278" s="151">
        <v>9.6509614616367798E-2</v>
      </c>
      <c r="G278" s="151">
        <v>-0.174582172741268</v>
      </c>
      <c r="H278" s="151">
        <v>-0.33979795784193301</v>
      </c>
      <c r="I278" s="151">
        <v>-0.32039984365782598</v>
      </c>
      <c r="J278" s="151">
        <v>45.145631067961197</v>
      </c>
      <c r="K278" s="151">
        <v>39.805825242718399</v>
      </c>
      <c r="L278" s="151">
        <v>48.325358851674601</v>
      </c>
      <c r="M278" s="151">
        <v>49.514563106796103</v>
      </c>
      <c r="N278" s="151">
        <v>44.711538461538503</v>
      </c>
      <c r="O278" s="151">
        <v>36.538461538461497</v>
      </c>
    </row>
    <row r="279" spans="1:15">
      <c r="A279" s="151">
        <v>2008</v>
      </c>
      <c r="B279" s="151" t="s">
        <v>122</v>
      </c>
      <c r="C279" s="151" t="s">
        <v>3342</v>
      </c>
      <c r="D279" s="151">
        <v>-0.97780164101929401</v>
      </c>
      <c r="E279" s="151">
        <v>-1.39840587306251</v>
      </c>
      <c r="F279" s="151">
        <v>-1.8300974771612499</v>
      </c>
      <c r="G279" s="151">
        <v>-1.2167425797851701</v>
      </c>
      <c r="H279" s="151">
        <v>-1.4393793034979101</v>
      </c>
      <c r="I279" s="151">
        <v>-1.0134969403359499</v>
      </c>
      <c r="J279" s="151">
        <v>15.5339805825243</v>
      </c>
      <c r="K279" s="151">
        <v>5.3398058252427196</v>
      </c>
      <c r="L279" s="151">
        <v>6.6985645933014402</v>
      </c>
      <c r="M279" s="151">
        <v>9.7087378640776691</v>
      </c>
      <c r="N279" s="151">
        <v>4.3269230769230802</v>
      </c>
      <c r="O279" s="151">
        <v>19.230769230769202</v>
      </c>
    </row>
    <row r="280" spans="1:15">
      <c r="A280" s="151">
        <v>2008</v>
      </c>
      <c r="B280" s="151" t="s">
        <v>133</v>
      </c>
      <c r="C280" s="151" t="s">
        <v>3343</v>
      </c>
      <c r="D280" s="151">
        <v>-1.44671379698743</v>
      </c>
      <c r="E280" s="151">
        <v>-1.53957262103561</v>
      </c>
      <c r="F280" s="151">
        <v>-1.9704273188371499</v>
      </c>
      <c r="G280" s="151">
        <v>-1.15922780407378</v>
      </c>
      <c r="H280" s="151">
        <v>-1.5964873228215599</v>
      </c>
      <c r="I280" s="151">
        <v>-1.46188010412278</v>
      </c>
      <c r="J280" s="151">
        <v>3.3980582524271798</v>
      </c>
      <c r="K280" s="151">
        <v>2.42718446601942</v>
      </c>
      <c r="L280" s="151">
        <v>3.8277511961722501</v>
      </c>
      <c r="M280" s="151">
        <v>12.135922330097101</v>
      </c>
      <c r="N280" s="151">
        <v>2.4038461538461502</v>
      </c>
      <c r="O280" s="151">
        <v>8.6538461538461497</v>
      </c>
    </row>
    <row r="281" spans="1:15">
      <c r="A281" s="151">
        <v>2008</v>
      </c>
      <c r="B281" s="151" t="s">
        <v>165</v>
      </c>
      <c r="C281" s="151" t="s">
        <v>3344</v>
      </c>
      <c r="D281" s="151">
        <v>-1.16688121811319</v>
      </c>
      <c r="E281" s="151">
        <v>-1.67277466539245</v>
      </c>
      <c r="F281" s="151">
        <v>-2.0280985228008102</v>
      </c>
      <c r="G281" s="151">
        <v>-1.2968034402976401</v>
      </c>
      <c r="H281" s="151">
        <v>-1.5550442502847199</v>
      </c>
      <c r="I281" s="151">
        <v>-1.4471400969582999</v>
      </c>
      <c r="J281" s="151">
        <v>7.2815533980582501</v>
      </c>
      <c r="K281" s="151">
        <v>1.4563106796116501</v>
      </c>
      <c r="L281" s="151">
        <v>2.87081339712919</v>
      </c>
      <c r="M281" s="151">
        <v>7.7669902912621396</v>
      </c>
      <c r="N281" s="151">
        <v>2.8846153846153801</v>
      </c>
      <c r="O281" s="151">
        <v>9.6153846153846203</v>
      </c>
    </row>
    <row r="282" spans="1:15">
      <c r="A282" s="151">
        <v>2008</v>
      </c>
      <c r="B282" s="151" t="s">
        <v>458</v>
      </c>
      <c r="C282" s="151" t="s">
        <v>3345</v>
      </c>
      <c r="D282" s="151">
        <v>-1.1289766960638199</v>
      </c>
      <c r="E282" s="151">
        <v>-1.2240844325490801</v>
      </c>
      <c r="F282" s="151">
        <v>-0.70956226130734001</v>
      </c>
      <c r="G282" s="151">
        <v>-1.26042955619816</v>
      </c>
      <c r="H282" s="151">
        <v>-1.1710706295405</v>
      </c>
      <c r="I282" s="151">
        <v>-1.16456792286297</v>
      </c>
      <c r="J282" s="151">
        <v>8.7378640776699008</v>
      </c>
      <c r="K282" s="151">
        <v>9.2233009708737903</v>
      </c>
      <c r="L282" s="151">
        <v>21.5311004784689</v>
      </c>
      <c r="M282" s="151">
        <v>8.2524271844660202</v>
      </c>
      <c r="N282" s="151">
        <v>10.5769230769231</v>
      </c>
      <c r="O282" s="151">
        <v>15.865384615384601</v>
      </c>
    </row>
    <row r="283" spans="1:15">
      <c r="A283" s="151">
        <v>2008</v>
      </c>
      <c r="B283" s="151" t="s">
        <v>96</v>
      </c>
      <c r="C283" s="151" t="s">
        <v>3346</v>
      </c>
      <c r="D283" s="151">
        <v>-0.94371128670100402</v>
      </c>
      <c r="E283" s="151">
        <v>-0.785223800045872</v>
      </c>
      <c r="F283" s="151">
        <v>-0.55077856681117598</v>
      </c>
      <c r="G283" s="151">
        <v>-0.80780618656282699</v>
      </c>
      <c r="H283" s="151">
        <v>-1.0943965832467</v>
      </c>
      <c r="I283" s="151">
        <v>-1.0847112975143101</v>
      </c>
      <c r="J283" s="151">
        <v>16.990291262135901</v>
      </c>
      <c r="K283" s="151">
        <v>20.873786407767</v>
      </c>
      <c r="L283" s="151">
        <v>27.272727272727298</v>
      </c>
      <c r="M283" s="151">
        <v>20.873786407767</v>
      </c>
      <c r="N283" s="151">
        <v>12.9807692307692</v>
      </c>
      <c r="O283" s="151">
        <v>16.826923076923102</v>
      </c>
    </row>
    <row r="284" spans="1:15">
      <c r="A284" s="151">
        <v>2008</v>
      </c>
      <c r="B284" s="151" t="s">
        <v>182</v>
      </c>
      <c r="C284" s="151" t="s">
        <v>3347</v>
      </c>
      <c r="D284" s="151">
        <v>-1.5083383410405</v>
      </c>
      <c r="E284" s="151">
        <v>-1.6691070782163799</v>
      </c>
      <c r="F284" s="151">
        <v>0.19259837028468199</v>
      </c>
      <c r="G284" s="151">
        <v>-1.3215602214219999</v>
      </c>
      <c r="H284" s="151">
        <v>-1.24514887832027</v>
      </c>
      <c r="I284" s="151">
        <v>-1.89792363779603</v>
      </c>
      <c r="J284" s="151">
        <v>2.42718446601942</v>
      </c>
      <c r="K284" s="151">
        <v>1.94174757281553</v>
      </c>
      <c r="L284" s="151">
        <v>52.153110047846901</v>
      </c>
      <c r="M284" s="151">
        <v>7.2815533980582501</v>
      </c>
      <c r="N284" s="151">
        <v>8.1730769230769198</v>
      </c>
      <c r="O284" s="151">
        <v>2.8846153846153801</v>
      </c>
    </row>
    <row r="285" spans="1:15">
      <c r="A285" s="151">
        <v>2008</v>
      </c>
      <c r="B285" s="151" t="s">
        <v>185</v>
      </c>
      <c r="C285" s="151" t="s">
        <v>3348</v>
      </c>
      <c r="D285" s="151">
        <v>-1.0205216267464801</v>
      </c>
      <c r="E285" s="151">
        <v>-0.83288751366958502</v>
      </c>
      <c r="F285" s="151">
        <v>0.24178287279079499</v>
      </c>
      <c r="G285" s="151">
        <v>-0.64861901789999199</v>
      </c>
      <c r="H285" s="151">
        <v>-0.62793778117051402</v>
      </c>
      <c r="I285" s="151">
        <v>-0.85414036129329496</v>
      </c>
      <c r="J285" s="151">
        <v>13.5922330097087</v>
      </c>
      <c r="K285" s="151">
        <v>20.3883495145631</v>
      </c>
      <c r="L285" s="151">
        <v>53.5885167464115</v>
      </c>
      <c r="M285" s="151">
        <v>28.1553398058252</v>
      </c>
      <c r="N285" s="151">
        <v>33.173076923076898</v>
      </c>
      <c r="O285" s="151">
        <v>24.519230769230798</v>
      </c>
    </row>
    <row r="286" spans="1:15">
      <c r="A286" s="151">
        <v>2008</v>
      </c>
      <c r="B286" s="151" t="s">
        <v>189</v>
      </c>
      <c r="C286" s="151" t="s">
        <v>3349</v>
      </c>
      <c r="D286" s="151">
        <v>-4.40878305117159E-2</v>
      </c>
      <c r="E286" s="151">
        <v>2.19835429444157E-2</v>
      </c>
      <c r="F286" s="151">
        <v>-1.4740866742343E-2</v>
      </c>
      <c r="G286" s="151">
        <v>-3.5495346850020502E-2</v>
      </c>
      <c r="H286" s="151">
        <v>-0.106804210986606</v>
      </c>
      <c r="I286" s="151">
        <v>0.383351857136566</v>
      </c>
      <c r="J286" s="151">
        <v>56.796116504854403</v>
      </c>
      <c r="K286" s="151">
        <v>56.3106796116505</v>
      </c>
      <c r="L286" s="151">
        <v>44.497607655502399</v>
      </c>
      <c r="M286" s="151">
        <v>53.398058252427198</v>
      </c>
      <c r="N286" s="151">
        <v>52.403846153846203</v>
      </c>
      <c r="O286" s="151">
        <v>58.653846153846203</v>
      </c>
    </row>
    <row r="287" spans="1:15">
      <c r="A287" s="151">
        <v>2008</v>
      </c>
      <c r="B287" s="151" t="s">
        <v>213</v>
      </c>
      <c r="C287" s="151" t="s">
        <v>3350</v>
      </c>
      <c r="D287" s="151">
        <v>-0.61524519566180802</v>
      </c>
      <c r="E287" s="151">
        <v>-0.56347897490819499</v>
      </c>
      <c r="F287" s="151">
        <v>-0.72792336811673997</v>
      </c>
      <c r="G287" s="151">
        <v>-0.156313513579795</v>
      </c>
      <c r="H287" s="151">
        <v>-1.15426381305915</v>
      </c>
      <c r="I287" s="151">
        <v>-0.23223502721035899</v>
      </c>
      <c r="J287" s="151">
        <v>32.038834951456302</v>
      </c>
      <c r="K287" s="151">
        <v>35.4368932038835</v>
      </c>
      <c r="L287" s="151">
        <v>21.052631578947398</v>
      </c>
      <c r="M287" s="151">
        <v>50.9708737864078</v>
      </c>
      <c r="N287" s="151">
        <v>11.057692307692299</v>
      </c>
      <c r="O287" s="151">
        <v>41.826923076923102</v>
      </c>
    </row>
    <row r="288" spans="1:15">
      <c r="A288" s="151">
        <v>2008</v>
      </c>
      <c r="B288" s="151" t="s">
        <v>2843</v>
      </c>
      <c r="C288" s="151" t="s">
        <v>3351</v>
      </c>
      <c r="D288" s="151">
        <v>-1.1548914255032601</v>
      </c>
      <c r="E288" s="151">
        <v>-1.1727732588072399</v>
      </c>
      <c r="F288" s="151">
        <v>-2.1012814272521498</v>
      </c>
      <c r="G288" s="151">
        <v>-1.20012711566076</v>
      </c>
      <c r="H288" s="151">
        <v>-1.5413234116332799</v>
      </c>
      <c r="I288" s="151">
        <v>-1.45444152579007</v>
      </c>
      <c r="J288" s="151">
        <v>7.7669902912621396</v>
      </c>
      <c r="K288" s="151">
        <v>10.194174757281599</v>
      </c>
      <c r="L288" s="151">
        <v>2.39234449760766</v>
      </c>
      <c r="M288" s="151">
        <v>11.1650485436893</v>
      </c>
      <c r="N288" s="151">
        <v>3.3653846153846199</v>
      </c>
      <c r="O288" s="151">
        <v>9.1346153846153904</v>
      </c>
    </row>
    <row r="289" spans="1:15">
      <c r="A289" s="151">
        <v>2008</v>
      </c>
      <c r="B289" s="151" t="s">
        <v>237</v>
      </c>
      <c r="C289" s="151" t="s">
        <v>3352</v>
      </c>
      <c r="D289" s="151">
        <v>-0.56274723135246696</v>
      </c>
      <c r="E289" s="151">
        <v>-0.23872959170479999</v>
      </c>
      <c r="F289" s="151">
        <v>-1.0853179521394101</v>
      </c>
      <c r="G289" s="151">
        <v>-0.318246309463879</v>
      </c>
      <c r="H289" s="151">
        <v>-0.65957203229404304</v>
      </c>
      <c r="I289" s="151">
        <v>-6.3725240753218698E-2</v>
      </c>
      <c r="J289" s="151">
        <v>33.980582524271803</v>
      </c>
      <c r="K289" s="151">
        <v>46.601941747572802</v>
      </c>
      <c r="L289" s="151">
        <v>15.311004784689001</v>
      </c>
      <c r="M289" s="151">
        <v>43.203883495145597</v>
      </c>
      <c r="N289" s="151">
        <v>31.25</v>
      </c>
      <c r="O289" s="151">
        <v>46.634615384615401</v>
      </c>
    </row>
    <row r="290" spans="1:15">
      <c r="A290" s="151">
        <v>2008</v>
      </c>
      <c r="B290" s="151" t="s">
        <v>245</v>
      </c>
      <c r="C290" s="151" t="s">
        <v>3353</v>
      </c>
      <c r="D290" s="151">
        <v>-1.5708788962461699</v>
      </c>
      <c r="E290" s="151">
        <v>-1.2554624880018299</v>
      </c>
      <c r="F290" s="151">
        <v>-2.4839748063549099</v>
      </c>
      <c r="G290" s="151">
        <v>-1.14561139818667</v>
      </c>
      <c r="H290" s="151">
        <v>-1.84324332226634</v>
      </c>
      <c r="I290" s="151">
        <v>-1.1983051660997099</v>
      </c>
      <c r="J290" s="151">
        <v>1.4563106796116501</v>
      </c>
      <c r="K290" s="151">
        <v>8.7378640776699008</v>
      </c>
      <c r="L290" s="151">
        <v>1.4354066985645899</v>
      </c>
      <c r="M290" s="151">
        <v>13.106796116504899</v>
      </c>
      <c r="N290" s="151">
        <v>0.96153846153846201</v>
      </c>
      <c r="O290" s="151">
        <v>14.4230769230769</v>
      </c>
    </row>
    <row r="291" spans="1:15">
      <c r="A291" s="151">
        <v>2008</v>
      </c>
      <c r="B291" s="151" t="s">
        <v>273</v>
      </c>
      <c r="C291" s="151" t="s">
        <v>3354</v>
      </c>
      <c r="D291" s="151">
        <v>-0.90394410860004404</v>
      </c>
      <c r="E291" s="151">
        <v>-0.42425830744728599</v>
      </c>
      <c r="F291" s="151">
        <v>0.57221457578992696</v>
      </c>
      <c r="G291" s="151">
        <v>-0.30116829922155602</v>
      </c>
      <c r="H291" s="151">
        <v>-0.75078422068289397</v>
      </c>
      <c r="I291" s="151">
        <v>-1.05016921379902</v>
      </c>
      <c r="J291" s="151">
        <v>17.961165048543702</v>
      </c>
      <c r="K291" s="151">
        <v>40.776699029126199</v>
      </c>
      <c r="L291" s="151">
        <v>66.985645933014396</v>
      </c>
      <c r="M291" s="151">
        <v>44.660194174757301</v>
      </c>
      <c r="N291" s="151">
        <v>24.519230769230798</v>
      </c>
      <c r="O291" s="151">
        <v>18.269230769230798</v>
      </c>
    </row>
    <row r="292" spans="1:15">
      <c r="A292" s="151">
        <v>2008</v>
      </c>
      <c r="B292" s="151" t="s">
        <v>278</v>
      </c>
      <c r="C292" s="151" t="s">
        <v>3355</v>
      </c>
      <c r="D292" s="151">
        <v>-1.1211356630628699</v>
      </c>
      <c r="E292" s="151">
        <v>-0.76679444361734395</v>
      </c>
      <c r="F292" s="151">
        <v>-0.58212276375498595</v>
      </c>
      <c r="G292" s="151">
        <v>-0.34593290142494398</v>
      </c>
      <c r="H292" s="151">
        <v>-1.36594618506405</v>
      </c>
      <c r="I292" s="151">
        <v>-1.0786996552027499</v>
      </c>
      <c r="J292" s="151">
        <v>9.2233009708737903</v>
      </c>
      <c r="K292" s="151">
        <v>21.3592233009709</v>
      </c>
      <c r="L292" s="151">
        <v>26.315789473684202</v>
      </c>
      <c r="M292" s="151">
        <v>42.233009708737903</v>
      </c>
      <c r="N292" s="151">
        <v>7.2115384615384599</v>
      </c>
      <c r="O292" s="151">
        <v>17.307692307692299</v>
      </c>
    </row>
    <row r="293" spans="1:15">
      <c r="A293" s="151">
        <v>2008</v>
      </c>
      <c r="B293" s="151" t="s">
        <v>294</v>
      </c>
      <c r="C293" s="151" t="s">
        <v>3356</v>
      </c>
      <c r="D293" s="151">
        <v>-0.700397447012164</v>
      </c>
      <c r="E293" s="151">
        <v>-1.3146435488689701</v>
      </c>
      <c r="F293" s="151">
        <v>-1.2833706522674</v>
      </c>
      <c r="G293" s="151">
        <v>-1.33582247690553</v>
      </c>
      <c r="H293" s="151">
        <v>-1.18965833586541</v>
      </c>
      <c r="I293" s="151">
        <v>-0.244130800472245</v>
      </c>
      <c r="J293" s="151">
        <v>28.1553398058252</v>
      </c>
      <c r="K293" s="151">
        <v>6.3106796116504897</v>
      </c>
      <c r="L293" s="151">
        <v>12.4401913875598</v>
      </c>
      <c r="M293" s="151">
        <v>6.7961165048543704</v>
      </c>
      <c r="N293" s="151">
        <v>9.6153846153846203</v>
      </c>
      <c r="O293" s="151">
        <v>41.346153846153797</v>
      </c>
    </row>
    <row r="294" spans="1:15">
      <c r="A294" s="151">
        <v>2008</v>
      </c>
      <c r="B294" s="151" t="s">
        <v>309</v>
      </c>
      <c r="C294" s="151" t="s">
        <v>3357</v>
      </c>
      <c r="D294" s="151">
        <v>-0.15971013101624701</v>
      </c>
      <c r="E294" s="151">
        <v>-0.634681864637611</v>
      </c>
      <c r="F294" s="151">
        <v>-0.48923298872943299</v>
      </c>
      <c r="G294" s="151">
        <v>-0.31582826479456</v>
      </c>
      <c r="H294" s="151">
        <v>-0.45411590038318</v>
      </c>
      <c r="I294" s="151">
        <v>-0.341382652673071</v>
      </c>
      <c r="J294" s="151">
        <v>54.854368932038803</v>
      </c>
      <c r="K294" s="151">
        <v>30.097087378640801</v>
      </c>
      <c r="L294" s="151">
        <v>29.186602870813399</v>
      </c>
      <c r="M294" s="151">
        <v>43.6893203883495</v>
      </c>
      <c r="N294" s="151">
        <v>38.461538461538503</v>
      </c>
      <c r="O294" s="151">
        <v>36.057692307692299</v>
      </c>
    </row>
    <row r="295" spans="1:15">
      <c r="A295" s="151">
        <v>2008</v>
      </c>
      <c r="B295" s="151" t="s">
        <v>322</v>
      </c>
      <c r="C295" s="151" t="s">
        <v>3358</v>
      </c>
      <c r="D295" s="151">
        <v>-0.45502382441147099</v>
      </c>
      <c r="E295" s="151">
        <v>-0.76085238777154496</v>
      </c>
      <c r="F295" s="151">
        <v>0.175061686104585</v>
      </c>
      <c r="G295" s="151">
        <v>-0.396028357384625</v>
      </c>
      <c r="H295" s="151">
        <v>-0.32066438056784402</v>
      </c>
      <c r="I295" s="151">
        <v>0.16001620449619899</v>
      </c>
      <c r="J295" s="151">
        <v>40.291262135922302</v>
      </c>
      <c r="K295" s="151">
        <v>23.300970873786401</v>
      </c>
      <c r="L295" s="151">
        <v>50.717703349282303</v>
      </c>
      <c r="M295" s="151">
        <v>38.834951456310698</v>
      </c>
      <c r="N295" s="151">
        <v>45.673076923076898</v>
      </c>
      <c r="O295" s="151">
        <v>54.326923076923102</v>
      </c>
    </row>
    <row r="296" spans="1:15">
      <c r="A296" s="151">
        <v>2008</v>
      </c>
      <c r="B296" s="151" t="s">
        <v>338</v>
      </c>
      <c r="C296" s="151" t="s">
        <v>3359</v>
      </c>
      <c r="D296" s="151">
        <v>-0.72140886317123198</v>
      </c>
      <c r="E296" s="151">
        <v>-0.94728362130687505</v>
      </c>
      <c r="F296" s="151">
        <v>-0.65123026580045196</v>
      </c>
      <c r="G296" s="151">
        <v>-0.63391364105046599</v>
      </c>
      <c r="H296" s="151">
        <v>-1.1182635265958101</v>
      </c>
      <c r="I296" s="151">
        <v>-0.98639064816681798</v>
      </c>
      <c r="J296" s="151">
        <v>26.699029126213599</v>
      </c>
      <c r="K296" s="151">
        <v>16.504854368932001</v>
      </c>
      <c r="L296" s="151">
        <v>24.401913875598101</v>
      </c>
      <c r="M296" s="151">
        <v>29.126213592233</v>
      </c>
      <c r="N296" s="151">
        <v>11.538461538461499</v>
      </c>
      <c r="O296" s="151">
        <v>20.192307692307701</v>
      </c>
    </row>
    <row r="297" spans="1:15">
      <c r="A297" s="151">
        <v>2008</v>
      </c>
      <c r="B297" s="151" t="s">
        <v>378</v>
      </c>
      <c r="C297" s="151" t="s">
        <v>3360</v>
      </c>
      <c r="D297" s="151">
        <v>-0.47412687816508697</v>
      </c>
      <c r="E297" s="151">
        <v>-0.49578837827481598</v>
      </c>
      <c r="F297" s="151">
        <v>0.33822144833706802</v>
      </c>
      <c r="G297" s="151">
        <v>-0.447379258714726</v>
      </c>
      <c r="H297" s="151">
        <v>-0.60763811208377305</v>
      </c>
      <c r="I297" s="151">
        <v>-7.3130931626350204E-2</v>
      </c>
      <c r="J297" s="151">
        <v>39.320388349514602</v>
      </c>
      <c r="K297" s="151">
        <v>37.864077669902898</v>
      </c>
      <c r="L297" s="151">
        <v>56.459330143540697</v>
      </c>
      <c r="M297" s="151">
        <v>36.893203883495097</v>
      </c>
      <c r="N297" s="151">
        <v>33.653846153846203</v>
      </c>
      <c r="O297" s="151">
        <v>46.153846153846203</v>
      </c>
    </row>
    <row r="298" spans="1:15">
      <c r="A298" s="151">
        <v>2008</v>
      </c>
      <c r="B298" s="151" t="s">
        <v>387</v>
      </c>
      <c r="C298" s="151" t="s">
        <v>3361</v>
      </c>
      <c r="D298" s="151">
        <v>-0.750296420017735</v>
      </c>
      <c r="E298" s="151">
        <v>-0.70901600720683799</v>
      </c>
      <c r="F298" s="151">
        <v>-0.67486077787918697</v>
      </c>
      <c r="G298" s="151">
        <v>-0.42427492845597198</v>
      </c>
      <c r="H298" s="151">
        <v>-0.73131336514585998</v>
      </c>
      <c r="I298" s="151">
        <v>-0.50444450020509601</v>
      </c>
      <c r="J298" s="151">
        <v>24.757281553398101</v>
      </c>
      <c r="K298" s="151">
        <v>27.184466019417499</v>
      </c>
      <c r="L298" s="151">
        <v>23.923444976076599</v>
      </c>
      <c r="M298" s="151">
        <v>37.864077669902898</v>
      </c>
      <c r="N298" s="151">
        <v>25.480769230769202</v>
      </c>
      <c r="O298" s="151">
        <v>32.211538461538503</v>
      </c>
    </row>
    <row r="299" spans="1:15">
      <c r="A299" s="151">
        <v>2008</v>
      </c>
      <c r="B299" s="151" t="s">
        <v>406</v>
      </c>
      <c r="C299" s="151" t="s">
        <v>3362</v>
      </c>
      <c r="D299" s="151">
        <v>-0.81105438590161105</v>
      </c>
      <c r="E299" s="151">
        <v>-0.967231283560683</v>
      </c>
      <c r="F299" s="151">
        <v>-1.8616477147217501</v>
      </c>
      <c r="G299" s="151">
        <v>-0.78015035957421297</v>
      </c>
      <c r="H299" s="151">
        <v>-1.0595309736790499</v>
      </c>
      <c r="I299" s="151">
        <v>-0.76019870179617599</v>
      </c>
      <c r="J299" s="151">
        <v>21.3592233009709</v>
      </c>
      <c r="K299" s="151">
        <v>15.5339805825243</v>
      </c>
      <c r="L299" s="151">
        <v>5.2631578947368398</v>
      </c>
      <c r="M299" s="151">
        <v>22.330097087378601</v>
      </c>
      <c r="N299" s="151">
        <v>14.4230769230769</v>
      </c>
      <c r="O299" s="151">
        <v>27.403846153846199</v>
      </c>
    </row>
    <row r="300" spans="1:15">
      <c r="A300" s="151">
        <v>2008</v>
      </c>
      <c r="B300" s="151" t="s">
        <v>442</v>
      </c>
      <c r="C300" s="151" t="s">
        <v>3363</v>
      </c>
      <c r="D300" s="151">
        <v>-0.20419570946809601</v>
      </c>
      <c r="E300" s="151">
        <v>-0.35724068854121799</v>
      </c>
      <c r="F300" s="151">
        <v>-0.89730607728999101</v>
      </c>
      <c r="G300" s="151">
        <v>0.34906767606171601</v>
      </c>
      <c r="H300" s="151">
        <v>-0.74538243361328604</v>
      </c>
      <c r="I300" s="151">
        <v>0.102797518483968</v>
      </c>
      <c r="J300" s="151">
        <v>50.9708737864078</v>
      </c>
      <c r="K300" s="151">
        <v>43.203883495145597</v>
      </c>
      <c r="L300" s="151">
        <v>17.7033492822966</v>
      </c>
      <c r="M300" s="151">
        <v>62.135922330097102</v>
      </c>
      <c r="N300" s="151">
        <v>25</v>
      </c>
      <c r="O300" s="151">
        <v>51.923076923076898</v>
      </c>
    </row>
    <row r="301" spans="1:15">
      <c r="A301" s="151">
        <v>2008</v>
      </c>
      <c r="B301" s="151" t="s">
        <v>481</v>
      </c>
      <c r="C301" s="151" t="s">
        <v>3364</v>
      </c>
      <c r="D301" s="151">
        <v>-0.96305171369739495</v>
      </c>
      <c r="E301" s="151">
        <v>-1.1616686772434499</v>
      </c>
      <c r="F301" s="151">
        <v>-0.20801576080579801</v>
      </c>
      <c r="G301" s="151">
        <v>-0.96684715899475004</v>
      </c>
      <c r="H301" s="151">
        <v>-0.962406542783103</v>
      </c>
      <c r="I301" s="151">
        <v>-0.17373054822474901</v>
      </c>
      <c r="J301" s="151">
        <v>16.019417475728201</v>
      </c>
      <c r="K301" s="151">
        <v>10.6796116504854</v>
      </c>
      <c r="L301" s="151">
        <v>37.320574162679399</v>
      </c>
      <c r="M301" s="151">
        <v>16.504854368932001</v>
      </c>
      <c r="N301" s="151">
        <v>19.711538461538499</v>
      </c>
      <c r="O301" s="151">
        <v>43.75</v>
      </c>
    </row>
    <row r="302" spans="1:15">
      <c r="A302" s="151">
        <v>2008</v>
      </c>
      <c r="B302" s="151" t="s">
        <v>492</v>
      </c>
      <c r="C302" s="151" t="s">
        <v>3365</v>
      </c>
      <c r="D302" s="151">
        <v>-0.42134369148404699</v>
      </c>
      <c r="E302" s="151">
        <v>-0.47869248020794902</v>
      </c>
      <c r="F302" s="151">
        <v>-0.20581157528493799</v>
      </c>
      <c r="G302" s="151">
        <v>-0.499955994511046</v>
      </c>
      <c r="H302" s="151">
        <v>-0.34491224230154499</v>
      </c>
      <c r="I302" s="151">
        <v>-0.17408567105359701</v>
      </c>
      <c r="J302" s="151">
        <v>41.747572815533999</v>
      </c>
      <c r="K302" s="151">
        <v>38.834951456310698</v>
      </c>
      <c r="L302" s="151">
        <v>37.799043062201001</v>
      </c>
      <c r="M302" s="151">
        <v>34.4660194174757</v>
      </c>
      <c r="N302" s="151">
        <v>44.230769230769198</v>
      </c>
      <c r="O302" s="151">
        <v>43.269230769230802</v>
      </c>
    </row>
    <row r="303" spans="1:15">
      <c r="A303" s="151">
        <v>2008</v>
      </c>
      <c r="B303" s="151" t="s">
        <v>510</v>
      </c>
      <c r="C303" s="151" t="s">
        <v>3366</v>
      </c>
      <c r="D303" s="151">
        <v>-0.933160275522945</v>
      </c>
      <c r="E303" s="151">
        <v>-1.4689537729469</v>
      </c>
      <c r="F303" s="151">
        <v>-0.17559501786479101</v>
      </c>
      <c r="G303" s="151">
        <v>-0.87342415139206697</v>
      </c>
      <c r="H303" s="151">
        <v>-0.78115152258869802</v>
      </c>
      <c r="I303" s="151">
        <v>-1.0578252773655901</v>
      </c>
      <c r="J303" s="151">
        <v>17.475728155339802</v>
      </c>
      <c r="K303" s="151">
        <v>4.3689320388349504</v>
      </c>
      <c r="L303" s="151">
        <v>38.277511961722503</v>
      </c>
      <c r="M303" s="151">
        <v>18.932038834951499</v>
      </c>
      <c r="N303" s="151">
        <v>22.596153846153801</v>
      </c>
      <c r="O303" s="151">
        <v>17.788461538461501</v>
      </c>
    </row>
    <row r="304" spans="1:15">
      <c r="A304" s="151">
        <v>2008</v>
      </c>
      <c r="B304" s="151" t="s">
        <v>2844</v>
      </c>
      <c r="C304" s="151" t="s">
        <v>3367</v>
      </c>
      <c r="D304" s="151">
        <v>-0.90276833689715996</v>
      </c>
      <c r="E304" s="151">
        <v>-1.1454017891627799</v>
      </c>
      <c r="F304" s="151">
        <v>-0.81962103099710104</v>
      </c>
      <c r="G304" s="151">
        <v>-1.3741245334180201</v>
      </c>
      <c r="H304" s="151">
        <v>-1.09382262540675</v>
      </c>
      <c r="I304" s="151">
        <v>0.202049060323093</v>
      </c>
      <c r="J304" s="151">
        <v>18.446601941747598</v>
      </c>
      <c r="K304" s="151">
        <v>11.6504854368932</v>
      </c>
      <c r="L304" s="151">
        <v>18.6602870813397</v>
      </c>
      <c r="M304" s="151">
        <v>5.3398058252427196</v>
      </c>
      <c r="N304" s="151">
        <v>13.461538461538501</v>
      </c>
      <c r="O304" s="151">
        <v>55.288461538461497</v>
      </c>
    </row>
    <row r="305" spans="1:15">
      <c r="A305" s="151">
        <v>2008</v>
      </c>
      <c r="B305" s="151" t="s">
        <v>2845</v>
      </c>
      <c r="C305" s="151" t="s">
        <v>3368</v>
      </c>
      <c r="D305" s="151">
        <v>-0.266035728112471</v>
      </c>
      <c r="E305" s="151">
        <v>0.171696501208777</v>
      </c>
      <c r="F305" s="151">
        <v>-9.98789814485911E-2</v>
      </c>
      <c r="G305" s="151">
        <v>0.59949102133186905</v>
      </c>
      <c r="H305" s="151">
        <v>-0.27000876403643198</v>
      </c>
      <c r="I305" s="151">
        <v>0.48100325660430199</v>
      </c>
      <c r="J305" s="151">
        <v>49.0291262135922</v>
      </c>
      <c r="K305" s="151">
        <v>59.708737864077698</v>
      </c>
      <c r="L305" s="151">
        <v>40.191387559808597</v>
      </c>
      <c r="M305" s="151">
        <v>68.932038834951499</v>
      </c>
      <c r="N305" s="151">
        <v>48.076923076923102</v>
      </c>
      <c r="O305" s="151">
        <v>61.057692307692299</v>
      </c>
    </row>
    <row r="306" spans="1:15">
      <c r="A306" s="151">
        <v>2008</v>
      </c>
      <c r="B306" s="151" t="s">
        <v>2846</v>
      </c>
      <c r="C306" s="151" t="s">
        <v>3369</v>
      </c>
      <c r="D306" s="151">
        <v>-0.68577735692567798</v>
      </c>
      <c r="E306" s="151">
        <v>-0.87421376326140099</v>
      </c>
      <c r="F306" s="151">
        <v>-1.9946451816183901</v>
      </c>
      <c r="G306" s="151">
        <v>-0.71087623062516103</v>
      </c>
      <c r="H306" s="151">
        <v>-0.98249452585818897</v>
      </c>
      <c r="I306" s="151">
        <v>-1.2276834740673499</v>
      </c>
      <c r="J306" s="151">
        <v>28.6407766990291</v>
      </c>
      <c r="K306" s="151">
        <v>17.961165048543702</v>
      </c>
      <c r="L306" s="151">
        <v>3.3492822966507201</v>
      </c>
      <c r="M306" s="151">
        <v>25.728155339805799</v>
      </c>
      <c r="N306" s="151">
        <v>18.269230769230798</v>
      </c>
      <c r="O306" s="151">
        <v>13.942307692307701</v>
      </c>
    </row>
    <row r="307" spans="1:15">
      <c r="A307" s="151">
        <v>2008</v>
      </c>
      <c r="B307" s="151" t="s">
        <v>534</v>
      </c>
      <c r="C307" s="151" t="s">
        <v>3370</v>
      </c>
      <c r="D307" s="151">
        <v>-0.47433898284147402</v>
      </c>
      <c r="E307" s="151">
        <v>-0.72927626481342001</v>
      </c>
      <c r="F307" s="151">
        <v>0.46318787542491702</v>
      </c>
      <c r="G307" s="151">
        <v>-0.45386416304737698</v>
      </c>
      <c r="H307" s="151">
        <v>-0.43978530381708703</v>
      </c>
      <c r="I307" s="151">
        <v>-0.18089655683316799</v>
      </c>
      <c r="J307" s="151">
        <v>38.834951456310698</v>
      </c>
      <c r="K307" s="151">
        <v>25.242718446601899</v>
      </c>
      <c r="L307" s="151">
        <v>60.287081339712898</v>
      </c>
      <c r="M307" s="151">
        <v>36.4077669902913</v>
      </c>
      <c r="N307" s="151">
        <v>38.942307692307701</v>
      </c>
      <c r="O307" s="151">
        <v>42.307692307692299</v>
      </c>
    </row>
    <row r="308" spans="1:15">
      <c r="A308" s="151">
        <v>2008</v>
      </c>
      <c r="B308" s="151" t="s">
        <v>357</v>
      </c>
      <c r="C308" s="151" t="s">
        <v>3371</v>
      </c>
      <c r="D308" s="151">
        <v>-0.66609296947146002</v>
      </c>
      <c r="E308" s="151">
        <v>-0.51769434986029705</v>
      </c>
      <c r="F308" s="151">
        <v>0.57387371965939205</v>
      </c>
      <c r="G308" s="151">
        <v>-0.333893375310926</v>
      </c>
      <c r="H308" s="151">
        <v>-0.376555444894215</v>
      </c>
      <c r="I308" s="151">
        <v>0.238763706301584</v>
      </c>
      <c r="J308" s="151">
        <v>29.6116504854369</v>
      </c>
      <c r="K308" s="151">
        <v>36.893203883495097</v>
      </c>
      <c r="L308" s="151">
        <v>67.464114832535898</v>
      </c>
      <c r="M308" s="151">
        <v>42.7184466019418</v>
      </c>
      <c r="N308" s="151">
        <v>42.307692307692299</v>
      </c>
      <c r="O308" s="151">
        <v>55.769230769230802</v>
      </c>
    </row>
    <row r="309" spans="1:15">
      <c r="A309" s="151">
        <v>2009</v>
      </c>
      <c r="B309" s="151" t="s">
        <v>16</v>
      </c>
      <c r="C309" s="151" t="s">
        <v>3372</v>
      </c>
      <c r="D309" s="151">
        <v>-1.51327923804473</v>
      </c>
      <c r="E309" s="151">
        <v>-1.49946594356579</v>
      </c>
      <c r="F309" s="151">
        <v>-2.7044499801217099</v>
      </c>
      <c r="G309" s="151">
        <v>-1.67010510633739</v>
      </c>
      <c r="H309" s="151">
        <v>-1.90890112454841</v>
      </c>
      <c r="I309" s="151">
        <v>-1.4604511925908701</v>
      </c>
      <c r="J309" s="151">
        <v>0.95693779904306198</v>
      </c>
      <c r="K309" s="151">
        <v>3.8277511961722501</v>
      </c>
      <c r="L309" s="151">
        <v>0.47393364928909998</v>
      </c>
      <c r="M309" s="151">
        <v>3.3492822966507201</v>
      </c>
      <c r="N309" s="151">
        <v>0.47393364928909998</v>
      </c>
      <c r="O309" s="151">
        <v>8.5308056872037898</v>
      </c>
    </row>
    <row r="310" spans="1:15">
      <c r="A310" s="151">
        <v>2009</v>
      </c>
      <c r="B310" s="151" t="s">
        <v>33</v>
      </c>
      <c r="C310" s="151" t="s">
        <v>3373</v>
      </c>
      <c r="D310" s="151">
        <v>-0.49327831391160298</v>
      </c>
      <c r="E310" s="151">
        <v>-0.23899343497433401</v>
      </c>
      <c r="F310" s="151">
        <v>-5.1232554674726698E-2</v>
      </c>
      <c r="G310" s="151">
        <v>0.24766539822603401</v>
      </c>
      <c r="H310" s="151">
        <v>-0.53258285886405798</v>
      </c>
      <c r="I310" s="151">
        <v>0.12659891494021</v>
      </c>
      <c r="J310" s="151">
        <v>37.799043062201001</v>
      </c>
      <c r="K310" s="151">
        <v>48.325358851674601</v>
      </c>
      <c r="L310" s="151">
        <v>42.654028436018997</v>
      </c>
      <c r="M310" s="151">
        <v>58.373205741626798</v>
      </c>
      <c r="N310" s="151">
        <v>36.492890995260701</v>
      </c>
      <c r="O310" s="151">
        <v>53.554502369668199</v>
      </c>
    </row>
    <row r="311" spans="1:15">
      <c r="A311" s="151">
        <v>2009</v>
      </c>
      <c r="B311" s="151" t="s">
        <v>48</v>
      </c>
      <c r="C311" s="151" t="s">
        <v>3374</v>
      </c>
      <c r="D311" s="151">
        <v>-1.1100440172816699</v>
      </c>
      <c r="E311" s="151">
        <v>-0.62995240665947005</v>
      </c>
      <c r="F311" s="151">
        <v>-0.29472612189219599</v>
      </c>
      <c r="G311" s="151">
        <v>-0.29879621133696899</v>
      </c>
      <c r="H311" s="151">
        <v>-0.82822592223209102</v>
      </c>
      <c r="I311" s="151">
        <v>-1.2105021934254301</v>
      </c>
      <c r="J311" s="151">
        <v>10.047846889952201</v>
      </c>
      <c r="K311" s="151">
        <v>31.1004784688995</v>
      </c>
      <c r="L311" s="151">
        <v>35.071090047393398</v>
      </c>
      <c r="M311" s="151">
        <v>43.062200956937801</v>
      </c>
      <c r="N311" s="151">
        <v>21.8009478672986</v>
      </c>
      <c r="O311" s="151">
        <v>12.7962085308057</v>
      </c>
    </row>
    <row r="312" spans="1:15">
      <c r="A312" s="151">
        <v>2009</v>
      </c>
      <c r="B312" s="151" t="s">
        <v>93</v>
      </c>
      <c r="C312" s="151" t="s">
        <v>3375</v>
      </c>
      <c r="D312" s="151">
        <v>-0.38107729593023998</v>
      </c>
      <c r="E312" s="151">
        <v>-0.58295663304072698</v>
      </c>
      <c r="F312" s="151">
        <v>1.49903608102732E-2</v>
      </c>
      <c r="G312" s="151">
        <v>-8.8949113075699707E-2</v>
      </c>
      <c r="H312" s="151">
        <v>-0.195299665955351</v>
      </c>
      <c r="I312" s="151">
        <v>-0.31541443073540698</v>
      </c>
      <c r="J312" s="151">
        <v>42.583732057416299</v>
      </c>
      <c r="K312" s="151">
        <v>34.928229665071797</v>
      </c>
      <c r="L312" s="151">
        <v>45.023696682464497</v>
      </c>
      <c r="M312" s="151">
        <v>51.196172248803798</v>
      </c>
      <c r="N312" s="151">
        <v>49.763033175355503</v>
      </c>
      <c r="O312" s="151">
        <v>38.3886255924171</v>
      </c>
    </row>
    <row r="313" spans="1:15">
      <c r="A313" s="151">
        <v>2009</v>
      </c>
      <c r="B313" s="151" t="s">
        <v>122</v>
      </c>
      <c r="C313" s="151" t="s">
        <v>3376</v>
      </c>
      <c r="D313" s="151">
        <v>-0.90743974432085805</v>
      </c>
      <c r="E313" s="151">
        <v>-1.42257862478012</v>
      </c>
      <c r="F313" s="151">
        <v>-1.8827085057566999</v>
      </c>
      <c r="G313" s="151">
        <v>-1.25343581149015</v>
      </c>
      <c r="H313" s="151">
        <v>-1.32068126316803</v>
      </c>
      <c r="I313" s="151">
        <v>-1.0063690701110299</v>
      </c>
      <c r="J313" s="151">
        <v>19.138755980861198</v>
      </c>
      <c r="K313" s="151">
        <v>5.2631578947368398</v>
      </c>
      <c r="L313" s="151">
        <v>4.7393364928909998</v>
      </c>
      <c r="M313" s="151">
        <v>7.6555023923445003</v>
      </c>
      <c r="N313" s="151">
        <v>5.68720379146919</v>
      </c>
      <c r="O313" s="151">
        <v>19.4312796208531</v>
      </c>
    </row>
    <row r="314" spans="1:15">
      <c r="A314" s="151">
        <v>2009</v>
      </c>
      <c r="B314" s="151" t="s">
        <v>133</v>
      </c>
      <c r="C314" s="151" t="s">
        <v>3377</v>
      </c>
      <c r="D314" s="151">
        <v>-1.3555364140761601</v>
      </c>
      <c r="E314" s="151">
        <v>-1.4231168712779201</v>
      </c>
      <c r="F314" s="151">
        <v>-1.68920009121452</v>
      </c>
      <c r="G314" s="151">
        <v>-1.0416083218118199</v>
      </c>
      <c r="H314" s="151">
        <v>-1.4932020959718999</v>
      </c>
      <c r="I314" s="151">
        <v>-1.4195605227997199</v>
      </c>
      <c r="J314" s="151">
        <v>4.3062200956937797</v>
      </c>
      <c r="K314" s="151">
        <v>4.7846889952153102</v>
      </c>
      <c r="L314" s="151">
        <v>6.1611374407582904</v>
      </c>
      <c r="M314" s="151">
        <v>14.8325358851675</v>
      </c>
      <c r="N314" s="151">
        <v>3.3175355450236999</v>
      </c>
      <c r="O314" s="151">
        <v>9.4786729857819907</v>
      </c>
    </row>
    <row r="315" spans="1:15">
      <c r="A315" s="151">
        <v>2009</v>
      </c>
      <c r="B315" s="151" t="s">
        <v>165</v>
      </c>
      <c r="C315" s="151" t="s">
        <v>3378</v>
      </c>
      <c r="D315" s="151">
        <v>-1.36346807993374</v>
      </c>
      <c r="E315" s="151">
        <v>-1.7051833014723501</v>
      </c>
      <c r="F315" s="151">
        <v>-1.98732794178672</v>
      </c>
      <c r="G315" s="151">
        <v>-1.5291692682962501</v>
      </c>
      <c r="H315" s="151">
        <v>-1.6297209505533099</v>
      </c>
      <c r="I315" s="151">
        <v>-1.44744229343522</v>
      </c>
      <c r="J315" s="151">
        <v>3.8277511961722501</v>
      </c>
      <c r="K315" s="151">
        <v>1.91387559808612</v>
      </c>
      <c r="L315" s="151">
        <v>3.7914691943127998</v>
      </c>
      <c r="M315" s="151">
        <v>5.2631578947368398</v>
      </c>
      <c r="N315" s="151">
        <v>1.8957345971563999</v>
      </c>
      <c r="O315" s="151">
        <v>9.0047393364928894</v>
      </c>
    </row>
    <row r="316" spans="1:15">
      <c r="A316" s="151">
        <v>2009</v>
      </c>
      <c r="B316" s="151" t="s">
        <v>458</v>
      </c>
      <c r="C316" s="151" t="s">
        <v>3379</v>
      </c>
      <c r="D316" s="151">
        <v>-1.175436427155</v>
      </c>
      <c r="E316" s="151">
        <v>-1.2350143943421401</v>
      </c>
      <c r="F316" s="151">
        <v>-0.27744695734202801</v>
      </c>
      <c r="G316" s="151">
        <v>-1.2816085019057899</v>
      </c>
      <c r="H316" s="151">
        <v>-1.18855548294473</v>
      </c>
      <c r="I316" s="151">
        <v>-1.09940352897635</v>
      </c>
      <c r="J316" s="151">
        <v>7.6555023923445003</v>
      </c>
      <c r="K316" s="151">
        <v>8.1339712918660307</v>
      </c>
      <c r="L316" s="151">
        <v>36.0189573459716</v>
      </c>
      <c r="M316" s="151">
        <v>6.2200956937798999</v>
      </c>
      <c r="N316" s="151">
        <v>11.374407582938399</v>
      </c>
      <c r="O316" s="151">
        <v>16.113744075829398</v>
      </c>
    </row>
    <row r="317" spans="1:15">
      <c r="A317" s="151">
        <v>2009</v>
      </c>
      <c r="B317" s="151" t="s">
        <v>96</v>
      </c>
      <c r="C317" s="151" t="s">
        <v>3380</v>
      </c>
      <c r="D317" s="151">
        <v>-0.92234563308804896</v>
      </c>
      <c r="E317" s="151">
        <v>-0.81857389962537597</v>
      </c>
      <c r="F317" s="151">
        <v>-0.48204843823879501</v>
      </c>
      <c r="G317" s="151">
        <v>-0.73985067148075101</v>
      </c>
      <c r="H317" s="151">
        <v>-1.1152772611264099</v>
      </c>
      <c r="I317" s="151">
        <v>-1.0619175557573799</v>
      </c>
      <c r="J317" s="151">
        <v>18.6602870813397</v>
      </c>
      <c r="K317" s="151">
        <v>21.052631578947398</v>
      </c>
      <c r="L317" s="151">
        <v>29.3838862559242</v>
      </c>
      <c r="M317" s="151">
        <v>24.8803827751196</v>
      </c>
      <c r="N317" s="151">
        <v>13.744075829383901</v>
      </c>
      <c r="O317" s="151">
        <v>16.5876777251185</v>
      </c>
    </row>
    <row r="318" spans="1:15">
      <c r="A318" s="151">
        <v>2009</v>
      </c>
      <c r="B318" s="151" t="s">
        <v>182</v>
      </c>
      <c r="C318" s="151" t="s">
        <v>3381</v>
      </c>
      <c r="D318" s="151">
        <v>-1.5033918861167299</v>
      </c>
      <c r="E318" s="151">
        <v>-1.7222469620127601</v>
      </c>
      <c r="F318" s="151">
        <v>0.38652640320530901</v>
      </c>
      <c r="G318" s="151">
        <v>-1.27911468409736</v>
      </c>
      <c r="H318" s="151">
        <v>-1.24625405447389</v>
      </c>
      <c r="I318" s="151">
        <v>-1.8103847906892201</v>
      </c>
      <c r="J318" s="151">
        <v>1.4354066985645899</v>
      </c>
      <c r="K318" s="151">
        <v>1.4354066985645899</v>
      </c>
      <c r="L318" s="151">
        <v>58.7677725118483</v>
      </c>
      <c r="M318" s="151">
        <v>7.1770334928229698</v>
      </c>
      <c r="N318" s="151">
        <v>8.5308056872037898</v>
      </c>
      <c r="O318" s="151">
        <v>3.3175355450236999</v>
      </c>
    </row>
    <row r="319" spans="1:15">
      <c r="A319" s="151">
        <v>2009</v>
      </c>
      <c r="B319" s="151" t="s">
        <v>185</v>
      </c>
      <c r="C319" s="151" t="s">
        <v>3382</v>
      </c>
      <c r="D319" s="151">
        <v>-0.94167335369579896</v>
      </c>
      <c r="E319" s="151">
        <v>-0.75439813979218096</v>
      </c>
      <c r="F319" s="151">
        <v>0.12481247599074501</v>
      </c>
      <c r="G319" s="151">
        <v>-0.59456225390394402</v>
      </c>
      <c r="H319" s="151">
        <v>-0.54928714770737797</v>
      </c>
      <c r="I319" s="151">
        <v>-1.00067074624718</v>
      </c>
      <c r="J319" s="151">
        <v>17.7033492822966</v>
      </c>
      <c r="K319" s="151">
        <v>25.358851674641102</v>
      </c>
      <c r="L319" s="151">
        <v>48.8151658767773</v>
      </c>
      <c r="M319" s="151">
        <v>31.1004784688995</v>
      </c>
      <c r="N319" s="151">
        <v>36.0189573459716</v>
      </c>
      <c r="O319" s="151">
        <v>20.3791469194313</v>
      </c>
    </row>
    <row r="320" spans="1:15">
      <c r="A320" s="151">
        <v>2009</v>
      </c>
      <c r="B320" s="151" t="s">
        <v>189</v>
      </c>
      <c r="C320" s="151" t="s">
        <v>3383</v>
      </c>
      <c r="D320" s="151">
        <v>3.13423438627983E-2</v>
      </c>
      <c r="E320" s="151">
        <v>-3.78100282636896E-2</v>
      </c>
      <c r="F320" s="151">
        <v>3.5919231106770803E-2</v>
      </c>
      <c r="G320" s="151">
        <v>9.0179455574476194E-2</v>
      </c>
      <c r="H320" s="151">
        <v>-7.6806517584081302E-2</v>
      </c>
      <c r="I320" s="151">
        <v>0.48685563342905602</v>
      </c>
      <c r="J320" s="151">
        <v>59.808612440191403</v>
      </c>
      <c r="K320" s="151">
        <v>53.5885167464115</v>
      </c>
      <c r="L320" s="151">
        <v>45.971563981042699</v>
      </c>
      <c r="M320" s="151">
        <v>54.066985645933002</v>
      </c>
      <c r="N320" s="151">
        <v>52.606635071089997</v>
      </c>
      <c r="O320" s="151">
        <v>62.085308056872002</v>
      </c>
    </row>
    <row r="321" spans="1:15">
      <c r="A321" s="151">
        <v>2009</v>
      </c>
      <c r="B321" s="151" t="s">
        <v>213</v>
      </c>
      <c r="C321" s="151" t="s">
        <v>3384</v>
      </c>
      <c r="D321" s="151">
        <v>-0.478128733364792</v>
      </c>
      <c r="E321" s="151">
        <v>-0.69381831379966297</v>
      </c>
      <c r="F321" s="151">
        <v>-0.94431168216443695</v>
      </c>
      <c r="G321" s="151">
        <v>-0.118225455186968</v>
      </c>
      <c r="H321" s="151">
        <v>-1.0729902162428899</v>
      </c>
      <c r="I321" s="151">
        <v>-0.274044704257492</v>
      </c>
      <c r="J321" s="151">
        <v>38.277511961722503</v>
      </c>
      <c r="K321" s="151">
        <v>28.229665071770299</v>
      </c>
      <c r="L321" s="151">
        <v>18.483412322274901</v>
      </c>
      <c r="M321" s="151">
        <v>49.282296650717697</v>
      </c>
      <c r="N321" s="151">
        <v>15.639810426540301</v>
      </c>
      <c r="O321" s="151">
        <v>39.810426540284404</v>
      </c>
    </row>
    <row r="322" spans="1:15">
      <c r="A322" s="151">
        <v>2009</v>
      </c>
      <c r="B322" s="151" t="s">
        <v>2843</v>
      </c>
      <c r="C322" s="151" t="s">
        <v>3385</v>
      </c>
      <c r="D322" s="151">
        <v>-1.0470559901229</v>
      </c>
      <c r="E322" s="151">
        <v>-1.03147671919396</v>
      </c>
      <c r="F322" s="151">
        <v>-2.08628624648868</v>
      </c>
      <c r="G322" s="151">
        <v>-1.12656813907442</v>
      </c>
      <c r="H322" s="151">
        <v>-1.54014503640784</v>
      </c>
      <c r="I322" s="151">
        <v>-1.30149674731851</v>
      </c>
      <c r="J322" s="151">
        <v>13.8755980861244</v>
      </c>
      <c r="K322" s="151">
        <v>13.3971291866029</v>
      </c>
      <c r="L322" s="151">
        <v>2.8436018957345999</v>
      </c>
      <c r="M322" s="151">
        <v>12.4401913875598</v>
      </c>
      <c r="N322" s="151">
        <v>2.8436018957345999</v>
      </c>
      <c r="O322" s="151">
        <v>10.4265402843602</v>
      </c>
    </row>
    <row r="323" spans="1:15">
      <c r="A323" s="151">
        <v>2009</v>
      </c>
      <c r="B323" s="151" t="s">
        <v>237</v>
      </c>
      <c r="C323" s="151" t="s">
        <v>3386</v>
      </c>
      <c r="D323" s="151">
        <v>-0.81582570120773601</v>
      </c>
      <c r="E323" s="151">
        <v>-0.27656821064612203</v>
      </c>
      <c r="F323" s="151">
        <v>-0.75851636602946304</v>
      </c>
      <c r="G323" s="151">
        <v>-0.33309293933209</v>
      </c>
      <c r="H323" s="151">
        <v>-0.59513608852202704</v>
      </c>
      <c r="I323" s="151">
        <v>-3.3692223068848899E-2</v>
      </c>
      <c r="J323" s="151">
        <v>22.966507177033499</v>
      </c>
      <c r="K323" s="151">
        <v>46.889952153110002</v>
      </c>
      <c r="L323" s="151">
        <v>20.853080568720401</v>
      </c>
      <c r="M323" s="151">
        <v>39.712918660287102</v>
      </c>
      <c r="N323" s="151">
        <v>34.597156398104303</v>
      </c>
      <c r="O323" s="151">
        <v>46.919431279620902</v>
      </c>
    </row>
    <row r="324" spans="1:15">
      <c r="A324" s="151">
        <v>2009</v>
      </c>
      <c r="B324" s="151" t="s">
        <v>245</v>
      </c>
      <c r="C324" s="151" t="s">
        <v>3387</v>
      </c>
      <c r="D324" s="151">
        <v>-1.3922886481096199</v>
      </c>
      <c r="E324" s="151">
        <v>-1.2020230439441499</v>
      </c>
      <c r="F324" s="151">
        <v>-2.1856993154475899</v>
      </c>
      <c r="G324" s="151">
        <v>-1.0060865909061101</v>
      </c>
      <c r="H324" s="151">
        <v>-1.7741949444326801</v>
      </c>
      <c r="I324" s="151">
        <v>-1.1000623897045001</v>
      </c>
      <c r="J324" s="151">
        <v>2.87081339712919</v>
      </c>
      <c r="K324" s="151">
        <v>9.0909090909090899</v>
      </c>
      <c r="L324" s="151">
        <v>2.3696682464454999</v>
      </c>
      <c r="M324" s="151">
        <v>16.746411483253599</v>
      </c>
      <c r="N324" s="151">
        <v>1.4218009478672999</v>
      </c>
      <c r="O324" s="151">
        <v>15.639810426540301</v>
      </c>
    </row>
    <row r="325" spans="1:15">
      <c r="A325" s="151">
        <v>2009</v>
      </c>
      <c r="B325" s="151" t="s">
        <v>273</v>
      </c>
      <c r="C325" s="151" t="s">
        <v>3388</v>
      </c>
      <c r="D325" s="151">
        <v>-0.88404358302178698</v>
      </c>
      <c r="E325" s="151">
        <v>-0.36180551130907501</v>
      </c>
      <c r="F325" s="151">
        <v>0.74874515291924304</v>
      </c>
      <c r="G325" s="151">
        <v>-0.32490139377488098</v>
      </c>
      <c r="H325" s="151">
        <v>-0.6279281638209</v>
      </c>
      <c r="I325" s="151">
        <v>-1.0437228644659999</v>
      </c>
      <c r="J325" s="151">
        <v>20.5741626794258</v>
      </c>
      <c r="K325" s="151">
        <v>44.019138755980897</v>
      </c>
      <c r="L325" s="151">
        <v>72.037914691943101</v>
      </c>
      <c r="M325" s="151">
        <v>40.669856459330099</v>
      </c>
      <c r="N325" s="151">
        <v>32.701421800947898</v>
      </c>
      <c r="O325" s="151">
        <v>17.535545023696699</v>
      </c>
    </row>
    <row r="326" spans="1:15">
      <c r="A326" s="151">
        <v>2009</v>
      </c>
      <c r="B326" s="151" t="s">
        <v>278</v>
      </c>
      <c r="C326" s="151" t="s">
        <v>3389</v>
      </c>
      <c r="D326" s="151">
        <v>-1.2305684234293699</v>
      </c>
      <c r="E326" s="151">
        <v>-0.95015902344371395</v>
      </c>
      <c r="F326" s="151">
        <v>-0.64256559582778106</v>
      </c>
      <c r="G326" s="151">
        <v>-0.320715483525574</v>
      </c>
      <c r="H326" s="151">
        <v>-1.31693051424095</v>
      </c>
      <c r="I326" s="151">
        <v>-1.0022108347477501</v>
      </c>
      <c r="J326" s="151">
        <v>6.2200956937798999</v>
      </c>
      <c r="K326" s="151">
        <v>17.224880382775101</v>
      </c>
      <c r="L326" s="151">
        <v>24.644549763033201</v>
      </c>
      <c r="M326" s="151">
        <v>41.626794258373202</v>
      </c>
      <c r="N326" s="151">
        <v>6.1611374407582904</v>
      </c>
      <c r="O326" s="151">
        <v>19.905213270142202</v>
      </c>
    </row>
    <row r="327" spans="1:15">
      <c r="A327" s="151">
        <v>2009</v>
      </c>
      <c r="B327" s="151" t="s">
        <v>294</v>
      </c>
      <c r="C327" s="151" t="s">
        <v>3390</v>
      </c>
      <c r="D327" s="151">
        <v>-0.56271051797997396</v>
      </c>
      <c r="E327" s="151">
        <v>-1.2388153058748701</v>
      </c>
      <c r="F327" s="151">
        <v>-1.0754025802234199</v>
      </c>
      <c r="G327" s="151">
        <v>-1.19120965876653</v>
      </c>
      <c r="H327" s="151">
        <v>-1.0811713636731399</v>
      </c>
      <c r="I327" s="151">
        <v>-0.20433352732342799</v>
      </c>
      <c r="J327" s="151">
        <v>32.535885167464102</v>
      </c>
      <c r="K327" s="151">
        <v>7.6555023923445003</v>
      </c>
      <c r="L327" s="151">
        <v>15.165876777251199</v>
      </c>
      <c r="M327" s="151">
        <v>9.5693779904306204</v>
      </c>
      <c r="N327" s="151">
        <v>15.165876777251199</v>
      </c>
      <c r="O327" s="151">
        <v>41.706161137440802</v>
      </c>
    </row>
    <row r="328" spans="1:15">
      <c r="A328" s="151">
        <v>2009</v>
      </c>
      <c r="B328" s="151" t="s">
        <v>309</v>
      </c>
      <c r="C328" s="151" t="s">
        <v>3391</v>
      </c>
      <c r="D328" s="151">
        <v>-0.19241468597101799</v>
      </c>
      <c r="E328" s="151">
        <v>-0.78264603631290597</v>
      </c>
      <c r="F328" s="151">
        <v>-0.74802950066964702</v>
      </c>
      <c r="G328" s="151">
        <v>-0.49934270444890499</v>
      </c>
      <c r="H328" s="151">
        <v>-0.72670160037224096</v>
      </c>
      <c r="I328" s="151">
        <v>-0.85846779147558006</v>
      </c>
      <c r="J328" s="151">
        <v>53.5885167464115</v>
      </c>
      <c r="K328" s="151">
        <v>23.923444976076599</v>
      </c>
      <c r="L328" s="151">
        <v>21.327014218009499</v>
      </c>
      <c r="M328" s="151">
        <v>33.9712918660287</v>
      </c>
      <c r="N328" s="151">
        <v>27.488151658767801</v>
      </c>
      <c r="O328" s="151">
        <v>25.118483412322298</v>
      </c>
    </row>
    <row r="329" spans="1:15">
      <c r="A329" s="151">
        <v>2009</v>
      </c>
      <c r="B329" s="151" t="s">
        <v>322</v>
      </c>
      <c r="C329" s="151" t="s">
        <v>3392</v>
      </c>
      <c r="D329" s="151">
        <v>-0.63568132290367696</v>
      </c>
      <c r="E329" s="151">
        <v>-0.78967362376063399</v>
      </c>
      <c r="F329" s="151">
        <v>-7.8052068174738101E-2</v>
      </c>
      <c r="G329" s="151">
        <v>-0.39061964217212403</v>
      </c>
      <c r="H329" s="151">
        <v>-0.35033187314284497</v>
      </c>
      <c r="I329" s="151">
        <v>4.1858658624007797E-2</v>
      </c>
      <c r="J329" s="151">
        <v>29.665071770334901</v>
      </c>
      <c r="K329" s="151">
        <v>22.966507177033499</v>
      </c>
      <c r="L329" s="151">
        <v>41.706161137440802</v>
      </c>
      <c r="M329" s="151">
        <v>38.277511961722503</v>
      </c>
      <c r="N329" s="151">
        <v>45.023696682464497</v>
      </c>
      <c r="O329" s="151">
        <v>50.236966824644497</v>
      </c>
    </row>
    <row r="330" spans="1:15">
      <c r="A330" s="151">
        <v>2009</v>
      </c>
      <c r="B330" s="151" t="s">
        <v>338</v>
      </c>
      <c r="C330" s="151" t="s">
        <v>3393</v>
      </c>
      <c r="D330" s="151">
        <v>-0.55606124657203904</v>
      </c>
      <c r="E330" s="151">
        <v>-0.88259362281677101</v>
      </c>
      <c r="F330" s="151">
        <v>-0.87760725614009405</v>
      </c>
      <c r="G330" s="151">
        <v>-0.67142483965750099</v>
      </c>
      <c r="H330" s="151">
        <v>-0.78603548592487305</v>
      </c>
      <c r="I330" s="151">
        <v>-0.96510899804188</v>
      </c>
      <c r="J330" s="151">
        <v>33.9712918660287</v>
      </c>
      <c r="K330" s="151">
        <v>20.5741626794258</v>
      </c>
      <c r="L330" s="151">
        <v>19.4312796208531</v>
      </c>
      <c r="M330" s="151">
        <v>26.7942583732057</v>
      </c>
      <c r="N330" s="151">
        <v>23.2227488151659</v>
      </c>
      <c r="O330" s="151">
        <v>20.853080568720401</v>
      </c>
    </row>
    <row r="331" spans="1:15">
      <c r="A331" s="151">
        <v>2009</v>
      </c>
      <c r="B331" s="151" t="s">
        <v>378</v>
      </c>
      <c r="C331" s="151" t="s">
        <v>3394</v>
      </c>
      <c r="D331" s="151">
        <v>-0.42101975203520903</v>
      </c>
      <c r="E331" s="151">
        <v>-0.54382928909406303</v>
      </c>
      <c r="F331" s="151">
        <v>0.58954037409522198</v>
      </c>
      <c r="G331" s="151">
        <v>-0.38672618976353301</v>
      </c>
      <c r="H331" s="151">
        <v>-0.59210876462423401</v>
      </c>
      <c r="I331" s="151">
        <v>-0.10593740605468201</v>
      </c>
      <c r="J331" s="151">
        <v>40.669856459330099</v>
      </c>
      <c r="K331" s="151">
        <v>37.799043062201001</v>
      </c>
      <c r="L331" s="151">
        <v>66.824644549762994</v>
      </c>
      <c r="M331" s="151">
        <v>38.755980861243998</v>
      </c>
      <c r="N331" s="151">
        <v>35.071090047393398</v>
      </c>
      <c r="O331" s="151">
        <v>45.023696682464497</v>
      </c>
    </row>
    <row r="332" spans="1:15">
      <c r="A332" s="151">
        <v>2009</v>
      </c>
      <c r="B332" s="151" t="s">
        <v>387</v>
      </c>
      <c r="C332" s="151" t="s">
        <v>3395</v>
      </c>
      <c r="D332" s="151">
        <v>-0.60858375851193602</v>
      </c>
      <c r="E332" s="151">
        <v>-0.66111858643714605</v>
      </c>
      <c r="F332" s="151">
        <v>-1.15669978560293</v>
      </c>
      <c r="G332" s="151">
        <v>-0.48242411907739402</v>
      </c>
      <c r="H332" s="151">
        <v>-0.52306690113449394</v>
      </c>
      <c r="I332" s="151">
        <v>-0.78435006215137004</v>
      </c>
      <c r="J332" s="151">
        <v>30.622009569378001</v>
      </c>
      <c r="K332" s="151">
        <v>29.665071770334901</v>
      </c>
      <c r="L332" s="151">
        <v>14.6919431279621</v>
      </c>
      <c r="M332" s="151">
        <v>34.449760765550202</v>
      </c>
      <c r="N332" s="151">
        <v>36.966824644549803</v>
      </c>
      <c r="O332" s="151">
        <v>27.0142180094787</v>
      </c>
    </row>
    <row r="333" spans="1:15">
      <c r="A333" s="151">
        <v>2009</v>
      </c>
      <c r="B333" s="151" t="s">
        <v>406</v>
      </c>
      <c r="C333" s="151" t="s">
        <v>3396</v>
      </c>
      <c r="D333" s="151">
        <v>-0.97646890734238401</v>
      </c>
      <c r="E333" s="151">
        <v>-1.20063179764928</v>
      </c>
      <c r="F333" s="151">
        <v>-1.9524677495139999</v>
      </c>
      <c r="G333" s="151">
        <v>-0.72845954903365895</v>
      </c>
      <c r="H333" s="151">
        <v>-1.1641807783609599</v>
      </c>
      <c r="I333" s="151">
        <v>-0.87191090940425098</v>
      </c>
      <c r="J333" s="151">
        <v>17.224880382775101</v>
      </c>
      <c r="K333" s="151">
        <v>9.5693779904306204</v>
      </c>
      <c r="L333" s="151">
        <v>4.2654028436019003</v>
      </c>
      <c r="M333" s="151">
        <v>25.358851674641102</v>
      </c>
      <c r="N333" s="151">
        <v>12.3222748815166</v>
      </c>
      <c r="O333" s="151">
        <v>24.644549763033201</v>
      </c>
    </row>
    <row r="334" spans="1:15">
      <c r="A334" s="151">
        <v>2009</v>
      </c>
      <c r="B334" s="151" t="s">
        <v>442</v>
      </c>
      <c r="C334" s="151" t="s">
        <v>3397</v>
      </c>
      <c r="D334" s="151">
        <v>-0.34216136455586199</v>
      </c>
      <c r="E334" s="151">
        <v>-0.42240703988964201</v>
      </c>
      <c r="F334" s="151">
        <v>-1.1809401239462201</v>
      </c>
      <c r="G334" s="151">
        <v>0.401355532712239</v>
      </c>
      <c r="H334" s="151">
        <v>-0.66274568005644796</v>
      </c>
      <c r="I334" s="151">
        <v>4.0587288441011303E-2</v>
      </c>
      <c r="J334" s="151">
        <v>46.889952153110002</v>
      </c>
      <c r="K334" s="151">
        <v>42.105263157894697</v>
      </c>
      <c r="L334" s="151">
        <v>13.744075829383901</v>
      </c>
      <c r="M334" s="151">
        <v>64.593301435406701</v>
      </c>
      <c r="N334" s="151">
        <v>30.8056872037915</v>
      </c>
      <c r="O334" s="151">
        <v>49.763033175355503</v>
      </c>
    </row>
    <row r="335" spans="1:15">
      <c r="A335" s="151">
        <v>2009</v>
      </c>
      <c r="B335" s="151" t="s">
        <v>481</v>
      </c>
      <c r="C335" s="151" t="s">
        <v>3398</v>
      </c>
      <c r="D335" s="151">
        <v>-0.93853103018099204</v>
      </c>
      <c r="E335" s="151">
        <v>-1.2154466944479101</v>
      </c>
      <c r="F335" s="151">
        <v>-0.29656773131597203</v>
      </c>
      <c r="G335" s="151">
        <v>-0.77737053623886399</v>
      </c>
      <c r="H335" s="151">
        <v>-0.91886383049915599</v>
      </c>
      <c r="I335" s="151">
        <v>-0.26388929326647997</v>
      </c>
      <c r="J335" s="151">
        <v>18.181818181818201</v>
      </c>
      <c r="K335" s="151">
        <v>8.6124401913875595</v>
      </c>
      <c r="L335" s="151">
        <v>34.597156398104303</v>
      </c>
      <c r="M335" s="151">
        <v>23.923444976076599</v>
      </c>
      <c r="N335" s="151">
        <v>19.4312796208531</v>
      </c>
      <c r="O335" s="151">
        <v>40.284360189573498</v>
      </c>
    </row>
    <row r="336" spans="1:15">
      <c r="A336" s="151">
        <v>2009</v>
      </c>
      <c r="B336" s="151" t="s">
        <v>492</v>
      </c>
      <c r="C336" s="151" t="s">
        <v>3399</v>
      </c>
      <c r="D336" s="151">
        <v>-0.44252210670392</v>
      </c>
      <c r="E336" s="151">
        <v>-0.593270511956416</v>
      </c>
      <c r="F336" s="151">
        <v>6.9291708133980195E-2</v>
      </c>
      <c r="G336" s="151">
        <v>-0.42146087151551997</v>
      </c>
      <c r="H336" s="151">
        <v>-0.47624685699734998</v>
      </c>
      <c r="I336" s="151">
        <v>-0.158080618442376</v>
      </c>
      <c r="J336" s="151">
        <v>39.2344497607656</v>
      </c>
      <c r="K336" s="151">
        <v>33.492822966507198</v>
      </c>
      <c r="L336" s="151">
        <v>47.867298578199097</v>
      </c>
      <c r="M336" s="151">
        <v>36.363636363636402</v>
      </c>
      <c r="N336" s="151">
        <v>39.336492890995302</v>
      </c>
      <c r="O336" s="151">
        <v>43.6018957345972</v>
      </c>
    </row>
    <row r="337" spans="1:15">
      <c r="A337" s="151">
        <v>2009</v>
      </c>
      <c r="B337" s="151" t="s">
        <v>510</v>
      </c>
      <c r="C337" s="151" t="s">
        <v>3400</v>
      </c>
      <c r="D337" s="151">
        <v>-1.02718162861693</v>
      </c>
      <c r="E337" s="151">
        <v>-1.39117644455016</v>
      </c>
      <c r="F337" s="151">
        <v>-0.18623241980376301</v>
      </c>
      <c r="G337" s="151">
        <v>-0.85806149770690399</v>
      </c>
      <c r="H337" s="151">
        <v>-0.88096700442506604</v>
      </c>
      <c r="I337" s="151">
        <v>-1.0364148957666299</v>
      </c>
      <c r="J337" s="151">
        <v>15.311004784689001</v>
      </c>
      <c r="K337" s="151">
        <v>6.2200956937798999</v>
      </c>
      <c r="L337" s="151">
        <v>38.862559241706201</v>
      </c>
      <c r="M337" s="151">
        <v>21.5311004784689</v>
      </c>
      <c r="N337" s="151">
        <v>20.3791469194313</v>
      </c>
      <c r="O337" s="151">
        <v>18.0094786729858</v>
      </c>
    </row>
    <row r="338" spans="1:15">
      <c r="A338" s="151">
        <v>2009</v>
      </c>
      <c r="B338" s="151" t="s">
        <v>2844</v>
      </c>
      <c r="C338" s="151" t="s">
        <v>3401</v>
      </c>
      <c r="D338" s="151">
        <v>-0.995834037162874</v>
      </c>
      <c r="E338" s="151">
        <v>-1.15531675732587</v>
      </c>
      <c r="F338" s="151">
        <v>-0.58178349595816803</v>
      </c>
      <c r="G338" s="151">
        <v>-1.1468569740605701</v>
      </c>
      <c r="H338" s="151">
        <v>-1.2323775796855301</v>
      </c>
      <c r="I338" s="151">
        <v>7.0016417036487796E-2</v>
      </c>
      <c r="J338" s="151">
        <v>16.746411483253599</v>
      </c>
      <c r="K338" s="151">
        <v>10.047846889952201</v>
      </c>
      <c r="L338" s="151">
        <v>27.0142180094787</v>
      </c>
      <c r="M338" s="151">
        <v>11.4832535885167</v>
      </c>
      <c r="N338" s="151">
        <v>10.4265402843602</v>
      </c>
      <c r="O338" s="151">
        <v>51.658767772511901</v>
      </c>
    </row>
    <row r="339" spans="1:15">
      <c r="A339" s="151">
        <v>2009</v>
      </c>
      <c r="B339" s="151" t="s">
        <v>2845</v>
      </c>
      <c r="C339" s="151" t="s">
        <v>3402</v>
      </c>
      <c r="D339" s="151">
        <v>-0.20775092651955199</v>
      </c>
      <c r="E339" s="151">
        <v>0.30266339018431199</v>
      </c>
      <c r="F339" s="151">
        <v>-0.14235859368040901</v>
      </c>
      <c r="G339" s="151">
        <v>0.537296056312346</v>
      </c>
      <c r="H339" s="151">
        <v>-0.23115579505839501</v>
      </c>
      <c r="I339" s="151">
        <v>0.52876969829702503</v>
      </c>
      <c r="J339" s="151">
        <v>52.153110047846901</v>
      </c>
      <c r="K339" s="151">
        <v>64.114832535885199</v>
      </c>
      <c r="L339" s="151">
        <v>40.284360189573498</v>
      </c>
      <c r="M339" s="151">
        <v>69.856459330143494</v>
      </c>
      <c r="N339" s="151">
        <v>47.393364928910003</v>
      </c>
      <c r="O339" s="151">
        <v>63.033175355450197</v>
      </c>
    </row>
    <row r="340" spans="1:15">
      <c r="A340" s="151">
        <v>2009</v>
      </c>
      <c r="B340" s="151" t="s">
        <v>2846</v>
      </c>
      <c r="C340" s="151" t="s">
        <v>3403</v>
      </c>
      <c r="D340" s="151">
        <v>-1.01763952312215</v>
      </c>
      <c r="E340" s="151">
        <v>-1.0780798693790801</v>
      </c>
      <c r="F340" s="151">
        <v>-2.3198345550544301</v>
      </c>
      <c r="G340" s="151">
        <v>-0.62468932430519597</v>
      </c>
      <c r="H340" s="151">
        <v>-1.0865411782208501</v>
      </c>
      <c r="I340" s="151">
        <v>-1.28043615479811</v>
      </c>
      <c r="J340" s="151">
        <v>15.789473684210501</v>
      </c>
      <c r="K340" s="151">
        <v>12.4401913875598</v>
      </c>
      <c r="L340" s="151">
        <v>1.8957345971563999</v>
      </c>
      <c r="M340" s="151">
        <v>27.7511961722488</v>
      </c>
      <c r="N340" s="151">
        <v>14.218009478673</v>
      </c>
      <c r="O340" s="151">
        <v>11.848341232227501</v>
      </c>
    </row>
    <row r="341" spans="1:15">
      <c r="A341" s="151">
        <v>2009</v>
      </c>
      <c r="B341" s="151" t="s">
        <v>534</v>
      </c>
      <c r="C341" s="151" t="s">
        <v>3404</v>
      </c>
      <c r="D341" s="151">
        <v>-0.51320912303131205</v>
      </c>
      <c r="E341" s="151">
        <v>-0.79114014249250797</v>
      </c>
      <c r="F341" s="151">
        <v>0.53465903763662503</v>
      </c>
      <c r="G341" s="151">
        <v>-0.50244949982849896</v>
      </c>
      <c r="H341" s="151">
        <v>-0.48504740992574302</v>
      </c>
      <c r="I341" s="151">
        <v>-0.319576629576935</v>
      </c>
      <c r="J341" s="151">
        <v>36.842105263157897</v>
      </c>
      <c r="K341" s="151">
        <v>22.488038277512</v>
      </c>
      <c r="L341" s="151">
        <v>65.402843601895697</v>
      </c>
      <c r="M341" s="151">
        <v>33.492822966507198</v>
      </c>
      <c r="N341" s="151">
        <v>38.3886255924171</v>
      </c>
      <c r="O341" s="151">
        <v>37.914691943127998</v>
      </c>
    </row>
    <row r="342" spans="1:15">
      <c r="A342" s="151">
        <v>2009</v>
      </c>
      <c r="B342" s="151" t="s">
        <v>357</v>
      </c>
      <c r="C342" s="151" t="s">
        <v>3405</v>
      </c>
      <c r="D342" s="151">
        <v>-0.75530920524568601</v>
      </c>
      <c r="E342" s="151">
        <v>-0.65829754879069402</v>
      </c>
      <c r="F342" s="151">
        <v>0.601512514565814</v>
      </c>
      <c r="G342" s="151">
        <v>-0.27675532483055199</v>
      </c>
      <c r="H342" s="151">
        <v>-0.27609563960260203</v>
      </c>
      <c r="I342" s="151">
        <v>9.1417087418387499E-2</v>
      </c>
      <c r="J342" s="151">
        <v>24.401913875598101</v>
      </c>
      <c r="K342" s="151">
        <v>30.143540669856499</v>
      </c>
      <c r="L342" s="151">
        <v>68.720379146919399</v>
      </c>
      <c r="M342" s="151">
        <v>44.019138755980897</v>
      </c>
      <c r="N342" s="151">
        <v>45.971563981042699</v>
      </c>
      <c r="O342" s="151">
        <v>53.080568720379098</v>
      </c>
    </row>
    <row r="343" spans="1:15">
      <c r="A343" s="151">
        <v>2010</v>
      </c>
      <c r="B343" s="151" t="s">
        <v>16</v>
      </c>
      <c r="C343" s="151" t="s">
        <v>3406</v>
      </c>
      <c r="D343" s="151">
        <v>-1.62446565845433</v>
      </c>
      <c r="E343" s="151">
        <v>-1.46557142586881</v>
      </c>
      <c r="F343" s="151">
        <v>-2.54981934179348</v>
      </c>
      <c r="G343" s="151">
        <v>-1.5292580860895</v>
      </c>
      <c r="H343" s="151">
        <v>-1.9010929721785399</v>
      </c>
      <c r="I343" s="151">
        <v>-1.4815815982603</v>
      </c>
      <c r="J343" s="151">
        <v>0.952380952380952</v>
      </c>
      <c r="K343" s="151">
        <v>4.3062200956937797</v>
      </c>
      <c r="L343" s="151">
        <v>1.4150943396226401</v>
      </c>
      <c r="M343" s="151">
        <v>5.2631578947368398</v>
      </c>
      <c r="N343" s="151">
        <v>0.47393364928909998</v>
      </c>
      <c r="O343" s="151">
        <v>7.5829383886255899</v>
      </c>
    </row>
    <row r="344" spans="1:15">
      <c r="A344" s="151">
        <v>2010</v>
      </c>
      <c r="B344" s="151" t="s">
        <v>33</v>
      </c>
      <c r="C344" s="151" t="s">
        <v>3407</v>
      </c>
      <c r="D344" s="151">
        <v>-0.48857776519914198</v>
      </c>
      <c r="E344" s="151">
        <v>-0.27142752356988198</v>
      </c>
      <c r="F344" s="151">
        <v>-0.19131423887818599</v>
      </c>
      <c r="G344" s="151">
        <v>0.23225209582522999</v>
      </c>
      <c r="H344" s="151">
        <v>-0.43575947109145502</v>
      </c>
      <c r="I344" s="151">
        <v>0.11205761285367399</v>
      </c>
      <c r="J344" s="151">
        <v>36.6666666666667</v>
      </c>
      <c r="K344" s="151">
        <v>45.454545454545503</v>
      </c>
      <c r="L344" s="151">
        <v>39.622641509433997</v>
      </c>
      <c r="M344" s="151">
        <v>56.937799043062199</v>
      </c>
      <c r="N344" s="151">
        <v>40.758293838862599</v>
      </c>
      <c r="O344" s="151">
        <v>53.554502369668199</v>
      </c>
    </row>
    <row r="345" spans="1:15">
      <c r="A345" s="151">
        <v>2010</v>
      </c>
      <c r="B345" s="151" t="s">
        <v>48</v>
      </c>
      <c r="C345" s="151" t="s">
        <v>3408</v>
      </c>
      <c r="D345" s="151">
        <v>-1.1790171369459901</v>
      </c>
      <c r="E345" s="151">
        <v>-0.79394637716512195</v>
      </c>
      <c r="F345" s="151">
        <v>-0.25327806107414602</v>
      </c>
      <c r="G345" s="151">
        <v>-0.36834713846671502</v>
      </c>
      <c r="H345" s="151">
        <v>-0.85301209909863995</v>
      </c>
      <c r="I345" s="151">
        <v>-1.2560356657365599</v>
      </c>
      <c r="J345" s="151">
        <v>9.5238095238095202</v>
      </c>
      <c r="K345" s="151">
        <v>23.923444976076599</v>
      </c>
      <c r="L345" s="151">
        <v>35.849056603773597</v>
      </c>
      <c r="M345" s="151">
        <v>39.712918660287102</v>
      </c>
      <c r="N345" s="151">
        <v>23.2227488151659</v>
      </c>
      <c r="O345" s="151">
        <v>12.3222748815166</v>
      </c>
    </row>
    <row r="346" spans="1:15">
      <c r="A346" s="151">
        <v>2010</v>
      </c>
      <c r="B346" s="151" t="s">
        <v>93</v>
      </c>
      <c r="C346" s="151" t="s">
        <v>3409</v>
      </c>
      <c r="D346" s="151">
        <v>-0.38862232467318197</v>
      </c>
      <c r="E346" s="151">
        <v>-0.56076503759166096</v>
      </c>
      <c r="F346" s="151">
        <v>-0.147422711271252</v>
      </c>
      <c r="G346" s="151">
        <v>-0.13907055862802301</v>
      </c>
      <c r="H346" s="151">
        <v>-0.183458746729938</v>
      </c>
      <c r="I346" s="151">
        <v>-0.27747271998626299</v>
      </c>
      <c r="J346" s="151">
        <v>43.809523809523803</v>
      </c>
      <c r="K346" s="151">
        <v>35.406698564593299</v>
      </c>
      <c r="L346" s="151">
        <v>40.5660377358491</v>
      </c>
      <c r="M346" s="151">
        <v>48.325358851674601</v>
      </c>
      <c r="N346" s="151">
        <v>49.763033175355503</v>
      </c>
      <c r="O346" s="151">
        <v>37.914691943127998</v>
      </c>
    </row>
    <row r="347" spans="1:15">
      <c r="A347" s="151">
        <v>2010</v>
      </c>
      <c r="B347" s="151" t="s">
        <v>122</v>
      </c>
      <c r="C347" s="151" t="s">
        <v>3410</v>
      </c>
      <c r="D347" s="151">
        <v>-0.83611629178666902</v>
      </c>
      <c r="E347" s="151">
        <v>-1.39027354989652</v>
      </c>
      <c r="F347" s="151">
        <v>-2.01191097721741</v>
      </c>
      <c r="G347" s="151">
        <v>-1.15169270004266</v>
      </c>
      <c r="H347" s="151">
        <v>-1.29392924624706</v>
      </c>
      <c r="I347" s="151">
        <v>-1.1234595341889699</v>
      </c>
      <c r="J347" s="151">
        <v>21.428571428571399</v>
      </c>
      <c r="K347" s="151">
        <v>5.2631578947368398</v>
      </c>
      <c r="L347" s="151">
        <v>3.7735849056603801</v>
      </c>
      <c r="M347" s="151">
        <v>11.9617224880383</v>
      </c>
      <c r="N347" s="151">
        <v>7.1090047393364904</v>
      </c>
      <c r="O347" s="151">
        <v>14.218009478673</v>
      </c>
    </row>
    <row r="348" spans="1:15">
      <c r="A348" s="151">
        <v>2010</v>
      </c>
      <c r="B348" s="151" t="s">
        <v>133</v>
      </c>
      <c r="C348" s="151" t="s">
        <v>3411</v>
      </c>
      <c r="D348" s="151">
        <v>-1.3353702560987399</v>
      </c>
      <c r="E348" s="151">
        <v>-1.44544760515034</v>
      </c>
      <c r="F348" s="151">
        <v>-1.5122881189823201</v>
      </c>
      <c r="G348" s="151">
        <v>-1.0552521529166401</v>
      </c>
      <c r="H348" s="151">
        <v>-1.48022636687884</v>
      </c>
      <c r="I348" s="151">
        <v>-1.37058406323075</v>
      </c>
      <c r="J348" s="151">
        <v>3.3333333333333299</v>
      </c>
      <c r="K348" s="151">
        <v>4.7846889952153102</v>
      </c>
      <c r="L348" s="151">
        <v>8.9622641509433993</v>
      </c>
      <c r="M348" s="151">
        <v>14.8325358851675</v>
      </c>
      <c r="N348" s="151">
        <v>3.7914691943127998</v>
      </c>
      <c r="O348" s="151">
        <v>10.4265402843602</v>
      </c>
    </row>
    <row r="349" spans="1:15">
      <c r="A349" s="151">
        <v>2010</v>
      </c>
      <c r="B349" s="151" t="s">
        <v>165</v>
      </c>
      <c r="C349" s="151" t="s">
        <v>3412</v>
      </c>
      <c r="D349" s="151">
        <v>-1.4180767145324</v>
      </c>
      <c r="E349" s="151">
        <v>-1.73494098745098</v>
      </c>
      <c r="F349" s="151">
        <v>-2.2271516163748899</v>
      </c>
      <c r="G349" s="151">
        <v>-1.58230061557214</v>
      </c>
      <c r="H349" s="151">
        <v>-1.6121452264354399</v>
      </c>
      <c r="I349" s="151">
        <v>-1.4446722820503</v>
      </c>
      <c r="J349" s="151">
        <v>2.38095238095238</v>
      </c>
      <c r="K349" s="151">
        <v>1.4354066985645899</v>
      </c>
      <c r="L349" s="151">
        <v>2.8301886792452802</v>
      </c>
      <c r="M349" s="151">
        <v>4.3062200956937797</v>
      </c>
      <c r="N349" s="151">
        <v>2.3696682464454999</v>
      </c>
      <c r="O349" s="151">
        <v>9.0047393364928894</v>
      </c>
    </row>
    <row r="350" spans="1:15">
      <c r="A350" s="151">
        <v>2010</v>
      </c>
      <c r="B350" s="151" t="s">
        <v>458</v>
      </c>
      <c r="C350" s="151" t="s">
        <v>3413</v>
      </c>
      <c r="D350" s="151">
        <v>-1.1149697397604399</v>
      </c>
      <c r="E350" s="151">
        <v>-1.2339884209024099</v>
      </c>
      <c r="F350" s="151">
        <v>-0.33049749599117101</v>
      </c>
      <c r="G350" s="151">
        <v>-1.2672029824801001</v>
      </c>
      <c r="H350" s="151">
        <v>-1.1833569034653999</v>
      </c>
      <c r="I350" s="151">
        <v>-1.05759514323022</v>
      </c>
      <c r="J350" s="151">
        <v>11.4285714285714</v>
      </c>
      <c r="K350" s="151">
        <v>8.6124401913875595</v>
      </c>
      <c r="L350" s="151">
        <v>33.962264150943398</v>
      </c>
      <c r="M350" s="151">
        <v>7.6555023923445003</v>
      </c>
      <c r="N350" s="151">
        <v>11.374407582938399</v>
      </c>
      <c r="O350" s="151">
        <v>17.061611374407601</v>
      </c>
    </row>
    <row r="351" spans="1:15">
      <c r="A351" s="151">
        <v>2010</v>
      </c>
      <c r="B351" s="151" t="s">
        <v>96</v>
      </c>
      <c r="C351" s="151" t="s">
        <v>3414</v>
      </c>
      <c r="D351" s="151">
        <v>-0.98466655509401002</v>
      </c>
      <c r="E351" s="151">
        <v>-0.87505469664290703</v>
      </c>
      <c r="F351" s="151">
        <v>-0.72685652050563199</v>
      </c>
      <c r="G351" s="151">
        <v>-0.72577823591609703</v>
      </c>
      <c r="H351" s="151">
        <v>-1.05231279885671</v>
      </c>
      <c r="I351" s="151">
        <v>-1.07973605973121</v>
      </c>
      <c r="J351" s="151">
        <v>16.1904761904762</v>
      </c>
      <c r="K351" s="151">
        <v>19.6172248803828</v>
      </c>
      <c r="L351" s="151">
        <v>23.584905660377402</v>
      </c>
      <c r="M351" s="151">
        <v>25.358851674641102</v>
      </c>
      <c r="N351" s="151">
        <v>14.6919431279621</v>
      </c>
      <c r="O351" s="151">
        <v>16.5876777251185</v>
      </c>
    </row>
    <row r="352" spans="1:15">
      <c r="A352" s="151">
        <v>2010</v>
      </c>
      <c r="B352" s="151" t="s">
        <v>182</v>
      </c>
      <c r="C352" s="151" t="s">
        <v>3415</v>
      </c>
      <c r="D352" s="151">
        <v>-1.49228972870318</v>
      </c>
      <c r="E352" s="151">
        <v>-1.6885297026080599</v>
      </c>
      <c r="F352" s="151">
        <v>0.23297052550824901</v>
      </c>
      <c r="G352" s="151">
        <v>-1.38371059250248</v>
      </c>
      <c r="H352" s="151">
        <v>-1.26806785531447</v>
      </c>
      <c r="I352" s="151">
        <v>-1.86550646671201</v>
      </c>
      <c r="J352" s="151">
        <v>1.4285714285714299</v>
      </c>
      <c r="K352" s="151">
        <v>1.91387559808612</v>
      </c>
      <c r="L352" s="151">
        <v>53.301886792452798</v>
      </c>
      <c r="M352" s="151">
        <v>6.2200956937798999</v>
      </c>
      <c r="N352" s="151">
        <v>8.5308056872037898</v>
      </c>
      <c r="O352" s="151">
        <v>3.3175355450236999</v>
      </c>
    </row>
    <row r="353" spans="1:15">
      <c r="A353" s="151">
        <v>2010</v>
      </c>
      <c r="B353" s="151" t="s">
        <v>185</v>
      </c>
      <c r="C353" s="151" t="s">
        <v>3416</v>
      </c>
      <c r="D353" s="151">
        <v>-0.78038322252136405</v>
      </c>
      <c r="E353" s="151">
        <v>-0.78334044453225504</v>
      </c>
      <c r="F353" s="151">
        <v>0.29793168158468197</v>
      </c>
      <c r="G353" s="151">
        <v>-0.56565717873515597</v>
      </c>
      <c r="H353" s="151">
        <v>-0.51441280146706703</v>
      </c>
      <c r="I353" s="151">
        <v>-0.88767214567942099</v>
      </c>
      <c r="J353" s="151">
        <v>22.8571428571429</v>
      </c>
      <c r="K353" s="151">
        <v>24.401913875598101</v>
      </c>
      <c r="L353" s="151">
        <v>55.660377358490599</v>
      </c>
      <c r="M353" s="151">
        <v>32.535885167464102</v>
      </c>
      <c r="N353" s="151">
        <v>35.545023696682499</v>
      </c>
      <c r="O353" s="151">
        <v>24.644549763033201</v>
      </c>
    </row>
    <row r="354" spans="1:15">
      <c r="A354" s="151">
        <v>2010</v>
      </c>
      <c r="B354" s="151" t="s">
        <v>189</v>
      </c>
      <c r="C354" s="151" t="s">
        <v>3417</v>
      </c>
      <c r="D354" s="151">
        <v>5.9723912887098503E-2</v>
      </c>
      <c r="E354" s="151">
        <v>-3.9284599288337801E-2</v>
      </c>
      <c r="F354" s="151">
        <v>2.3701678540307001E-2</v>
      </c>
      <c r="G354" s="151">
        <v>0.12388794437980399</v>
      </c>
      <c r="H354" s="151">
        <v>-6.3001178170607797E-2</v>
      </c>
      <c r="I354" s="151">
        <v>0.49273590158772701</v>
      </c>
      <c r="J354" s="151">
        <v>60.476190476190503</v>
      </c>
      <c r="K354" s="151">
        <v>54.066985645933002</v>
      </c>
      <c r="L354" s="151">
        <v>47.641509433962298</v>
      </c>
      <c r="M354" s="151">
        <v>54.066985645933002</v>
      </c>
      <c r="N354" s="151">
        <v>54.028436018957301</v>
      </c>
      <c r="O354" s="151">
        <v>62.559241706161103</v>
      </c>
    </row>
    <row r="355" spans="1:15">
      <c r="A355" s="151">
        <v>2010</v>
      </c>
      <c r="B355" s="151" t="s">
        <v>213</v>
      </c>
      <c r="C355" s="151" t="s">
        <v>3418</v>
      </c>
      <c r="D355" s="151">
        <v>-0.48129935133288498</v>
      </c>
      <c r="E355" s="151">
        <v>-0.69874816414761298</v>
      </c>
      <c r="F355" s="151">
        <v>-0.87314139642851796</v>
      </c>
      <c r="G355" s="151">
        <v>-0.13028208712700701</v>
      </c>
      <c r="H355" s="151">
        <v>-0.998815634391925</v>
      </c>
      <c r="I355" s="151">
        <v>-0.33446461090524898</v>
      </c>
      <c r="J355" s="151">
        <v>37.619047619047599</v>
      </c>
      <c r="K355" s="151">
        <v>28.7081339712919</v>
      </c>
      <c r="L355" s="151">
        <v>19.811320754716998</v>
      </c>
      <c r="M355" s="151">
        <v>48.803827751196202</v>
      </c>
      <c r="N355" s="151">
        <v>16.5876777251185</v>
      </c>
      <c r="O355" s="151">
        <v>35.545023696682499</v>
      </c>
    </row>
    <row r="356" spans="1:15">
      <c r="A356" s="151">
        <v>2010</v>
      </c>
      <c r="B356" s="151" t="s">
        <v>2843</v>
      </c>
      <c r="C356" s="151" t="s">
        <v>3419</v>
      </c>
      <c r="D356" s="151">
        <v>-1.1922492001565099</v>
      </c>
      <c r="E356" s="151">
        <v>-1.13092764919197</v>
      </c>
      <c r="F356" s="151">
        <v>-1.68228926294157</v>
      </c>
      <c r="G356" s="151">
        <v>-1.0809142207589799</v>
      </c>
      <c r="H356" s="151">
        <v>-1.4985812874257001</v>
      </c>
      <c r="I356" s="151">
        <v>-0.94665409682159996</v>
      </c>
      <c r="J356" s="151">
        <v>9.0476190476190492</v>
      </c>
      <c r="K356" s="151">
        <v>11.4832535885167</v>
      </c>
      <c r="L356" s="151">
        <v>4.7169811320754702</v>
      </c>
      <c r="M356" s="151">
        <v>13.8755980861244</v>
      </c>
      <c r="N356" s="151">
        <v>3.3175355450236999</v>
      </c>
      <c r="O356" s="151">
        <v>21.327014218009499</v>
      </c>
    </row>
    <row r="357" spans="1:15">
      <c r="A357" s="151">
        <v>2010</v>
      </c>
      <c r="B357" s="151" t="s">
        <v>237</v>
      </c>
      <c r="C357" s="151" t="s">
        <v>3420</v>
      </c>
      <c r="D357" s="151">
        <v>-0.74540314848692502</v>
      </c>
      <c r="E357" s="151">
        <v>-0.19747215191721601</v>
      </c>
      <c r="F357" s="151">
        <v>-0.85380073158446201</v>
      </c>
      <c r="G357" s="151">
        <v>-0.39464850642062199</v>
      </c>
      <c r="H357" s="151">
        <v>-0.64029830593063597</v>
      </c>
      <c r="I357" s="151">
        <v>-7.1183291495536302E-2</v>
      </c>
      <c r="J357" s="151">
        <v>25.238095238095202</v>
      </c>
      <c r="K357" s="151">
        <v>47.846889952153099</v>
      </c>
      <c r="L357" s="151">
        <v>20.754716981132098</v>
      </c>
      <c r="M357" s="151">
        <v>37.799043062201001</v>
      </c>
      <c r="N357" s="151">
        <v>31.753554502369699</v>
      </c>
      <c r="O357" s="151">
        <v>47.867298578199097</v>
      </c>
    </row>
    <row r="358" spans="1:15">
      <c r="A358" s="151">
        <v>2010</v>
      </c>
      <c r="B358" s="151" t="s">
        <v>245</v>
      </c>
      <c r="C358" s="151" t="s">
        <v>3421</v>
      </c>
      <c r="D358" s="151">
        <v>-1.3101540300572501</v>
      </c>
      <c r="E358" s="151">
        <v>-1.22080514370563</v>
      </c>
      <c r="F358" s="151">
        <v>-2.2555389510886399</v>
      </c>
      <c r="G358" s="151">
        <v>-1.05017296506253</v>
      </c>
      <c r="H358" s="151">
        <v>-1.6151213967945699</v>
      </c>
      <c r="I358" s="151">
        <v>-1.05609304989007</v>
      </c>
      <c r="J358" s="151">
        <v>4.28571428571429</v>
      </c>
      <c r="K358" s="151">
        <v>9.0909090909090899</v>
      </c>
      <c r="L358" s="151">
        <v>2.35849056603774</v>
      </c>
      <c r="M358" s="151">
        <v>15.789473684210501</v>
      </c>
      <c r="N358" s="151">
        <v>1.8957345971563999</v>
      </c>
      <c r="O358" s="151">
        <v>17.535545023696699</v>
      </c>
    </row>
    <row r="359" spans="1:15">
      <c r="A359" s="151">
        <v>2010</v>
      </c>
      <c r="B359" s="151" t="s">
        <v>273</v>
      </c>
      <c r="C359" s="151" t="s">
        <v>3422</v>
      </c>
      <c r="D359" s="151">
        <v>-0.97534524891083396</v>
      </c>
      <c r="E359" s="151">
        <v>-0.42554743484187901</v>
      </c>
      <c r="F359" s="151">
        <v>0.45235036310351401</v>
      </c>
      <c r="G359" s="151">
        <v>-0.336527196038655</v>
      </c>
      <c r="H359" s="151">
        <v>-0.61261838679652603</v>
      </c>
      <c r="I359" s="151">
        <v>-1.1020684613614</v>
      </c>
      <c r="J359" s="151">
        <v>16.6666666666667</v>
      </c>
      <c r="K359" s="151">
        <v>40.669856459330099</v>
      </c>
      <c r="L359" s="151">
        <v>61.792452830188701</v>
      </c>
      <c r="M359" s="151">
        <v>40.669856459330099</v>
      </c>
      <c r="N359" s="151">
        <v>32.701421800947898</v>
      </c>
      <c r="O359" s="151">
        <v>15.165876777251199</v>
      </c>
    </row>
    <row r="360" spans="1:15">
      <c r="A360" s="151">
        <v>2010</v>
      </c>
      <c r="B360" s="151" t="s">
        <v>278</v>
      </c>
      <c r="C360" s="151" t="s">
        <v>3423</v>
      </c>
      <c r="D360" s="151">
        <v>-1.1090655234363</v>
      </c>
      <c r="E360" s="151">
        <v>-0.63482368678068302</v>
      </c>
      <c r="F360" s="151">
        <v>-1.0331283700851901</v>
      </c>
      <c r="G360" s="151">
        <v>-0.25426987328707201</v>
      </c>
      <c r="H360" s="151">
        <v>-1.28206144922025</v>
      </c>
      <c r="I360" s="151">
        <v>-0.95874429933139405</v>
      </c>
      <c r="J360" s="151">
        <v>11.9047619047619</v>
      </c>
      <c r="K360" s="151">
        <v>31.578947368421101</v>
      </c>
      <c r="L360" s="151">
        <v>15.5660377358491</v>
      </c>
      <c r="M360" s="151">
        <v>43.540669856459303</v>
      </c>
      <c r="N360" s="151">
        <v>8.0568720379146903</v>
      </c>
      <c r="O360" s="151">
        <v>20.3791469194313</v>
      </c>
    </row>
    <row r="361" spans="1:15">
      <c r="A361" s="151">
        <v>2010</v>
      </c>
      <c r="B361" s="151" t="s">
        <v>294</v>
      </c>
      <c r="C361" s="151" t="s">
        <v>3424</v>
      </c>
      <c r="D361" s="151">
        <v>-0.52783845709357602</v>
      </c>
      <c r="E361" s="151">
        <v>-1.26971615130245</v>
      </c>
      <c r="F361" s="151">
        <v>-0.45823244394614299</v>
      </c>
      <c r="G361" s="151">
        <v>-1.05371982904254</v>
      </c>
      <c r="H361" s="151">
        <v>-1.01172434252666</v>
      </c>
      <c r="I361" s="151">
        <v>-0.25923041502880501</v>
      </c>
      <c r="J361" s="151">
        <v>35.238095238095198</v>
      </c>
      <c r="K361" s="151">
        <v>7.6555023923445003</v>
      </c>
      <c r="L361" s="151">
        <v>29.7169811320755</v>
      </c>
      <c r="M361" s="151">
        <v>15.311004784689001</v>
      </c>
      <c r="N361" s="151">
        <v>15.639810426540301</v>
      </c>
      <c r="O361" s="151">
        <v>38.862559241706201</v>
      </c>
    </row>
    <row r="362" spans="1:15">
      <c r="A362" s="151">
        <v>2010</v>
      </c>
      <c r="B362" s="151" t="s">
        <v>309</v>
      </c>
      <c r="C362" s="151" t="s">
        <v>3425</v>
      </c>
      <c r="D362" s="151">
        <v>-0.27423074953917298</v>
      </c>
      <c r="E362" s="151">
        <v>-0.94658297744993203</v>
      </c>
      <c r="F362" s="151">
        <v>-1.0456766205424599</v>
      </c>
      <c r="G362" s="151">
        <v>-0.55728847014559002</v>
      </c>
      <c r="H362" s="151">
        <v>-0.85350516618006</v>
      </c>
      <c r="I362" s="151">
        <v>-0.82966071240465</v>
      </c>
      <c r="J362" s="151">
        <v>49.523809523809497</v>
      </c>
      <c r="K362" s="151">
        <v>17.7033492822966</v>
      </c>
      <c r="L362" s="151">
        <v>15.094339622641501</v>
      </c>
      <c r="M362" s="151">
        <v>33.014354066985597</v>
      </c>
      <c r="N362" s="151">
        <v>22.748815165876799</v>
      </c>
      <c r="O362" s="151">
        <v>26.540284360189599</v>
      </c>
    </row>
    <row r="363" spans="1:15">
      <c r="A363" s="151">
        <v>2010</v>
      </c>
      <c r="B363" s="151" t="s">
        <v>322</v>
      </c>
      <c r="C363" s="151" t="s">
        <v>3426</v>
      </c>
      <c r="D363" s="151">
        <v>-0.65076666130662397</v>
      </c>
      <c r="E363" s="151">
        <v>-0.83993646042701697</v>
      </c>
      <c r="F363" s="151">
        <v>-0.20779757745033001</v>
      </c>
      <c r="G363" s="151">
        <v>-0.479235599865941</v>
      </c>
      <c r="H363" s="151">
        <v>-0.441682604417447</v>
      </c>
      <c r="I363" s="151">
        <v>0.13439042718963601</v>
      </c>
      <c r="J363" s="151">
        <v>30</v>
      </c>
      <c r="K363" s="151">
        <v>22.009569377990399</v>
      </c>
      <c r="L363" s="151">
        <v>37.735849056603797</v>
      </c>
      <c r="M363" s="151">
        <v>34.928229665071797</v>
      </c>
      <c r="N363" s="151">
        <v>40.284360189573498</v>
      </c>
      <c r="O363" s="151">
        <v>54.028436018957301</v>
      </c>
    </row>
    <row r="364" spans="1:15">
      <c r="A364" s="151">
        <v>2010</v>
      </c>
      <c r="B364" s="151" t="s">
        <v>338</v>
      </c>
      <c r="C364" s="151" t="s">
        <v>3427</v>
      </c>
      <c r="D364" s="151">
        <v>-0.67102097918569303</v>
      </c>
      <c r="E364" s="151">
        <v>-0.96292979952077495</v>
      </c>
      <c r="F364" s="151">
        <v>-1.07960399034544</v>
      </c>
      <c r="G364" s="151">
        <v>-0.82039421725702699</v>
      </c>
      <c r="H364" s="151">
        <v>-0.86791959268175201</v>
      </c>
      <c r="I364" s="151">
        <v>-0.95110337990716798</v>
      </c>
      <c r="J364" s="151">
        <v>29.047619047619001</v>
      </c>
      <c r="K364" s="151">
        <v>16.267942583732101</v>
      </c>
      <c r="L364" s="151">
        <v>14.622641509434001</v>
      </c>
      <c r="M364" s="151">
        <v>22.966507177033499</v>
      </c>
      <c r="N364" s="151">
        <v>21.8009478672986</v>
      </c>
      <c r="O364" s="151">
        <v>20.853080568720401</v>
      </c>
    </row>
    <row r="365" spans="1:15">
      <c r="A365" s="151">
        <v>2010</v>
      </c>
      <c r="B365" s="151" t="s">
        <v>378</v>
      </c>
      <c r="C365" s="151" t="s">
        <v>3428</v>
      </c>
      <c r="D365" s="151">
        <v>-0.42918214861182602</v>
      </c>
      <c r="E365" s="151">
        <v>-0.57351784283132501</v>
      </c>
      <c r="F365" s="151">
        <v>0.34378680262892802</v>
      </c>
      <c r="G365" s="151">
        <v>-0.390747852895661</v>
      </c>
      <c r="H365" s="151">
        <v>-0.47120313358243698</v>
      </c>
      <c r="I365" s="151">
        <v>-0.111384166086251</v>
      </c>
      <c r="J365" s="151">
        <v>41.428571428571402</v>
      </c>
      <c r="K365" s="151">
        <v>34.449760765550202</v>
      </c>
      <c r="L365" s="151">
        <v>57.075471698113198</v>
      </c>
      <c r="M365" s="151">
        <v>38.277511961722503</v>
      </c>
      <c r="N365" s="151">
        <v>39.336492890995302</v>
      </c>
      <c r="O365" s="151">
        <v>45.497630331753598</v>
      </c>
    </row>
    <row r="366" spans="1:15">
      <c r="A366" s="151">
        <v>2010</v>
      </c>
      <c r="B366" s="151" t="s">
        <v>387</v>
      </c>
      <c r="C366" s="151" t="s">
        <v>3429</v>
      </c>
      <c r="D366" s="151">
        <v>-0.66761756527553595</v>
      </c>
      <c r="E366" s="151">
        <v>-0.66564869018927197</v>
      </c>
      <c r="F366" s="151">
        <v>-1.1754146989248599</v>
      </c>
      <c r="G366" s="151">
        <v>-0.51060959829524299</v>
      </c>
      <c r="H366" s="151">
        <v>-0.52057996141826102</v>
      </c>
      <c r="I366" s="151">
        <v>-0.66823919544980104</v>
      </c>
      <c r="J366" s="151">
        <v>29.523809523809501</v>
      </c>
      <c r="K366" s="151">
        <v>29.186602870813399</v>
      </c>
      <c r="L366" s="151">
        <v>12.735849056603801</v>
      </c>
      <c r="M366" s="151">
        <v>34.449760765550202</v>
      </c>
      <c r="N366" s="151">
        <v>35.071090047393398</v>
      </c>
      <c r="O366" s="151">
        <v>29.3838862559242</v>
      </c>
    </row>
    <row r="367" spans="1:15">
      <c r="A367" s="151">
        <v>2010</v>
      </c>
      <c r="B367" s="151" t="s">
        <v>406</v>
      </c>
      <c r="C367" s="151" t="s">
        <v>3430</v>
      </c>
      <c r="D367" s="151">
        <v>-0.99732661038004999</v>
      </c>
      <c r="E367" s="151">
        <v>-1.1511203008915001</v>
      </c>
      <c r="F367" s="151">
        <v>-2.1936058653616999</v>
      </c>
      <c r="G367" s="151">
        <v>-0.71374610128231797</v>
      </c>
      <c r="H367" s="151">
        <v>-1.17335263599405</v>
      </c>
      <c r="I367" s="151">
        <v>-0.80221772774641098</v>
      </c>
      <c r="J367" s="151">
        <v>15.2380952380952</v>
      </c>
      <c r="K367" s="151">
        <v>10.526315789473699</v>
      </c>
      <c r="L367" s="151">
        <v>3.3018867924528301</v>
      </c>
      <c r="M367" s="151">
        <v>26.315789473684202</v>
      </c>
      <c r="N367" s="151">
        <v>12.3222748815166</v>
      </c>
      <c r="O367" s="151">
        <v>27.0142180094787</v>
      </c>
    </row>
    <row r="368" spans="1:15">
      <c r="A368" s="151">
        <v>2010</v>
      </c>
      <c r="B368" s="151" t="s">
        <v>442</v>
      </c>
      <c r="C368" s="151" t="s">
        <v>3431</v>
      </c>
      <c r="D368" s="151">
        <v>-0.25042827669247397</v>
      </c>
      <c r="E368" s="151">
        <v>-0.203136729362278</v>
      </c>
      <c r="F368" s="151">
        <v>-0.97688567284337502</v>
      </c>
      <c r="G368" s="151">
        <v>0.460708707951485</v>
      </c>
      <c r="H368" s="151">
        <v>-0.60021654559489401</v>
      </c>
      <c r="I368" s="151">
        <v>6.6403653760441994E-2</v>
      </c>
      <c r="J368" s="151">
        <v>50</v>
      </c>
      <c r="K368" s="151">
        <v>47.368421052631597</v>
      </c>
      <c r="L368" s="151">
        <v>16.981132075471699</v>
      </c>
      <c r="M368" s="151">
        <v>67.9425837320574</v>
      </c>
      <c r="N368" s="151">
        <v>33.175355450236999</v>
      </c>
      <c r="O368" s="151">
        <v>51.658767772511901</v>
      </c>
    </row>
    <row r="369" spans="1:15">
      <c r="A369" s="151">
        <v>2010</v>
      </c>
      <c r="B369" s="151" t="s">
        <v>481</v>
      </c>
      <c r="C369" s="151" t="s">
        <v>3432</v>
      </c>
      <c r="D369" s="151">
        <v>-0.77319034381493701</v>
      </c>
      <c r="E369" s="151">
        <v>-1.2099461631278601</v>
      </c>
      <c r="F369" s="151">
        <v>-0.24059077761397499</v>
      </c>
      <c r="G369" s="151">
        <v>-0.72483633482770204</v>
      </c>
      <c r="H369" s="151">
        <v>-0.95582227890496196</v>
      </c>
      <c r="I369" s="151">
        <v>-0.18426051083702899</v>
      </c>
      <c r="J369" s="151">
        <v>24.285714285714299</v>
      </c>
      <c r="K369" s="151">
        <v>10.047846889952201</v>
      </c>
      <c r="L369" s="151">
        <v>36.320754716981099</v>
      </c>
      <c r="M369" s="151">
        <v>25.8373205741627</v>
      </c>
      <c r="N369" s="151">
        <v>18.0094786729858</v>
      </c>
      <c r="O369" s="151">
        <v>41.706161137440802</v>
      </c>
    </row>
    <row r="370" spans="1:15">
      <c r="A370" s="151">
        <v>2010</v>
      </c>
      <c r="B370" s="151" t="s">
        <v>492</v>
      </c>
      <c r="C370" s="151" t="s">
        <v>3433</v>
      </c>
      <c r="D370" s="151">
        <v>-0.53900717651020602</v>
      </c>
      <c r="E370" s="151">
        <v>-0.57781563906899402</v>
      </c>
      <c r="F370" s="151">
        <v>-2.1697929680339199E-2</v>
      </c>
      <c r="G370" s="151">
        <v>-0.40900807079562401</v>
      </c>
      <c r="H370" s="151">
        <v>-0.48976281576239999</v>
      </c>
      <c r="I370" s="151">
        <v>-0.13151836042925999</v>
      </c>
      <c r="J370" s="151">
        <v>34.761904761904802</v>
      </c>
      <c r="K370" s="151">
        <v>33.492822966507198</v>
      </c>
      <c r="L370" s="151">
        <v>46.2264150943396</v>
      </c>
      <c r="M370" s="151">
        <v>36.842105263157897</v>
      </c>
      <c r="N370" s="151">
        <v>38.3886255924171</v>
      </c>
      <c r="O370" s="151">
        <v>43.6018957345972</v>
      </c>
    </row>
    <row r="371" spans="1:15">
      <c r="A371" s="151">
        <v>2010</v>
      </c>
      <c r="B371" s="151" t="s">
        <v>510</v>
      </c>
      <c r="C371" s="151" t="s">
        <v>3434</v>
      </c>
      <c r="D371" s="151">
        <v>-0.96451530468247704</v>
      </c>
      <c r="E371" s="151">
        <v>-1.3844715678442701</v>
      </c>
      <c r="F371" s="151">
        <v>-0.20278963276866399</v>
      </c>
      <c r="G371" s="151">
        <v>-0.874241676894012</v>
      </c>
      <c r="H371" s="151">
        <v>-0.91347992229323005</v>
      </c>
      <c r="I371" s="151">
        <v>-0.99907283724429796</v>
      </c>
      <c r="J371" s="151">
        <v>18.095238095238098</v>
      </c>
      <c r="K371" s="151">
        <v>5.7416267942583703</v>
      </c>
      <c r="L371" s="151">
        <v>38.207547169811299</v>
      </c>
      <c r="M371" s="151">
        <v>21.052631578947398</v>
      </c>
      <c r="N371" s="151">
        <v>19.905213270142202</v>
      </c>
      <c r="O371" s="151">
        <v>18.957345971563999</v>
      </c>
    </row>
    <row r="372" spans="1:15">
      <c r="A372" s="151">
        <v>2010</v>
      </c>
      <c r="B372" s="151" t="s">
        <v>2844</v>
      </c>
      <c r="C372" s="151" t="s">
        <v>3435</v>
      </c>
      <c r="D372" s="151">
        <v>-0.96848582831864505</v>
      </c>
      <c r="E372" s="151">
        <v>-1.213397194825</v>
      </c>
      <c r="F372" s="151">
        <v>-0.48951359365101299</v>
      </c>
      <c r="G372" s="151">
        <v>-1.1012089761575901</v>
      </c>
      <c r="H372" s="151">
        <v>-1.2159220390082299</v>
      </c>
      <c r="I372" s="151">
        <v>2.4915623763594699E-2</v>
      </c>
      <c r="J372" s="151">
        <v>17.619047619047599</v>
      </c>
      <c r="K372" s="151">
        <v>9.5693779904306204</v>
      </c>
      <c r="L372" s="151">
        <v>28.7735849056604</v>
      </c>
      <c r="M372" s="151">
        <v>13.3971291866029</v>
      </c>
      <c r="N372" s="151">
        <v>9.9526066350710902</v>
      </c>
      <c r="O372" s="151">
        <v>49.289099526066401</v>
      </c>
    </row>
    <row r="373" spans="1:15">
      <c r="A373" s="151">
        <v>2010</v>
      </c>
      <c r="B373" s="151" t="s">
        <v>2845</v>
      </c>
      <c r="C373" s="151" t="s">
        <v>3436</v>
      </c>
      <c r="D373" s="151">
        <v>-0.363742736617854</v>
      </c>
      <c r="E373" s="151">
        <v>0.26523167742604697</v>
      </c>
      <c r="F373" s="151">
        <v>-3.5081011066865203E-2</v>
      </c>
      <c r="G373" s="151">
        <v>0.498090035050057</v>
      </c>
      <c r="H373" s="151">
        <v>-0.22011637154925101</v>
      </c>
      <c r="I373" s="151">
        <v>0.48472723571322202</v>
      </c>
      <c r="J373" s="151">
        <v>45.238095238095198</v>
      </c>
      <c r="K373" s="151">
        <v>63.636363636363598</v>
      </c>
      <c r="L373" s="151">
        <v>44.811320754717002</v>
      </c>
      <c r="M373" s="151">
        <v>68.421052631578902</v>
      </c>
      <c r="N373" s="151">
        <v>47.867298578199097</v>
      </c>
      <c r="O373" s="151">
        <v>62.085308056872002</v>
      </c>
    </row>
    <row r="374" spans="1:15">
      <c r="A374" s="151">
        <v>2010</v>
      </c>
      <c r="B374" s="151" t="s">
        <v>2846</v>
      </c>
      <c r="C374" s="151" t="s">
        <v>3437</v>
      </c>
      <c r="D374" s="151">
        <v>-1.15999082665294</v>
      </c>
      <c r="E374" s="151">
        <v>-1.02191275794591</v>
      </c>
      <c r="F374" s="151">
        <v>-2.42114999378206</v>
      </c>
      <c r="G374" s="151">
        <v>-0.59571068408928596</v>
      </c>
      <c r="H374" s="151">
        <v>-1.06535712267391</v>
      </c>
      <c r="I374" s="151">
        <v>-1.34238311405885</v>
      </c>
      <c r="J374" s="151">
        <v>10</v>
      </c>
      <c r="K374" s="151">
        <v>14.3540669856459</v>
      </c>
      <c r="L374" s="151">
        <v>1.88679245283019</v>
      </c>
      <c r="M374" s="151">
        <v>30.143540669856499</v>
      </c>
      <c r="N374" s="151">
        <v>13.270142180094799</v>
      </c>
      <c r="O374" s="151">
        <v>10.9004739336493</v>
      </c>
    </row>
    <row r="375" spans="1:15">
      <c r="A375" s="151">
        <v>2010</v>
      </c>
      <c r="B375" s="151" t="s">
        <v>534</v>
      </c>
      <c r="C375" s="151" t="s">
        <v>3438</v>
      </c>
      <c r="D375" s="151">
        <v>-0.56542897489310295</v>
      </c>
      <c r="E375" s="151">
        <v>-0.83001481515334596</v>
      </c>
      <c r="F375" s="151">
        <v>0.46161488492609998</v>
      </c>
      <c r="G375" s="151">
        <v>-0.478631304027406</v>
      </c>
      <c r="H375" s="151">
        <v>-0.497806065550844</v>
      </c>
      <c r="I375" s="151">
        <v>-0.25570042695842599</v>
      </c>
      <c r="J375" s="151">
        <v>32.857142857142897</v>
      </c>
      <c r="K375" s="151">
        <v>22.488038277512</v>
      </c>
      <c r="L375" s="151">
        <v>62.264150943396203</v>
      </c>
      <c r="M375" s="151">
        <v>35.406698564593299</v>
      </c>
      <c r="N375" s="151">
        <v>37.440758293838897</v>
      </c>
      <c r="O375" s="151">
        <v>39.336492890995302</v>
      </c>
    </row>
    <row r="376" spans="1:15">
      <c r="A376" s="151">
        <v>2010</v>
      </c>
      <c r="B376" s="151" t="s">
        <v>357</v>
      </c>
      <c r="C376" s="151" t="s">
        <v>3439</v>
      </c>
      <c r="D376" s="151">
        <v>-0.73017292546653501</v>
      </c>
      <c r="E376" s="151">
        <v>-0.57232558761858399</v>
      </c>
      <c r="F376" s="151">
        <v>0.590470204518041</v>
      </c>
      <c r="G376" s="151">
        <v>-0.22521774246305401</v>
      </c>
      <c r="H376" s="151">
        <v>-0.38612057064243099</v>
      </c>
      <c r="I376" s="151">
        <v>4.4599470651139603E-2</v>
      </c>
      <c r="J376" s="151">
        <v>26.6666666666667</v>
      </c>
      <c r="K376" s="151">
        <v>34.928229665071797</v>
      </c>
      <c r="L376" s="151">
        <v>67.452830188679201</v>
      </c>
      <c r="M376" s="151">
        <v>44.019138755980897</v>
      </c>
      <c r="N376" s="151">
        <v>43.127962085308098</v>
      </c>
      <c r="O376" s="151">
        <v>50.236966824644497</v>
      </c>
    </row>
    <row r="377" spans="1:15">
      <c r="A377" s="151">
        <v>2011</v>
      </c>
      <c r="B377" s="151" t="s">
        <v>16</v>
      </c>
      <c r="C377" s="151" t="s">
        <v>3440</v>
      </c>
      <c r="D377" s="151">
        <v>-1.54901259715108</v>
      </c>
      <c r="E377" s="151">
        <v>-1.4576805129002399</v>
      </c>
      <c r="F377" s="151">
        <v>-2.4839237712058702</v>
      </c>
      <c r="G377" s="151">
        <v>-1.5398129724722101</v>
      </c>
      <c r="H377" s="151">
        <v>-1.93459518580929</v>
      </c>
      <c r="I377" s="151">
        <v>-1.41068579570898</v>
      </c>
      <c r="J377" s="151">
        <v>1.4218009478672999</v>
      </c>
      <c r="K377" s="151">
        <v>4.7393364928909998</v>
      </c>
      <c r="L377" s="151">
        <v>1.4150943396226401</v>
      </c>
      <c r="M377" s="151">
        <v>4.2654028436019003</v>
      </c>
      <c r="N377" s="151">
        <v>0.46948356807511699</v>
      </c>
      <c r="O377" s="151">
        <v>9.3896713615023497</v>
      </c>
    </row>
    <row r="378" spans="1:15">
      <c r="A378" s="151">
        <v>2011</v>
      </c>
      <c r="B378" s="151" t="s">
        <v>33</v>
      </c>
      <c r="C378" s="151" t="s">
        <v>3441</v>
      </c>
      <c r="D378" s="151">
        <v>-0.64690618884304496</v>
      </c>
      <c r="E378" s="151">
        <v>-0.20149568880232799</v>
      </c>
      <c r="F378" s="151">
        <v>-0.29043318113751998</v>
      </c>
      <c r="G378" s="151">
        <v>0.23524327870851999</v>
      </c>
      <c r="H378" s="151">
        <v>-0.48532435035474802</v>
      </c>
      <c r="I378" s="151">
        <v>6.5167090365740102E-2</v>
      </c>
      <c r="J378" s="151">
        <v>28.909952606635098</v>
      </c>
      <c r="K378" s="151">
        <v>47.867298578199097</v>
      </c>
      <c r="L378" s="151">
        <v>38.207547169811299</v>
      </c>
      <c r="M378" s="151">
        <v>56.872037914691902</v>
      </c>
      <c r="N378" s="151">
        <v>38.967136150234701</v>
      </c>
      <c r="O378" s="151">
        <v>52.582159624413102</v>
      </c>
    </row>
    <row r="379" spans="1:15">
      <c r="A379" s="151">
        <v>2011</v>
      </c>
      <c r="B379" s="151" t="s">
        <v>48</v>
      </c>
      <c r="C379" s="151" t="s">
        <v>3442</v>
      </c>
      <c r="D379" s="151">
        <v>-1.1177505725186601</v>
      </c>
      <c r="E379" s="151">
        <v>-0.75540487024948</v>
      </c>
      <c r="F379" s="151">
        <v>-0.52623108297866805</v>
      </c>
      <c r="G379" s="151">
        <v>-0.36687326629287698</v>
      </c>
      <c r="H379" s="151">
        <v>-0.86184629309948102</v>
      </c>
      <c r="I379" s="151">
        <v>-1.2659435619088599</v>
      </c>
      <c r="J379" s="151">
        <v>11.848341232227501</v>
      </c>
      <c r="K379" s="151">
        <v>25.118483412322298</v>
      </c>
      <c r="L379" s="151">
        <v>29.245283018867902</v>
      </c>
      <c r="M379" s="151">
        <v>38.3886255924171</v>
      </c>
      <c r="N379" s="151">
        <v>21.126760563380302</v>
      </c>
      <c r="O379" s="151">
        <v>12.2065727699531</v>
      </c>
    </row>
    <row r="380" spans="1:15">
      <c r="A380" s="151">
        <v>2011</v>
      </c>
      <c r="B380" s="151" t="s">
        <v>93</v>
      </c>
      <c r="C380" s="151" t="s">
        <v>3443</v>
      </c>
      <c r="D380" s="151">
        <v>-0.38715664218622903</v>
      </c>
      <c r="E380" s="151">
        <v>-0.54611704938971195</v>
      </c>
      <c r="F380" s="151">
        <v>-0.58153952411309695</v>
      </c>
      <c r="G380" s="151">
        <v>-0.158104704864233</v>
      </c>
      <c r="H380" s="151">
        <v>-0.36814615410380402</v>
      </c>
      <c r="I380" s="151">
        <v>-0.31756973387542697</v>
      </c>
      <c r="J380" s="151">
        <v>42.654028436018997</v>
      </c>
      <c r="K380" s="151">
        <v>36.966824644549803</v>
      </c>
      <c r="L380" s="151">
        <v>28.301886792452802</v>
      </c>
      <c r="M380" s="151">
        <v>47.393364928910003</v>
      </c>
      <c r="N380" s="151">
        <v>44.600938967136202</v>
      </c>
      <c r="O380" s="151">
        <v>38.028169014084497</v>
      </c>
    </row>
    <row r="381" spans="1:15">
      <c r="A381" s="151">
        <v>2011</v>
      </c>
      <c r="B381" s="151" t="s">
        <v>122</v>
      </c>
      <c r="C381" s="151" t="s">
        <v>3444</v>
      </c>
      <c r="D381" s="151">
        <v>-0.84313740341962096</v>
      </c>
      <c r="E381" s="151">
        <v>-1.2780064351252101</v>
      </c>
      <c r="F381" s="151">
        <v>-1.7854063247322101</v>
      </c>
      <c r="G381" s="151">
        <v>-1.1786459296660601</v>
      </c>
      <c r="H381" s="151">
        <v>-1.27209724412449</v>
      </c>
      <c r="I381" s="151">
        <v>-1.10593957209057</v>
      </c>
      <c r="J381" s="151">
        <v>20.3791469194313</v>
      </c>
      <c r="K381" s="151">
        <v>8.0568720379146903</v>
      </c>
      <c r="L381" s="151">
        <v>4.7169811320754702</v>
      </c>
      <c r="M381" s="151">
        <v>10.4265402843602</v>
      </c>
      <c r="N381" s="151">
        <v>7.9812206572770004</v>
      </c>
      <c r="O381" s="151">
        <v>16.431924882629101</v>
      </c>
    </row>
    <row r="382" spans="1:15">
      <c r="A382" s="151">
        <v>2011</v>
      </c>
      <c r="B382" s="151" t="s">
        <v>133</v>
      </c>
      <c r="C382" s="151" t="s">
        <v>3445</v>
      </c>
      <c r="D382" s="151">
        <v>-1.2624685415010499</v>
      </c>
      <c r="E382" s="151">
        <v>-1.3489423700241401</v>
      </c>
      <c r="F382" s="151">
        <v>-1.3134404667769399</v>
      </c>
      <c r="G382" s="151">
        <v>-1.01005915682657</v>
      </c>
      <c r="H382" s="151">
        <v>-1.44967657815865</v>
      </c>
      <c r="I382" s="151">
        <v>-1.34910253217376</v>
      </c>
      <c r="J382" s="151">
        <v>5.68720379146919</v>
      </c>
      <c r="K382" s="151">
        <v>7.5829383886255899</v>
      </c>
      <c r="L382" s="151">
        <v>10.849056603773599</v>
      </c>
      <c r="M382" s="151">
        <v>16.113744075829398</v>
      </c>
      <c r="N382" s="151">
        <v>3.2863849765258202</v>
      </c>
      <c r="O382" s="151">
        <v>10.3286384976526</v>
      </c>
    </row>
    <row r="383" spans="1:15">
      <c r="A383" s="151">
        <v>2011</v>
      </c>
      <c r="B383" s="151" t="s">
        <v>165</v>
      </c>
      <c r="C383" s="151" t="s">
        <v>3446</v>
      </c>
      <c r="D383" s="151">
        <v>-1.3957785017656701</v>
      </c>
      <c r="E383" s="151">
        <v>-1.67344961349851</v>
      </c>
      <c r="F383" s="151">
        <v>-2.23568898135012</v>
      </c>
      <c r="G383" s="151">
        <v>-1.5198330218751099</v>
      </c>
      <c r="H383" s="151">
        <v>-1.6061542582647901</v>
      </c>
      <c r="I383" s="151">
        <v>-1.5257921010692801</v>
      </c>
      <c r="J383" s="151">
        <v>2.8436018957345999</v>
      </c>
      <c r="K383" s="151">
        <v>1.8957345971563999</v>
      </c>
      <c r="L383" s="151">
        <v>2.35849056603774</v>
      </c>
      <c r="M383" s="151">
        <v>5.2132701421800904</v>
      </c>
      <c r="N383" s="151">
        <v>1.8779342723004699</v>
      </c>
      <c r="O383" s="151">
        <v>7.0422535211267601</v>
      </c>
    </row>
    <row r="384" spans="1:15">
      <c r="A384" s="151">
        <v>2011</v>
      </c>
      <c r="B384" s="151" t="s">
        <v>458</v>
      </c>
      <c r="C384" s="151" t="s">
        <v>3447</v>
      </c>
      <c r="D384" s="151">
        <v>-1.0777492176586001</v>
      </c>
      <c r="E384" s="151">
        <v>-1.1967315038065001</v>
      </c>
      <c r="F384" s="151">
        <v>-0.36229556506272098</v>
      </c>
      <c r="G384" s="151">
        <v>-1.25942308549802</v>
      </c>
      <c r="H384" s="151">
        <v>-1.1615820726064601</v>
      </c>
      <c r="I384" s="151">
        <v>-1.1115959611163999</v>
      </c>
      <c r="J384" s="151">
        <v>13.270142180094799</v>
      </c>
      <c r="K384" s="151">
        <v>9.0047393364928894</v>
      </c>
      <c r="L384" s="151">
        <v>34.905660377358501</v>
      </c>
      <c r="M384" s="151">
        <v>9.0047393364928894</v>
      </c>
      <c r="N384" s="151">
        <v>13.1455399061033</v>
      </c>
      <c r="O384" s="151">
        <v>15.962441314554001</v>
      </c>
    </row>
    <row r="385" spans="1:15">
      <c r="A385" s="151">
        <v>2011</v>
      </c>
      <c r="B385" s="151" t="s">
        <v>96</v>
      </c>
      <c r="C385" s="151" t="s">
        <v>3448</v>
      </c>
      <c r="D385" s="151">
        <v>-1.0381540956325599</v>
      </c>
      <c r="E385" s="151">
        <v>-0.87489524530902296</v>
      </c>
      <c r="F385" s="151">
        <v>-0.66230852929665596</v>
      </c>
      <c r="G385" s="151">
        <v>-0.78985038430656396</v>
      </c>
      <c r="H385" s="151">
        <v>-1.0435518795176899</v>
      </c>
      <c r="I385" s="151">
        <v>-1.04895192292356</v>
      </c>
      <c r="J385" s="151">
        <v>16.113744075829398</v>
      </c>
      <c r="K385" s="151">
        <v>18.957345971563999</v>
      </c>
      <c r="L385" s="151">
        <v>26.415094339622598</v>
      </c>
      <c r="M385" s="151">
        <v>23.2227488151659</v>
      </c>
      <c r="N385" s="151">
        <v>15.0234741784038</v>
      </c>
      <c r="O385" s="151">
        <v>17.370892018779301</v>
      </c>
    </row>
    <row r="386" spans="1:15">
      <c r="A386" s="151">
        <v>2011</v>
      </c>
      <c r="B386" s="151" t="s">
        <v>182</v>
      </c>
      <c r="C386" s="151" t="s">
        <v>3449</v>
      </c>
      <c r="D386" s="151">
        <v>-1.48774142280346</v>
      </c>
      <c r="E386" s="151">
        <v>-1.6347692860494001</v>
      </c>
      <c r="F386" s="151">
        <v>0.117733655531942</v>
      </c>
      <c r="G386" s="151">
        <v>-1.3358448300442001</v>
      </c>
      <c r="H386" s="151">
        <v>-1.20103240227365</v>
      </c>
      <c r="I386" s="151">
        <v>-1.9003846648634</v>
      </c>
      <c r="J386" s="151">
        <v>1.8957345971563999</v>
      </c>
      <c r="K386" s="151">
        <v>2.8436018957345999</v>
      </c>
      <c r="L386" s="151">
        <v>50.471698113207502</v>
      </c>
      <c r="M386" s="151">
        <v>7.5829383886255899</v>
      </c>
      <c r="N386" s="151">
        <v>12.2065727699531</v>
      </c>
      <c r="O386" s="151">
        <v>2.3474178403755901</v>
      </c>
    </row>
    <row r="387" spans="1:15">
      <c r="A387" s="151">
        <v>2011</v>
      </c>
      <c r="B387" s="151" t="s">
        <v>185</v>
      </c>
      <c r="C387" s="151" t="s">
        <v>3450</v>
      </c>
      <c r="D387" s="151">
        <v>-0.78572325481971605</v>
      </c>
      <c r="E387" s="151">
        <v>-0.80405707105858004</v>
      </c>
      <c r="F387" s="151">
        <v>0.38595316843175298</v>
      </c>
      <c r="G387" s="151">
        <v>-0.55906905226919101</v>
      </c>
      <c r="H387" s="151">
        <v>-0.448963735019695</v>
      </c>
      <c r="I387" s="151">
        <v>-0.91508524831687699</v>
      </c>
      <c r="J387" s="151">
        <v>22.748815165876799</v>
      </c>
      <c r="K387" s="151">
        <v>22.274881516587701</v>
      </c>
      <c r="L387" s="151">
        <v>60.849056603773597</v>
      </c>
      <c r="M387" s="151">
        <v>32.227488151658797</v>
      </c>
      <c r="N387" s="151">
        <v>40.845070422535201</v>
      </c>
      <c r="O387" s="151">
        <v>23.943661971830998</v>
      </c>
    </row>
    <row r="388" spans="1:15">
      <c r="A388" s="151">
        <v>2011</v>
      </c>
      <c r="B388" s="151" t="s">
        <v>189</v>
      </c>
      <c r="C388" s="151" t="s">
        <v>3451</v>
      </c>
      <c r="D388" s="151">
        <v>5.1506769050044601E-2</v>
      </c>
      <c r="E388" s="151">
        <v>-5.30835220297124E-2</v>
      </c>
      <c r="F388" s="151">
        <v>0.15929445803695699</v>
      </c>
      <c r="G388" s="151">
        <v>0.13121087605596901</v>
      </c>
      <c r="H388" s="151">
        <v>-3.9055273472441601E-2</v>
      </c>
      <c r="I388" s="151">
        <v>0.47086549338413702</v>
      </c>
      <c r="J388" s="151">
        <v>59.241706161137401</v>
      </c>
      <c r="K388" s="151">
        <v>53.554502369668199</v>
      </c>
      <c r="L388" s="151">
        <v>52.830188679245303</v>
      </c>
      <c r="M388" s="151">
        <v>55.450236966824598</v>
      </c>
      <c r="N388" s="151">
        <v>53.990610328638503</v>
      </c>
      <c r="O388" s="151">
        <v>62.441314553990601</v>
      </c>
    </row>
    <row r="389" spans="1:15">
      <c r="A389" s="151">
        <v>2011</v>
      </c>
      <c r="B389" s="151" t="s">
        <v>213</v>
      </c>
      <c r="C389" s="151" t="s">
        <v>3452</v>
      </c>
      <c r="D389" s="151">
        <v>-0.46966100737468802</v>
      </c>
      <c r="E389" s="151">
        <v>-0.69949021593927097</v>
      </c>
      <c r="F389" s="151">
        <v>-0.76425001276209303</v>
      </c>
      <c r="G389" s="151">
        <v>-0.11199757468508301</v>
      </c>
      <c r="H389" s="151">
        <v>-1.05807570025929</v>
      </c>
      <c r="I389" s="151">
        <v>-0.34866950292311899</v>
      </c>
      <c r="J389" s="151">
        <v>38.862559241706201</v>
      </c>
      <c r="K389" s="151">
        <v>27.962085308056899</v>
      </c>
      <c r="L389" s="151">
        <v>21.698113207547198</v>
      </c>
      <c r="M389" s="151">
        <v>49.763033175355503</v>
      </c>
      <c r="N389" s="151">
        <v>14.553990610328601</v>
      </c>
      <c r="O389" s="151">
        <v>36.619718309859202</v>
      </c>
    </row>
    <row r="390" spans="1:15">
      <c r="A390" s="151">
        <v>2011</v>
      </c>
      <c r="B390" s="151" t="s">
        <v>2843</v>
      </c>
      <c r="C390" s="151" t="s">
        <v>3453</v>
      </c>
      <c r="D390" s="151">
        <v>-1.1654397101820499</v>
      </c>
      <c r="E390" s="151">
        <v>-1.1381946671673699</v>
      </c>
      <c r="F390" s="151">
        <v>-1.3906600652963399</v>
      </c>
      <c r="G390" s="151">
        <v>-1.0020478469227601</v>
      </c>
      <c r="H390" s="151">
        <v>-1.48059779163043</v>
      </c>
      <c r="I390" s="151">
        <v>-0.96892483608290403</v>
      </c>
      <c r="J390" s="151">
        <v>9.0047393364928894</v>
      </c>
      <c r="K390" s="151">
        <v>11.374407582938399</v>
      </c>
      <c r="L390" s="151">
        <v>9.4339622641509404</v>
      </c>
      <c r="M390" s="151">
        <v>16.5876777251185</v>
      </c>
      <c r="N390" s="151">
        <v>2.8169014084507</v>
      </c>
      <c r="O390" s="151">
        <v>19.7183098591549</v>
      </c>
    </row>
    <row r="391" spans="1:15">
      <c r="A391" s="151">
        <v>2011</v>
      </c>
      <c r="B391" s="151" t="s">
        <v>237</v>
      </c>
      <c r="C391" s="151" t="s">
        <v>3454</v>
      </c>
      <c r="D391" s="151">
        <v>-0.67947156187538604</v>
      </c>
      <c r="E391" s="151">
        <v>-0.24884587309561801</v>
      </c>
      <c r="F391" s="151">
        <v>-0.76291902872726403</v>
      </c>
      <c r="G391" s="151">
        <v>-0.330592347662021</v>
      </c>
      <c r="H391" s="151">
        <v>-0.607747902578888</v>
      </c>
      <c r="I391" s="151">
        <v>-4.8407412125047199E-2</v>
      </c>
      <c r="J391" s="151">
        <v>26.540284360189599</v>
      </c>
      <c r="K391" s="151">
        <v>46.445497630331801</v>
      </c>
      <c r="L391" s="151">
        <v>22.1698113207547</v>
      </c>
      <c r="M391" s="151">
        <v>40.758293838862599</v>
      </c>
      <c r="N391" s="151">
        <v>31.924882629108001</v>
      </c>
      <c r="O391" s="151">
        <v>47.417840375586898</v>
      </c>
    </row>
    <row r="392" spans="1:15">
      <c r="A392" s="151">
        <v>2011</v>
      </c>
      <c r="B392" s="151" t="s">
        <v>245</v>
      </c>
      <c r="C392" s="151" t="s">
        <v>3455</v>
      </c>
      <c r="D392" s="151">
        <v>-1.2066321616253699</v>
      </c>
      <c r="E392" s="151">
        <v>-1.1508256264483501</v>
      </c>
      <c r="F392" s="151">
        <v>-1.8422029306640999</v>
      </c>
      <c r="G392" s="151">
        <v>-1.09298881572478</v>
      </c>
      <c r="H392" s="151">
        <v>-1.51437424564644</v>
      </c>
      <c r="I392" s="151">
        <v>-1.14941272584278</v>
      </c>
      <c r="J392" s="151">
        <v>7.5829383886255899</v>
      </c>
      <c r="K392" s="151">
        <v>10.4265402843602</v>
      </c>
      <c r="L392" s="151">
        <v>4.2452830188679203</v>
      </c>
      <c r="M392" s="151">
        <v>13.270142180094799</v>
      </c>
      <c r="N392" s="151">
        <v>2.3474178403755901</v>
      </c>
      <c r="O392" s="151">
        <v>14.084507042253501</v>
      </c>
    </row>
    <row r="393" spans="1:15">
      <c r="A393" s="151">
        <v>2011</v>
      </c>
      <c r="B393" s="151" t="s">
        <v>273</v>
      </c>
      <c r="C393" s="151" t="s">
        <v>3456</v>
      </c>
      <c r="D393" s="151">
        <v>-0.97820473728264901</v>
      </c>
      <c r="E393" s="151">
        <v>-0.42630117376099602</v>
      </c>
      <c r="F393" s="151">
        <v>-0.32042900556192899</v>
      </c>
      <c r="G393" s="151">
        <v>-0.25995175471842702</v>
      </c>
      <c r="H393" s="151">
        <v>-0.591489216212574</v>
      </c>
      <c r="I393" s="151">
        <v>-1.0947582948953301</v>
      </c>
      <c r="J393" s="151">
        <v>17.535545023696699</v>
      </c>
      <c r="K393" s="151">
        <v>42.180094786729903</v>
      </c>
      <c r="L393" s="151">
        <v>36.320754716981099</v>
      </c>
      <c r="M393" s="151">
        <v>43.127962085308098</v>
      </c>
      <c r="N393" s="151">
        <v>32.394366197183103</v>
      </c>
      <c r="O393" s="151">
        <v>16.901408450704199</v>
      </c>
    </row>
    <row r="394" spans="1:15">
      <c r="A394" s="151">
        <v>2011</v>
      </c>
      <c r="B394" s="151" t="s">
        <v>278</v>
      </c>
      <c r="C394" s="151" t="s">
        <v>3457</v>
      </c>
      <c r="D394" s="151">
        <v>-1.1536330480467301</v>
      </c>
      <c r="E394" s="151">
        <v>-0.62813373017797802</v>
      </c>
      <c r="F394" s="151">
        <v>-1.0763722910942799</v>
      </c>
      <c r="G394" s="151">
        <v>-0.215674009622323</v>
      </c>
      <c r="H394" s="151">
        <v>-1.23352744083039</v>
      </c>
      <c r="I394" s="151">
        <v>-0.733062043201957</v>
      </c>
      <c r="J394" s="151">
        <v>9.9526066350710902</v>
      </c>
      <c r="K394" s="151">
        <v>29.857819905213301</v>
      </c>
      <c r="L394" s="151">
        <v>16.037735849056599</v>
      </c>
      <c r="M394" s="151">
        <v>43.6018957345972</v>
      </c>
      <c r="N394" s="151">
        <v>9.3896713615023497</v>
      </c>
      <c r="O394" s="151">
        <v>27.699530516431899</v>
      </c>
    </row>
    <row r="395" spans="1:15">
      <c r="A395" s="151">
        <v>2011</v>
      </c>
      <c r="B395" s="151" t="s">
        <v>294</v>
      </c>
      <c r="C395" s="151" t="s">
        <v>3458</v>
      </c>
      <c r="D395" s="151">
        <v>-0.60890822259611399</v>
      </c>
      <c r="E395" s="151">
        <v>-1.24471848937616</v>
      </c>
      <c r="F395" s="151">
        <v>-0.42485539628227698</v>
      </c>
      <c r="G395" s="151">
        <v>-1.0947736633522001</v>
      </c>
      <c r="H395" s="151">
        <v>-0.96279196307484705</v>
      </c>
      <c r="I395" s="151">
        <v>-0.31685403331256001</v>
      </c>
      <c r="J395" s="151">
        <v>31.279620853080601</v>
      </c>
      <c r="K395" s="151">
        <v>8.5308056872037898</v>
      </c>
      <c r="L395" s="151">
        <v>33.018867924528301</v>
      </c>
      <c r="M395" s="151">
        <v>12.7962085308057</v>
      </c>
      <c r="N395" s="151">
        <v>16.901408450704199</v>
      </c>
      <c r="O395" s="151">
        <v>38.497652582159603</v>
      </c>
    </row>
    <row r="396" spans="1:15">
      <c r="A396" s="151">
        <v>2011</v>
      </c>
      <c r="B396" s="151" t="s">
        <v>309</v>
      </c>
      <c r="C396" s="151" t="s">
        <v>3459</v>
      </c>
      <c r="D396" s="151">
        <v>-0.35861885356144402</v>
      </c>
      <c r="E396" s="151">
        <v>-1.0081230410484601</v>
      </c>
      <c r="F396" s="151">
        <v>-0.75758673171867297</v>
      </c>
      <c r="G396" s="151">
        <v>-0.51927994058632299</v>
      </c>
      <c r="H396" s="151">
        <v>-0.8495783887392</v>
      </c>
      <c r="I396" s="151">
        <v>-0.83520059982190498</v>
      </c>
      <c r="J396" s="151">
        <v>45.971563981042699</v>
      </c>
      <c r="K396" s="151">
        <v>15.165876777251199</v>
      </c>
      <c r="L396" s="151">
        <v>22.641509433962302</v>
      </c>
      <c r="M396" s="151">
        <v>34.123222748815202</v>
      </c>
      <c r="N396" s="151">
        <v>22.065727699530498</v>
      </c>
      <c r="O396" s="151">
        <v>25.821596244131499</v>
      </c>
    </row>
    <row r="397" spans="1:15">
      <c r="A397" s="151">
        <v>2011</v>
      </c>
      <c r="B397" s="151" t="s">
        <v>322</v>
      </c>
      <c r="C397" s="151" t="s">
        <v>3460</v>
      </c>
      <c r="D397" s="151">
        <v>-0.55176089448371601</v>
      </c>
      <c r="E397" s="151">
        <v>-0.78936097727087995</v>
      </c>
      <c r="F397" s="151">
        <v>-0.679071283298046</v>
      </c>
      <c r="G397" s="151">
        <v>-0.38253966216507201</v>
      </c>
      <c r="H397" s="151">
        <v>-0.49528394769009498</v>
      </c>
      <c r="I397" s="151">
        <v>0.14714594906619799</v>
      </c>
      <c r="J397" s="151">
        <v>35.545023696682499</v>
      </c>
      <c r="K397" s="151">
        <v>23.2227488151659</v>
      </c>
      <c r="L397" s="151">
        <v>25.471698113207498</v>
      </c>
      <c r="M397" s="151">
        <v>37.914691943127998</v>
      </c>
      <c r="N397" s="151">
        <v>38.028169014084497</v>
      </c>
      <c r="O397" s="151">
        <v>54.9295774647887</v>
      </c>
    </row>
    <row r="398" spans="1:15">
      <c r="A398" s="151">
        <v>2011</v>
      </c>
      <c r="B398" s="151" t="s">
        <v>338</v>
      </c>
      <c r="C398" s="151" t="s">
        <v>3461</v>
      </c>
      <c r="D398" s="151">
        <v>-0.44296713290802098</v>
      </c>
      <c r="E398" s="151">
        <v>-0.91574000248267295</v>
      </c>
      <c r="F398" s="151">
        <v>-1.1673427669430601</v>
      </c>
      <c r="G398" s="151">
        <v>-0.77117948396587399</v>
      </c>
      <c r="H398" s="151">
        <v>-0.85026854516592998</v>
      </c>
      <c r="I398" s="151">
        <v>-0.96181670187593804</v>
      </c>
      <c r="J398" s="151">
        <v>39.810426540284404</v>
      </c>
      <c r="K398" s="151">
        <v>17.535545023696699</v>
      </c>
      <c r="L398" s="151">
        <v>13.679245283018901</v>
      </c>
      <c r="M398" s="151">
        <v>23.696682464455002</v>
      </c>
      <c r="N398" s="151">
        <v>21.5962441314554</v>
      </c>
      <c r="O398" s="151">
        <v>20.187793427230002</v>
      </c>
    </row>
    <row r="399" spans="1:15">
      <c r="A399" s="151">
        <v>2011</v>
      </c>
      <c r="B399" s="151" t="s">
        <v>378</v>
      </c>
      <c r="C399" s="151" t="s">
        <v>3462</v>
      </c>
      <c r="D399" s="151">
        <v>-0.49207789524085799</v>
      </c>
      <c r="E399" s="151">
        <v>-0.624712275124643</v>
      </c>
      <c r="F399" s="151">
        <v>0.29734052019608598</v>
      </c>
      <c r="G399" s="151">
        <v>-0.42342402646736998</v>
      </c>
      <c r="H399" s="151">
        <v>-0.57270934837139098</v>
      </c>
      <c r="I399" s="151">
        <v>-0.17324928389538299</v>
      </c>
      <c r="J399" s="151">
        <v>37.440758293838897</v>
      </c>
      <c r="K399" s="151">
        <v>30.8056872037915</v>
      </c>
      <c r="L399" s="151">
        <v>58.018867924528301</v>
      </c>
      <c r="M399" s="151">
        <v>36.0189573459716</v>
      </c>
      <c r="N399" s="151">
        <v>33.802816901408399</v>
      </c>
      <c r="O399" s="151">
        <v>43.1924882629108</v>
      </c>
    </row>
    <row r="400" spans="1:15">
      <c r="A400" s="151">
        <v>2011</v>
      </c>
      <c r="B400" s="151" t="s">
        <v>387</v>
      </c>
      <c r="C400" s="151" t="s">
        <v>3463</v>
      </c>
      <c r="D400" s="151">
        <v>-0.64676699637527801</v>
      </c>
      <c r="E400" s="151">
        <v>-0.623013538093247</v>
      </c>
      <c r="F400" s="151">
        <v>-0.87073551340548005</v>
      </c>
      <c r="G400" s="151">
        <v>-0.52521654966283304</v>
      </c>
      <c r="H400" s="151">
        <v>-0.43280555550635602</v>
      </c>
      <c r="I400" s="151">
        <v>-0.352969275704617</v>
      </c>
      <c r="J400" s="151">
        <v>29.3838862559242</v>
      </c>
      <c r="K400" s="151">
        <v>31.279620853080601</v>
      </c>
      <c r="L400" s="151">
        <v>19.811320754716998</v>
      </c>
      <c r="M400" s="151">
        <v>33.649289099526101</v>
      </c>
      <c r="N400" s="151">
        <v>41.784037558685398</v>
      </c>
      <c r="O400" s="151">
        <v>36.150234741783997</v>
      </c>
    </row>
    <row r="401" spans="1:15">
      <c r="A401" s="151">
        <v>2011</v>
      </c>
      <c r="B401" s="151" t="s">
        <v>406</v>
      </c>
      <c r="C401" s="151" t="s">
        <v>3464</v>
      </c>
      <c r="D401" s="151">
        <v>-1.12338313325942</v>
      </c>
      <c r="E401" s="151">
        <v>-1.08047539707395</v>
      </c>
      <c r="F401" s="151">
        <v>-1.9462524352720001</v>
      </c>
      <c r="G401" s="151">
        <v>-0.66940161273980003</v>
      </c>
      <c r="H401" s="151">
        <v>-1.2143006855357701</v>
      </c>
      <c r="I401" s="151">
        <v>-0.73672391613667498</v>
      </c>
      <c r="J401" s="151">
        <v>10.9004739336493</v>
      </c>
      <c r="K401" s="151">
        <v>13.744075829383901</v>
      </c>
      <c r="L401" s="151">
        <v>3.3018867924528301</v>
      </c>
      <c r="M401" s="151">
        <v>27.488151658767801</v>
      </c>
      <c r="N401" s="151">
        <v>10.7981220657277</v>
      </c>
      <c r="O401" s="151">
        <v>27.230046948356801</v>
      </c>
    </row>
    <row r="402" spans="1:15">
      <c r="A402" s="151">
        <v>2011</v>
      </c>
      <c r="B402" s="151" t="s">
        <v>442</v>
      </c>
      <c r="C402" s="151" t="s">
        <v>3465</v>
      </c>
      <c r="D402" s="151">
        <v>-0.248937037637317</v>
      </c>
      <c r="E402" s="151">
        <v>-0.145710327623474</v>
      </c>
      <c r="F402" s="151">
        <v>-0.738042232413051</v>
      </c>
      <c r="G402" s="151">
        <v>0.476881348098389</v>
      </c>
      <c r="H402" s="151">
        <v>-0.60997288209483103</v>
      </c>
      <c r="I402" s="151">
        <v>9.0719139218499306E-2</v>
      </c>
      <c r="J402" s="151">
        <v>52.132701421800903</v>
      </c>
      <c r="K402" s="151">
        <v>48.341232227488099</v>
      </c>
      <c r="L402" s="151">
        <v>23.1132075471698</v>
      </c>
      <c r="M402" s="151">
        <v>67.298578199052102</v>
      </c>
      <c r="N402" s="151">
        <v>31.4553990610329</v>
      </c>
      <c r="O402" s="151">
        <v>53.521126760563398</v>
      </c>
    </row>
    <row r="403" spans="1:15">
      <c r="A403" s="151">
        <v>2011</v>
      </c>
      <c r="B403" s="151" t="s">
        <v>481</v>
      </c>
      <c r="C403" s="151" t="s">
        <v>3466</v>
      </c>
      <c r="D403" s="151">
        <v>-0.81445926646891498</v>
      </c>
      <c r="E403" s="151">
        <v>-1.18918654562767</v>
      </c>
      <c r="F403" s="151">
        <v>-0.17063506320649199</v>
      </c>
      <c r="G403" s="151">
        <v>-0.70221252140498902</v>
      </c>
      <c r="H403" s="151">
        <v>-0.87343727687082495</v>
      </c>
      <c r="I403" s="151">
        <v>-0.24013659840957499</v>
      </c>
      <c r="J403" s="151">
        <v>20.853080568720401</v>
      </c>
      <c r="K403" s="151">
        <v>9.4786729857819907</v>
      </c>
      <c r="L403" s="151">
        <v>40.5660377358491</v>
      </c>
      <c r="M403" s="151">
        <v>26.540284360189599</v>
      </c>
      <c r="N403" s="151">
        <v>20.6572769953052</v>
      </c>
      <c r="O403" s="151">
        <v>40.375586854460103</v>
      </c>
    </row>
    <row r="404" spans="1:15">
      <c r="A404" s="151">
        <v>2011</v>
      </c>
      <c r="B404" s="151" t="s">
        <v>492</v>
      </c>
      <c r="C404" s="151" t="s">
        <v>3467</v>
      </c>
      <c r="D404" s="151">
        <v>-0.675948611776366</v>
      </c>
      <c r="E404" s="151">
        <v>-0.62902810457442004</v>
      </c>
      <c r="F404" s="151">
        <v>-4.4534858090529698E-2</v>
      </c>
      <c r="G404" s="151">
        <v>-0.40353636246337099</v>
      </c>
      <c r="H404" s="151">
        <v>-0.55441190458147505</v>
      </c>
      <c r="I404" s="151">
        <v>-0.171205232800549</v>
      </c>
      <c r="J404" s="151">
        <v>27.0142180094787</v>
      </c>
      <c r="K404" s="151">
        <v>29.3838862559242</v>
      </c>
      <c r="L404" s="151">
        <v>46.2264150943396</v>
      </c>
      <c r="M404" s="151">
        <v>36.966824644549803</v>
      </c>
      <c r="N404" s="151">
        <v>35.2112676056338</v>
      </c>
      <c r="O404" s="151">
        <v>44.131455399060997</v>
      </c>
    </row>
    <row r="405" spans="1:15">
      <c r="A405" s="151">
        <v>2011</v>
      </c>
      <c r="B405" s="151" t="s">
        <v>510</v>
      </c>
      <c r="C405" s="151" t="s">
        <v>3468</v>
      </c>
      <c r="D405" s="151">
        <v>-0.97452272002412099</v>
      </c>
      <c r="E405" s="151">
        <v>-1.3621682253898799</v>
      </c>
      <c r="F405" s="151">
        <v>-0.18110286192476599</v>
      </c>
      <c r="G405" s="151">
        <v>-0.99553748560149802</v>
      </c>
      <c r="H405" s="151">
        <v>-0.83995754433730996</v>
      </c>
      <c r="I405" s="151">
        <v>-0.92203205644345998</v>
      </c>
      <c r="J405" s="151">
        <v>18.0094786729858</v>
      </c>
      <c r="K405" s="151">
        <v>6.1611374407582904</v>
      </c>
      <c r="L405" s="151">
        <v>39.622641509433997</v>
      </c>
      <c r="M405" s="151">
        <v>17.535545023696699</v>
      </c>
      <c r="N405" s="151">
        <v>23.004694835680802</v>
      </c>
      <c r="O405" s="151">
        <v>23.4741784037559</v>
      </c>
    </row>
    <row r="406" spans="1:15">
      <c r="A406" s="151">
        <v>2011</v>
      </c>
      <c r="B406" s="151" t="s">
        <v>2844</v>
      </c>
      <c r="C406" s="151" t="s">
        <v>3469</v>
      </c>
      <c r="D406" s="151">
        <v>-1.0460110790269701</v>
      </c>
      <c r="E406" s="151">
        <v>-1.13138405505291</v>
      </c>
      <c r="F406" s="151">
        <v>-0.47489143923763699</v>
      </c>
      <c r="G406" s="151">
        <v>-1.0366936204744399</v>
      </c>
      <c r="H406" s="151">
        <v>-1.2305890528282299</v>
      </c>
      <c r="I406" s="151">
        <v>8.8224864861915706E-2</v>
      </c>
      <c r="J406" s="151">
        <v>15.165876777251199</v>
      </c>
      <c r="K406" s="151">
        <v>11.848341232227501</v>
      </c>
      <c r="L406" s="151">
        <v>31.132075471698101</v>
      </c>
      <c r="M406" s="151">
        <v>15.165876777251199</v>
      </c>
      <c r="N406" s="151">
        <v>9.8591549295774605</v>
      </c>
      <c r="O406" s="151">
        <v>53.051643192488299</v>
      </c>
    </row>
    <row r="407" spans="1:15">
      <c r="A407" s="151">
        <v>2011</v>
      </c>
      <c r="B407" s="151" t="s">
        <v>2845</v>
      </c>
      <c r="C407" s="151" t="s">
        <v>3470</v>
      </c>
      <c r="D407" s="151">
        <v>-0.28142374093611999</v>
      </c>
      <c r="E407" s="151">
        <v>0.316550861431385</v>
      </c>
      <c r="F407" s="151">
        <v>0.149892618739455</v>
      </c>
      <c r="G407" s="151">
        <v>0.40364414730460202</v>
      </c>
      <c r="H407" s="151">
        <v>-0.19459617940186599</v>
      </c>
      <c r="I407" s="151">
        <v>0.475132491607689</v>
      </c>
      <c r="J407" s="151">
        <v>50.236966824644497</v>
      </c>
      <c r="K407" s="151">
        <v>63.9810426540284</v>
      </c>
      <c r="L407" s="151">
        <v>52.358490566037702</v>
      </c>
      <c r="M407" s="151">
        <v>63.9810426540284</v>
      </c>
      <c r="N407" s="151">
        <v>49.765258215962398</v>
      </c>
      <c r="O407" s="151">
        <v>63.380281690140798</v>
      </c>
    </row>
    <row r="408" spans="1:15">
      <c r="A408" s="151">
        <v>2011</v>
      </c>
      <c r="B408" s="151" t="s">
        <v>2846</v>
      </c>
      <c r="C408" s="151" t="s">
        <v>3471</v>
      </c>
      <c r="D408" s="151">
        <v>-1.1848369358269</v>
      </c>
      <c r="E408" s="151">
        <v>-1.1308265702603399</v>
      </c>
      <c r="F408" s="151">
        <v>-2.4174193872626302</v>
      </c>
      <c r="G408" s="151">
        <v>-0.80892542425256597</v>
      </c>
      <c r="H408" s="151">
        <v>-1.26846742222374</v>
      </c>
      <c r="I408" s="151">
        <v>-1.42106170766002</v>
      </c>
      <c r="J408" s="151">
        <v>8.5308056872037898</v>
      </c>
      <c r="K408" s="151">
        <v>12.3222748815166</v>
      </c>
      <c r="L408" s="151">
        <v>1.88679245283019</v>
      </c>
      <c r="M408" s="151">
        <v>22.274881516587701</v>
      </c>
      <c r="N408" s="151">
        <v>8.4507042253521103</v>
      </c>
      <c r="O408" s="151">
        <v>8.4507042253521103</v>
      </c>
    </row>
    <row r="409" spans="1:15">
      <c r="A409" s="151">
        <v>2011</v>
      </c>
      <c r="B409" s="151" t="s">
        <v>534</v>
      </c>
      <c r="C409" s="151" t="s">
        <v>3472</v>
      </c>
      <c r="D409" s="151">
        <v>-0.47027036788454601</v>
      </c>
      <c r="E409" s="151">
        <v>-0.63896441900571799</v>
      </c>
      <c r="F409" s="151">
        <v>0.47312848392783102</v>
      </c>
      <c r="G409" s="151">
        <v>-0.42115388453417202</v>
      </c>
      <c r="H409" s="151">
        <v>-0.468601610733131</v>
      </c>
      <c r="I409" s="151">
        <v>-0.19122445119574899</v>
      </c>
      <c r="J409" s="151">
        <v>38.3886255924171</v>
      </c>
      <c r="K409" s="151">
        <v>28.909952606635098</v>
      </c>
      <c r="L409" s="151">
        <v>62.735849056603797</v>
      </c>
      <c r="M409" s="151">
        <v>36.492890995260701</v>
      </c>
      <c r="N409" s="151">
        <v>39.906103286384997</v>
      </c>
      <c r="O409" s="151">
        <v>42.723004694835701</v>
      </c>
    </row>
    <row r="410" spans="1:15">
      <c r="A410" s="151">
        <v>2011</v>
      </c>
      <c r="B410" s="151" t="s">
        <v>357</v>
      </c>
      <c r="C410" s="151" t="s">
        <v>3473</v>
      </c>
      <c r="D410" s="151">
        <v>-0.67521859645444104</v>
      </c>
      <c r="E410" s="151">
        <v>-0.57850233098383497</v>
      </c>
      <c r="F410" s="151">
        <v>0.60017512899051295</v>
      </c>
      <c r="G410" s="151">
        <v>-0.20473166608686499</v>
      </c>
      <c r="H410" s="151">
        <v>-0.29934695855342602</v>
      </c>
      <c r="I410" s="151">
        <v>-4.6979206513607097E-3</v>
      </c>
      <c r="J410" s="151">
        <v>27.962085308056899</v>
      </c>
      <c r="K410" s="151">
        <v>34.597156398104303</v>
      </c>
      <c r="L410" s="151">
        <v>66.509433962264197</v>
      </c>
      <c r="M410" s="151">
        <v>45.971563981042699</v>
      </c>
      <c r="N410" s="151">
        <v>46.948356807511701</v>
      </c>
      <c r="O410" s="151">
        <v>49.765258215962398</v>
      </c>
    </row>
    <row r="411" spans="1:15">
      <c r="A411" s="151">
        <v>2012</v>
      </c>
      <c r="B411" s="151" t="s">
        <v>16</v>
      </c>
      <c r="C411" s="151" t="s">
        <v>3474</v>
      </c>
      <c r="D411" s="151">
        <v>-1.4064267648711</v>
      </c>
      <c r="E411" s="151">
        <v>-1.3975745979718599</v>
      </c>
      <c r="F411" s="151">
        <v>-2.4195342977931702</v>
      </c>
      <c r="G411" s="151">
        <v>-1.21002630789415</v>
      </c>
      <c r="H411" s="151">
        <v>-1.72303420132101</v>
      </c>
      <c r="I411" s="151">
        <v>-1.31719824914948</v>
      </c>
      <c r="J411" s="151">
        <v>1.91387559808612</v>
      </c>
      <c r="K411" s="151">
        <v>6.6985645933014402</v>
      </c>
      <c r="L411" s="151">
        <v>1.8957345971563999</v>
      </c>
      <c r="M411" s="151">
        <v>11.004784688995199</v>
      </c>
      <c r="N411" s="151">
        <v>0.47393364928909998</v>
      </c>
      <c r="O411" s="151">
        <v>10.9004739336493</v>
      </c>
    </row>
    <row r="412" spans="1:15">
      <c r="A412" s="151">
        <v>2012</v>
      </c>
      <c r="B412" s="151" t="s">
        <v>33</v>
      </c>
      <c r="C412" s="151" t="s">
        <v>3475</v>
      </c>
      <c r="D412" s="151">
        <v>-0.72284815498795696</v>
      </c>
      <c r="E412" s="151">
        <v>-0.28033541860251798</v>
      </c>
      <c r="F412" s="151">
        <v>-0.158012773720207</v>
      </c>
      <c r="G412" s="151">
        <v>0.16802785689462801</v>
      </c>
      <c r="H412" s="151">
        <v>-0.56930756923013703</v>
      </c>
      <c r="I412" s="151">
        <v>9.0010047163042693E-3</v>
      </c>
      <c r="J412" s="151">
        <v>26.7942583732057</v>
      </c>
      <c r="K412" s="151">
        <v>44.976076555023901</v>
      </c>
      <c r="L412" s="151">
        <v>39.810426540284404</v>
      </c>
      <c r="M412" s="151">
        <v>56.459330143540697</v>
      </c>
      <c r="N412" s="151">
        <v>35.071090047393398</v>
      </c>
      <c r="O412" s="151">
        <v>50.236966824644497</v>
      </c>
    </row>
    <row r="413" spans="1:15">
      <c r="A413" s="151">
        <v>2012</v>
      </c>
      <c r="B413" s="151" t="s">
        <v>48</v>
      </c>
      <c r="C413" s="151" t="s">
        <v>3476</v>
      </c>
      <c r="D413" s="151">
        <v>-1.0737569533471101</v>
      </c>
      <c r="E413" s="151">
        <v>-0.77809627870641895</v>
      </c>
      <c r="F413" s="151">
        <v>-0.68701515765162102</v>
      </c>
      <c r="G413" s="151">
        <v>-0.46929324870817302</v>
      </c>
      <c r="H413" s="151">
        <v>-0.80544061406942902</v>
      </c>
      <c r="I413" s="151">
        <v>-1.2614219475900701</v>
      </c>
      <c r="J413" s="151">
        <v>13.3971291866029</v>
      </c>
      <c r="K413" s="151">
        <v>23.923444976076599</v>
      </c>
      <c r="L413" s="151">
        <v>23.696682464455002</v>
      </c>
      <c r="M413" s="151">
        <v>34.449760765550202</v>
      </c>
      <c r="N413" s="151">
        <v>24.644549763033201</v>
      </c>
      <c r="O413" s="151">
        <v>12.7962085308057</v>
      </c>
    </row>
    <row r="414" spans="1:15">
      <c r="A414" s="151">
        <v>2012</v>
      </c>
      <c r="B414" s="151" t="s">
        <v>93</v>
      </c>
      <c r="C414" s="151" t="s">
        <v>3477</v>
      </c>
      <c r="D414" s="151">
        <v>-0.51926766111056399</v>
      </c>
      <c r="E414" s="151">
        <v>-0.63266125667306905</v>
      </c>
      <c r="F414" s="151">
        <v>-0.616862403726255</v>
      </c>
      <c r="G414" s="151">
        <v>-0.11938249105543799</v>
      </c>
      <c r="H414" s="151">
        <v>-0.43293833356609601</v>
      </c>
      <c r="I414" s="151">
        <v>-0.34532467437041098</v>
      </c>
      <c r="J414" s="151">
        <v>38.277511961722503</v>
      </c>
      <c r="K414" s="151">
        <v>30.143540669856499</v>
      </c>
      <c r="L414" s="151">
        <v>26.066350710900501</v>
      </c>
      <c r="M414" s="151">
        <v>47.846889952153099</v>
      </c>
      <c r="N414" s="151">
        <v>41.706161137440802</v>
      </c>
      <c r="O414" s="151">
        <v>36.966824644549803</v>
      </c>
    </row>
    <row r="415" spans="1:15">
      <c r="A415" s="151">
        <v>2012</v>
      </c>
      <c r="B415" s="151" t="s">
        <v>122</v>
      </c>
      <c r="C415" s="151" t="s">
        <v>3478</v>
      </c>
      <c r="D415" s="151">
        <v>-0.89320810767669601</v>
      </c>
      <c r="E415" s="151">
        <v>-1.46191197942491</v>
      </c>
      <c r="F415" s="151">
        <v>-1.8690222469609701</v>
      </c>
      <c r="G415" s="151">
        <v>-1.08872096154581</v>
      </c>
      <c r="H415" s="151">
        <v>-1.4455605788405399</v>
      </c>
      <c r="I415" s="151">
        <v>-1.26091113991294</v>
      </c>
      <c r="J415" s="151">
        <v>20.095693779904298</v>
      </c>
      <c r="K415" s="151">
        <v>5.7416267942583703</v>
      </c>
      <c r="L415" s="151">
        <v>5.2132701421800904</v>
      </c>
      <c r="M415" s="151">
        <v>12.9186602870813</v>
      </c>
      <c r="N415" s="151">
        <v>3.7914691943127998</v>
      </c>
      <c r="O415" s="151">
        <v>13.270142180094799</v>
      </c>
    </row>
    <row r="416" spans="1:15">
      <c r="A416" s="151">
        <v>2012</v>
      </c>
      <c r="B416" s="151" t="s">
        <v>133</v>
      </c>
      <c r="C416" s="151" t="s">
        <v>3479</v>
      </c>
      <c r="D416" s="151">
        <v>-1.25043989711329</v>
      </c>
      <c r="E416" s="151">
        <v>-1.49279000067873</v>
      </c>
      <c r="F416" s="151">
        <v>-1.0650432341870599</v>
      </c>
      <c r="G416" s="151">
        <v>-1.0795600268782799</v>
      </c>
      <c r="H416" s="151">
        <v>-1.45358918702661</v>
      </c>
      <c r="I416" s="151">
        <v>-1.3280709279366301</v>
      </c>
      <c r="J416" s="151">
        <v>5.7416267942583703</v>
      </c>
      <c r="K416" s="151">
        <v>4.7846889952153102</v>
      </c>
      <c r="L416" s="151">
        <v>17.061611374407601</v>
      </c>
      <c r="M416" s="151">
        <v>13.3971291866029</v>
      </c>
      <c r="N416" s="151">
        <v>3.3175355450236999</v>
      </c>
      <c r="O416" s="151">
        <v>10.4265402843602</v>
      </c>
    </row>
    <row r="417" spans="1:15">
      <c r="A417" s="151">
        <v>2012</v>
      </c>
      <c r="B417" s="151" t="s">
        <v>165</v>
      </c>
      <c r="C417" s="151" t="s">
        <v>3480</v>
      </c>
      <c r="D417" s="151">
        <v>-1.3035610183900299</v>
      </c>
      <c r="E417" s="151">
        <v>-1.65864882570179</v>
      </c>
      <c r="F417" s="151">
        <v>-2.11756219579997</v>
      </c>
      <c r="G417" s="151">
        <v>-1.51023682958469</v>
      </c>
      <c r="H417" s="151">
        <v>-1.6529683846993599</v>
      </c>
      <c r="I417" s="151">
        <v>-1.5155254064189101</v>
      </c>
      <c r="J417" s="151">
        <v>4.3062200956937797</v>
      </c>
      <c r="K417" s="151">
        <v>0.95693779904306198</v>
      </c>
      <c r="L417" s="151">
        <v>2.8436018957345999</v>
      </c>
      <c r="M417" s="151">
        <v>5.7416267942583703</v>
      </c>
      <c r="N417" s="151">
        <v>1.4218009478672999</v>
      </c>
      <c r="O417" s="151">
        <v>6.6350710900473899</v>
      </c>
    </row>
    <row r="418" spans="1:15">
      <c r="A418" s="151">
        <v>2012</v>
      </c>
      <c r="B418" s="151" t="s">
        <v>458</v>
      </c>
      <c r="C418" s="151" t="s">
        <v>3481</v>
      </c>
      <c r="D418" s="151">
        <v>-1.1913743032773401</v>
      </c>
      <c r="E418" s="151">
        <v>-1.2017292175155401</v>
      </c>
      <c r="F418" s="151">
        <v>-0.47834038681802699</v>
      </c>
      <c r="G418" s="151">
        <v>-1.37830012516968</v>
      </c>
      <c r="H418" s="151">
        <v>-1.1165316958434299</v>
      </c>
      <c r="I418" s="151">
        <v>-1.1557730958198</v>
      </c>
      <c r="J418" s="151">
        <v>9.5693779904306204</v>
      </c>
      <c r="K418" s="151">
        <v>11.4832535885167</v>
      </c>
      <c r="L418" s="151">
        <v>31.279620853080601</v>
      </c>
      <c r="M418" s="151">
        <v>8.1339712918660307</v>
      </c>
      <c r="N418" s="151">
        <v>13.270142180094799</v>
      </c>
      <c r="O418" s="151">
        <v>15.165876777251199</v>
      </c>
    </row>
    <row r="419" spans="1:15">
      <c r="A419" s="151">
        <v>2012</v>
      </c>
      <c r="B419" s="151" t="s">
        <v>96</v>
      </c>
      <c r="C419" s="151" t="s">
        <v>3482</v>
      </c>
      <c r="D419" s="151">
        <v>-1.2383914999271299</v>
      </c>
      <c r="E419" s="151">
        <v>-0.90271364431252499</v>
      </c>
      <c r="F419" s="151">
        <v>-0.57547351507469302</v>
      </c>
      <c r="G419" s="151">
        <v>-0.93336778112607699</v>
      </c>
      <c r="H419" s="151">
        <v>-1.0209599500311599</v>
      </c>
      <c r="I419" s="151">
        <v>-1.0290642182071199</v>
      </c>
      <c r="J419" s="151">
        <v>7.1770334928229698</v>
      </c>
      <c r="K419" s="151">
        <v>19.138755980861198</v>
      </c>
      <c r="L419" s="151">
        <v>27.0142180094787</v>
      </c>
      <c r="M419" s="151">
        <v>21.052631578947398</v>
      </c>
      <c r="N419" s="151">
        <v>16.5876777251185</v>
      </c>
      <c r="O419" s="151">
        <v>17.535545023696699</v>
      </c>
    </row>
    <row r="420" spans="1:15">
      <c r="A420" s="151">
        <v>2012</v>
      </c>
      <c r="B420" s="151" t="s">
        <v>182</v>
      </c>
      <c r="C420" s="151" t="s">
        <v>3483</v>
      </c>
      <c r="D420" s="151">
        <v>-1.56008525459073</v>
      </c>
      <c r="E420" s="151">
        <v>-1.64959260418856</v>
      </c>
      <c r="F420" s="151">
        <v>0.20662766898856</v>
      </c>
      <c r="G420" s="151">
        <v>-1.4227383017308199</v>
      </c>
      <c r="H420" s="151">
        <v>-1.26346116001534</v>
      </c>
      <c r="I420" s="151">
        <v>-1.8744084351868</v>
      </c>
      <c r="J420" s="151">
        <v>0.47846889952153099</v>
      </c>
      <c r="K420" s="151">
        <v>1.4354066985645899</v>
      </c>
      <c r="L420" s="151">
        <v>53.554502369668199</v>
      </c>
      <c r="M420" s="151">
        <v>7.1770334928229698</v>
      </c>
      <c r="N420" s="151">
        <v>8.5308056872037898</v>
      </c>
      <c r="O420" s="151">
        <v>2.3696682464454999</v>
      </c>
    </row>
    <row r="421" spans="1:15">
      <c r="A421" s="151">
        <v>2012</v>
      </c>
      <c r="B421" s="151" t="s">
        <v>185</v>
      </c>
      <c r="C421" s="151" t="s">
        <v>3484</v>
      </c>
      <c r="D421" s="151">
        <v>-0.55129996074110199</v>
      </c>
      <c r="E421" s="151">
        <v>-0.77553694890077995</v>
      </c>
      <c r="F421" s="151">
        <v>0.306613141464182</v>
      </c>
      <c r="G421" s="151">
        <v>-0.507400910867425</v>
      </c>
      <c r="H421" s="151">
        <v>-0.45108725081783702</v>
      </c>
      <c r="I421" s="151">
        <v>-0.85307346730496703</v>
      </c>
      <c r="J421" s="151">
        <v>35.885167464114801</v>
      </c>
      <c r="K421" s="151">
        <v>24.401913875598101</v>
      </c>
      <c r="L421" s="151">
        <v>56.872037914691902</v>
      </c>
      <c r="M421" s="151">
        <v>32.535885167464102</v>
      </c>
      <c r="N421" s="151">
        <v>40.758293838862599</v>
      </c>
      <c r="O421" s="151">
        <v>24.170616113744099</v>
      </c>
    </row>
    <row r="422" spans="1:15">
      <c r="A422" s="151">
        <v>2012</v>
      </c>
      <c r="B422" s="151" t="s">
        <v>189</v>
      </c>
      <c r="C422" s="151" t="s">
        <v>3485</v>
      </c>
      <c r="D422" s="151">
        <v>-8.6503058626665005E-2</v>
      </c>
      <c r="E422" s="151">
        <v>-7.3201838672357494E-2</v>
      </c>
      <c r="F422" s="151">
        <v>0.100284810417618</v>
      </c>
      <c r="G422" s="151">
        <v>0.116592682617531</v>
      </c>
      <c r="H422" s="151">
        <v>-3.3242289338145298E-2</v>
      </c>
      <c r="I422" s="151">
        <v>0.41305456254643802</v>
      </c>
      <c r="J422" s="151">
        <v>55.502392344497601</v>
      </c>
      <c r="K422" s="151">
        <v>52.153110047846901</v>
      </c>
      <c r="L422" s="151">
        <v>49.763033175355503</v>
      </c>
      <c r="M422" s="151">
        <v>55.980861244019103</v>
      </c>
      <c r="N422" s="151">
        <v>54.028436018957301</v>
      </c>
      <c r="O422" s="151">
        <v>60.189573459715596</v>
      </c>
    </row>
    <row r="423" spans="1:15">
      <c r="A423" s="151">
        <v>2012</v>
      </c>
      <c r="B423" s="151" t="s">
        <v>213</v>
      </c>
      <c r="C423" s="151" t="s">
        <v>3486</v>
      </c>
      <c r="D423" s="151">
        <v>-0.61497998763450701</v>
      </c>
      <c r="E423" s="151">
        <v>-0.76327351806900601</v>
      </c>
      <c r="F423" s="151">
        <v>-0.65165952651883097</v>
      </c>
      <c r="G423" s="151">
        <v>-0.176703933373966</v>
      </c>
      <c r="H423" s="151">
        <v>-1.0972414189140101</v>
      </c>
      <c r="I423" s="151">
        <v>-0.39102255776294198</v>
      </c>
      <c r="J423" s="151">
        <v>30.622009569378001</v>
      </c>
      <c r="K423" s="151">
        <v>25.8373205741627</v>
      </c>
      <c r="L423" s="151">
        <v>25.118483412322298</v>
      </c>
      <c r="M423" s="151">
        <v>45.933014354066998</v>
      </c>
      <c r="N423" s="151">
        <v>14.6919431279621</v>
      </c>
      <c r="O423" s="151">
        <v>35.545023696682499</v>
      </c>
    </row>
    <row r="424" spans="1:15">
      <c r="A424" s="151">
        <v>2012</v>
      </c>
      <c r="B424" s="151" t="s">
        <v>2843</v>
      </c>
      <c r="C424" s="151" t="s">
        <v>3487</v>
      </c>
      <c r="D424" s="151">
        <v>-1.10865558543161</v>
      </c>
      <c r="E424" s="151">
        <v>-1.2712308490911599</v>
      </c>
      <c r="F424" s="151">
        <v>-1.2807007045265699</v>
      </c>
      <c r="G424" s="151">
        <v>-1.0196021012027501</v>
      </c>
      <c r="H424" s="151">
        <v>-1.43749107054576</v>
      </c>
      <c r="I424" s="151">
        <v>-1.08333303531128</v>
      </c>
      <c r="J424" s="151">
        <v>11.9617224880383</v>
      </c>
      <c r="K424" s="151">
        <v>9.0909090909090899</v>
      </c>
      <c r="L424" s="151">
        <v>10.9004739336493</v>
      </c>
      <c r="M424" s="151">
        <v>16.267942583732101</v>
      </c>
      <c r="N424" s="151">
        <v>4.2654028436019003</v>
      </c>
      <c r="O424" s="151">
        <v>16.5876777251185</v>
      </c>
    </row>
    <row r="425" spans="1:15">
      <c r="A425" s="151">
        <v>2012</v>
      </c>
      <c r="B425" s="151" t="s">
        <v>237</v>
      </c>
      <c r="C425" s="151" t="s">
        <v>3488</v>
      </c>
      <c r="D425" s="151">
        <v>-0.65572816589430605</v>
      </c>
      <c r="E425" s="151">
        <v>-0.29084769412110301</v>
      </c>
      <c r="F425" s="151">
        <v>-0.57316910629557904</v>
      </c>
      <c r="G425" s="151">
        <v>-0.275388243310138</v>
      </c>
      <c r="H425" s="151">
        <v>-0.59714598258969398</v>
      </c>
      <c r="I425" s="151">
        <v>2.8485813708024599E-2</v>
      </c>
      <c r="J425" s="151">
        <v>28.7081339712919</v>
      </c>
      <c r="K425" s="151">
        <v>44.019138755980897</v>
      </c>
      <c r="L425" s="151">
        <v>27.488151658767801</v>
      </c>
      <c r="M425" s="151">
        <v>43.062200956937801</v>
      </c>
      <c r="N425" s="151">
        <v>34.123222748815202</v>
      </c>
      <c r="O425" s="151">
        <v>51.184834123222799</v>
      </c>
    </row>
    <row r="426" spans="1:15">
      <c r="A426" s="151">
        <v>2012</v>
      </c>
      <c r="B426" s="151" t="s">
        <v>245</v>
      </c>
      <c r="C426" s="151" t="s">
        <v>3489</v>
      </c>
      <c r="D426" s="151">
        <v>-1.22911513075325</v>
      </c>
      <c r="E426" s="151">
        <v>-1.11293652359442</v>
      </c>
      <c r="F426" s="151">
        <v>-1.93249133973044</v>
      </c>
      <c r="G426" s="151">
        <v>-1.27023127643095</v>
      </c>
      <c r="H426" s="151">
        <v>-1.4974845698654999</v>
      </c>
      <c r="I426" s="151">
        <v>-1.1344417600162</v>
      </c>
      <c r="J426" s="151">
        <v>8.1339712918660307</v>
      </c>
      <c r="K426" s="151">
        <v>13.3971291866029</v>
      </c>
      <c r="L426" s="151">
        <v>4.7393364928909998</v>
      </c>
      <c r="M426" s="151">
        <v>9.5693779904306204</v>
      </c>
      <c r="N426" s="151">
        <v>2.8436018957345999</v>
      </c>
      <c r="O426" s="151">
        <v>16.113744075829398</v>
      </c>
    </row>
    <row r="427" spans="1:15">
      <c r="A427" s="151">
        <v>2012</v>
      </c>
      <c r="B427" s="151" t="s">
        <v>273</v>
      </c>
      <c r="C427" s="151" t="s">
        <v>3490</v>
      </c>
      <c r="D427" s="151">
        <v>-0.88344460269611702</v>
      </c>
      <c r="E427" s="151">
        <v>-0.44134623486097901</v>
      </c>
      <c r="F427" s="151">
        <v>-0.37452632023538601</v>
      </c>
      <c r="G427" s="151">
        <v>-0.38661082404664399</v>
      </c>
      <c r="H427" s="151">
        <v>-0.66304716893711002</v>
      </c>
      <c r="I427" s="151">
        <v>-1.1496385941857801</v>
      </c>
      <c r="J427" s="151">
        <v>20.5741626794258</v>
      </c>
      <c r="K427" s="151">
        <v>39.712918660287102</v>
      </c>
      <c r="L427" s="151">
        <v>36.0189573459716</v>
      </c>
      <c r="M427" s="151">
        <v>37.799043062201001</v>
      </c>
      <c r="N427" s="151">
        <v>30.8056872037915</v>
      </c>
      <c r="O427" s="151">
        <v>15.639810426540301</v>
      </c>
    </row>
    <row r="428" spans="1:15">
      <c r="A428" s="151">
        <v>2012</v>
      </c>
      <c r="B428" s="151" t="s">
        <v>278</v>
      </c>
      <c r="C428" s="151" t="s">
        <v>3491</v>
      </c>
      <c r="D428" s="151">
        <v>-1.0902106656717001</v>
      </c>
      <c r="E428" s="151">
        <v>-0.65869903860661405</v>
      </c>
      <c r="F428" s="151">
        <v>-0.88911325472912595</v>
      </c>
      <c r="G428" s="151">
        <v>-0.34552718722248699</v>
      </c>
      <c r="H428" s="151">
        <v>-1.15135466557611</v>
      </c>
      <c r="I428" s="151">
        <v>-0.63880197540335404</v>
      </c>
      <c r="J428" s="151">
        <v>12.9186602870813</v>
      </c>
      <c r="K428" s="151">
        <v>29.186602870813399</v>
      </c>
      <c r="L428" s="151">
        <v>19.4312796208531</v>
      </c>
      <c r="M428" s="151">
        <v>40.191387559808597</v>
      </c>
      <c r="N428" s="151">
        <v>12.3222748815166</v>
      </c>
      <c r="O428" s="151">
        <v>28.436018957346</v>
      </c>
    </row>
    <row r="429" spans="1:15">
      <c r="A429" s="151">
        <v>2012</v>
      </c>
      <c r="B429" s="151" t="s">
        <v>294</v>
      </c>
      <c r="C429" s="151" t="s">
        <v>3492</v>
      </c>
      <c r="D429" s="151">
        <v>-0.57292022809860899</v>
      </c>
      <c r="E429" s="151">
        <v>-1.1795661163166</v>
      </c>
      <c r="F429" s="151">
        <v>-0.47485979537934597</v>
      </c>
      <c r="G429" s="151">
        <v>-1.05284207395271</v>
      </c>
      <c r="H429" s="151">
        <v>-0.920066632837097</v>
      </c>
      <c r="I429" s="151">
        <v>-0.36000126064831101</v>
      </c>
      <c r="J429" s="151">
        <v>33.9712918660287</v>
      </c>
      <c r="K429" s="151">
        <v>12.4401913875598</v>
      </c>
      <c r="L429" s="151">
        <v>31.753554502369699</v>
      </c>
      <c r="M429" s="151">
        <v>14.8325358851675</v>
      </c>
      <c r="N429" s="151">
        <v>18.0094786729858</v>
      </c>
      <c r="O429" s="151">
        <v>36.0189573459716</v>
      </c>
    </row>
    <row r="430" spans="1:15">
      <c r="A430" s="151">
        <v>2012</v>
      </c>
      <c r="B430" s="151" t="s">
        <v>309</v>
      </c>
      <c r="C430" s="151" t="s">
        <v>3493</v>
      </c>
      <c r="D430" s="151">
        <v>-0.60919220982741096</v>
      </c>
      <c r="E430" s="151">
        <v>-1.0833588234375999</v>
      </c>
      <c r="F430" s="151">
        <v>-0.56694823068719602</v>
      </c>
      <c r="G430" s="151">
        <v>-0.57679886130939995</v>
      </c>
      <c r="H430" s="151">
        <v>-0.89139411988089701</v>
      </c>
      <c r="I430" s="151">
        <v>-0.84822704624888701</v>
      </c>
      <c r="J430" s="151">
        <v>31.1004784688995</v>
      </c>
      <c r="K430" s="151">
        <v>14.8325358851675</v>
      </c>
      <c r="L430" s="151">
        <v>27.962085308056899</v>
      </c>
      <c r="M430" s="151">
        <v>30.622009569378001</v>
      </c>
      <c r="N430" s="151">
        <v>20.3791469194313</v>
      </c>
      <c r="O430" s="151">
        <v>24.644549763033201</v>
      </c>
    </row>
    <row r="431" spans="1:15">
      <c r="A431" s="151">
        <v>2012</v>
      </c>
      <c r="B431" s="151" t="s">
        <v>322</v>
      </c>
      <c r="C431" s="151" t="s">
        <v>3494</v>
      </c>
      <c r="D431" s="151">
        <v>-0.76139982934015304</v>
      </c>
      <c r="E431" s="151">
        <v>-0.98866028673950701</v>
      </c>
      <c r="F431" s="151">
        <v>-1.9774860266219201</v>
      </c>
      <c r="G431" s="151">
        <v>-0.42303211632404703</v>
      </c>
      <c r="H431" s="151">
        <v>-0.69252304398614195</v>
      </c>
      <c r="I431" s="151">
        <v>-0.54678503894798403</v>
      </c>
      <c r="J431" s="151">
        <v>25.358851674641102</v>
      </c>
      <c r="K431" s="151">
        <v>16.267942583732101</v>
      </c>
      <c r="L431" s="151">
        <v>3.7914691943127998</v>
      </c>
      <c r="M431" s="151">
        <v>36.363636363636402</v>
      </c>
      <c r="N431" s="151">
        <v>30.331753554502399</v>
      </c>
      <c r="O431" s="151">
        <v>30.8056872037915</v>
      </c>
    </row>
    <row r="432" spans="1:15">
      <c r="A432" s="151">
        <v>2012</v>
      </c>
      <c r="B432" s="151" t="s">
        <v>338</v>
      </c>
      <c r="C432" s="151" t="s">
        <v>3495</v>
      </c>
      <c r="D432" s="151">
        <v>-0.602145696519781</v>
      </c>
      <c r="E432" s="151">
        <v>-0.91238133224512097</v>
      </c>
      <c r="F432" s="151">
        <v>-1.1266924784215899</v>
      </c>
      <c r="G432" s="151">
        <v>-0.64485313997840599</v>
      </c>
      <c r="H432" s="151">
        <v>-0.87211631471464102</v>
      </c>
      <c r="I432" s="151">
        <v>-0.94198275359209405</v>
      </c>
      <c r="J432" s="151">
        <v>32.0574162679426</v>
      </c>
      <c r="K432" s="151">
        <v>18.6602870813397</v>
      </c>
      <c r="L432" s="151">
        <v>16.113744075829398</v>
      </c>
      <c r="M432" s="151">
        <v>27.7511961722488</v>
      </c>
      <c r="N432" s="151">
        <v>21.327014218009499</v>
      </c>
      <c r="O432" s="151">
        <v>20.853080568720401</v>
      </c>
    </row>
    <row r="433" spans="1:15">
      <c r="A433" s="151">
        <v>2012</v>
      </c>
      <c r="B433" s="151" t="s">
        <v>378</v>
      </c>
      <c r="C433" s="151" t="s">
        <v>3496</v>
      </c>
      <c r="D433" s="151">
        <v>-0.58968304756413004</v>
      </c>
      <c r="E433" s="151">
        <v>-0.63813863402364901</v>
      </c>
      <c r="F433" s="151">
        <v>0.34521423672696999</v>
      </c>
      <c r="G433" s="151">
        <v>-0.45907561251808299</v>
      </c>
      <c r="H433" s="151">
        <v>-0.60035630594511902</v>
      </c>
      <c r="I433" s="151">
        <v>-0.17982292243112499</v>
      </c>
      <c r="J433" s="151">
        <v>33.014354066985597</v>
      </c>
      <c r="K433" s="151">
        <v>29.665071770334901</v>
      </c>
      <c r="L433" s="151">
        <v>58.7677725118483</v>
      </c>
      <c r="M433" s="151">
        <v>34.928229665071797</v>
      </c>
      <c r="N433" s="151">
        <v>33.649289099526101</v>
      </c>
      <c r="O433" s="151">
        <v>43.127962085308098</v>
      </c>
    </row>
    <row r="434" spans="1:15">
      <c r="A434" s="151">
        <v>2012</v>
      </c>
      <c r="B434" s="151" t="s">
        <v>387</v>
      </c>
      <c r="C434" s="151" t="s">
        <v>3497</v>
      </c>
      <c r="D434" s="151">
        <v>-0.68559744135101297</v>
      </c>
      <c r="E434" s="151">
        <v>-0.70399601649343702</v>
      </c>
      <c r="F434" s="151">
        <v>-1.17281728195836</v>
      </c>
      <c r="G434" s="151">
        <v>-0.60796690667479703</v>
      </c>
      <c r="H434" s="151">
        <v>-0.73845624966672696</v>
      </c>
      <c r="I434" s="151">
        <v>-0.395079599525754</v>
      </c>
      <c r="J434" s="151">
        <v>27.7511961722488</v>
      </c>
      <c r="K434" s="151">
        <v>27.7511961722488</v>
      </c>
      <c r="L434" s="151">
        <v>13.744075829383901</v>
      </c>
      <c r="M434" s="151">
        <v>29.186602870813399</v>
      </c>
      <c r="N434" s="151">
        <v>28.436018957346</v>
      </c>
      <c r="O434" s="151">
        <v>35.071090047393398</v>
      </c>
    </row>
    <row r="435" spans="1:15">
      <c r="A435" s="151">
        <v>2012</v>
      </c>
      <c r="B435" s="151" t="s">
        <v>406</v>
      </c>
      <c r="C435" s="151" t="s">
        <v>3498</v>
      </c>
      <c r="D435" s="151">
        <v>-1.1327559316657301</v>
      </c>
      <c r="E435" s="151">
        <v>-0.99778014629661604</v>
      </c>
      <c r="F435" s="151">
        <v>-2.05327401816449</v>
      </c>
      <c r="G435" s="151">
        <v>-0.72247740244145298</v>
      </c>
      <c r="H435" s="151">
        <v>-1.18068318788433</v>
      </c>
      <c r="I435" s="151">
        <v>-0.72749646576441196</v>
      </c>
      <c r="J435" s="151">
        <v>11.004784688995199</v>
      </c>
      <c r="K435" s="151">
        <v>15.789473684210501</v>
      </c>
      <c r="L435" s="151">
        <v>3.3175355450236999</v>
      </c>
      <c r="M435" s="151">
        <v>25.358851674641102</v>
      </c>
      <c r="N435" s="151">
        <v>10.4265402843602</v>
      </c>
      <c r="O435" s="151">
        <v>27.488151658767801</v>
      </c>
    </row>
    <row r="436" spans="1:15">
      <c r="A436" s="151">
        <v>2012</v>
      </c>
      <c r="B436" s="151" t="s">
        <v>442</v>
      </c>
      <c r="C436" s="151" t="s">
        <v>3499</v>
      </c>
      <c r="D436" s="151">
        <v>-0.394694258708917</v>
      </c>
      <c r="E436" s="151">
        <v>-0.157626358241128</v>
      </c>
      <c r="F436" s="151">
        <v>-0.86195648593669605</v>
      </c>
      <c r="G436" s="151">
        <v>0.48941210864302698</v>
      </c>
      <c r="H436" s="151">
        <v>-0.61237356738044701</v>
      </c>
      <c r="I436" s="151">
        <v>6.8806180868862199E-2</v>
      </c>
      <c r="J436" s="151">
        <v>43.062200956937801</v>
      </c>
      <c r="K436" s="151">
        <v>48.803827751196202</v>
      </c>
      <c r="L436" s="151">
        <v>19.905213270142202</v>
      </c>
      <c r="M436" s="151">
        <v>67.9425837320574</v>
      </c>
      <c r="N436" s="151">
        <v>32.701421800947898</v>
      </c>
      <c r="O436" s="151">
        <v>53.554502369668199</v>
      </c>
    </row>
    <row r="437" spans="1:15">
      <c r="A437" s="151">
        <v>2012</v>
      </c>
      <c r="B437" s="151" t="s">
        <v>481</v>
      </c>
      <c r="C437" s="151" t="s">
        <v>3500</v>
      </c>
      <c r="D437" s="151">
        <v>-0.93609499069520397</v>
      </c>
      <c r="E437" s="151">
        <v>-1.20990618981427</v>
      </c>
      <c r="F437" s="151">
        <v>-0.267772080582941</v>
      </c>
      <c r="G437" s="151">
        <v>-0.70650682555257405</v>
      </c>
      <c r="H437" s="151">
        <v>-0.87085714005665704</v>
      </c>
      <c r="I437" s="151">
        <v>-0.35912191650537401</v>
      </c>
      <c r="J437" s="151">
        <v>18.6602870813397</v>
      </c>
      <c r="K437" s="151">
        <v>10.526315789473699</v>
      </c>
      <c r="L437" s="151">
        <v>37.914691943127998</v>
      </c>
      <c r="M437" s="151">
        <v>26.315789473684202</v>
      </c>
      <c r="N437" s="151">
        <v>21.8009478672986</v>
      </c>
      <c r="O437" s="151">
        <v>36.492890995260701</v>
      </c>
    </row>
    <row r="438" spans="1:15">
      <c r="A438" s="151">
        <v>2012</v>
      </c>
      <c r="B438" s="151" t="s">
        <v>492</v>
      </c>
      <c r="C438" s="151" t="s">
        <v>3501</v>
      </c>
      <c r="D438" s="151">
        <v>-0.85063478049108399</v>
      </c>
      <c r="E438" s="151">
        <v>-0.69087113955483004</v>
      </c>
      <c r="F438" s="151">
        <v>2.69374400343513E-2</v>
      </c>
      <c r="G438" s="151">
        <v>-0.39860635659708998</v>
      </c>
      <c r="H438" s="151">
        <v>-0.57618191580965095</v>
      </c>
      <c r="I438" s="151">
        <v>-0.22291643302056699</v>
      </c>
      <c r="J438" s="151">
        <v>22.009569377990399</v>
      </c>
      <c r="K438" s="151">
        <v>28.229665071770299</v>
      </c>
      <c r="L438" s="151">
        <v>46.919431279620902</v>
      </c>
      <c r="M438" s="151">
        <v>36.842105263157897</v>
      </c>
      <c r="N438" s="151">
        <v>34.597156398104303</v>
      </c>
      <c r="O438" s="151">
        <v>41.706161137440802</v>
      </c>
    </row>
    <row r="439" spans="1:15">
      <c r="A439" s="151">
        <v>2012</v>
      </c>
      <c r="B439" s="151" t="s">
        <v>510</v>
      </c>
      <c r="C439" s="151" t="s">
        <v>3502</v>
      </c>
      <c r="D439" s="151">
        <v>-0.99293010037185903</v>
      </c>
      <c r="E439" s="151">
        <v>-1.32492192869334</v>
      </c>
      <c r="F439" s="151">
        <v>-0.41876197102124602</v>
      </c>
      <c r="G439" s="151">
        <v>-0.85622926481115202</v>
      </c>
      <c r="H439" s="151">
        <v>-0.91787373438563402</v>
      </c>
      <c r="I439" s="151">
        <v>-1.0185350449031301</v>
      </c>
      <c r="J439" s="151">
        <v>16.746411483253599</v>
      </c>
      <c r="K439" s="151">
        <v>7.6555023923445003</v>
      </c>
      <c r="L439" s="151">
        <v>33.649289099526101</v>
      </c>
      <c r="M439" s="151">
        <v>21.5311004784689</v>
      </c>
      <c r="N439" s="151">
        <v>18.483412322274901</v>
      </c>
      <c r="O439" s="151">
        <v>18.483412322274901</v>
      </c>
    </row>
    <row r="440" spans="1:15">
      <c r="A440" s="151">
        <v>2012</v>
      </c>
      <c r="B440" s="151" t="s">
        <v>2844</v>
      </c>
      <c r="C440" s="151" t="s">
        <v>3503</v>
      </c>
      <c r="D440" s="151">
        <v>-0.97865885435098499</v>
      </c>
      <c r="E440" s="151">
        <v>-1.1934793723347299</v>
      </c>
      <c r="F440" s="151">
        <v>-0.26995194099800901</v>
      </c>
      <c r="G440" s="151">
        <v>-1.0243378118269399</v>
      </c>
      <c r="H440" s="151">
        <v>-1.1987086546050001</v>
      </c>
      <c r="I440" s="151">
        <v>4.6832895895587298E-2</v>
      </c>
      <c r="J440" s="151">
        <v>17.224880382775101</v>
      </c>
      <c r="K440" s="151">
        <v>11.9617224880383</v>
      </c>
      <c r="L440" s="151">
        <v>37.440758293838897</v>
      </c>
      <c r="M440" s="151">
        <v>15.789473684210501</v>
      </c>
      <c r="N440" s="151">
        <v>9.9526066350710902</v>
      </c>
      <c r="O440" s="151">
        <v>52.132701421800903</v>
      </c>
    </row>
    <row r="441" spans="1:15">
      <c r="A441" s="151">
        <v>2012</v>
      </c>
      <c r="B441" s="151" t="s">
        <v>2845</v>
      </c>
      <c r="C441" s="151" t="s">
        <v>3504</v>
      </c>
      <c r="D441" s="151">
        <v>-0.29137025739094102</v>
      </c>
      <c r="E441" s="151">
        <v>0.40259148526961402</v>
      </c>
      <c r="F441" s="151">
        <v>0.10849957081648801</v>
      </c>
      <c r="G441" s="151">
        <v>0.21937901263142601</v>
      </c>
      <c r="H441" s="151">
        <v>-0.188458207967859</v>
      </c>
      <c r="I441" s="151">
        <v>0.45108808447156701</v>
      </c>
      <c r="J441" s="151">
        <v>49.760765550239199</v>
      </c>
      <c r="K441" s="151">
        <v>64.593301435406701</v>
      </c>
      <c r="L441" s="151">
        <v>51.184834123222799</v>
      </c>
      <c r="M441" s="151">
        <v>57.416267942583701</v>
      </c>
      <c r="N441" s="151">
        <v>49.763033175355503</v>
      </c>
      <c r="O441" s="151">
        <v>62.085308056872002</v>
      </c>
    </row>
    <row r="442" spans="1:15">
      <c r="A442" s="151">
        <v>2012</v>
      </c>
      <c r="B442" s="151" t="s">
        <v>2846</v>
      </c>
      <c r="C442" s="151" t="s">
        <v>3505</v>
      </c>
      <c r="D442" s="151">
        <v>-1.23242799223071</v>
      </c>
      <c r="E442" s="151">
        <v>-1.2757829959215701</v>
      </c>
      <c r="F442" s="151">
        <v>-2.4308472451983101</v>
      </c>
      <c r="G442" s="151">
        <v>-0.69597486185532897</v>
      </c>
      <c r="H442" s="151">
        <v>-1.26508274525744</v>
      </c>
      <c r="I442" s="151">
        <v>-1.39372498833258</v>
      </c>
      <c r="J442" s="151">
        <v>7.6555023923445003</v>
      </c>
      <c r="K442" s="151">
        <v>8.6124401913875595</v>
      </c>
      <c r="L442" s="151">
        <v>1.4218009478672999</v>
      </c>
      <c r="M442" s="151">
        <v>26.7942583732057</v>
      </c>
      <c r="N442" s="151">
        <v>8.0568720379146903</v>
      </c>
      <c r="O442" s="151">
        <v>9.0047393364928894</v>
      </c>
    </row>
    <row r="443" spans="1:15">
      <c r="A443" s="151">
        <v>2012</v>
      </c>
      <c r="B443" s="151" t="s">
        <v>534</v>
      </c>
      <c r="C443" s="151" t="s">
        <v>3506</v>
      </c>
      <c r="D443" s="151">
        <v>-0.36075468296103302</v>
      </c>
      <c r="E443" s="151">
        <v>-0.50167064815564</v>
      </c>
      <c r="F443" s="151">
        <v>0.61397274031289295</v>
      </c>
      <c r="G443" s="151">
        <v>-0.42878042603682198</v>
      </c>
      <c r="H443" s="151">
        <v>-0.40293131872741</v>
      </c>
      <c r="I443" s="151">
        <v>-0.15558153117561299</v>
      </c>
      <c r="J443" s="151">
        <v>45.933014354066998</v>
      </c>
      <c r="K443" s="151">
        <v>37.799043062201001</v>
      </c>
      <c r="L443" s="151">
        <v>65.402843601895697</v>
      </c>
      <c r="M443" s="151">
        <v>35.885167464114801</v>
      </c>
      <c r="N443" s="151">
        <v>42.654028436018997</v>
      </c>
      <c r="O443" s="151">
        <v>43.6018957345972</v>
      </c>
    </row>
    <row r="444" spans="1:15">
      <c r="A444" s="151">
        <v>2012</v>
      </c>
      <c r="B444" s="151" t="s">
        <v>357</v>
      </c>
      <c r="C444" s="151" t="s">
        <v>3507</v>
      </c>
      <c r="D444" s="151">
        <v>-0.52053676320938103</v>
      </c>
      <c r="E444" s="151">
        <v>-0.63227226010712301</v>
      </c>
      <c r="F444" s="151">
        <v>0.44897659810553098</v>
      </c>
      <c r="G444" s="151">
        <v>-0.165274280560958</v>
      </c>
      <c r="H444" s="151">
        <v>-0.381775707163311</v>
      </c>
      <c r="I444" s="151">
        <v>1.9513473312359399E-2</v>
      </c>
      <c r="J444" s="151">
        <v>37.799043062201001</v>
      </c>
      <c r="K444" s="151">
        <v>30.622009569378001</v>
      </c>
      <c r="L444" s="151">
        <v>61.137440758293799</v>
      </c>
      <c r="M444" s="151">
        <v>46.4114832535885</v>
      </c>
      <c r="N444" s="151">
        <v>44.549763033175402</v>
      </c>
      <c r="O444" s="151">
        <v>50.710900473933599</v>
      </c>
    </row>
    <row r="445" spans="1:15">
      <c r="A445" s="151">
        <v>2013</v>
      </c>
      <c r="B445" s="151" t="s">
        <v>16</v>
      </c>
      <c r="C445" s="151" t="s">
        <v>3508</v>
      </c>
      <c r="D445" s="151">
        <v>-1.4264214038848899</v>
      </c>
      <c r="E445" s="151">
        <v>-1.42888736724854</v>
      </c>
      <c r="F445" s="151">
        <v>-2.4741945266723602</v>
      </c>
      <c r="G445" s="151">
        <v>-1.21225333213806</v>
      </c>
      <c r="H445" s="151">
        <v>-1.6711688041687001</v>
      </c>
      <c r="I445" s="151">
        <v>-1.28823006153107</v>
      </c>
      <c r="J445" s="151">
        <v>1.9138755798339799</v>
      </c>
      <c r="K445" s="151">
        <v>7.1770334243774396</v>
      </c>
      <c r="L445" s="151">
        <v>1.4218009710311901</v>
      </c>
      <c r="M445" s="151">
        <v>11.004784584045399</v>
      </c>
      <c r="N445" s="151">
        <v>1.4218009710311901</v>
      </c>
      <c r="O445" s="151">
        <v>13.2701425552368</v>
      </c>
    </row>
    <row r="446" spans="1:15">
      <c r="A446" s="151">
        <v>2013</v>
      </c>
      <c r="B446" s="151" t="s">
        <v>33</v>
      </c>
      <c r="C446" s="151" t="s">
        <v>3509</v>
      </c>
      <c r="D446" s="151">
        <v>-0.71658492088317904</v>
      </c>
      <c r="E446" s="151">
        <v>-0.33354252576827997</v>
      </c>
      <c r="F446" s="151">
        <v>5.8038730174303103E-2</v>
      </c>
      <c r="G446" s="151">
        <v>0.17541241645812999</v>
      </c>
      <c r="H446" s="151">
        <v>-0.57411551475524902</v>
      </c>
      <c r="I446" s="151">
        <v>3.8705013692378998E-2</v>
      </c>
      <c r="J446" s="151">
        <v>25.8373203277588</v>
      </c>
      <c r="K446" s="151">
        <v>43.5406684875488</v>
      </c>
      <c r="L446" s="151">
        <v>48.341232299804702</v>
      </c>
      <c r="M446" s="151">
        <v>57.416267395019503</v>
      </c>
      <c r="N446" s="151">
        <v>35.5450248718262</v>
      </c>
      <c r="O446" s="151">
        <v>51.1848335266113</v>
      </c>
    </row>
    <row r="447" spans="1:15">
      <c r="A447" s="151">
        <v>2013</v>
      </c>
      <c r="B447" s="151" t="s">
        <v>48</v>
      </c>
      <c r="C447" s="151" t="s">
        <v>3510</v>
      </c>
      <c r="D447" s="151">
        <v>-0.90131652355194103</v>
      </c>
      <c r="E447" s="151">
        <v>-0.45513376593589799</v>
      </c>
      <c r="F447" s="151">
        <v>-0.41039389371871898</v>
      </c>
      <c r="G447" s="151">
        <v>-0.42655724287033098</v>
      </c>
      <c r="H447" s="151">
        <v>-0.67366319894790605</v>
      </c>
      <c r="I447" s="151">
        <v>-1.35397183895111</v>
      </c>
      <c r="J447" s="151">
        <v>18.6602878570557</v>
      </c>
      <c r="K447" s="151">
        <v>38.7559814453125</v>
      </c>
      <c r="L447" s="151">
        <v>33.1753540039063</v>
      </c>
      <c r="M447" s="151">
        <v>34.928230285644503</v>
      </c>
      <c r="N447" s="151">
        <v>30.331752777099599</v>
      </c>
      <c r="O447" s="151">
        <v>10.900473594665501</v>
      </c>
    </row>
    <row r="448" spans="1:15">
      <c r="A448" s="151">
        <v>2013</v>
      </c>
      <c r="B448" s="151" t="s">
        <v>93</v>
      </c>
      <c r="C448" s="151" t="s">
        <v>3511</v>
      </c>
      <c r="D448" s="151">
        <v>-0.57933026552200295</v>
      </c>
      <c r="E448" s="151">
        <v>-0.61724656820297197</v>
      </c>
      <c r="F448" s="151">
        <v>-0.75272607803344704</v>
      </c>
      <c r="G448" s="151">
        <v>-0.16716399788856501</v>
      </c>
      <c r="H448" s="151">
        <v>-0.526608526706696</v>
      </c>
      <c r="I448" s="151">
        <v>-0.29411286115646401</v>
      </c>
      <c r="J448" s="151">
        <v>33.492824554443402</v>
      </c>
      <c r="K448" s="151">
        <v>31.100479125976602</v>
      </c>
      <c r="L448" s="151">
        <v>21.800947189331101</v>
      </c>
      <c r="M448" s="151">
        <v>47.368419647216797</v>
      </c>
      <c r="N448" s="151">
        <v>37.440757751464801</v>
      </c>
      <c r="O448" s="151">
        <v>38.862560272216797</v>
      </c>
    </row>
    <row r="449" spans="1:15">
      <c r="A449" s="151">
        <v>2013</v>
      </c>
      <c r="B449" s="151" t="s">
        <v>122</v>
      </c>
      <c r="C449" s="151" t="s">
        <v>3512</v>
      </c>
      <c r="D449" s="151">
        <v>-1.04145860671997</v>
      </c>
      <c r="E449" s="151">
        <v>-1.7808928489685101</v>
      </c>
      <c r="F449" s="151">
        <v>-2.1458115577697798</v>
      </c>
      <c r="G449" s="151">
        <v>-1.1283259391784699</v>
      </c>
      <c r="H449" s="151">
        <v>-1.8342373371124301</v>
      </c>
      <c r="I449" s="151">
        <v>-1.5287349224090601</v>
      </c>
      <c r="J449" s="151">
        <v>14.8325357437134</v>
      </c>
      <c r="K449" s="151">
        <v>0.95693778991699197</v>
      </c>
      <c r="L449" s="151">
        <v>3.3175356388092001</v>
      </c>
      <c r="M449" s="151">
        <v>12.9186601638794</v>
      </c>
      <c r="N449" s="151">
        <v>0.47393363714218101</v>
      </c>
      <c r="O449" s="151">
        <v>6.1611375808715803</v>
      </c>
    </row>
    <row r="450" spans="1:15">
      <c r="A450" s="151">
        <v>2013</v>
      </c>
      <c r="B450" s="151" t="s">
        <v>133</v>
      </c>
      <c r="C450" s="151" t="s">
        <v>3513</v>
      </c>
      <c r="D450" s="151">
        <v>-1.28494489192963</v>
      </c>
      <c r="E450" s="151">
        <v>-1.49598205089569</v>
      </c>
      <c r="F450" s="151">
        <v>-1.1007781028747601</v>
      </c>
      <c r="G450" s="151">
        <v>-1.0154626369476301</v>
      </c>
      <c r="H450" s="151">
        <v>-1.37246882915497</v>
      </c>
      <c r="I450" s="151">
        <v>-1.3838688135147099</v>
      </c>
      <c r="J450" s="151">
        <v>6.2200956344604501</v>
      </c>
      <c r="K450" s="151">
        <v>5.2631578445434597</v>
      </c>
      <c r="L450" s="151">
        <v>15.165876388549799</v>
      </c>
      <c r="M450" s="151">
        <v>15.7894735336304</v>
      </c>
      <c r="N450" s="151">
        <v>5.6872038841247603</v>
      </c>
      <c r="O450" s="151">
        <v>10.4265403747559</v>
      </c>
    </row>
    <row r="451" spans="1:15">
      <c r="A451" s="151">
        <v>2013</v>
      </c>
      <c r="B451" s="151" t="s">
        <v>165</v>
      </c>
      <c r="C451" s="151" t="s">
        <v>3514</v>
      </c>
      <c r="D451" s="151">
        <v>-1.29776847362518</v>
      </c>
      <c r="E451" s="151">
        <v>-1.59205114841461</v>
      </c>
      <c r="F451" s="151">
        <v>-2.2300465106964098</v>
      </c>
      <c r="G451" s="151">
        <v>-1.2807377576828001</v>
      </c>
      <c r="H451" s="151">
        <v>-1.549072265625</v>
      </c>
      <c r="I451" s="151">
        <v>-1.4673969745636</v>
      </c>
      <c r="J451" s="151">
        <v>5.7416267395019496</v>
      </c>
      <c r="K451" s="151">
        <v>1.4354066848754901</v>
      </c>
      <c r="L451" s="151">
        <v>2.36966824531555</v>
      </c>
      <c r="M451" s="151">
        <v>9.5693778991699201</v>
      </c>
      <c r="N451" s="151">
        <v>2.8436019420623802</v>
      </c>
      <c r="O451" s="151">
        <v>7.5829381942748997</v>
      </c>
    </row>
    <row r="452" spans="1:15">
      <c r="A452" s="151">
        <v>2013</v>
      </c>
      <c r="B452" s="151" t="s">
        <v>458</v>
      </c>
      <c r="C452" s="151" t="s">
        <v>3515</v>
      </c>
      <c r="D452" s="151">
        <v>-1.1871302127838099</v>
      </c>
      <c r="E452" s="151">
        <v>-1.2225868701934799</v>
      </c>
      <c r="F452" s="151">
        <v>-0.466122686862946</v>
      </c>
      <c r="G452" s="151">
        <v>-1.3572151660919201</v>
      </c>
      <c r="H452" s="151">
        <v>-1.09239518642426</v>
      </c>
      <c r="I452" s="151">
        <v>-1.1248090267181401</v>
      </c>
      <c r="J452" s="151">
        <v>10.5263156890869</v>
      </c>
      <c r="K452" s="151">
        <v>11.004784584045399</v>
      </c>
      <c r="L452" s="151">
        <v>29.8578205108643</v>
      </c>
      <c r="M452" s="151">
        <v>8.13397121429443</v>
      </c>
      <c r="N452" s="151">
        <v>13.7440757751465</v>
      </c>
      <c r="O452" s="151">
        <v>15.6398105621338</v>
      </c>
    </row>
    <row r="453" spans="1:15">
      <c r="A453" s="151">
        <v>2013</v>
      </c>
      <c r="B453" s="151" t="s">
        <v>96</v>
      </c>
      <c r="C453" s="151" t="s">
        <v>3516</v>
      </c>
      <c r="D453" s="151">
        <v>-1.1921844482421899</v>
      </c>
      <c r="E453" s="151">
        <v>-0.86477208137512196</v>
      </c>
      <c r="F453" s="151">
        <v>-0.51781761646270796</v>
      </c>
      <c r="G453" s="151">
        <v>-0.92971539497375499</v>
      </c>
      <c r="H453" s="151">
        <v>-1.0458563566207899</v>
      </c>
      <c r="I453" s="151">
        <v>-1.04192054271698</v>
      </c>
      <c r="J453" s="151">
        <v>9.5693778991699201</v>
      </c>
      <c r="K453" s="151">
        <v>20.574163436889599</v>
      </c>
      <c r="L453" s="151">
        <v>28.436019897460898</v>
      </c>
      <c r="M453" s="151">
        <v>20.0956935882568</v>
      </c>
      <c r="N453" s="151">
        <v>15.165876388549799</v>
      </c>
      <c r="O453" s="151">
        <v>17.535545349121101</v>
      </c>
    </row>
    <row r="454" spans="1:15">
      <c r="A454" s="151">
        <v>2013</v>
      </c>
      <c r="B454" s="151" t="s">
        <v>182</v>
      </c>
      <c r="C454" s="151" t="s">
        <v>3517</v>
      </c>
      <c r="D454" s="151">
        <v>-1.6088148355484</v>
      </c>
      <c r="E454" s="151">
        <v>-1.5913176536560101</v>
      </c>
      <c r="F454" s="151">
        <v>8.0906070768833202E-2</v>
      </c>
      <c r="G454" s="151">
        <v>-1.43687927722931</v>
      </c>
      <c r="H454" s="151">
        <v>-1.3177694082260101</v>
      </c>
      <c r="I454" s="151">
        <v>-1.9622449874877901</v>
      </c>
      <c r="J454" s="151">
        <v>0</v>
      </c>
      <c r="K454" s="151">
        <v>1.9138755798339799</v>
      </c>
      <c r="L454" s="151">
        <v>50.236965179443402</v>
      </c>
      <c r="M454" s="151">
        <v>6.6985645294189498</v>
      </c>
      <c r="N454" s="151">
        <v>7.1090049743652299</v>
      </c>
      <c r="O454" s="151">
        <v>1.89573454856873</v>
      </c>
    </row>
    <row r="455" spans="1:15">
      <c r="A455" s="151">
        <v>2013</v>
      </c>
      <c r="B455" s="151" t="s">
        <v>185</v>
      </c>
      <c r="C455" s="151" t="s">
        <v>3518</v>
      </c>
      <c r="D455" s="151">
        <v>-0.55725061893463101</v>
      </c>
      <c r="E455" s="151">
        <v>-0.76872265338897705</v>
      </c>
      <c r="F455" s="151">
        <v>0.33723980188369801</v>
      </c>
      <c r="G455" s="151">
        <v>-0.56472367048263605</v>
      </c>
      <c r="H455" s="151">
        <v>-0.51648277044296298</v>
      </c>
      <c r="I455" s="151">
        <v>-0.85770004987716697</v>
      </c>
      <c r="J455" s="151">
        <v>36.363636016845703</v>
      </c>
      <c r="K455" s="151">
        <v>24.401914596557599</v>
      </c>
      <c r="L455" s="151">
        <v>58.767772674560497</v>
      </c>
      <c r="M455" s="151">
        <v>31.100479125976602</v>
      </c>
      <c r="N455" s="151">
        <v>38.388626098632798</v>
      </c>
      <c r="O455" s="151">
        <v>24.170616149902301</v>
      </c>
    </row>
    <row r="456" spans="1:15">
      <c r="A456" s="151">
        <v>2013</v>
      </c>
      <c r="B456" s="151" t="s">
        <v>189</v>
      </c>
      <c r="C456" s="151" t="s">
        <v>3519</v>
      </c>
      <c r="D456" s="151">
        <v>-7.4241228401660905E-2</v>
      </c>
      <c r="E456" s="151">
        <v>-8.6076162755489294E-2</v>
      </c>
      <c r="F456" s="151">
        <v>2.0406404510140402E-2</v>
      </c>
      <c r="G456" s="151">
        <v>7.7964797616004902E-2</v>
      </c>
      <c r="H456" s="151">
        <v>0.10850994288921401</v>
      </c>
      <c r="I456" s="151">
        <v>0.41065856814384499</v>
      </c>
      <c r="J456" s="151">
        <v>56.4593315124512</v>
      </c>
      <c r="K456" s="151">
        <v>50.717704772949197</v>
      </c>
      <c r="L456" s="151">
        <v>47.393363952636697</v>
      </c>
      <c r="M456" s="151">
        <v>55.502391815185497</v>
      </c>
      <c r="N456" s="151">
        <v>56.872039794921903</v>
      </c>
      <c r="O456" s="151">
        <v>60.663505554199197</v>
      </c>
    </row>
    <row r="457" spans="1:15">
      <c r="A457" s="151">
        <v>2013</v>
      </c>
      <c r="B457" s="151" t="s">
        <v>213</v>
      </c>
      <c r="C457" s="151" t="s">
        <v>3520</v>
      </c>
      <c r="D457" s="151">
        <v>-0.57699608802795399</v>
      </c>
      <c r="E457" s="151">
        <v>-0.71231389045715299</v>
      </c>
      <c r="F457" s="151">
        <v>-0.69491678476333596</v>
      </c>
      <c r="G457" s="151">
        <v>-0.21209135651588401</v>
      </c>
      <c r="H457" s="151">
        <v>-1.11171722412109</v>
      </c>
      <c r="I457" s="151">
        <v>-0.40357473492622398</v>
      </c>
      <c r="J457" s="151">
        <v>33.971290588378899</v>
      </c>
      <c r="K457" s="151">
        <v>27.272727966308601</v>
      </c>
      <c r="L457" s="151">
        <v>23.696681976318398</v>
      </c>
      <c r="M457" s="151">
        <v>45.454544067382798</v>
      </c>
      <c r="N457" s="151">
        <v>13.2701425552368</v>
      </c>
      <c r="O457" s="151">
        <v>35.5450248718262</v>
      </c>
    </row>
    <row r="458" spans="1:15">
      <c r="A458" s="151">
        <v>2013</v>
      </c>
      <c r="B458" s="151" t="s">
        <v>2843</v>
      </c>
      <c r="C458" s="151" t="s">
        <v>3521</v>
      </c>
      <c r="D458" s="151">
        <v>-1.0600458383560201</v>
      </c>
      <c r="E458" s="151">
        <v>-1.3200429677963299</v>
      </c>
      <c r="F458" s="151">
        <v>-1.22575664520264</v>
      </c>
      <c r="G458" s="151">
        <v>-1.0078763961792001</v>
      </c>
      <c r="H458" s="151">
        <v>-1.4214503765106199</v>
      </c>
      <c r="I458" s="151">
        <v>-1.0647956132888801</v>
      </c>
      <c r="J458" s="151">
        <v>13.3971290588379</v>
      </c>
      <c r="K458" s="151">
        <v>9.0909090042114293</v>
      </c>
      <c r="L458" s="151">
        <v>11.374407768249499</v>
      </c>
      <c r="M458" s="151">
        <v>16.267942428588899</v>
      </c>
      <c r="N458" s="151">
        <v>4.7393364906311</v>
      </c>
      <c r="O458" s="151">
        <v>17.061611175537099</v>
      </c>
    </row>
    <row r="459" spans="1:15">
      <c r="A459" s="151">
        <v>2013</v>
      </c>
      <c r="B459" s="151" t="s">
        <v>237</v>
      </c>
      <c r="C459" s="151" t="s">
        <v>3522</v>
      </c>
      <c r="D459" s="151">
        <v>-0.62189257144928001</v>
      </c>
      <c r="E459" s="151">
        <v>-0.23797361552715299</v>
      </c>
      <c r="F459" s="151">
        <v>-0.50047028064727805</v>
      </c>
      <c r="G459" s="151">
        <v>-0.197141587734222</v>
      </c>
      <c r="H459" s="151">
        <v>-0.55442750453948997</v>
      </c>
      <c r="I459" s="151">
        <v>2.51646363176405E-3</v>
      </c>
      <c r="J459" s="151">
        <v>31.5789470672607</v>
      </c>
      <c r="K459" s="151">
        <v>45.454544067382798</v>
      </c>
      <c r="L459" s="151">
        <v>28.9099521636963</v>
      </c>
      <c r="M459" s="151">
        <v>46.411483764648402</v>
      </c>
      <c r="N459" s="151">
        <v>36.492889404296903</v>
      </c>
      <c r="O459" s="151">
        <v>48.8151664733887</v>
      </c>
    </row>
    <row r="460" spans="1:15">
      <c r="A460" s="151">
        <v>2013</v>
      </c>
      <c r="B460" s="151" t="s">
        <v>245</v>
      </c>
      <c r="C460" s="151" t="s">
        <v>3523</v>
      </c>
      <c r="D460" s="151">
        <v>-1.24591684341431</v>
      </c>
      <c r="E460" s="151">
        <v>-1.07856285572052</v>
      </c>
      <c r="F460" s="151">
        <v>-1.9885441064834599</v>
      </c>
      <c r="G460" s="151">
        <v>-1.25800013542175</v>
      </c>
      <c r="H460" s="151">
        <v>-1.47142910957336</v>
      </c>
      <c r="I460" s="151">
        <v>-1.09648656845093</v>
      </c>
      <c r="J460" s="151">
        <v>7.1770334243774396</v>
      </c>
      <c r="K460" s="151">
        <v>14.354066848754901</v>
      </c>
      <c r="L460" s="151">
        <v>4.26540279388428</v>
      </c>
      <c r="M460" s="151">
        <v>10.5263156890869</v>
      </c>
      <c r="N460" s="151">
        <v>3.7914690971374498</v>
      </c>
      <c r="O460" s="151">
        <v>16.5876770019531</v>
      </c>
    </row>
    <row r="461" spans="1:15">
      <c r="A461" s="151">
        <v>2013</v>
      </c>
      <c r="B461" s="151" t="s">
        <v>273</v>
      </c>
      <c r="C461" s="151" t="s">
        <v>3524</v>
      </c>
      <c r="D461" s="151">
        <v>-0.89843583106994596</v>
      </c>
      <c r="E461" s="151">
        <v>-0.53702217340469405</v>
      </c>
      <c r="F461" s="151">
        <v>-0.38138318061828602</v>
      </c>
      <c r="G461" s="151">
        <v>-0.38304501771926902</v>
      </c>
      <c r="H461" s="151">
        <v>-0.66697525978088401</v>
      </c>
      <c r="I461" s="151">
        <v>-1.2243735790252701</v>
      </c>
      <c r="J461" s="151">
        <v>20.0956935882568</v>
      </c>
      <c r="K461" s="151">
        <v>35.406700134277301</v>
      </c>
      <c r="L461" s="151">
        <v>34.597156524658203</v>
      </c>
      <c r="M461" s="151">
        <v>36.842105865478501</v>
      </c>
      <c r="N461" s="151">
        <v>30.805686950683601</v>
      </c>
      <c r="O461" s="151">
        <v>14.218009948730501</v>
      </c>
    </row>
    <row r="462" spans="1:15">
      <c r="A462" s="151">
        <v>2013</v>
      </c>
      <c r="B462" s="151" t="s">
        <v>278</v>
      </c>
      <c r="C462" s="151" t="s">
        <v>3525</v>
      </c>
      <c r="D462" s="151">
        <v>-1.1249353885650599</v>
      </c>
      <c r="E462" s="151">
        <v>-0.69312542676925704</v>
      </c>
      <c r="F462" s="151">
        <v>-0.91044151782989502</v>
      </c>
      <c r="G462" s="151">
        <v>-0.32909792661666898</v>
      </c>
      <c r="H462" s="151">
        <v>-1.13858914375305</v>
      </c>
      <c r="I462" s="151">
        <v>-0.565440714359283</v>
      </c>
      <c r="J462" s="151">
        <v>11.483253479003899</v>
      </c>
      <c r="K462" s="151">
        <v>28.708133697509801</v>
      </c>
      <c r="L462" s="151">
        <v>19.431280136108398</v>
      </c>
      <c r="M462" s="151">
        <v>41.626792907714801</v>
      </c>
      <c r="N462" s="151">
        <v>12.7962083816528</v>
      </c>
      <c r="O462" s="151">
        <v>30.331752777099599</v>
      </c>
    </row>
    <row r="463" spans="1:15">
      <c r="A463" s="151">
        <v>2013</v>
      </c>
      <c r="B463" s="151" t="s">
        <v>294</v>
      </c>
      <c r="C463" s="151" t="s">
        <v>3526</v>
      </c>
      <c r="D463" s="151">
        <v>-0.67755973339080799</v>
      </c>
      <c r="E463" s="151">
        <v>-1.3334478139877299</v>
      </c>
      <c r="F463" s="151">
        <v>-0.46151947975158703</v>
      </c>
      <c r="G463" s="151">
        <v>-0.91605013608932495</v>
      </c>
      <c r="H463" s="151">
        <v>-0.91562843322753895</v>
      </c>
      <c r="I463" s="151">
        <v>-0.44720283150672901</v>
      </c>
      <c r="J463" s="151">
        <v>28.708133697509801</v>
      </c>
      <c r="K463" s="151">
        <v>8.6124401092529297</v>
      </c>
      <c r="L463" s="151">
        <v>31.279621124267599</v>
      </c>
      <c r="M463" s="151">
        <v>21.0526313781738</v>
      </c>
      <c r="N463" s="151">
        <v>19.431280136108398</v>
      </c>
      <c r="O463" s="151">
        <v>33.1753540039063</v>
      </c>
    </row>
    <row r="464" spans="1:15">
      <c r="A464" s="151">
        <v>2013</v>
      </c>
      <c r="B464" s="151" t="s">
        <v>309</v>
      </c>
      <c r="C464" s="151" t="s">
        <v>3527</v>
      </c>
      <c r="D464" s="151">
        <v>-0.68909555673599199</v>
      </c>
      <c r="E464" s="151">
        <v>-1.1237829923629801</v>
      </c>
      <c r="F464" s="151">
        <v>-0.71434897184371904</v>
      </c>
      <c r="G464" s="151">
        <v>-0.66955476999282804</v>
      </c>
      <c r="H464" s="151">
        <v>-0.89731436967849698</v>
      </c>
      <c r="I464" s="151">
        <v>-0.78014206886291504</v>
      </c>
      <c r="J464" s="151">
        <v>27.272727966308601</v>
      </c>
      <c r="K464" s="151">
        <v>13.875597953796399</v>
      </c>
      <c r="L464" s="151">
        <v>23.222749710083001</v>
      </c>
      <c r="M464" s="151">
        <v>27.751195907592798</v>
      </c>
      <c r="N464" s="151">
        <v>19.9052124023438</v>
      </c>
      <c r="O464" s="151">
        <v>26.540285110473601</v>
      </c>
    </row>
    <row r="465" spans="1:15">
      <c r="A465" s="151">
        <v>2013</v>
      </c>
      <c r="B465" s="151" t="s">
        <v>322</v>
      </c>
      <c r="C465" s="151" t="s">
        <v>3528</v>
      </c>
      <c r="D465" s="151">
        <v>-0.72532027959823597</v>
      </c>
      <c r="E465" s="151">
        <v>-0.83902931213378895</v>
      </c>
      <c r="F465" s="151">
        <v>-1.68542444705963</v>
      </c>
      <c r="G465" s="151">
        <v>-0.50220733880996704</v>
      </c>
      <c r="H465" s="151">
        <v>-0.74970912933349598</v>
      </c>
      <c r="I465" s="151">
        <v>-0.30246958136558499</v>
      </c>
      <c r="J465" s="151">
        <v>25.358852386474599</v>
      </c>
      <c r="K465" s="151">
        <v>22.009569168090799</v>
      </c>
      <c r="L465" s="151">
        <v>6.63507127761841</v>
      </c>
      <c r="M465" s="151">
        <v>33.014354705810497</v>
      </c>
      <c r="N465" s="151">
        <v>27.014217376708999</v>
      </c>
      <c r="O465" s="151">
        <v>37.9146919250488</v>
      </c>
    </row>
    <row r="466" spans="1:15">
      <c r="A466" s="151">
        <v>2013</v>
      </c>
      <c r="B466" s="151" t="s">
        <v>338</v>
      </c>
      <c r="C466" s="151" t="s">
        <v>3529</v>
      </c>
      <c r="D466" s="151">
        <v>-0.67925357818603505</v>
      </c>
      <c r="E466" s="151">
        <v>-0.902690470218658</v>
      </c>
      <c r="F466" s="151">
        <v>-1.0169016122818</v>
      </c>
      <c r="G466" s="151">
        <v>-0.69623476266860995</v>
      </c>
      <c r="H466" s="151">
        <v>-0.946766138076782</v>
      </c>
      <c r="I466" s="151">
        <v>-0.93083661794662498</v>
      </c>
      <c r="J466" s="151">
        <v>28.2296657562256</v>
      </c>
      <c r="K466" s="151">
        <v>19.138755798339801</v>
      </c>
      <c r="L466" s="151">
        <v>17.535545349121101</v>
      </c>
      <c r="M466" s="151">
        <v>25.8373203277588</v>
      </c>
      <c r="N466" s="151">
        <v>18.483411788940401</v>
      </c>
      <c r="O466" s="151">
        <v>22.274881362915</v>
      </c>
    </row>
    <row r="467" spans="1:15">
      <c r="A467" s="151">
        <v>2013</v>
      </c>
      <c r="B467" s="151" t="s">
        <v>378</v>
      </c>
      <c r="C467" s="151" t="s">
        <v>3530</v>
      </c>
      <c r="D467" s="151">
        <v>-0.64969909191131603</v>
      </c>
      <c r="E467" s="151">
        <v>-0.64878118038177501</v>
      </c>
      <c r="F467" s="151">
        <v>-0.27105963230133101</v>
      </c>
      <c r="G467" s="151">
        <v>-0.41240876913070701</v>
      </c>
      <c r="H467" s="151">
        <v>-0.84657299518585205</v>
      </c>
      <c r="I467" s="151">
        <v>-0.286721050739288</v>
      </c>
      <c r="J467" s="151">
        <v>29.6650714874268</v>
      </c>
      <c r="K467" s="151">
        <v>30.6220092773438</v>
      </c>
      <c r="L467" s="151">
        <v>37.440757751464801</v>
      </c>
      <c r="M467" s="151">
        <v>35.885166168212898</v>
      </c>
      <c r="N467" s="151">
        <v>21.800947189331101</v>
      </c>
      <c r="O467" s="151">
        <v>39.336494445800803</v>
      </c>
    </row>
    <row r="468" spans="1:15">
      <c r="A468" s="151">
        <v>2013</v>
      </c>
      <c r="B468" s="151" t="s">
        <v>387</v>
      </c>
      <c r="C468" s="151" t="s">
        <v>3531</v>
      </c>
      <c r="D468" s="151">
        <v>-0.570109903812408</v>
      </c>
      <c r="E468" s="151">
        <v>-0.70707750320434604</v>
      </c>
      <c r="F468" s="151">
        <v>-1.2963707447052</v>
      </c>
      <c r="G468" s="151">
        <v>-0.60919606685638406</v>
      </c>
      <c r="H468" s="151">
        <v>-0.74528527259826705</v>
      </c>
      <c r="I468" s="151">
        <v>-0.35532829165458701</v>
      </c>
      <c r="J468" s="151">
        <v>35.406700134277301</v>
      </c>
      <c r="K468" s="151">
        <v>27.751195907592798</v>
      </c>
      <c r="L468" s="151">
        <v>9.9526062011718803</v>
      </c>
      <c r="M468" s="151">
        <v>29.6650714874268</v>
      </c>
      <c r="N468" s="151">
        <v>27.488151550293001</v>
      </c>
      <c r="O468" s="151">
        <v>36.492889404296903</v>
      </c>
    </row>
    <row r="469" spans="1:15">
      <c r="A469" s="151">
        <v>2013</v>
      </c>
      <c r="B469" s="151" t="s">
        <v>406</v>
      </c>
      <c r="C469" s="151" t="s">
        <v>3532</v>
      </c>
      <c r="D469" s="151">
        <v>-1.1967065334320099</v>
      </c>
      <c r="E469" s="151">
        <v>-1.00930428504944</v>
      </c>
      <c r="F469" s="151">
        <v>-2.0793542861938499</v>
      </c>
      <c r="G469" s="151">
        <v>-0.70594626665115401</v>
      </c>
      <c r="H469" s="151">
        <v>-1.15765941143036</v>
      </c>
      <c r="I469" s="151">
        <v>-0.74442768096923795</v>
      </c>
      <c r="J469" s="151">
        <v>9.0909090042114293</v>
      </c>
      <c r="K469" s="151">
        <v>16.267942428588899</v>
      </c>
      <c r="L469" s="151">
        <v>3.7914690971374498</v>
      </c>
      <c r="M469" s="151">
        <v>25.358852386474599</v>
      </c>
      <c r="N469" s="151">
        <v>12.3222751617432</v>
      </c>
      <c r="O469" s="151">
        <v>27.488151550293001</v>
      </c>
    </row>
    <row r="470" spans="1:15">
      <c r="A470" s="151">
        <v>2013</v>
      </c>
      <c r="B470" s="151" t="s">
        <v>442</v>
      </c>
      <c r="C470" s="151" t="s">
        <v>3533</v>
      </c>
      <c r="D470" s="151">
        <v>-0.43786224722862199</v>
      </c>
      <c r="E470" s="151">
        <v>-0.142404735088348</v>
      </c>
      <c r="F470" s="151">
        <v>-0.772069692611694</v>
      </c>
      <c r="G470" s="151">
        <v>0.45202887058258101</v>
      </c>
      <c r="H470" s="151">
        <v>-0.60944223403930697</v>
      </c>
      <c r="I470" s="151">
        <v>3.76140251755714E-2</v>
      </c>
      <c r="J470" s="151">
        <v>42.105262756347699</v>
      </c>
      <c r="K470" s="151">
        <v>48.803829193115199</v>
      </c>
      <c r="L470" s="151">
        <v>20.853080749511701</v>
      </c>
      <c r="M470" s="151">
        <v>66.507179260253906</v>
      </c>
      <c r="N470" s="151">
        <v>33.1753540039063</v>
      </c>
      <c r="O470" s="151">
        <v>50.710899353027301</v>
      </c>
    </row>
    <row r="471" spans="1:15">
      <c r="A471" s="151">
        <v>2013</v>
      </c>
      <c r="B471" s="151" t="s">
        <v>481</v>
      </c>
      <c r="C471" s="151" t="s">
        <v>3534</v>
      </c>
      <c r="D471" s="151">
        <v>-0.89972198009491</v>
      </c>
      <c r="E471" s="151">
        <v>-1.14457583427429</v>
      </c>
      <c r="F471" s="151">
        <v>-0.15270420908927901</v>
      </c>
      <c r="G471" s="151">
        <v>-0.68941646814346302</v>
      </c>
      <c r="H471" s="151">
        <v>-0.87730908393859897</v>
      </c>
      <c r="I471" s="151">
        <v>-0.38529446721076999</v>
      </c>
      <c r="J471" s="151">
        <v>19.138755798339801</v>
      </c>
      <c r="K471" s="151">
        <v>12.4401912689209</v>
      </c>
      <c r="L471" s="151">
        <v>40.758293151855497</v>
      </c>
      <c r="M471" s="151">
        <v>26.794258117675799</v>
      </c>
      <c r="N471" s="151">
        <v>21.3270149230957</v>
      </c>
      <c r="O471" s="151">
        <v>36.018959045410199</v>
      </c>
    </row>
    <row r="472" spans="1:15">
      <c r="A472" s="151">
        <v>2013</v>
      </c>
      <c r="B472" s="151" t="s">
        <v>492</v>
      </c>
      <c r="C472" s="151" t="s">
        <v>3535</v>
      </c>
      <c r="D472" s="151">
        <v>-0.82216185331344604</v>
      </c>
      <c r="E472" s="151">
        <v>-0.67219179868698098</v>
      </c>
      <c r="F472" s="151">
        <v>-0.151607051491737</v>
      </c>
      <c r="G472" s="151">
        <v>-0.34181043505668601</v>
      </c>
      <c r="H472" s="151">
        <v>-0.50403982400894198</v>
      </c>
      <c r="I472" s="151">
        <v>-0.22595661878585799</v>
      </c>
      <c r="J472" s="151">
        <v>22.488039016723601</v>
      </c>
      <c r="K472" s="151">
        <v>29.186603546142599</v>
      </c>
      <c r="L472" s="151">
        <v>41.232227325439503</v>
      </c>
      <c r="M472" s="151">
        <v>40.669857025146499</v>
      </c>
      <c r="N472" s="151">
        <v>38.862560272216797</v>
      </c>
      <c r="O472" s="151">
        <v>41.706161499023402</v>
      </c>
    </row>
    <row r="473" spans="1:15">
      <c r="A473" s="151">
        <v>2013</v>
      </c>
      <c r="B473" s="151" t="s">
        <v>510</v>
      </c>
      <c r="C473" s="151" t="s">
        <v>3536</v>
      </c>
      <c r="D473" s="151">
        <v>-1.0446861982345601</v>
      </c>
      <c r="E473" s="151">
        <v>-1.3709260225296001</v>
      </c>
      <c r="F473" s="151">
        <v>-0.42672345042228699</v>
      </c>
      <c r="G473" s="151">
        <v>-0.95087802410125699</v>
      </c>
      <c r="H473" s="151">
        <v>-1.0089588165283201</v>
      </c>
      <c r="I473" s="151">
        <v>-0.97900718450546298</v>
      </c>
      <c r="J473" s="151">
        <v>14.354066848754901</v>
      </c>
      <c r="K473" s="151">
        <v>7.6555023193359402</v>
      </c>
      <c r="L473" s="151">
        <v>32.701423645019503</v>
      </c>
      <c r="M473" s="151">
        <v>18.6602878570557</v>
      </c>
      <c r="N473" s="151">
        <v>15.6398105621338</v>
      </c>
      <c r="O473" s="151">
        <v>20.853080749511701</v>
      </c>
    </row>
    <row r="474" spans="1:15">
      <c r="A474" s="151">
        <v>2013</v>
      </c>
      <c r="B474" s="151" t="s">
        <v>2844</v>
      </c>
      <c r="C474" s="151" t="s">
        <v>3537</v>
      </c>
      <c r="D474" s="151">
        <v>-0.84354525804519698</v>
      </c>
      <c r="E474" s="151">
        <v>-1.258673787117</v>
      </c>
      <c r="F474" s="151">
        <v>-0.38774457573890703</v>
      </c>
      <c r="G474" s="151">
        <v>-0.99292081594467196</v>
      </c>
      <c r="H474" s="151">
        <v>-1.2689524888992301</v>
      </c>
      <c r="I474" s="151">
        <v>4.9974925816059099E-2</v>
      </c>
      <c r="J474" s="151">
        <v>21.531101226806602</v>
      </c>
      <c r="K474" s="151">
        <v>10.0478467941284</v>
      </c>
      <c r="L474" s="151">
        <v>34.123222351074197</v>
      </c>
      <c r="M474" s="151">
        <v>17.224880218505898</v>
      </c>
      <c r="N474" s="151">
        <v>9.0047397613525408</v>
      </c>
      <c r="O474" s="151">
        <v>51.658767700195298</v>
      </c>
    </row>
    <row r="475" spans="1:15">
      <c r="A475" s="151">
        <v>2013</v>
      </c>
      <c r="B475" s="151" t="s">
        <v>2845</v>
      </c>
      <c r="C475" s="151" t="s">
        <v>3538</v>
      </c>
      <c r="D475" s="151">
        <v>-0.351699888706207</v>
      </c>
      <c r="E475" s="151">
        <v>0.34887057542800898</v>
      </c>
      <c r="F475" s="151">
        <v>0.101655565202236</v>
      </c>
      <c r="G475" s="151">
        <v>0.24500684440136</v>
      </c>
      <c r="H475" s="151">
        <v>-0.22312884032726299</v>
      </c>
      <c r="I475" s="151">
        <v>0.44391617178916898</v>
      </c>
      <c r="J475" s="151">
        <v>47.368419647216797</v>
      </c>
      <c r="K475" s="151">
        <v>64.114830017089801</v>
      </c>
      <c r="L475" s="151">
        <v>50.710899353027301</v>
      </c>
      <c r="M475" s="151">
        <v>59.330142974853501</v>
      </c>
      <c r="N475" s="151">
        <v>48.341232299804702</v>
      </c>
      <c r="O475" s="151">
        <v>61.611373901367202</v>
      </c>
    </row>
    <row r="476" spans="1:15">
      <c r="A476" s="151">
        <v>2013</v>
      </c>
      <c r="B476" s="151" t="s">
        <v>2846</v>
      </c>
      <c r="C476" s="151" t="s">
        <v>3539</v>
      </c>
      <c r="D476" s="151">
        <v>-1.20271563529968</v>
      </c>
      <c r="E476" s="151">
        <v>-1.20396888256073</v>
      </c>
      <c r="F476" s="151">
        <v>-2.3490240573883101</v>
      </c>
      <c r="G476" s="151">
        <v>-0.73518371582031306</v>
      </c>
      <c r="H476" s="151">
        <v>-1.15868079662323</v>
      </c>
      <c r="I476" s="151">
        <v>-1.35257160663605</v>
      </c>
      <c r="J476" s="151">
        <v>8.6124401092529297</v>
      </c>
      <c r="K476" s="151">
        <v>11.483253479003899</v>
      </c>
      <c r="L476" s="151">
        <v>1.89573454856873</v>
      </c>
      <c r="M476" s="151">
        <v>23.923444747924801</v>
      </c>
      <c r="N476" s="151">
        <v>11.848340988159199</v>
      </c>
      <c r="O476" s="151">
        <v>11.374407768249499</v>
      </c>
    </row>
    <row r="477" spans="1:15">
      <c r="A477" s="151">
        <v>2013</v>
      </c>
      <c r="B477" s="151" t="s">
        <v>534</v>
      </c>
      <c r="C477" s="151" t="s">
        <v>3540</v>
      </c>
      <c r="D477" s="151">
        <v>-0.38686278462410001</v>
      </c>
      <c r="E477" s="151">
        <v>-0.47539421916008001</v>
      </c>
      <c r="F477" s="151">
        <v>0.389405786991119</v>
      </c>
      <c r="G477" s="151">
        <v>-0.46777227520942699</v>
      </c>
      <c r="H477" s="151">
        <v>-0.30641353130340598</v>
      </c>
      <c r="I477" s="151">
        <v>-0.111896798014641</v>
      </c>
      <c r="J477" s="151">
        <v>44.019138336181598</v>
      </c>
      <c r="K477" s="151">
        <v>38.277511596679702</v>
      </c>
      <c r="L477" s="151">
        <v>60.663505554199197</v>
      </c>
      <c r="M477" s="151">
        <v>34.449760437011697</v>
      </c>
      <c r="N477" s="151">
        <v>45.497631072997997</v>
      </c>
      <c r="O477" s="151">
        <v>45.023696899414098</v>
      </c>
    </row>
    <row r="478" spans="1:15">
      <c r="A478" s="151">
        <v>2013</v>
      </c>
      <c r="B478" s="151" t="s">
        <v>357</v>
      </c>
      <c r="C478" s="151" t="s">
        <v>3541</v>
      </c>
      <c r="D478" s="151">
        <v>-0.462237387895584</v>
      </c>
      <c r="E478" s="151">
        <v>-0.54106253385543801</v>
      </c>
      <c r="F478" s="151">
        <v>0.49927636981010398</v>
      </c>
      <c r="G478" s="151">
        <v>-0.28594869375228898</v>
      </c>
      <c r="H478" s="151">
        <v>-0.36965698003768899</v>
      </c>
      <c r="I478" s="151">
        <v>7.2999700903892503E-2</v>
      </c>
      <c r="J478" s="151">
        <v>40.1913871765137</v>
      </c>
      <c r="K478" s="151">
        <v>34.928230285644503</v>
      </c>
      <c r="L478" s="151">
        <v>63.981040954589801</v>
      </c>
      <c r="M478" s="151">
        <v>44.019138336181598</v>
      </c>
      <c r="N478" s="151">
        <v>43.601894378662102</v>
      </c>
      <c r="O478" s="151">
        <v>52.606636047363303</v>
      </c>
    </row>
    <row r="482" spans="1:1">
      <c r="A482" s="151" t="s">
        <v>2932</v>
      </c>
    </row>
    <row r="483" spans="1:1">
      <c r="A483" s="151" t="s">
        <v>2933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Cover Page</vt:lpstr>
      <vt:lpstr>Summary of EITI report</vt:lpstr>
      <vt:lpstr>Country-level data</vt:lpstr>
      <vt:lpstr>EITI Revenues</vt:lpstr>
      <vt:lpstr>WB Data</vt:lpstr>
      <vt:lpstr>WB Data 2</vt:lpstr>
      <vt:lpstr>UNCTAD</vt:lpstr>
      <vt:lpstr>RGI</vt:lpstr>
      <vt:lpstr>WGI</vt:lpstr>
      <vt:lpstr>CPI 2014</vt:lpstr>
      <vt:lpstr>Project-level data</vt:lpstr>
      <vt:lpstr>Data Sources</vt:lpstr>
      <vt:lpstr>CPI_2013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 Lintzer</dc:creator>
  <cp:lastModifiedBy>Marie Lintzer</cp:lastModifiedBy>
  <dcterms:created xsi:type="dcterms:W3CDTF">2015-03-12T20:40:58Z</dcterms:created>
  <dcterms:modified xsi:type="dcterms:W3CDTF">2015-08-06T15:06:12Z</dcterms:modified>
</cp:coreProperties>
</file>